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drawings/drawing13.xml" ContentType="application/vnd.openxmlformats-officedocument.drawing+xml"/>
  <Override PartName="/xl/comments14.xml" ContentType="application/vnd.openxmlformats-officedocument.spreadsheetml.comments+xml"/>
  <Override PartName="/xl/drawings/drawing14.xml" ContentType="application/vnd.openxmlformats-officedocument.drawing+xml"/>
  <Override PartName="/xl/comments15.xml" ContentType="application/vnd.openxmlformats-officedocument.spreadsheetml.comments+xml"/>
  <Override PartName="/xl/drawings/drawing15.xml" ContentType="application/vnd.openxmlformats-officedocument.drawing+xml"/>
  <Override PartName="/xl/comments16.xml" ContentType="application/vnd.openxmlformats-officedocument.spreadsheetml.comments+xml"/>
  <Override PartName="/xl/drawings/drawing16.xml" ContentType="application/vnd.openxmlformats-officedocument.drawing+xml"/>
  <Override PartName="/xl/comments17.xml" ContentType="application/vnd.openxmlformats-officedocument.spreadsheetml.comments+xml"/>
  <Override PartName="/xl/drawings/drawing17.xml" ContentType="application/vnd.openxmlformats-officedocument.drawing+xml"/>
  <Override PartName="/xl/comments18.xml" ContentType="application/vnd.openxmlformats-officedocument.spreadsheetml.comments+xml"/>
  <Override PartName="/xl/comments19.xml" ContentType="application/vnd.openxmlformats-officedocument.spreadsheetml.comments+xml"/>
  <Override PartName="/xl/drawings/drawing18.xml" ContentType="application/vnd.openxmlformats-officedocument.drawing+xml"/>
  <Override PartName="/xl/comments20.xml" ContentType="application/vnd.openxmlformats-officedocument.spreadsheetml.comments+xml"/>
  <Override PartName="/xl/drawings/drawing19.xml" ContentType="application/vnd.openxmlformats-officedocument.drawing+xml"/>
  <Override PartName="/xl/comments2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P:\0 PROJEKTY\2024_PROJEKTY\ŽIROVNICE_HRADECKÁ_PODKLAD_PRO_VŘ\ŽIROVNICE_AKTUALIZACE_2024_09_25\"/>
    </mc:Choice>
  </mc:AlternateContent>
  <xr:revisionPtr revIDLastSave="0" documentId="8_{B72922C9-E1D1-49B9-855C-C4675E6E74A1}" xr6:coauthVersionLast="47" xr6:coauthVersionMax="47" xr10:uidLastSave="{00000000-0000-0000-0000-000000000000}"/>
  <workbookProtection workbookAlgorithmName="SHA-512" workbookHashValue="z6yHngWQGSDqk9K20bZcBcf4ewyOWy7MND9b3v45GTrzYyzn5BRwsNZA5oLkz5EdkMNAZakS6mP6cSWgXgg0Ww==" workbookSaltValue="7t4bjv0wElPBGZHL8s7tGw==" workbookSpinCount="100000" lockStructure="1"/>
  <bookViews>
    <workbookView xWindow="-108" yWindow="-108" windowWidth="30936" windowHeight="16896" tabRatio="937" firstSheet="6" activeTab="24" xr2:uid="{00000000-000D-0000-FFFF-FFFF00000000}"/>
  </bookViews>
  <sheets>
    <sheet name="ROZPISKA" sheetId="46" r:id="rId1"/>
    <sheet name="ÚVODNÍ POPIS" sheetId="47" r:id="rId2"/>
    <sheet name="ÚVODNÍ USTANOVENÍ PRO STAVBU" sheetId="48" r:id="rId3"/>
    <sheet name="REKAPITULACE" sheetId="50" r:id="rId4"/>
    <sheet name="SO 001" sheetId="49" r:id="rId5"/>
    <sheet name="DSO 010.1." sheetId="31" r:id="rId6"/>
    <sheet name="DSO 010.2." sheetId="33" r:id="rId7"/>
    <sheet name="DSO 010.3." sheetId="34" r:id="rId8"/>
    <sheet name="DSO 010.4." sheetId="35" r:id="rId9"/>
    <sheet name="DSO 010.5." sheetId="30" r:id="rId10"/>
    <sheet name="DSO 020.1." sheetId="36" r:id="rId11"/>
    <sheet name="DSO 030.1." sheetId="37" r:id="rId12"/>
    <sheet name="DSO 030.2." sheetId="38" r:id="rId13"/>
    <sheet name="DSO 030.3." sheetId="39" r:id="rId14"/>
    <sheet name="DSO 030.4." sheetId="40" r:id="rId15"/>
    <sheet name="DSO 040.1." sheetId="41" r:id="rId16"/>
    <sheet name="DSO 050.1." sheetId="42" r:id="rId17"/>
    <sheet name="DSO 050.2." sheetId="43" r:id="rId18"/>
    <sheet name="DSO 050.3." sheetId="44" r:id="rId19"/>
    <sheet name="DSO 050.4." sheetId="55" r:id="rId20"/>
    <sheet name="DSO 060.1." sheetId="45" r:id="rId21"/>
    <sheet name="DSO 070.1." sheetId="27" r:id="rId22"/>
    <sheet name="DSO 080.1." sheetId="54" r:id="rId23"/>
    <sheet name="DOD č.1" sheetId="52" r:id="rId24"/>
    <sheet name="DOD č.2" sheetId="51" r:id="rId25"/>
  </sheets>
  <definedNames>
    <definedName name="_xlnm.Print_Area" localSheetId="23">'DOD č.1'!$A$1:$M$189</definedName>
    <definedName name="_xlnm.Print_Area" localSheetId="24">'DOD č.2'!$A$1:$M$224</definedName>
    <definedName name="_xlnm.Print_Area" localSheetId="5">'DSO 010.1.'!$A$1:$M$307</definedName>
    <definedName name="_xlnm.Print_Area" localSheetId="6">'DSO 010.2.'!$A$1:$M$205</definedName>
    <definedName name="_xlnm.Print_Area" localSheetId="7">'DSO 010.3.'!$A$1:$M$144</definedName>
    <definedName name="_xlnm.Print_Area" localSheetId="8">'DSO 010.4.'!$A$1:$M$214</definedName>
    <definedName name="_xlnm.Print_Area" localSheetId="9">'DSO 010.5.'!$A$1:$M$45</definedName>
    <definedName name="_xlnm.Print_Area" localSheetId="10">'DSO 020.1.'!$A$1:$M$167</definedName>
    <definedName name="_xlnm.Print_Area" localSheetId="11">'DSO 030.1.'!$A$1:$M$211</definedName>
    <definedName name="_xlnm.Print_Area" localSheetId="12">'DSO 030.2.'!$A$1:$M$186</definedName>
    <definedName name="_xlnm.Print_Area" localSheetId="13">'DSO 030.3.'!$A$1:$M$183</definedName>
    <definedName name="_xlnm.Print_Area" localSheetId="14">'DSO 030.4.'!$A$1:$M$171</definedName>
    <definedName name="_xlnm.Print_Area" localSheetId="15">'DSO 040.1.'!$A$1:$M$168</definedName>
    <definedName name="_xlnm.Print_Area" localSheetId="16">'DSO 050.1.'!$A$1:$M$201</definedName>
    <definedName name="_xlnm.Print_Area" localSheetId="17">'DSO 050.2.'!$A$1:$M$187</definedName>
    <definedName name="_xlnm.Print_Area" localSheetId="18">'DSO 050.3.'!$A$1:$M$166</definedName>
    <definedName name="_xlnm.Print_Area" localSheetId="19">'DSO 050.4.'!$A$1:$M$83</definedName>
    <definedName name="_xlnm.Print_Area" localSheetId="20">'DSO 060.1.'!$A$1:$M$168</definedName>
    <definedName name="_xlnm.Print_Area" localSheetId="21">'DSO 070.1.'!$A$1:$M$116</definedName>
    <definedName name="_xlnm.Print_Area" localSheetId="22">'DSO 080.1.'!$A$1:$M$68</definedName>
    <definedName name="_xlnm.Print_Area" localSheetId="3">REKAPITULACE!$A$1:$I$55</definedName>
    <definedName name="_xlnm.Print_Area" localSheetId="0">ROZPISKA!$A$1:$E$10</definedName>
    <definedName name="_xlnm.Print_Area" localSheetId="4">'SO 001'!$A$1:$M$138</definedName>
    <definedName name="vorn_sum" localSheetId="23">#REF!</definedName>
    <definedName name="vorn_sum" localSheetId="24">#REF!</definedName>
    <definedName name="vorn_sum" localSheetId="19">#REF!</definedName>
    <definedName name="vorn_sum" localSheetId="22">#REF!</definedName>
    <definedName name="vorn_sum" localSheetId="3">#REF!</definedName>
    <definedName name="vorn_sum" localSheetId="4">#REF!</definedName>
    <definedName name="vorn_sum">#REF!</definedName>
  </definedNames>
  <calcPr calcId="181029"/>
</workbook>
</file>

<file path=xl/calcChain.xml><?xml version="1.0" encoding="utf-8"?>
<calcChain xmlns="http://schemas.openxmlformats.org/spreadsheetml/2006/main">
  <c r="E43" i="50" l="1"/>
  <c r="BU78" i="55"/>
  <c r="BH78" i="55"/>
  <c r="BB78" i="55"/>
  <c r="AU78" i="55"/>
  <c r="AN78" i="55"/>
  <c r="AM78" i="55"/>
  <c r="BF78" i="55" s="1"/>
  <c r="AJ78" i="55"/>
  <c r="AH78" i="55"/>
  <c r="AQ77" i="55" s="1"/>
  <c r="AF78" i="55"/>
  <c r="AE78" i="55"/>
  <c r="AD78" i="55"/>
  <c r="AC78" i="55"/>
  <c r="AB78" i="55"/>
  <c r="AA78" i="55"/>
  <c r="Z78" i="55"/>
  <c r="X78" i="55"/>
  <c r="L78" i="55"/>
  <c r="BD78" i="55" s="1"/>
  <c r="J78" i="55"/>
  <c r="AI78" i="55" s="1"/>
  <c r="AR77" i="55" s="1"/>
  <c r="H78" i="55"/>
  <c r="H77" i="55" s="1"/>
  <c r="AS77" i="55"/>
  <c r="L77" i="55"/>
  <c r="J77" i="55"/>
  <c r="BU76" i="55"/>
  <c r="BH76" i="55"/>
  <c r="X76" i="55" s="1"/>
  <c r="BD76" i="55"/>
  <c r="BB76" i="55"/>
  <c r="AN76" i="55"/>
  <c r="BG76" i="55" s="1"/>
  <c r="AM76" i="55"/>
  <c r="BF76" i="55" s="1"/>
  <c r="AJ76" i="55"/>
  <c r="AS75" i="55" s="1"/>
  <c r="AH76" i="55"/>
  <c r="AF76" i="55"/>
  <c r="AE76" i="55"/>
  <c r="AD76" i="55"/>
  <c r="AC76" i="55"/>
  <c r="AB76" i="55"/>
  <c r="AA76" i="55"/>
  <c r="Z76" i="55"/>
  <c r="L76" i="55"/>
  <c r="J76" i="55"/>
  <c r="AQ75" i="55"/>
  <c r="L75" i="55"/>
  <c r="BU73" i="55"/>
  <c r="BH73" i="55"/>
  <c r="BB73" i="55"/>
  <c r="AN73" i="55"/>
  <c r="AM73" i="55"/>
  <c r="BF73" i="55" s="1"/>
  <c r="Z73" i="55" s="1"/>
  <c r="AJ73" i="55"/>
  <c r="AH73" i="55"/>
  <c r="AQ72" i="55" s="1"/>
  <c r="AF73" i="55"/>
  <c r="AE73" i="55"/>
  <c r="AD73" i="55"/>
  <c r="AC73" i="55"/>
  <c r="AB73" i="55"/>
  <c r="X73" i="55"/>
  <c r="L73" i="55"/>
  <c r="BD73" i="55" s="1"/>
  <c r="J73" i="55"/>
  <c r="J72" i="55" s="1"/>
  <c r="AS72" i="55"/>
  <c r="L72" i="55"/>
  <c r="BU70" i="55"/>
  <c r="BH70" i="55"/>
  <c r="BD70" i="55"/>
  <c r="BB70" i="55"/>
  <c r="AN70" i="55"/>
  <c r="BG70" i="55" s="1"/>
  <c r="AA70" i="55" s="1"/>
  <c r="AM70" i="55"/>
  <c r="BF70" i="55" s="1"/>
  <c r="Z70" i="55" s="1"/>
  <c r="AJ70" i="55"/>
  <c r="AS67" i="55" s="1"/>
  <c r="AH70" i="55"/>
  <c r="AF70" i="55"/>
  <c r="AE70" i="55"/>
  <c r="AD70" i="55"/>
  <c r="AC70" i="55"/>
  <c r="AB70" i="55"/>
  <c r="X70" i="55"/>
  <c r="L70" i="55"/>
  <c r="J70" i="55"/>
  <c r="I70" i="55"/>
  <c r="H70" i="55"/>
  <c r="BU68" i="55"/>
  <c r="BH68" i="55"/>
  <c r="BB68" i="55"/>
  <c r="AN68" i="55"/>
  <c r="BG68" i="55" s="1"/>
  <c r="AA68" i="55" s="1"/>
  <c r="AM68" i="55"/>
  <c r="BF68" i="55" s="1"/>
  <c r="Z68" i="55" s="1"/>
  <c r="AJ68" i="55"/>
  <c r="AH68" i="55"/>
  <c r="AQ67" i="55" s="1"/>
  <c r="AF68" i="55"/>
  <c r="AE68" i="55"/>
  <c r="AD68" i="55"/>
  <c r="AC68" i="55"/>
  <c r="AB68" i="55"/>
  <c r="X68" i="55"/>
  <c r="L68" i="55"/>
  <c r="BD68" i="55" s="1"/>
  <c r="J68" i="55"/>
  <c r="AI68" i="55" s="1"/>
  <c r="L67" i="55"/>
  <c r="BU65" i="55"/>
  <c r="BH65" i="55"/>
  <c r="BB65" i="55"/>
  <c r="AV65" i="55"/>
  <c r="AN65" i="55"/>
  <c r="BG65" i="55" s="1"/>
  <c r="AA65" i="55" s="1"/>
  <c r="AM65" i="55"/>
  <c r="BF65" i="55" s="1"/>
  <c r="Z65" i="55" s="1"/>
  <c r="AJ65" i="55"/>
  <c r="AS64" i="55" s="1"/>
  <c r="AH65" i="55"/>
  <c r="AF65" i="55"/>
  <c r="AE65" i="55"/>
  <c r="AD65" i="55"/>
  <c r="AC65" i="55"/>
  <c r="AB65" i="55"/>
  <c r="X65" i="55"/>
  <c r="L65" i="55"/>
  <c r="J65" i="55"/>
  <c r="AI65" i="55" s="1"/>
  <c r="AR64" i="55" s="1"/>
  <c r="I65" i="55"/>
  <c r="AQ64" i="55"/>
  <c r="J64" i="55"/>
  <c r="I64" i="55"/>
  <c r="BU62" i="55"/>
  <c r="BH62" i="55"/>
  <c r="BB62" i="55"/>
  <c r="AN62" i="55"/>
  <c r="BG62" i="55" s="1"/>
  <c r="AA62" i="55" s="1"/>
  <c r="AM62" i="55"/>
  <c r="BF62" i="55" s="1"/>
  <c r="AJ62" i="55"/>
  <c r="AI62" i="55"/>
  <c r="AH62" i="55"/>
  <c r="AF62" i="55"/>
  <c r="AE62" i="55"/>
  <c r="AD62" i="55"/>
  <c r="AC62" i="55"/>
  <c r="AB62" i="55"/>
  <c r="Z62" i="55"/>
  <c r="X62" i="55"/>
  <c r="L62" i="55"/>
  <c r="BD62" i="55" s="1"/>
  <c r="J62" i="55"/>
  <c r="I62" i="55"/>
  <c r="H62" i="55"/>
  <c r="BU60" i="55"/>
  <c r="BH60" i="55"/>
  <c r="BG60" i="55"/>
  <c r="AA60" i="55" s="1"/>
  <c r="BB60" i="55"/>
  <c r="AN60" i="55"/>
  <c r="AM60" i="55"/>
  <c r="BF60" i="55" s="1"/>
  <c r="Z60" i="55" s="1"/>
  <c r="AJ60" i="55"/>
  <c r="AH60" i="55"/>
  <c r="AF60" i="55"/>
  <c r="AE60" i="55"/>
  <c r="AD60" i="55"/>
  <c r="AC60" i="55"/>
  <c r="AB60" i="55"/>
  <c r="X60" i="55"/>
  <c r="L60" i="55"/>
  <c r="BD60" i="55" s="1"/>
  <c r="J60" i="55"/>
  <c r="AI60" i="55" s="1"/>
  <c r="H60" i="55"/>
  <c r="BU58" i="55"/>
  <c r="BH58" i="55"/>
  <c r="BB58" i="55"/>
  <c r="AN58" i="55"/>
  <c r="BG58" i="55" s="1"/>
  <c r="AA58" i="55" s="1"/>
  <c r="AM58" i="55"/>
  <c r="AJ58" i="55"/>
  <c r="AH58" i="55"/>
  <c r="AF58" i="55"/>
  <c r="AE58" i="55"/>
  <c r="AD58" i="55"/>
  <c r="AC58" i="55"/>
  <c r="AB58" i="55"/>
  <c r="X58" i="55"/>
  <c r="L58" i="55"/>
  <c r="BD58" i="55" s="1"/>
  <c r="J58" i="55"/>
  <c r="AI58" i="55" s="1"/>
  <c r="I58" i="55"/>
  <c r="BU56" i="55"/>
  <c r="BH56" i="55"/>
  <c r="BD56" i="55"/>
  <c r="BB56" i="55"/>
  <c r="AU56" i="55"/>
  <c r="AN56" i="55"/>
  <c r="BG56" i="55" s="1"/>
  <c r="AA56" i="55" s="1"/>
  <c r="AM56" i="55"/>
  <c r="BF56" i="55" s="1"/>
  <c r="Z56" i="55" s="1"/>
  <c r="AJ56" i="55"/>
  <c r="AH56" i="55"/>
  <c r="AF56" i="55"/>
  <c r="AE56" i="55"/>
  <c r="AD56" i="55"/>
  <c r="AC56" i="55"/>
  <c r="AB56" i="55"/>
  <c r="X56" i="55"/>
  <c r="L56" i="55"/>
  <c r="J56" i="55"/>
  <c r="AI56" i="55" s="1"/>
  <c r="H56" i="55"/>
  <c r="BU54" i="55"/>
  <c r="BH54" i="55"/>
  <c r="BB54" i="55"/>
  <c r="AN54" i="55"/>
  <c r="BG54" i="55" s="1"/>
  <c r="AA54" i="55" s="1"/>
  <c r="AM54" i="55"/>
  <c r="BF54" i="55" s="1"/>
  <c r="Z54" i="55" s="1"/>
  <c r="AJ54" i="55"/>
  <c r="AH54" i="55"/>
  <c r="AF54" i="55"/>
  <c r="AE54" i="55"/>
  <c r="AD54" i="55"/>
  <c r="AC54" i="55"/>
  <c r="AB54" i="55"/>
  <c r="X54" i="55"/>
  <c r="L54" i="55"/>
  <c r="BD54" i="55" s="1"/>
  <c r="J54" i="55"/>
  <c r="AI54" i="55" s="1"/>
  <c r="I54" i="55"/>
  <c r="BU52" i="55"/>
  <c r="BH52" i="55"/>
  <c r="BG52" i="55"/>
  <c r="AA52" i="55" s="1"/>
  <c r="BB52" i="55"/>
  <c r="AN52" i="55"/>
  <c r="AM52" i="55"/>
  <c r="BF52" i="55" s="1"/>
  <c r="Z52" i="55" s="1"/>
  <c r="AJ52" i="55"/>
  <c r="AH52" i="55"/>
  <c r="AF52" i="55"/>
  <c r="AE52" i="55"/>
  <c r="AD52" i="55"/>
  <c r="AC52" i="55"/>
  <c r="AB52" i="55"/>
  <c r="X52" i="55"/>
  <c r="L52" i="55"/>
  <c r="BD52" i="55" s="1"/>
  <c r="J52" i="55"/>
  <c r="AI52" i="55" s="1"/>
  <c r="BU50" i="55"/>
  <c r="BH50" i="55"/>
  <c r="BB50" i="55"/>
  <c r="AN50" i="55"/>
  <c r="BG50" i="55" s="1"/>
  <c r="AA50" i="55" s="1"/>
  <c r="AM50" i="55"/>
  <c r="BF50" i="55" s="1"/>
  <c r="Z50" i="55" s="1"/>
  <c r="AJ50" i="55"/>
  <c r="AH50" i="55"/>
  <c r="AF50" i="55"/>
  <c r="AE50" i="55"/>
  <c r="AD50" i="55"/>
  <c r="AC50" i="55"/>
  <c r="AB50" i="55"/>
  <c r="X50" i="55"/>
  <c r="L50" i="55"/>
  <c r="BD50" i="55" s="1"/>
  <c r="J50" i="55"/>
  <c r="AI50" i="55" s="1"/>
  <c r="I50" i="55"/>
  <c r="BU48" i="55"/>
  <c r="BH48" i="55"/>
  <c r="BD48" i="55"/>
  <c r="BB48" i="55"/>
  <c r="AU48" i="55"/>
  <c r="AN48" i="55"/>
  <c r="BG48" i="55" s="1"/>
  <c r="AM48" i="55"/>
  <c r="BF48" i="55" s="1"/>
  <c r="Z48" i="55" s="1"/>
  <c r="AJ48" i="55"/>
  <c r="AS43" i="55" s="1"/>
  <c r="AH48" i="55"/>
  <c r="AF48" i="55"/>
  <c r="AE48" i="55"/>
  <c r="AD48" i="55"/>
  <c r="AC48" i="55"/>
  <c r="AB48" i="55"/>
  <c r="AA48" i="55"/>
  <c r="X48" i="55"/>
  <c r="L48" i="55"/>
  <c r="J48" i="55"/>
  <c r="I48" i="55"/>
  <c r="H48" i="55"/>
  <c r="BU46" i="55"/>
  <c r="BH46" i="55"/>
  <c r="BB46" i="55"/>
  <c r="AN46" i="55"/>
  <c r="BG46" i="55" s="1"/>
  <c r="AA46" i="55" s="1"/>
  <c r="AM46" i="55"/>
  <c r="BF46" i="55" s="1"/>
  <c r="Z46" i="55" s="1"/>
  <c r="AJ46" i="55"/>
  <c r="AH46" i="55"/>
  <c r="AF46" i="55"/>
  <c r="AE46" i="55"/>
  <c r="AD46" i="55"/>
  <c r="AC46" i="55"/>
  <c r="AB46" i="55"/>
  <c r="X46" i="55"/>
  <c r="L46" i="55"/>
  <c r="BD46" i="55" s="1"/>
  <c r="J46" i="55"/>
  <c r="AI46" i="55" s="1"/>
  <c r="BU44" i="55"/>
  <c r="BH44" i="55"/>
  <c r="BB44" i="55"/>
  <c r="AN44" i="55"/>
  <c r="BG44" i="55" s="1"/>
  <c r="AA44" i="55" s="1"/>
  <c r="AM44" i="55"/>
  <c r="BF44" i="55" s="1"/>
  <c r="Z44" i="55" s="1"/>
  <c r="AJ44" i="55"/>
  <c r="AH44" i="55"/>
  <c r="AF44" i="55"/>
  <c r="AE44" i="55"/>
  <c r="AD44" i="55"/>
  <c r="AC44" i="55"/>
  <c r="AB44" i="55"/>
  <c r="X44" i="55"/>
  <c r="L44" i="55"/>
  <c r="BD44" i="55" s="1"/>
  <c r="J44" i="55"/>
  <c r="AI44" i="55" s="1"/>
  <c r="H44" i="55"/>
  <c r="L43" i="55"/>
  <c r="BU41" i="55"/>
  <c r="BH41" i="55"/>
  <c r="BD41" i="55"/>
  <c r="BB41" i="55"/>
  <c r="AN41" i="55"/>
  <c r="BG41" i="55" s="1"/>
  <c r="AA41" i="55" s="1"/>
  <c r="AM41" i="55"/>
  <c r="BF41" i="55" s="1"/>
  <c r="Z41" i="55" s="1"/>
  <c r="AJ41" i="55"/>
  <c r="AS40" i="55" s="1"/>
  <c r="AH41" i="55"/>
  <c r="AF41" i="55"/>
  <c r="AE41" i="55"/>
  <c r="AD41" i="55"/>
  <c r="AC41" i="55"/>
  <c r="AB41" i="55"/>
  <c r="X41" i="55"/>
  <c r="L41" i="55"/>
  <c r="J41" i="55"/>
  <c r="I41" i="55"/>
  <c r="H41" i="55"/>
  <c r="AQ40" i="55"/>
  <c r="L40" i="55"/>
  <c r="I40" i="55"/>
  <c r="H40" i="55"/>
  <c r="BU38" i="55"/>
  <c r="BH38" i="55"/>
  <c r="BB38" i="55"/>
  <c r="AN38" i="55"/>
  <c r="BG38" i="55" s="1"/>
  <c r="AA38" i="55" s="1"/>
  <c r="AM38" i="55"/>
  <c r="BF38" i="55" s="1"/>
  <c r="Z38" i="55" s="1"/>
  <c r="AJ38" i="55"/>
  <c r="AH38" i="55"/>
  <c r="AQ35" i="55" s="1"/>
  <c r="AF38" i="55"/>
  <c r="AE38" i="55"/>
  <c r="AD38" i="55"/>
  <c r="AC38" i="55"/>
  <c r="AB38" i="55"/>
  <c r="X38" i="55"/>
  <c r="L38" i="55"/>
  <c r="BD38" i="55" s="1"/>
  <c r="J38" i="55"/>
  <c r="AI38" i="55" s="1"/>
  <c r="H38" i="55"/>
  <c r="BU36" i="55"/>
  <c r="BH36" i="55"/>
  <c r="BB36" i="55"/>
  <c r="AV36" i="55"/>
  <c r="AN36" i="55"/>
  <c r="BG36" i="55" s="1"/>
  <c r="AA36" i="55" s="1"/>
  <c r="AM36" i="55"/>
  <c r="BF36" i="55" s="1"/>
  <c r="Z36" i="55" s="1"/>
  <c r="AJ36" i="55"/>
  <c r="AS35" i="55" s="1"/>
  <c r="AH36" i="55"/>
  <c r="AF36" i="55"/>
  <c r="AE36" i="55"/>
  <c r="AD36" i="55"/>
  <c r="AC36" i="55"/>
  <c r="AB36" i="55"/>
  <c r="X36" i="55"/>
  <c r="L36" i="55"/>
  <c r="J36" i="55"/>
  <c r="AI36" i="55" s="1"/>
  <c r="I36" i="55"/>
  <c r="J35" i="55"/>
  <c r="BU33" i="55"/>
  <c r="BH33" i="55"/>
  <c r="BB33" i="55"/>
  <c r="AN33" i="55"/>
  <c r="BG33" i="55" s="1"/>
  <c r="AA33" i="55" s="1"/>
  <c r="AM33" i="55"/>
  <c r="BF33" i="55" s="1"/>
  <c r="Z33" i="55" s="1"/>
  <c r="AJ33" i="55"/>
  <c r="AH33" i="55"/>
  <c r="AF33" i="55"/>
  <c r="AE33" i="55"/>
  <c r="AD33" i="55"/>
  <c r="AC33" i="55"/>
  <c r="AB33" i="55"/>
  <c r="X33" i="55"/>
  <c r="L33" i="55"/>
  <c r="BD33" i="55" s="1"/>
  <c r="J33" i="55"/>
  <c r="AI33" i="55" s="1"/>
  <c r="BU31" i="55"/>
  <c r="BH31" i="55"/>
  <c r="BB31" i="55"/>
  <c r="AN31" i="55"/>
  <c r="BG31" i="55" s="1"/>
  <c r="AA31" i="55" s="1"/>
  <c r="AM31" i="55"/>
  <c r="BF31" i="55" s="1"/>
  <c r="Z31" i="55" s="1"/>
  <c r="AJ31" i="55"/>
  <c r="AH31" i="55"/>
  <c r="AF31" i="55"/>
  <c r="AE31" i="55"/>
  <c r="AD31" i="55"/>
  <c r="AC31" i="55"/>
  <c r="AB31" i="55"/>
  <c r="X31" i="55"/>
  <c r="L31" i="55"/>
  <c r="BD31" i="55" s="1"/>
  <c r="J31" i="55"/>
  <c r="AI31" i="55" s="1"/>
  <c r="H31" i="55"/>
  <c r="BU29" i="55"/>
  <c r="BH29" i="55"/>
  <c r="BB29" i="55"/>
  <c r="AV29" i="55"/>
  <c r="AN29" i="55"/>
  <c r="BG29" i="55" s="1"/>
  <c r="AA29" i="55" s="1"/>
  <c r="AM29" i="55"/>
  <c r="AJ29" i="55"/>
  <c r="AH29" i="55"/>
  <c r="AF29" i="55"/>
  <c r="AE29" i="55"/>
  <c r="AD29" i="55"/>
  <c r="AC29" i="55"/>
  <c r="AB29" i="55"/>
  <c r="X29" i="55"/>
  <c r="L29" i="55"/>
  <c r="BD29" i="55" s="1"/>
  <c r="J29" i="55"/>
  <c r="AI29" i="55" s="1"/>
  <c r="I29" i="55"/>
  <c r="BU27" i="55"/>
  <c r="BH27" i="55"/>
  <c r="BD27" i="55"/>
  <c r="BB27" i="55"/>
  <c r="AN27" i="55"/>
  <c r="BG27" i="55" s="1"/>
  <c r="AM27" i="55"/>
  <c r="BF27" i="55" s="1"/>
  <c r="Z27" i="55" s="1"/>
  <c r="AJ27" i="55"/>
  <c r="AH27" i="55"/>
  <c r="AF27" i="55"/>
  <c r="AE27" i="55"/>
  <c r="AD27" i="55"/>
  <c r="AC27" i="55"/>
  <c r="AB27" i="55"/>
  <c r="AA27" i="55"/>
  <c r="X27" i="55"/>
  <c r="L27" i="55"/>
  <c r="J27" i="55"/>
  <c r="AI27" i="55" s="1"/>
  <c r="I27" i="55"/>
  <c r="BU25" i="55"/>
  <c r="BH25" i="55"/>
  <c r="BB25" i="55"/>
  <c r="AN25" i="55"/>
  <c r="BG25" i="55" s="1"/>
  <c r="AA25" i="55" s="1"/>
  <c r="AM25" i="55"/>
  <c r="BF25" i="55" s="1"/>
  <c r="Z25" i="55" s="1"/>
  <c r="AJ25" i="55"/>
  <c r="AH25" i="55"/>
  <c r="AQ24" i="55" s="1"/>
  <c r="AF25" i="55"/>
  <c r="AE25" i="55"/>
  <c r="AD25" i="55"/>
  <c r="AC25" i="55"/>
  <c r="AB25" i="55"/>
  <c r="X25" i="55"/>
  <c r="L25" i="55"/>
  <c r="BD25" i="55" s="1"/>
  <c r="J25" i="55"/>
  <c r="AI25" i="55" s="1"/>
  <c r="H25" i="55"/>
  <c r="L24" i="55"/>
  <c r="BU22" i="55"/>
  <c r="BH22" i="55"/>
  <c r="BD22" i="55"/>
  <c r="BB22" i="55"/>
  <c r="AU22" i="55"/>
  <c r="AT22" i="55" s="1"/>
  <c r="AN22" i="55"/>
  <c r="AV22" i="55" s="1"/>
  <c r="AM22" i="55"/>
  <c r="BF22" i="55" s="1"/>
  <c r="Z22" i="55" s="1"/>
  <c r="AJ22" i="55"/>
  <c r="AH22" i="55"/>
  <c r="AF22" i="55"/>
  <c r="AE22" i="55"/>
  <c r="AD22" i="55"/>
  <c r="AC22" i="55"/>
  <c r="AB22" i="55"/>
  <c r="X22" i="55"/>
  <c r="L22" i="55"/>
  <c r="J22" i="55"/>
  <c r="AI22" i="55" s="1"/>
  <c r="H22" i="55"/>
  <c r="BU20" i="55"/>
  <c r="BH20" i="55"/>
  <c r="BB20" i="55"/>
  <c r="AN20" i="55"/>
  <c r="BG20" i="55" s="1"/>
  <c r="AA20" i="55" s="1"/>
  <c r="AM20" i="55"/>
  <c r="AU20" i="55" s="1"/>
  <c r="AJ20" i="55"/>
  <c r="AH20" i="55"/>
  <c r="AF20" i="55"/>
  <c r="AE20" i="55"/>
  <c r="AD20" i="55"/>
  <c r="AC20" i="55"/>
  <c r="AB20" i="55"/>
  <c r="X20" i="55"/>
  <c r="L20" i="55"/>
  <c r="BD20" i="55" s="1"/>
  <c r="J20" i="55"/>
  <c r="AI20" i="55" s="1"/>
  <c r="I20" i="55"/>
  <c r="BU18" i="55"/>
  <c r="BH18" i="55"/>
  <c r="BD18" i="55"/>
  <c r="BB18" i="55"/>
  <c r="AU18" i="55"/>
  <c r="AN18" i="55"/>
  <c r="I18" i="55" s="1"/>
  <c r="AM18" i="55"/>
  <c r="BF18" i="55" s="1"/>
  <c r="Z18" i="55" s="1"/>
  <c r="AJ18" i="55"/>
  <c r="AS15" i="55" s="1"/>
  <c r="AH18" i="55"/>
  <c r="AF18" i="55"/>
  <c r="AE18" i="55"/>
  <c r="AD18" i="55"/>
  <c r="AC18" i="55"/>
  <c r="AB18" i="55"/>
  <c r="X18" i="55"/>
  <c r="L18" i="55"/>
  <c r="J18" i="55"/>
  <c r="AI18" i="55" s="1"/>
  <c r="H18" i="55"/>
  <c r="BU16" i="55"/>
  <c r="BH16" i="55"/>
  <c r="BB16" i="55"/>
  <c r="AN16" i="55"/>
  <c r="BG16" i="55" s="1"/>
  <c r="AA16" i="55" s="1"/>
  <c r="AM16" i="55"/>
  <c r="H16" i="55" s="1"/>
  <c r="AJ16" i="55"/>
  <c r="AH16" i="55"/>
  <c r="AF16" i="55"/>
  <c r="AE16" i="55"/>
  <c r="AD16" i="55"/>
  <c r="AC16" i="55"/>
  <c r="AB16" i="55"/>
  <c r="X16" i="55"/>
  <c r="L16" i="55"/>
  <c r="L15" i="55" s="1"/>
  <c r="J16" i="55"/>
  <c r="AI16" i="55" s="1"/>
  <c r="AR15" i="55" s="1"/>
  <c r="I16" i="55"/>
  <c r="AQ15" i="55"/>
  <c r="BU13" i="55"/>
  <c r="BH13" i="55"/>
  <c r="BB13" i="55"/>
  <c r="AN13" i="55"/>
  <c r="BG13" i="55" s="1"/>
  <c r="AA13" i="55" s="1"/>
  <c r="AM13" i="55"/>
  <c r="AU13" i="55" s="1"/>
  <c r="AJ13" i="55"/>
  <c r="AH13" i="55"/>
  <c r="AQ12" i="55" s="1"/>
  <c r="AF13" i="55"/>
  <c r="AE13" i="55"/>
  <c r="AD13" i="55"/>
  <c r="AC13" i="55"/>
  <c r="AB13" i="55"/>
  <c r="X13" i="55"/>
  <c r="L13" i="55"/>
  <c r="BD13" i="55" s="1"/>
  <c r="J13" i="55"/>
  <c r="AI13" i="55" s="1"/>
  <c r="AR12" i="55" s="1"/>
  <c r="I13" i="55"/>
  <c r="I12" i="55" s="1"/>
  <c r="AS12" i="55"/>
  <c r="J12" i="55"/>
  <c r="AS1" i="55"/>
  <c r="AR1" i="55"/>
  <c r="AQ1" i="55"/>
  <c r="E49" i="50"/>
  <c r="BU63" i="54"/>
  <c r="BH63" i="54"/>
  <c r="BB63" i="54"/>
  <c r="AN63" i="54"/>
  <c r="AV63" i="54" s="1"/>
  <c r="AM63" i="54"/>
  <c r="BF63" i="54" s="1"/>
  <c r="AI63" i="54"/>
  <c r="AH63" i="54"/>
  <c r="AQ62" i="54" s="1"/>
  <c r="AF63" i="54"/>
  <c r="AE63" i="54"/>
  <c r="AD63" i="54"/>
  <c r="AC63" i="54"/>
  <c r="AB63" i="54"/>
  <c r="AA63" i="54"/>
  <c r="Z63" i="54"/>
  <c r="X63" i="54"/>
  <c r="L63" i="54"/>
  <c r="BD63" i="54" s="1"/>
  <c r="J63" i="54"/>
  <c r="AJ63" i="54" s="1"/>
  <c r="AS62" i="54" s="1"/>
  <c r="H63" i="54"/>
  <c r="H62" i="54" s="1"/>
  <c r="AR62" i="54"/>
  <c r="L62" i="54"/>
  <c r="J62" i="54"/>
  <c r="BU61" i="54"/>
  <c r="BH61" i="54"/>
  <c r="BD61" i="54"/>
  <c r="BB61" i="54"/>
  <c r="AN61" i="54"/>
  <c r="BG61" i="54" s="1"/>
  <c r="AM61" i="54"/>
  <c r="BF61" i="54" s="1"/>
  <c r="AI61" i="54"/>
  <c r="AR60" i="54" s="1"/>
  <c r="AH61" i="54"/>
  <c r="AF61" i="54"/>
  <c r="AE61" i="54"/>
  <c r="AD61" i="54"/>
  <c r="AC61" i="54"/>
  <c r="AB61" i="54"/>
  <c r="AA61" i="54"/>
  <c r="Z61" i="54"/>
  <c r="X61" i="54"/>
  <c r="L61" i="54"/>
  <c r="J61" i="54"/>
  <c r="AJ61" i="54" s="1"/>
  <c r="AS60" i="54" s="1"/>
  <c r="I61" i="54"/>
  <c r="AQ60" i="54"/>
  <c r="L60" i="54"/>
  <c r="I60" i="54"/>
  <c r="BU58" i="54"/>
  <c r="BH58" i="54"/>
  <c r="BB58" i="54"/>
  <c r="AN58" i="54"/>
  <c r="AV58" i="54" s="1"/>
  <c r="AM58" i="54"/>
  <c r="BF58" i="54" s="1"/>
  <c r="AD58" i="54" s="1"/>
  <c r="AI58" i="54"/>
  <c r="AH58" i="54"/>
  <c r="AQ55" i="54" s="1"/>
  <c r="AF58" i="54"/>
  <c r="AC58" i="54"/>
  <c r="AB58" i="54"/>
  <c r="AA58" i="54"/>
  <c r="Z58" i="54"/>
  <c r="X58" i="54"/>
  <c r="L58" i="54"/>
  <c r="BD58" i="54" s="1"/>
  <c r="J58" i="54"/>
  <c r="AJ58" i="54" s="1"/>
  <c r="BU56" i="54"/>
  <c r="BH56" i="54"/>
  <c r="BB56" i="54"/>
  <c r="AN56" i="54"/>
  <c r="BG56" i="54" s="1"/>
  <c r="AE56" i="54" s="1"/>
  <c r="AM56" i="54"/>
  <c r="AU56" i="54" s="1"/>
  <c r="AI56" i="54"/>
  <c r="AR55" i="54" s="1"/>
  <c r="AH56" i="54"/>
  <c r="AF56" i="54"/>
  <c r="AC56" i="54"/>
  <c r="AB56" i="54"/>
  <c r="AA56" i="54"/>
  <c r="Z56" i="54"/>
  <c r="X56" i="54"/>
  <c r="L56" i="54"/>
  <c r="BD56" i="54" s="1"/>
  <c r="J56" i="54"/>
  <c r="AJ56" i="54" s="1"/>
  <c r="I56" i="54"/>
  <c r="J55" i="54"/>
  <c r="BU53" i="54"/>
  <c r="BH53" i="54"/>
  <c r="BB53" i="54"/>
  <c r="AN53" i="54"/>
  <c r="BG53" i="54" s="1"/>
  <c r="AE53" i="54" s="1"/>
  <c r="AM53" i="54"/>
  <c r="BF53" i="54" s="1"/>
  <c r="AD53" i="54" s="1"/>
  <c r="AI53" i="54"/>
  <c r="AR52" i="54" s="1"/>
  <c r="AH53" i="54"/>
  <c r="AF53" i="54"/>
  <c r="AC53" i="54"/>
  <c r="AB53" i="54"/>
  <c r="AA53" i="54"/>
  <c r="Z53" i="54"/>
  <c r="X53" i="54"/>
  <c r="L53" i="54"/>
  <c r="BD53" i="54" s="1"/>
  <c r="J53" i="54"/>
  <c r="AJ53" i="54" s="1"/>
  <c r="AS52" i="54" s="1"/>
  <c r="I53" i="54"/>
  <c r="I52" i="54" s="1"/>
  <c r="H53" i="54"/>
  <c r="AQ52" i="54"/>
  <c r="L52" i="54"/>
  <c r="J52" i="54"/>
  <c r="H52" i="54"/>
  <c r="BU50" i="54"/>
  <c r="BH50" i="54"/>
  <c r="BB50" i="54"/>
  <c r="AN50" i="54"/>
  <c r="BG50" i="54" s="1"/>
  <c r="AM50" i="54"/>
  <c r="AU50" i="54" s="1"/>
  <c r="AI50" i="54"/>
  <c r="AH50" i="54"/>
  <c r="AF50" i="54"/>
  <c r="AE50" i="54"/>
  <c r="AD50" i="54"/>
  <c r="AC50" i="54"/>
  <c r="AB50" i="54"/>
  <c r="AA50" i="54"/>
  <c r="Z50" i="54"/>
  <c r="X50" i="54"/>
  <c r="L50" i="54"/>
  <c r="BD50" i="54" s="1"/>
  <c r="J50" i="54"/>
  <c r="AJ50" i="54" s="1"/>
  <c r="BU48" i="54"/>
  <c r="BH48" i="54"/>
  <c r="X48" i="54" s="1"/>
  <c r="BD48" i="54"/>
  <c r="BB48" i="54"/>
  <c r="AN48" i="54"/>
  <c r="BG48" i="54" s="1"/>
  <c r="AM48" i="54"/>
  <c r="BF48" i="54" s="1"/>
  <c r="AI48" i="54"/>
  <c r="AH48" i="54"/>
  <c r="AF48" i="54"/>
  <c r="AE48" i="54"/>
  <c r="AD48" i="54"/>
  <c r="AC48" i="54"/>
  <c r="AB48" i="54"/>
  <c r="AA48" i="54"/>
  <c r="Z48" i="54"/>
  <c r="L48" i="54"/>
  <c r="J48" i="54"/>
  <c r="AJ48" i="54" s="1"/>
  <c r="H48" i="54"/>
  <c r="BU46" i="54"/>
  <c r="BH46" i="54"/>
  <c r="X46" i="54" s="1"/>
  <c r="BB46" i="54"/>
  <c r="AN46" i="54"/>
  <c r="BG46" i="54" s="1"/>
  <c r="AM46" i="54"/>
  <c r="BF46" i="54" s="1"/>
  <c r="AI46" i="54"/>
  <c r="AH46" i="54"/>
  <c r="AF46" i="54"/>
  <c r="AE46" i="54"/>
  <c r="AD46" i="54"/>
  <c r="AC46" i="54"/>
  <c r="AB46" i="54"/>
  <c r="AA46" i="54"/>
  <c r="Z46" i="54"/>
  <c r="L46" i="54"/>
  <c r="BD46" i="54" s="1"/>
  <c r="J46" i="54"/>
  <c r="AJ46" i="54" s="1"/>
  <c r="H46" i="54"/>
  <c r="BU44" i="54"/>
  <c r="BH44" i="54"/>
  <c r="X44" i="54" s="1"/>
  <c r="BB44" i="54"/>
  <c r="AN44" i="54"/>
  <c r="AV44" i="54" s="1"/>
  <c r="AM44" i="54"/>
  <c r="BF44" i="54" s="1"/>
  <c r="AI44" i="54"/>
  <c r="AH44" i="54"/>
  <c r="AF44" i="54"/>
  <c r="AE44" i="54"/>
  <c r="AD44" i="54"/>
  <c r="AC44" i="54"/>
  <c r="AB44" i="54"/>
  <c r="AA44" i="54"/>
  <c r="Z44" i="54"/>
  <c r="L44" i="54"/>
  <c r="BD44" i="54" s="1"/>
  <c r="J44" i="54"/>
  <c r="AJ44" i="54" s="1"/>
  <c r="H44" i="54"/>
  <c r="BU42" i="54"/>
  <c r="BH42" i="54"/>
  <c r="BB42" i="54"/>
  <c r="AV42" i="54"/>
  <c r="AN42" i="54"/>
  <c r="BG42" i="54" s="1"/>
  <c r="AM42" i="54"/>
  <c r="AU42" i="54" s="1"/>
  <c r="AI42" i="54"/>
  <c r="AH42" i="54"/>
  <c r="AF42" i="54"/>
  <c r="AE42" i="54"/>
  <c r="AD42" i="54"/>
  <c r="AC42" i="54"/>
  <c r="AB42" i="54"/>
  <c r="AA42" i="54"/>
  <c r="Z42" i="54"/>
  <c r="X42" i="54"/>
  <c r="L42" i="54"/>
  <c r="BD42" i="54" s="1"/>
  <c r="J42" i="54"/>
  <c r="AJ42" i="54" s="1"/>
  <c r="I42" i="54"/>
  <c r="BU40" i="54"/>
  <c r="BH40" i="54"/>
  <c r="BD40" i="54"/>
  <c r="BB40" i="54"/>
  <c r="AU40" i="54"/>
  <c r="AN40" i="54"/>
  <c r="BG40" i="54" s="1"/>
  <c r="AM40" i="54"/>
  <c r="BF40" i="54" s="1"/>
  <c r="AI40" i="54"/>
  <c r="AH40" i="54"/>
  <c r="AQ37" i="54" s="1"/>
  <c r="AF40" i="54"/>
  <c r="AE40" i="54"/>
  <c r="AD40" i="54"/>
  <c r="AC40" i="54"/>
  <c r="AB40" i="54"/>
  <c r="AA40" i="54"/>
  <c r="Z40" i="54"/>
  <c r="X40" i="54"/>
  <c r="L40" i="54"/>
  <c r="J40" i="54"/>
  <c r="AJ40" i="54" s="1"/>
  <c r="I40" i="54"/>
  <c r="H40" i="54"/>
  <c r="BU38" i="54"/>
  <c r="BH38" i="54"/>
  <c r="X38" i="54" s="1"/>
  <c r="BB38" i="54"/>
  <c r="AN38" i="54"/>
  <c r="BG38" i="54" s="1"/>
  <c r="AM38" i="54"/>
  <c r="BF38" i="54" s="1"/>
  <c r="AI38" i="54"/>
  <c r="AH38" i="54"/>
  <c r="AF38" i="54"/>
  <c r="AE38" i="54"/>
  <c r="AD38" i="54"/>
  <c r="AC38" i="54"/>
  <c r="AB38" i="54"/>
  <c r="AA38" i="54"/>
  <c r="Z38" i="54"/>
  <c r="L38" i="54"/>
  <c r="BD38" i="54" s="1"/>
  <c r="J38" i="54"/>
  <c r="AJ38" i="54" s="1"/>
  <c r="AS37" i="54" s="1"/>
  <c r="H38" i="54"/>
  <c r="BU35" i="54"/>
  <c r="BH35" i="54"/>
  <c r="BB35" i="54"/>
  <c r="AN35" i="54"/>
  <c r="BG35" i="54" s="1"/>
  <c r="AA35" i="54" s="1"/>
  <c r="AM35" i="54"/>
  <c r="AU35" i="54" s="1"/>
  <c r="AI35" i="54"/>
  <c r="AH35" i="54"/>
  <c r="AF35" i="54"/>
  <c r="AE35" i="54"/>
  <c r="AD35" i="54"/>
  <c r="AC35" i="54"/>
  <c r="AB35" i="54"/>
  <c r="X35" i="54"/>
  <c r="L35" i="54"/>
  <c r="BD35" i="54" s="1"/>
  <c r="J35" i="54"/>
  <c r="AJ35" i="54" s="1"/>
  <c r="I35" i="54"/>
  <c r="I32" i="54" s="1"/>
  <c r="BU33" i="54"/>
  <c r="BH33" i="54"/>
  <c r="BD33" i="54"/>
  <c r="BB33" i="54"/>
  <c r="AN33" i="54"/>
  <c r="BG33" i="54" s="1"/>
  <c r="AA33" i="54" s="1"/>
  <c r="AM33" i="54"/>
  <c r="BF33" i="54" s="1"/>
  <c r="Z33" i="54" s="1"/>
  <c r="AI33" i="54"/>
  <c r="AH33" i="54"/>
  <c r="AF33" i="54"/>
  <c r="AE33" i="54"/>
  <c r="AD33" i="54"/>
  <c r="AC33" i="54"/>
  <c r="AB33" i="54"/>
  <c r="X33" i="54"/>
  <c r="L33" i="54"/>
  <c r="J33" i="54"/>
  <c r="AJ33" i="54" s="1"/>
  <c r="AS32" i="54" s="1"/>
  <c r="I33" i="54"/>
  <c r="H33" i="54"/>
  <c r="AR32" i="54"/>
  <c r="AQ32" i="54"/>
  <c r="BU30" i="54"/>
  <c r="BH30" i="54"/>
  <c r="BB30" i="54"/>
  <c r="AN30" i="54"/>
  <c r="AV30" i="54" s="1"/>
  <c r="AM30" i="54"/>
  <c r="BF30" i="54" s="1"/>
  <c r="Z30" i="54" s="1"/>
  <c r="AI30" i="54"/>
  <c r="AH30" i="54"/>
  <c r="AF30" i="54"/>
  <c r="AE30" i="54"/>
  <c r="AD30" i="54"/>
  <c r="AC30" i="54"/>
  <c r="AB30" i="54"/>
  <c r="X30" i="54"/>
  <c r="L30" i="54"/>
  <c r="BD30" i="54" s="1"/>
  <c r="J30" i="54"/>
  <c r="AJ30" i="54" s="1"/>
  <c r="H30" i="54"/>
  <c r="BU28" i="54"/>
  <c r="BH28" i="54"/>
  <c r="BB28" i="54"/>
  <c r="AV28" i="54"/>
  <c r="AN28" i="54"/>
  <c r="BG28" i="54" s="1"/>
  <c r="AA28" i="54" s="1"/>
  <c r="AM28" i="54"/>
  <c r="AU28" i="54" s="1"/>
  <c r="AI28" i="54"/>
  <c r="AH28" i="54"/>
  <c r="AF28" i="54"/>
  <c r="AE28" i="54"/>
  <c r="AD28" i="54"/>
  <c r="AC28" i="54"/>
  <c r="AB28" i="54"/>
  <c r="X28" i="54"/>
  <c r="L28" i="54"/>
  <c r="BD28" i="54" s="1"/>
  <c r="J28" i="54"/>
  <c r="AJ28" i="54" s="1"/>
  <c r="AS27" i="54" s="1"/>
  <c r="I28" i="54"/>
  <c r="AR27" i="54"/>
  <c r="BU25" i="54"/>
  <c r="BH25" i="54"/>
  <c r="BB25" i="54"/>
  <c r="AN25" i="54"/>
  <c r="BG25" i="54" s="1"/>
  <c r="AC25" i="54" s="1"/>
  <c r="AM25" i="54"/>
  <c r="BF25" i="54" s="1"/>
  <c r="AB25" i="54" s="1"/>
  <c r="AI25" i="54"/>
  <c r="AR20" i="54" s="1"/>
  <c r="AH25" i="54"/>
  <c r="AF25" i="54"/>
  <c r="AE25" i="54"/>
  <c r="AD25" i="54"/>
  <c r="AA25" i="54"/>
  <c r="Z25" i="54"/>
  <c r="X25" i="54"/>
  <c r="L25" i="54"/>
  <c r="BD25" i="54" s="1"/>
  <c r="J25" i="54"/>
  <c r="AJ25" i="54" s="1"/>
  <c r="I25" i="54"/>
  <c r="H25" i="54"/>
  <c r="BU23" i="54"/>
  <c r="BH23" i="54"/>
  <c r="BB23" i="54"/>
  <c r="AU23" i="54"/>
  <c r="AN23" i="54"/>
  <c r="AM23" i="54"/>
  <c r="BF23" i="54" s="1"/>
  <c r="AB23" i="54" s="1"/>
  <c r="AI23" i="54"/>
  <c r="AH23" i="54"/>
  <c r="AF23" i="54"/>
  <c r="AE23" i="54"/>
  <c r="AD23" i="54"/>
  <c r="AA23" i="54"/>
  <c r="Z23" i="54"/>
  <c r="X23" i="54"/>
  <c r="L23" i="54"/>
  <c r="BD23" i="54" s="1"/>
  <c r="J23" i="54"/>
  <c r="AJ23" i="54" s="1"/>
  <c r="H23" i="54"/>
  <c r="BU21" i="54"/>
  <c r="BH21" i="54"/>
  <c r="BB21" i="54"/>
  <c r="AV21" i="54"/>
  <c r="AN21" i="54"/>
  <c r="BG21" i="54" s="1"/>
  <c r="AC21" i="54" s="1"/>
  <c r="AM21" i="54"/>
  <c r="AI21" i="54"/>
  <c r="AH21" i="54"/>
  <c r="AF21" i="54"/>
  <c r="AE21" i="54"/>
  <c r="AD21" i="54"/>
  <c r="AA21" i="54"/>
  <c r="Z21" i="54"/>
  <c r="X21" i="54"/>
  <c r="L21" i="54"/>
  <c r="J21" i="54"/>
  <c r="AJ21" i="54" s="1"/>
  <c r="AS20" i="54" s="1"/>
  <c r="I21" i="54"/>
  <c r="BU18" i="54"/>
  <c r="BH18" i="54"/>
  <c r="BB18" i="54"/>
  <c r="AN18" i="54"/>
  <c r="BG18" i="54" s="1"/>
  <c r="AC18" i="54" s="1"/>
  <c r="AM18" i="54"/>
  <c r="BF18" i="54" s="1"/>
  <c r="AB18" i="54" s="1"/>
  <c r="AI18" i="54"/>
  <c r="AR15" i="54" s="1"/>
  <c r="AH18" i="54"/>
  <c r="AF18" i="54"/>
  <c r="AE18" i="54"/>
  <c r="AD18" i="54"/>
  <c r="AA18" i="54"/>
  <c r="Z18" i="54"/>
  <c r="X18" i="54"/>
  <c r="L18" i="54"/>
  <c r="BD18" i="54" s="1"/>
  <c r="J18" i="54"/>
  <c r="AJ18" i="54" s="1"/>
  <c r="I18" i="54"/>
  <c r="H18" i="54"/>
  <c r="BU16" i="54"/>
  <c r="BH16" i="54"/>
  <c r="BB16" i="54"/>
  <c r="AN16" i="54"/>
  <c r="AM16" i="54"/>
  <c r="BF16" i="54" s="1"/>
  <c r="AB16" i="54" s="1"/>
  <c r="AI16" i="54"/>
  <c r="AH16" i="54"/>
  <c r="AQ15" i="54" s="1"/>
  <c r="AF16" i="54"/>
  <c r="AE16" i="54"/>
  <c r="AD16" i="54"/>
  <c r="AA16" i="54"/>
  <c r="Z16" i="54"/>
  <c r="X16" i="54"/>
  <c r="L16" i="54"/>
  <c r="BD16" i="54" s="1"/>
  <c r="J16" i="54"/>
  <c r="AJ16" i="54" s="1"/>
  <c r="AS15" i="54" s="1"/>
  <c r="L15" i="54"/>
  <c r="BU13" i="54"/>
  <c r="BH13" i="54"/>
  <c r="BD13" i="54"/>
  <c r="BB13" i="54"/>
  <c r="AN13" i="54"/>
  <c r="BG13" i="54" s="1"/>
  <c r="AA13" i="54" s="1"/>
  <c r="AM13" i="54"/>
  <c r="BF13" i="54" s="1"/>
  <c r="Z13" i="54" s="1"/>
  <c r="AI13" i="54"/>
  <c r="AH13" i="54"/>
  <c r="AF13" i="54"/>
  <c r="AE13" i="54"/>
  <c r="AD13" i="54"/>
  <c r="AC13" i="54"/>
  <c r="AB13" i="54"/>
  <c r="X13" i="54"/>
  <c r="L13" i="54"/>
  <c r="J13" i="54"/>
  <c r="J12" i="54" s="1"/>
  <c r="I13" i="54"/>
  <c r="I12" i="54" s="1"/>
  <c r="H13" i="54"/>
  <c r="H12" i="54" s="1"/>
  <c r="AR12" i="54"/>
  <c r="AQ12" i="54"/>
  <c r="L12" i="54"/>
  <c r="AS1" i="54"/>
  <c r="AR1" i="54"/>
  <c r="AQ1" i="54"/>
  <c r="BU184" i="52"/>
  <c r="BH184" i="52"/>
  <c r="BG184" i="52"/>
  <c r="BB184" i="52"/>
  <c r="AN184" i="52"/>
  <c r="AM184" i="52"/>
  <c r="BF184" i="52" s="1"/>
  <c r="AJ184" i="52"/>
  <c r="AH184" i="52"/>
  <c r="AF184" i="52"/>
  <c r="AE184" i="52"/>
  <c r="AD184" i="52"/>
  <c r="AC184" i="52"/>
  <c r="AB184" i="52"/>
  <c r="AA184" i="52"/>
  <c r="Z184" i="52"/>
  <c r="X184" i="52"/>
  <c r="L184" i="52"/>
  <c r="BD184" i="52" s="1"/>
  <c r="J184" i="52"/>
  <c r="AI184" i="52" s="1"/>
  <c r="H184" i="52"/>
  <c r="BU182" i="52"/>
  <c r="BH182" i="52"/>
  <c r="BB182" i="52"/>
  <c r="AV182" i="52"/>
  <c r="AN182" i="52"/>
  <c r="BG182" i="52" s="1"/>
  <c r="AM182" i="52"/>
  <c r="AJ182" i="52"/>
  <c r="AH182" i="52"/>
  <c r="AF182" i="52"/>
  <c r="AE182" i="52"/>
  <c r="AD182" i="52"/>
  <c r="AC182" i="52"/>
  <c r="AB182" i="52"/>
  <c r="AA182" i="52"/>
  <c r="Z182" i="52"/>
  <c r="X182" i="52"/>
  <c r="L182" i="52"/>
  <c r="BD182" i="52" s="1"/>
  <c r="J182" i="52"/>
  <c r="AI182" i="52" s="1"/>
  <c r="I182" i="52"/>
  <c r="BU181" i="52"/>
  <c r="BH181" i="52"/>
  <c r="BD181" i="52"/>
  <c r="BB181" i="52"/>
  <c r="AU181" i="52"/>
  <c r="AN181" i="52"/>
  <c r="BG181" i="52" s="1"/>
  <c r="AM181" i="52"/>
  <c r="BF181" i="52" s="1"/>
  <c r="AJ181" i="52"/>
  <c r="AH181" i="52"/>
  <c r="AF181" i="52"/>
  <c r="AE181" i="52"/>
  <c r="AD181" i="52"/>
  <c r="AC181" i="52"/>
  <c r="AB181" i="52"/>
  <c r="AA181" i="52"/>
  <c r="Z181" i="52"/>
  <c r="X181" i="52"/>
  <c r="L181" i="52"/>
  <c r="J181" i="52"/>
  <c r="AI181" i="52" s="1"/>
  <c r="I181" i="52"/>
  <c r="H181" i="52"/>
  <c r="BU180" i="52"/>
  <c r="BH180" i="52"/>
  <c r="AF180" i="52" s="1"/>
  <c r="BB180" i="52"/>
  <c r="AU180" i="52"/>
  <c r="AN180" i="52"/>
  <c r="BG180" i="52" s="1"/>
  <c r="AM180" i="52"/>
  <c r="BF180" i="52" s="1"/>
  <c r="AJ180" i="52"/>
  <c r="AI180" i="52"/>
  <c r="AH180" i="52"/>
  <c r="AE180" i="52"/>
  <c r="AD180" i="52"/>
  <c r="AC180" i="52"/>
  <c r="AB180" i="52"/>
  <c r="AA180" i="52"/>
  <c r="Z180" i="52"/>
  <c r="X180" i="52"/>
  <c r="L180" i="52"/>
  <c r="BD180" i="52" s="1"/>
  <c r="J180" i="52"/>
  <c r="I180" i="52"/>
  <c r="H180" i="52"/>
  <c r="BU179" i="52"/>
  <c r="BH179" i="52"/>
  <c r="BB179" i="52"/>
  <c r="AN179" i="52"/>
  <c r="AM179" i="52"/>
  <c r="BF179" i="52" s="1"/>
  <c r="AJ179" i="52"/>
  <c r="AI179" i="52"/>
  <c r="AH179" i="52"/>
  <c r="AF179" i="52"/>
  <c r="AE179" i="52"/>
  <c r="AD179" i="52"/>
  <c r="AC179" i="52"/>
  <c r="AB179" i="52"/>
  <c r="AA179" i="52"/>
  <c r="Z179" i="52"/>
  <c r="X179" i="52"/>
  <c r="L179" i="52"/>
  <c r="BD179" i="52" s="1"/>
  <c r="J179" i="52"/>
  <c r="H179" i="52"/>
  <c r="BU178" i="52"/>
  <c r="BH178" i="52"/>
  <c r="BB178" i="52"/>
  <c r="AV178" i="52"/>
  <c r="AN178" i="52"/>
  <c r="I178" i="52" s="1"/>
  <c r="AM178" i="52"/>
  <c r="AJ178" i="52"/>
  <c r="AH178" i="52"/>
  <c r="AF178" i="52"/>
  <c r="AE178" i="52"/>
  <c r="AD178" i="52"/>
  <c r="AC178" i="52"/>
  <c r="AB178" i="52"/>
  <c r="AA178" i="52"/>
  <c r="Z178" i="52"/>
  <c r="X178" i="52"/>
  <c r="L178" i="52"/>
  <c r="BD178" i="52" s="1"/>
  <c r="J178" i="52"/>
  <c r="AI178" i="52" s="1"/>
  <c r="BU177" i="52"/>
  <c r="BH177" i="52"/>
  <c r="BD177" i="52"/>
  <c r="BB177" i="52"/>
  <c r="AV177" i="52"/>
  <c r="AU177" i="52"/>
  <c r="AN177" i="52"/>
  <c r="BG177" i="52" s="1"/>
  <c r="AM177" i="52"/>
  <c r="BF177" i="52" s="1"/>
  <c r="AJ177" i="52"/>
  <c r="AH177" i="52"/>
  <c r="AF177" i="52"/>
  <c r="AE177" i="52"/>
  <c r="AD177" i="52"/>
  <c r="AC177" i="52"/>
  <c r="AB177" i="52"/>
  <c r="AA177" i="52"/>
  <c r="Z177" i="52"/>
  <c r="X177" i="52"/>
  <c r="L177" i="52"/>
  <c r="J177" i="52"/>
  <c r="AI177" i="52" s="1"/>
  <c r="I177" i="52"/>
  <c r="H177" i="52"/>
  <c r="BU175" i="52"/>
  <c r="BH175" i="52"/>
  <c r="AF175" i="52" s="1"/>
  <c r="BB175" i="52"/>
  <c r="AU175" i="52"/>
  <c r="AN175" i="52"/>
  <c r="BG175" i="52" s="1"/>
  <c r="AM175" i="52"/>
  <c r="BF175" i="52" s="1"/>
  <c r="AJ175" i="52"/>
  <c r="AI175" i="52"/>
  <c r="AH175" i="52"/>
  <c r="AE175" i="52"/>
  <c r="AD175" i="52"/>
  <c r="AC175" i="52"/>
  <c r="AB175" i="52"/>
  <c r="AA175" i="52"/>
  <c r="Z175" i="52"/>
  <c r="X175" i="52"/>
  <c r="L175" i="52"/>
  <c r="BD175" i="52" s="1"/>
  <c r="J175" i="52"/>
  <c r="I175" i="52"/>
  <c r="H175" i="52"/>
  <c r="BU173" i="52"/>
  <c r="BH173" i="52"/>
  <c r="BG173" i="52"/>
  <c r="BB173" i="52"/>
  <c r="AN173" i="52"/>
  <c r="AM173" i="52"/>
  <c r="BF173" i="52" s="1"/>
  <c r="AJ173" i="52"/>
  <c r="AI173" i="52"/>
  <c r="AH173" i="52"/>
  <c r="AF173" i="52"/>
  <c r="AE173" i="52"/>
  <c r="AD173" i="52"/>
  <c r="AC173" i="52"/>
  <c r="AB173" i="52"/>
  <c r="AA173" i="52"/>
  <c r="Z173" i="52"/>
  <c r="X173" i="52"/>
  <c r="L173" i="52"/>
  <c r="BD173" i="52" s="1"/>
  <c r="J173" i="52"/>
  <c r="H173" i="52"/>
  <c r="BU171" i="52"/>
  <c r="BH171" i="52"/>
  <c r="BB171" i="52"/>
  <c r="AV171" i="52"/>
  <c r="AN171" i="52"/>
  <c r="I171" i="52" s="1"/>
  <c r="AM171" i="52"/>
  <c r="AJ171" i="52"/>
  <c r="AH171" i="52"/>
  <c r="AF171" i="52"/>
  <c r="AE171" i="52"/>
  <c r="AD171" i="52"/>
  <c r="AC171" i="52"/>
  <c r="AB171" i="52"/>
  <c r="AA171" i="52"/>
  <c r="Z171" i="52"/>
  <c r="X171" i="52"/>
  <c r="L171" i="52"/>
  <c r="BD171" i="52" s="1"/>
  <c r="J171" i="52"/>
  <c r="AI171" i="52" s="1"/>
  <c r="BU169" i="52"/>
  <c r="BH169" i="52"/>
  <c r="BD169" i="52"/>
  <c r="BB169" i="52"/>
  <c r="AV169" i="52"/>
  <c r="AU169" i="52"/>
  <c r="AN169" i="52"/>
  <c r="BG169" i="52" s="1"/>
  <c r="AM169" i="52"/>
  <c r="H169" i="52" s="1"/>
  <c r="AJ169" i="52"/>
  <c r="AH169" i="52"/>
  <c r="AF169" i="52"/>
  <c r="AE169" i="52"/>
  <c r="AD169" i="52"/>
  <c r="AC169" i="52"/>
  <c r="AB169" i="52"/>
  <c r="AA169" i="52"/>
  <c r="Z169" i="52"/>
  <c r="X169" i="52"/>
  <c r="L169" i="52"/>
  <c r="J169" i="52"/>
  <c r="AI169" i="52" s="1"/>
  <c r="I169" i="52"/>
  <c r="BU167" i="52"/>
  <c r="BH167" i="52"/>
  <c r="AF167" i="52" s="1"/>
  <c r="BB167" i="52"/>
  <c r="AU167" i="52"/>
  <c r="AN167" i="52"/>
  <c r="BG167" i="52" s="1"/>
  <c r="AM167" i="52"/>
  <c r="BF167" i="52" s="1"/>
  <c r="AJ167" i="52"/>
  <c r="AI167" i="52"/>
  <c r="AH167" i="52"/>
  <c r="AE167" i="52"/>
  <c r="AD167" i="52"/>
  <c r="AC167" i="52"/>
  <c r="AB167" i="52"/>
  <c r="AA167" i="52"/>
  <c r="Z167" i="52"/>
  <c r="X167" i="52"/>
  <c r="L167" i="52"/>
  <c r="BD167" i="52" s="1"/>
  <c r="J167" i="52"/>
  <c r="I167" i="52"/>
  <c r="H167" i="52"/>
  <c r="BU165" i="52"/>
  <c r="BH165" i="52"/>
  <c r="BG165" i="52"/>
  <c r="BB165" i="52"/>
  <c r="AN165" i="52"/>
  <c r="AM165" i="52"/>
  <c r="BF165" i="52" s="1"/>
  <c r="AJ165" i="52"/>
  <c r="AI165" i="52"/>
  <c r="AH165" i="52"/>
  <c r="AF165" i="52"/>
  <c r="AE165" i="52"/>
  <c r="AD165" i="52"/>
  <c r="AC165" i="52"/>
  <c r="AB165" i="52"/>
  <c r="AA165" i="52"/>
  <c r="Z165" i="52"/>
  <c r="X165" i="52"/>
  <c r="L165" i="52"/>
  <c r="BD165" i="52" s="1"/>
  <c r="J165" i="52"/>
  <c r="H165" i="52"/>
  <c r="BU163" i="52"/>
  <c r="BH163" i="52"/>
  <c r="BB163" i="52"/>
  <c r="AV163" i="52"/>
  <c r="AN163" i="52"/>
  <c r="BG163" i="52" s="1"/>
  <c r="AM163" i="52"/>
  <c r="AJ163" i="52"/>
  <c r="AH163" i="52"/>
  <c r="AF163" i="52"/>
  <c r="AE163" i="52"/>
  <c r="AD163" i="52"/>
  <c r="AC163" i="52"/>
  <c r="AB163" i="52"/>
  <c r="AA163" i="52"/>
  <c r="Z163" i="52"/>
  <c r="X163" i="52"/>
  <c r="L163" i="52"/>
  <c r="J163" i="52"/>
  <c r="AI163" i="52" s="1"/>
  <c r="I163" i="52"/>
  <c r="BU161" i="52"/>
  <c r="BH161" i="52"/>
  <c r="BD161" i="52"/>
  <c r="BB161" i="52"/>
  <c r="AV161" i="52"/>
  <c r="AU161" i="52"/>
  <c r="AN161" i="52"/>
  <c r="BG161" i="52" s="1"/>
  <c r="AM161" i="52"/>
  <c r="BF161" i="52" s="1"/>
  <c r="AJ161" i="52"/>
  <c r="AH161" i="52"/>
  <c r="AF161" i="52"/>
  <c r="AE161" i="52"/>
  <c r="AD161" i="52"/>
  <c r="AC161" i="52"/>
  <c r="AB161" i="52"/>
  <c r="AA161" i="52"/>
  <c r="Z161" i="52"/>
  <c r="X161" i="52"/>
  <c r="L161" i="52"/>
  <c r="J161" i="52"/>
  <c r="I161" i="52"/>
  <c r="H161" i="52"/>
  <c r="BU159" i="52"/>
  <c r="BH159" i="52"/>
  <c r="BG159" i="52"/>
  <c r="BB159" i="52"/>
  <c r="AN159" i="52"/>
  <c r="AM159" i="52"/>
  <c r="BF159" i="52" s="1"/>
  <c r="AJ159" i="52"/>
  <c r="AH159" i="52"/>
  <c r="AQ156" i="52" s="1"/>
  <c r="AF159" i="52"/>
  <c r="AE159" i="52"/>
  <c r="AD159" i="52"/>
  <c r="AC159" i="52"/>
  <c r="AB159" i="52"/>
  <c r="AA159" i="52"/>
  <c r="Z159" i="52"/>
  <c r="X159" i="52"/>
  <c r="L159" i="52"/>
  <c r="BD159" i="52" s="1"/>
  <c r="J159" i="52"/>
  <c r="AI159" i="52" s="1"/>
  <c r="H159" i="52"/>
  <c r="BU158" i="52"/>
  <c r="BH158" i="52"/>
  <c r="BB158" i="52"/>
  <c r="AV158" i="52"/>
  <c r="AN158" i="52"/>
  <c r="BG158" i="52" s="1"/>
  <c r="AM158" i="52"/>
  <c r="AJ158" i="52"/>
  <c r="AH158" i="52"/>
  <c r="AF158" i="52"/>
  <c r="AE158" i="52"/>
  <c r="AD158" i="52"/>
  <c r="AC158" i="52"/>
  <c r="AB158" i="52"/>
  <c r="AA158" i="52"/>
  <c r="Z158" i="52"/>
  <c r="X158" i="52"/>
  <c r="L158" i="52"/>
  <c r="J158" i="52"/>
  <c r="AI158" i="52" s="1"/>
  <c r="I158" i="52"/>
  <c r="BU157" i="52"/>
  <c r="BH157" i="52"/>
  <c r="BD157" i="52"/>
  <c r="BB157" i="52"/>
  <c r="AU157" i="52"/>
  <c r="AN157" i="52"/>
  <c r="BG157" i="52" s="1"/>
  <c r="AM157" i="52"/>
  <c r="BF157" i="52" s="1"/>
  <c r="AJ157" i="52"/>
  <c r="AS156" i="52" s="1"/>
  <c r="AH157" i="52"/>
  <c r="AF157" i="52"/>
  <c r="AE157" i="52"/>
  <c r="AD157" i="52"/>
  <c r="AC157" i="52"/>
  <c r="AB157" i="52"/>
  <c r="AA157" i="52"/>
  <c r="Z157" i="52"/>
  <c r="X157" i="52"/>
  <c r="L157" i="52"/>
  <c r="J157" i="52"/>
  <c r="I157" i="52"/>
  <c r="H157" i="52"/>
  <c r="BU155" i="52"/>
  <c r="BH155" i="52"/>
  <c r="BB155" i="52"/>
  <c r="AN155" i="52"/>
  <c r="BG155" i="52" s="1"/>
  <c r="AM155" i="52"/>
  <c r="BF155" i="52" s="1"/>
  <c r="AJ155" i="52"/>
  <c r="AH155" i="52"/>
  <c r="AQ149" i="52" s="1"/>
  <c r="AF155" i="52"/>
  <c r="AE155" i="52"/>
  <c r="AD155" i="52"/>
  <c r="AC155" i="52"/>
  <c r="AB155" i="52"/>
  <c r="AA155" i="52"/>
  <c r="Z155" i="52"/>
  <c r="X155" i="52"/>
  <c r="L155" i="52"/>
  <c r="BD155" i="52" s="1"/>
  <c r="J155" i="52"/>
  <c r="AI155" i="52" s="1"/>
  <c r="H155" i="52"/>
  <c r="BU153" i="52"/>
  <c r="BH153" i="52"/>
  <c r="BB153" i="52"/>
  <c r="AV153" i="52"/>
  <c r="AN153" i="52"/>
  <c r="BG153" i="52" s="1"/>
  <c r="AM153" i="52"/>
  <c r="AJ153" i="52"/>
  <c r="AH153" i="52"/>
  <c r="AF153" i="52"/>
  <c r="AE153" i="52"/>
  <c r="AD153" i="52"/>
  <c r="AC153" i="52"/>
  <c r="AB153" i="52"/>
  <c r="AA153" i="52"/>
  <c r="Z153" i="52"/>
  <c r="X153" i="52"/>
  <c r="L153" i="52"/>
  <c r="J153" i="52"/>
  <c r="AI153" i="52" s="1"/>
  <c r="I153" i="52"/>
  <c r="BU151" i="52"/>
  <c r="BH151" i="52"/>
  <c r="BD151" i="52"/>
  <c r="BB151" i="52"/>
  <c r="AU151" i="52"/>
  <c r="AN151" i="52"/>
  <c r="BG151" i="52" s="1"/>
  <c r="AM151" i="52"/>
  <c r="BF151" i="52" s="1"/>
  <c r="AJ151" i="52"/>
  <c r="AS149" i="52" s="1"/>
  <c r="AH151" i="52"/>
  <c r="AF151" i="52"/>
  <c r="AE151" i="52"/>
  <c r="AD151" i="52"/>
  <c r="AC151" i="52"/>
  <c r="AB151" i="52"/>
  <c r="AA151" i="52"/>
  <c r="Z151" i="52"/>
  <c r="X151" i="52"/>
  <c r="L151" i="52"/>
  <c r="J151" i="52"/>
  <c r="I151" i="52"/>
  <c r="H151" i="52"/>
  <c r="BU150" i="52"/>
  <c r="BH150" i="52"/>
  <c r="X150" i="52" s="1"/>
  <c r="BB150" i="52"/>
  <c r="AN150" i="52"/>
  <c r="BG150" i="52" s="1"/>
  <c r="AM150" i="52"/>
  <c r="BF150" i="52" s="1"/>
  <c r="AJ150" i="52"/>
  <c r="AI150" i="52"/>
  <c r="AH150" i="52"/>
  <c r="AF150" i="52"/>
  <c r="AE150" i="52"/>
  <c r="AD150" i="52"/>
  <c r="AC150" i="52"/>
  <c r="AB150" i="52"/>
  <c r="AA150" i="52"/>
  <c r="Z150" i="52"/>
  <c r="L150" i="52"/>
  <c r="BD150" i="52" s="1"/>
  <c r="J150" i="52"/>
  <c r="I150" i="52"/>
  <c r="H150" i="52"/>
  <c r="BU147" i="52"/>
  <c r="BH147" i="52"/>
  <c r="BB147" i="52"/>
  <c r="AV147" i="52"/>
  <c r="AN147" i="52"/>
  <c r="BG147" i="52" s="1"/>
  <c r="AA147" i="52" s="1"/>
  <c r="AM147" i="52"/>
  <c r="AJ147" i="52"/>
  <c r="AH147" i="52"/>
  <c r="AF147" i="52"/>
  <c r="AE147" i="52"/>
  <c r="AD147" i="52"/>
  <c r="AC147" i="52"/>
  <c r="AB147" i="52"/>
  <c r="X147" i="52"/>
  <c r="L147" i="52"/>
  <c r="J147" i="52"/>
  <c r="AI147" i="52" s="1"/>
  <c r="AR146" i="52" s="1"/>
  <c r="I147" i="52"/>
  <c r="AS146" i="52"/>
  <c r="AQ146" i="52"/>
  <c r="J146" i="52"/>
  <c r="I146" i="52"/>
  <c r="BU144" i="52"/>
  <c r="BH144" i="52"/>
  <c r="BB144" i="52"/>
  <c r="AN144" i="52"/>
  <c r="BG144" i="52" s="1"/>
  <c r="AA144" i="52" s="1"/>
  <c r="AM144" i="52"/>
  <c r="BF144" i="52" s="1"/>
  <c r="AJ144" i="52"/>
  <c r="AI144" i="52"/>
  <c r="AR143" i="52" s="1"/>
  <c r="AH144" i="52"/>
  <c r="AF144" i="52"/>
  <c r="AE144" i="52"/>
  <c r="AD144" i="52"/>
  <c r="AC144" i="52"/>
  <c r="AB144" i="52"/>
  <c r="Z144" i="52"/>
  <c r="X144" i="52"/>
  <c r="L144" i="52"/>
  <c r="BD144" i="52" s="1"/>
  <c r="J144" i="52"/>
  <c r="I144" i="52"/>
  <c r="I143" i="52" s="1"/>
  <c r="H144" i="52"/>
  <c r="AS143" i="52"/>
  <c r="AQ143" i="52"/>
  <c r="L143" i="52"/>
  <c r="J143" i="52"/>
  <c r="H143" i="52"/>
  <c r="BU141" i="52"/>
  <c r="BH141" i="52"/>
  <c r="BB141" i="52"/>
  <c r="AV141" i="52"/>
  <c r="AN141" i="52"/>
  <c r="BG141" i="52" s="1"/>
  <c r="AA141" i="52" s="1"/>
  <c r="AM141" i="52"/>
  <c r="AJ141" i="52"/>
  <c r="AH141" i="52"/>
  <c r="AF141" i="52"/>
  <c r="AE141" i="52"/>
  <c r="AD141" i="52"/>
  <c r="AC141" i="52"/>
  <c r="AB141" i="52"/>
  <c r="X141" i="52"/>
  <c r="L141" i="52"/>
  <c r="BD141" i="52" s="1"/>
  <c r="J141" i="52"/>
  <c r="AI141" i="52" s="1"/>
  <c r="I141" i="52"/>
  <c r="BU139" i="52"/>
  <c r="BH139" i="52"/>
  <c r="BD139" i="52"/>
  <c r="BB139" i="52"/>
  <c r="AU139" i="52"/>
  <c r="AN139" i="52"/>
  <c r="BG139" i="52" s="1"/>
  <c r="AM139" i="52"/>
  <c r="BF139" i="52" s="1"/>
  <c r="Z139" i="52" s="1"/>
  <c r="AJ139" i="52"/>
  <c r="AH139" i="52"/>
  <c r="AF139" i="52"/>
  <c r="AE139" i="52"/>
  <c r="AD139" i="52"/>
  <c r="AC139" i="52"/>
  <c r="AB139" i="52"/>
  <c r="AA139" i="52"/>
  <c r="X139" i="52"/>
  <c r="L139" i="52"/>
  <c r="J139" i="52"/>
  <c r="AI139" i="52" s="1"/>
  <c r="I139" i="52"/>
  <c r="H139" i="52"/>
  <c r="BU137" i="52"/>
  <c r="BH137" i="52"/>
  <c r="BB137" i="52"/>
  <c r="AN137" i="52"/>
  <c r="BG137" i="52" s="1"/>
  <c r="AA137" i="52" s="1"/>
  <c r="AM137" i="52"/>
  <c r="BF137" i="52" s="1"/>
  <c r="AJ137" i="52"/>
  <c r="AI137" i="52"/>
  <c r="AH137" i="52"/>
  <c r="AF137" i="52"/>
  <c r="AE137" i="52"/>
  <c r="AD137" i="52"/>
  <c r="AC137" i="52"/>
  <c r="AB137" i="52"/>
  <c r="Z137" i="52"/>
  <c r="X137" i="52"/>
  <c r="L137" i="52"/>
  <c r="BD137" i="52" s="1"/>
  <c r="J137" i="52"/>
  <c r="I137" i="52"/>
  <c r="H137" i="52"/>
  <c r="BU135" i="52"/>
  <c r="BH135" i="52"/>
  <c r="BG135" i="52"/>
  <c r="AA135" i="52" s="1"/>
  <c r="BB135" i="52"/>
  <c r="AN135" i="52"/>
  <c r="AM135" i="52"/>
  <c r="BF135" i="52" s="1"/>
  <c r="Z135" i="52" s="1"/>
  <c r="AJ135" i="52"/>
  <c r="AH135" i="52"/>
  <c r="AF135" i="52"/>
  <c r="AE135" i="52"/>
  <c r="AD135" i="52"/>
  <c r="AC135" i="52"/>
  <c r="AB135" i="52"/>
  <c r="X135" i="52"/>
  <c r="L135" i="52"/>
  <c r="BD135" i="52" s="1"/>
  <c r="J135" i="52"/>
  <c r="AI135" i="52" s="1"/>
  <c r="H135" i="52"/>
  <c r="BU133" i="52"/>
  <c r="BH133" i="52"/>
  <c r="BB133" i="52"/>
  <c r="AV133" i="52"/>
  <c r="AN133" i="52"/>
  <c r="BG133" i="52" s="1"/>
  <c r="AA133" i="52" s="1"/>
  <c r="AM133" i="52"/>
  <c r="AJ133" i="52"/>
  <c r="AH133" i="52"/>
  <c r="AF133" i="52"/>
  <c r="AE133" i="52"/>
  <c r="AD133" i="52"/>
  <c r="AC133" i="52"/>
  <c r="AB133" i="52"/>
  <c r="X133" i="52"/>
  <c r="L133" i="52"/>
  <c r="BD133" i="52" s="1"/>
  <c r="J133" i="52"/>
  <c r="AI133" i="52" s="1"/>
  <c r="I133" i="52"/>
  <c r="BU131" i="52"/>
  <c r="BH131" i="52"/>
  <c r="BD131" i="52"/>
  <c r="BB131" i="52"/>
  <c r="AU131" i="52"/>
  <c r="AN131" i="52"/>
  <c r="BG131" i="52" s="1"/>
  <c r="AM131" i="52"/>
  <c r="BF131" i="52" s="1"/>
  <c r="Z131" i="52" s="1"/>
  <c r="AJ131" i="52"/>
  <c r="AH131" i="52"/>
  <c r="AF131" i="52"/>
  <c r="AE131" i="52"/>
  <c r="AD131" i="52"/>
  <c r="AC131" i="52"/>
  <c r="AB131" i="52"/>
  <c r="AA131" i="52"/>
  <c r="X131" i="52"/>
  <c r="L131" i="52"/>
  <c r="J131" i="52"/>
  <c r="AI131" i="52" s="1"/>
  <c r="I131" i="52"/>
  <c r="H131" i="52"/>
  <c r="BU129" i="52"/>
  <c r="BH129" i="52"/>
  <c r="BB129" i="52"/>
  <c r="AN129" i="52"/>
  <c r="BG129" i="52" s="1"/>
  <c r="AA129" i="52" s="1"/>
  <c r="AM129" i="52"/>
  <c r="BF129" i="52" s="1"/>
  <c r="AJ129" i="52"/>
  <c r="AI129" i="52"/>
  <c r="AH129" i="52"/>
  <c r="AF129" i="52"/>
  <c r="AE129" i="52"/>
  <c r="AD129" i="52"/>
  <c r="AC129" i="52"/>
  <c r="AB129" i="52"/>
  <c r="Z129" i="52"/>
  <c r="X129" i="52"/>
  <c r="L129" i="52"/>
  <c r="BD129" i="52" s="1"/>
  <c r="J129" i="52"/>
  <c r="I129" i="52"/>
  <c r="H129" i="52"/>
  <c r="BU127" i="52"/>
  <c r="BH127" i="52"/>
  <c r="BG127" i="52"/>
  <c r="AA127" i="52" s="1"/>
  <c r="BB127" i="52"/>
  <c r="AN127" i="52"/>
  <c r="AV127" i="52" s="1"/>
  <c r="AM127" i="52"/>
  <c r="BF127" i="52" s="1"/>
  <c r="Z127" i="52" s="1"/>
  <c r="AJ127" i="52"/>
  <c r="AH127" i="52"/>
  <c r="AF127" i="52"/>
  <c r="AE127" i="52"/>
  <c r="AD127" i="52"/>
  <c r="AC127" i="52"/>
  <c r="AB127" i="52"/>
  <c r="X127" i="52"/>
  <c r="L127" i="52"/>
  <c r="BD127" i="52" s="1"/>
  <c r="J127" i="52"/>
  <c r="AI127" i="52" s="1"/>
  <c r="I127" i="52"/>
  <c r="H127" i="52"/>
  <c r="BU125" i="52"/>
  <c r="BH125" i="52"/>
  <c r="BB125" i="52"/>
  <c r="AV125" i="52"/>
  <c r="AN125" i="52"/>
  <c r="BG125" i="52" s="1"/>
  <c r="AA125" i="52" s="1"/>
  <c r="AM125" i="52"/>
  <c r="H125" i="52" s="1"/>
  <c r="AJ125" i="52"/>
  <c r="AI125" i="52"/>
  <c r="AH125" i="52"/>
  <c r="AF125" i="52"/>
  <c r="AE125" i="52"/>
  <c r="AD125" i="52"/>
  <c r="AC125" i="52"/>
  <c r="AB125" i="52"/>
  <c r="X125" i="52"/>
  <c r="L125" i="52"/>
  <c r="BD125" i="52" s="1"/>
  <c r="J125" i="52"/>
  <c r="I125" i="52"/>
  <c r="BU123" i="52"/>
  <c r="BH123" i="52"/>
  <c r="BD123" i="52"/>
  <c r="BB123" i="52"/>
  <c r="AU123" i="52"/>
  <c r="AN123" i="52"/>
  <c r="AM123" i="52"/>
  <c r="BF123" i="52" s="1"/>
  <c r="Z123" i="52" s="1"/>
  <c r="AJ123" i="52"/>
  <c r="AH123" i="52"/>
  <c r="AQ120" i="52" s="1"/>
  <c r="AF123" i="52"/>
  <c r="AE123" i="52"/>
  <c r="AD123" i="52"/>
  <c r="AC123" i="52"/>
  <c r="AB123" i="52"/>
  <c r="X123" i="52"/>
  <c r="L123" i="52"/>
  <c r="J123" i="52"/>
  <c r="AI123" i="52" s="1"/>
  <c r="H123" i="52"/>
  <c r="BU121" i="52"/>
  <c r="BH121" i="52"/>
  <c r="BB121" i="52"/>
  <c r="AV121" i="52"/>
  <c r="AN121" i="52"/>
  <c r="BG121" i="52" s="1"/>
  <c r="AA121" i="52" s="1"/>
  <c r="AM121" i="52"/>
  <c r="AJ121" i="52"/>
  <c r="AI121" i="52"/>
  <c r="AH121" i="52"/>
  <c r="AF121" i="52"/>
  <c r="AE121" i="52"/>
  <c r="AD121" i="52"/>
  <c r="AC121" i="52"/>
  <c r="AB121" i="52"/>
  <c r="X121" i="52"/>
  <c r="L121" i="52"/>
  <c r="J121" i="52"/>
  <c r="I121" i="52"/>
  <c r="AS120" i="52"/>
  <c r="J120" i="52"/>
  <c r="BU118" i="52"/>
  <c r="BH118" i="52"/>
  <c r="BB118" i="52"/>
  <c r="AV118" i="52"/>
  <c r="AN118" i="52"/>
  <c r="BG118" i="52" s="1"/>
  <c r="AA118" i="52" s="1"/>
  <c r="AM118" i="52"/>
  <c r="H118" i="52" s="1"/>
  <c r="AJ118" i="52"/>
  <c r="AI118" i="52"/>
  <c r="AH118" i="52"/>
  <c r="AF118" i="52"/>
  <c r="AE118" i="52"/>
  <c r="AD118" i="52"/>
  <c r="AC118" i="52"/>
  <c r="AB118" i="52"/>
  <c r="X118" i="52"/>
  <c r="L118" i="52"/>
  <c r="BD118" i="52" s="1"/>
  <c r="J118" i="52"/>
  <c r="I118" i="52"/>
  <c r="BU116" i="52"/>
  <c r="BH116" i="52"/>
  <c r="BD116" i="52"/>
  <c r="BB116" i="52"/>
  <c r="AU116" i="52"/>
  <c r="AN116" i="52"/>
  <c r="AM116" i="52"/>
  <c r="BF116" i="52" s="1"/>
  <c r="Z116" i="52" s="1"/>
  <c r="AJ116" i="52"/>
  <c r="AH116" i="52"/>
  <c r="AF116" i="52"/>
  <c r="AE116" i="52"/>
  <c r="AD116" i="52"/>
  <c r="AC116" i="52"/>
  <c r="AB116" i="52"/>
  <c r="X116" i="52"/>
  <c r="L116" i="52"/>
  <c r="J116" i="52"/>
  <c r="AI116" i="52" s="1"/>
  <c r="H116" i="52"/>
  <c r="BU114" i="52"/>
  <c r="BH114" i="52"/>
  <c r="BB114" i="52"/>
  <c r="AV114" i="52"/>
  <c r="AN114" i="52"/>
  <c r="BG114" i="52" s="1"/>
  <c r="AA114" i="52" s="1"/>
  <c r="AM114" i="52"/>
  <c r="AJ114" i="52"/>
  <c r="AI114" i="52"/>
  <c r="AH114" i="52"/>
  <c r="AF114" i="52"/>
  <c r="AE114" i="52"/>
  <c r="AD114" i="52"/>
  <c r="AC114" i="52"/>
  <c r="AB114" i="52"/>
  <c r="X114" i="52"/>
  <c r="L114" i="52"/>
  <c r="BD114" i="52" s="1"/>
  <c r="J114" i="52"/>
  <c r="I114" i="52"/>
  <c r="BU112" i="52"/>
  <c r="BH112" i="52"/>
  <c r="BD112" i="52"/>
  <c r="BB112" i="52"/>
  <c r="AU112" i="52"/>
  <c r="AN112" i="52"/>
  <c r="I112" i="52" s="1"/>
  <c r="AM112" i="52"/>
  <c r="BF112" i="52" s="1"/>
  <c r="Z112" i="52" s="1"/>
  <c r="AJ112" i="52"/>
  <c r="AS109" i="52" s="1"/>
  <c r="AH112" i="52"/>
  <c r="AF112" i="52"/>
  <c r="AE112" i="52"/>
  <c r="AD112" i="52"/>
  <c r="AC112" i="52"/>
  <c r="AB112" i="52"/>
  <c r="X112" i="52"/>
  <c r="L112" i="52"/>
  <c r="J112" i="52"/>
  <c r="H112" i="52"/>
  <c r="BU110" i="52"/>
  <c r="BH110" i="52"/>
  <c r="BB110" i="52"/>
  <c r="AV110" i="52"/>
  <c r="AN110" i="52"/>
  <c r="BG110" i="52" s="1"/>
  <c r="AA110" i="52" s="1"/>
  <c r="AM110" i="52"/>
  <c r="H110" i="52" s="1"/>
  <c r="AJ110" i="52"/>
  <c r="AI110" i="52"/>
  <c r="AH110" i="52"/>
  <c r="AF110" i="52"/>
  <c r="AE110" i="52"/>
  <c r="AD110" i="52"/>
  <c r="AC110" i="52"/>
  <c r="AB110" i="52"/>
  <c r="X110" i="52"/>
  <c r="L110" i="52"/>
  <c r="L109" i="52" s="1"/>
  <c r="J110" i="52"/>
  <c r="I110" i="52"/>
  <c r="AQ109" i="52"/>
  <c r="BU107" i="52"/>
  <c r="BH107" i="52"/>
  <c r="BB107" i="52"/>
  <c r="AV107" i="52"/>
  <c r="AN107" i="52"/>
  <c r="BG107" i="52" s="1"/>
  <c r="AA107" i="52" s="1"/>
  <c r="AM107" i="52"/>
  <c r="AJ107" i="52"/>
  <c r="AI107" i="52"/>
  <c r="AR106" i="52" s="1"/>
  <c r="AH107" i="52"/>
  <c r="AF107" i="52"/>
  <c r="AE107" i="52"/>
  <c r="AD107" i="52"/>
  <c r="AC107" i="52"/>
  <c r="AB107" i="52"/>
  <c r="X107" i="52"/>
  <c r="L107" i="52"/>
  <c r="J107" i="52"/>
  <c r="I107" i="52"/>
  <c r="I106" i="52" s="1"/>
  <c r="AS106" i="52"/>
  <c r="AQ106" i="52"/>
  <c r="J106" i="52"/>
  <c r="BU104" i="52"/>
  <c r="BH104" i="52"/>
  <c r="BB104" i="52"/>
  <c r="AV104" i="52"/>
  <c r="AN104" i="52"/>
  <c r="BG104" i="52" s="1"/>
  <c r="AA104" i="52" s="1"/>
  <c r="AM104" i="52"/>
  <c r="H104" i="52" s="1"/>
  <c r="AJ104" i="52"/>
  <c r="AI104" i="52"/>
  <c r="AR103" i="52" s="1"/>
  <c r="AH104" i="52"/>
  <c r="AF104" i="52"/>
  <c r="AE104" i="52"/>
  <c r="AD104" i="52"/>
  <c r="AC104" i="52"/>
  <c r="AB104" i="52"/>
  <c r="X104" i="52"/>
  <c r="L104" i="52"/>
  <c r="L103" i="52" s="1"/>
  <c r="J104" i="52"/>
  <c r="I104" i="52"/>
  <c r="I103" i="52" s="1"/>
  <c r="AS103" i="52"/>
  <c r="AQ103" i="52"/>
  <c r="J103" i="52"/>
  <c r="H103" i="52"/>
  <c r="BU101" i="52"/>
  <c r="BH101" i="52"/>
  <c r="BB101" i="52"/>
  <c r="AV101" i="52"/>
  <c r="AN101" i="52"/>
  <c r="BG101" i="52" s="1"/>
  <c r="AA101" i="52" s="1"/>
  <c r="AM101" i="52"/>
  <c r="AJ101" i="52"/>
  <c r="AI101" i="52"/>
  <c r="AH101" i="52"/>
  <c r="AF101" i="52"/>
  <c r="AE101" i="52"/>
  <c r="AD101" i="52"/>
  <c r="AC101" i="52"/>
  <c r="AB101" i="52"/>
  <c r="X101" i="52"/>
  <c r="L101" i="52"/>
  <c r="BD101" i="52" s="1"/>
  <c r="J101" i="52"/>
  <c r="I101" i="52"/>
  <c r="BU99" i="52"/>
  <c r="BH99" i="52"/>
  <c r="BD99" i="52"/>
  <c r="BB99" i="52"/>
  <c r="AU99" i="52"/>
  <c r="AN99" i="52"/>
  <c r="I99" i="52" s="1"/>
  <c r="AM99" i="52"/>
  <c r="BF99" i="52" s="1"/>
  <c r="Z99" i="52" s="1"/>
  <c r="AJ99" i="52"/>
  <c r="AH99" i="52"/>
  <c r="AF99" i="52"/>
  <c r="AE99" i="52"/>
  <c r="AD99" i="52"/>
  <c r="AC99" i="52"/>
  <c r="AB99" i="52"/>
  <c r="X99" i="52"/>
  <c r="L99" i="52"/>
  <c r="J99" i="52"/>
  <c r="AI99" i="52" s="1"/>
  <c r="H99" i="52"/>
  <c r="BU97" i="52"/>
  <c r="BH97" i="52"/>
  <c r="BB97" i="52"/>
  <c r="AV97" i="52"/>
  <c r="AN97" i="52"/>
  <c r="BG97" i="52" s="1"/>
  <c r="AA97" i="52" s="1"/>
  <c r="AM97" i="52"/>
  <c r="BF97" i="52" s="1"/>
  <c r="AJ97" i="52"/>
  <c r="AI97" i="52"/>
  <c r="AH97" i="52"/>
  <c r="AF97" i="52"/>
  <c r="AE97" i="52"/>
  <c r="AD97" i="52"/>
  <c r="AC97" i="52"/>
  <c r="AB97" i="52"/>
  <c r="Z97" i="52"/>
  <c r="X97" i="52"/>
  <c r="L97" i="52"/>
  <c r="BD97" i="52" s="1"/>
  <c r="J97" i="52"/>
  <c r="I97" i="52"/>
  <c r="H97" i="52"/>
  <c r="BU95" i="52"/>
  <c r="BH95" i="52"/>
  <c r="BB95" i="52"/>
  <c r="AU95" i="52"/>
  <c r="AN95" i="52"/>
  <c r="BG95" i="52" s="1"/>
  <c r="AA95" i="52" s="1"/>
  <c r="AM95" i="52"/>
  <c r="BF95" i="52" s="1"/>
  <c r="Z95" i="52" s="1"/>
  <c r="AJ95" i="52"/>
  <c r="AH95" i="52"/>
  <c r="AF95" i="52"/>
  <c r="AE95" i="52"/>
  <c r="AD95" i="52"/>
  <c r="AC95" i="52"/>
  <c r="AB95" i="52"/>
  <c r="X95" i="52"/>
  <c r="L95" i="52"/>
  <c r="BD95" i="52" s="1"/>
  <c r="J95" i="52"/>
  <c r="AI95" i="52" s="1"/>
  <c r="H95" i="52"/>
  <c r="BU93" i="52"/>
  <c r="BH93" i="52"/>
  <c r="BB93" i="52"/>
  <c r="AV93" i="52"/>
  <c r="AN93" i="52"/>
  <c r="BG93" i="52" s="1"/>
  <c r="AA93" i="52" s="1"/>
  <c r="AM93" i="52"/>
  <c r="AJ93" i="52"/>
  <c r="AH93" i="52"/>
  <c r="AF93" i="52"/>
  <c r="AE93" i="52"/>
  <c r="AD93" i="52"/>
  <c r="AC93" i="52"/>
  <c r="AB93" i="52"/>
  <c r="X93" i="52"/>
  <c r="L93" i="52"/>
  <c r="J93" i="52"/>
  <c r="AI93" i="52" s="1"/>
  <c r="I93" i="52"/>
  <c r="BU91" i="52"/>
  <c r="BH91" i="52"/>
  <c r="BD91" i="52"/>
  <c r="BB91" i="52"/>
  <c r="AU91" i="52"/>
  <c r="AN91" i="52"/>
  <c r="BG91" i="52" s="1"/>
  <c r="AA91" i="52" s="1"/>
  <c r="AM91" i="52"/>
  <c r="BF91" i="52" s="1"/>
  <c r="Z91" i="52" s="1"/>
  <c r="AJ91" i="52"/>
  <c r="AS88" i="52" s="1"/>
  <c r="AH91" i="52"/>
  <c r="AF91" i="52"/>
  <c r="AE91" i="52"/>
  <c r="AD91" i="52"/>
  <c r="AC91" i="52"/>
  <c r="AB91" i="52"/>
  <c r="X91" i="52"/>
  <c r="L91" i="52"/>
  <c r="J91" i="52"/>
  <c r="I91" i="52"/>
  <c r="H91" i="52"/>
  <c r="BU89" i="52"/>
  <c r="BH89" i="52"/>
  <c r="BB89" i="52"/>
  <c r="AN89" i="52"/>
  <c r="BG89" i="52" s="1"/>
  <c r="AA89" i="52" s="1"/>
  <c r="AM89" i="52"/>
  <c r="BF89" i="52" s="1"/>
  <c r="Z89" i="52" s="1"/>
  <c r="AJ89" i="52"/>
  <c r="AI89" i="52"/>
  <c r="AH89" i="52"/>
  <c r="AF89" i="52"/>
  <c r="AE89" i="52"/>
  <c r="AD89" i="52"/>
  <c r="AC89" i="52"/>
  <c r="AB89" i="52"/>
  <c r="X89" i="52"/>
  <c r="L89" i="52"/>
  <c r="BD89" i="52" s="1"/>
  <c r="J89" i="52"/>
  <c r="I89" i="52"/>
  <c r="H89" i="52"/>
  <c r="AQ88" i="52"/>
  <c r="BU86" i="52"/>
  <c r="BH86" i="52"/>
  <c r="BB86" i="52"/>
  <c r="AV86" i="52"/>
  <c r="AN86" i="52"/>
  <c r="BG86" i="52" s="1"/>
  <c r="AA86" i="52" s="1"/>
  <c r="AM86" i="52"/>
  <c r="AJ86" i="52"/>
  <c r="AH86" i="52"/>
  <c r="AF86" i="52"/>
  <c r="AE86" i="52"/>
  <c r="AD86" i="52"/>
  <c r="AC86" i="52"/>
  <c r="AB86" i="52"/>
  <c r="X86" i="52"/>
  <c r="L86" i="52"/>
  <c r="J86" i="52"/>
  <c r="AI86" i="52" s="1"/>
  <c r="AR85" i="52" s="1"/>
  <c r="I86" i="52"/>
  <c r="AS85" i="52"/>
  <c r="AQ85" i="52"/>
  <c r="J85" i="52"/>
  <c r="I85" i="52"/>
  <c r="BU83" i="52"/>
  <c r="BH83" i="52"/>
  <c r="BB83" i="52"/>
  <c r="AN83" i="52"/>
  <c r="BG83" i="52" s="1"/>
  <c r="AA83" i="52" s="1"/>
  <c r="AM83" i="52"/>
  <c r="BF83" i="52" s="1"/>
  <c r="Z83" i="52" s="1"/>
  <c r="AJ83" i="52"/>
  <c r="AI83" i="52"/>
  <c r="AR82" i="52" s="1"/>
  <c r="AH83" i="52"/>
  <c r="AF83" i="52"/>
  <c r="AE83" i="52"/>
  <c r="AD83" i="52"/>
  <c r="AC83" i="52"/>
  <c r="AB83" i="52"/>
  <c r="X83" i="52"/>
  <c r="L83" i="52"/>
  <c r="BD83" i="52" s="1"/>
  <c r="J83" i="52"/>
  <c r="I83" i="52"/>
  <c r="I82" i="52" s="1"/>
  <c r="H83" i="52"/>
  <c r="AS82" i="52"/>
  <c r="AQ82" i="52"/>
  <c r="L82" i="52"/>
  <c r="J82" i="52"/>
  <c r="H82" i="52"/>
  <c r="BU80" i="52"/>
  <c r="BH80" i="52"/>
  <c r="BB80" i="52"/>
  <c r="AV80" i="52"/>
  <c r="AN80" i="52"/>
  <c r="BG80" i="52" s="1"/>
  <c r="AA80" i="52" s="1"/>
  <c r="AM80" i="52"/>
  <c r="AJ80" i="52"/>
  <c r="AH80" i="52"/>
  <c r="AF80" i="52"/>
  <c r="AE80" i="52"/>
  <c r="AD80" i="52"/>
  <c r="AC80" i="52"/>
  <c r="AB80" i="52"/>
  <c r="X80" i="52"/>
  <c r="L80" i="52"/>
  <c r="J80" i="52"/>
  <c r="AI80" i="52" s="1"/>
  <c r="AR79" i="52" s="1"/>
  <c r="I80" i="52"/>
  <c r="AS79" i="52"/>
  <c r="AQ79" i="52"/>
  <c r="J79" i="52"/>
  <c r="I79" i="52"/>
  <c r="BU77" i="52"/>
  <c r="BH77" i="52"/>
  <c r="BB77" i="52"/>
  <c r="AN77" i="52"/>
  <c r="BG77" i="52" s="1"/>
  <c r="AA77" i="52" s="1"/>
  <c r="AM77" i="52"/>
  <c r="BF77" i="52" s="1"/>
  <c r="AJ77" i="52"/>
  <c r="AI77" i="52"/>
  <c r="AH77" i="52"/>
  <c r="AF77" i="52"/>
  <c r="AE77" i="52"/>
  <c r="AD77" i="52"/>
  <c r="AC77" i="52"/>
  <c r="AB77" i="52"/>
  <c r="Z77" i="52"/>
  <c r="X77" i="52"/>
  <c r="L77" i="52"/>
  <c r="BD77" i="52" s="1"/>
  <c r="J77" i="52"/>
  <c r="I77" i="52"/>
  <c r="H77" i="52"/>
  <c r="BU75" i="52"/>
  <c r="BH75" i="52"/>
  <c r="BG75" i="52"/>
  <c r="AA75" i="52" s="1"/>
  <c r="BB75" i="52"/>
  <c r="AN75" i="52"/>
  <c r="AM75" i="52"/>
  <c r="BF75" i="52" s="1"/>
  <c r="Z75" i="52" s="1"/>
  <c r="AJ75" i="52"/>
  <c r="AH75" i="52"/>
  <c r="AQ74" i="52" s="1"/>
  <c r="AF75" i="52"/>
  <c r="AE75" i="52"/>
  <c r="AD75" i="52"/>
  <c r="AC75" i="52"/>
  <c r="AB75" i="52"/>
  <c r="X75" i="52"/>
  <c r="L75" i="52"/>
  <c r="BD75" i="52" s="1"/>
  <c r="J75" i="52"/>
  <c r="AI75" i="52" s="1"/>
  <c r="AR74" i="52" s="1"/>
  <c r="H75" i="52"/>
  <c r="AS74" i="52"/>
  <c r="L74" i="52"/>
  <c r="J74" i="52"/>
  <c r="BU72" i="52"/>
  <c r="BH72" i="52"/>
  <c r="BD72" i="52"/>
  <c r="BB72" i="52"/>
  <c r="AU72" i="52"/>
  <c r="AN72" i="52"/>
  <c r="BG72" i="52" s="1"/>
  <c r="AA72" i="52" s="1"/>
  <c r="AM72" i="52"/>
  <c r="BF72" i="52" s="1"/>
  <c r="Z72" i="52" s="1"/>
  <c r="AJ72" i="52"/>
  <c r="AS71" i="52" s="1"/>
  <c r="AH72" i="52"/>
  <c r="AF72" i="52"/>
  <c r="AE72" i="52"/>
  <c r="AD72" i="52"/>
  <c r="AC72" i="52"/>
  <c r="AB72" i="52"/>
  <c r="X72" i="52"/>
  <c r="L72" i="52"/>
  <c r="J72" i="52"/>
  <c r="I72" i="52"/>
  <c r="H72" i="52"/>
  <c r="AQ71" i="52"/>
  <c r="L71" i="52"/>
  <c r="I71" i="52"/>
  <c r="H71" i="52"/>
  <c r="BU69" i="52"/>
  <c r="BH69" i="52"/>
  <c r="BB69" i="52"/>
  <c r="AN69" i="52"/>
  <c r="I69" i="52" s="1"/>
  <c r="AM69" i="52"/>
  <c r="AJ69" i="52"/>
  <c r="AH69" i="52"/>
  <c r="AF69" i="52"/>
  <c r="AE69" i="52"/>
  <c r="AD69" i="52"/>
  <c r="AC69" i="52"/>
  <c r="AB69" i="52"/>
  <c r="X69" i="52"/>
  <c r="L69" i="52"/>
  <c r="BD69" i="52" s="1"/>
  <c r="J69" i="52"/>
  <c r="AI69" i="52" s="1"/>
  <c r="H69" i="52"/>
  <c r="BU68" i="52"/>
  <c r="BH68" i="52"/>
  <c r="BF68" i="52"/>
  <c r="BD68" i="52"/>
  <c r="BB68" i="52"/>
  <c r="AV68" i="52"/>
  <c r="AU68" i="52"/>
  <c r="AN68" i="52"/>
  <c r="BG68" i="52" s="1"/>
  <c r="AA68" i="52" s="1"/>
  <c r="AM68" i="52"/>
  <c r="AJ68" i="52"/>
  <c r="AH68" i="52"/>
  <c r="AF68" i="52"/>
  <c r="AE68" i="52"/>
  <c r="AD68" i="52"/>
  <c r="AC68" i="52"/>
  <c r="AB68" i="52"/>
  <c r="Z68" i="52"/>
  <c r="X68" i="52"/>
  <c r="L68" i="52"/>
  <c r="J68" i="52"/>
  <c r="AI68" i="52" s="1"/>
  <c r="I68" i="52"/>
  <c r="H68" i="52"/>
  <c r="BU66" i="52"/>
  <c r="BH66" i="52"/>
  <c r="BB66" i="52"/>
  <c r="AV66" i="52"/>
  <c r="AN66" i="52"/>
  <c r="BG66" i="52" s="1"/>
  <c r="AA66" i="52" s="1"/>
  <c r="AM66" i="52"/>
  <c r="AU66" i="52" s="1"/>
  <c r="AJ66" i="52"/>
  <c r="AI66" i="52"/>
  <c r="AH66" i="52"/>
  <c r="AF66" i="52"/>
  <c r="AE66" i="52"/>
  <c r="AD66" i="52"/>
  <c r="AC66" i="52"/>
  <c r="AB66" i="52"/>
  <c r="X66" i="52"/>
  <c r="L66" i="52"/>
  <c r="BD66" i="52" s="1"/>
  <c r="J66" i="52"/>
  <c r="I66" i="52"/>
  <c r="AS65" i="52"/>
  <c r="AQ65" i="52"/>
  <c r="J65" i="52"/>
  <c r="BU63" i="52"/>
  <c r="BH63" i="52"/>
  <c r="BB63" i="52"/>
  <c r="AV63" i="52"/>
  <c r="AN63" i="52"/>
  <c r="BG63" i="52" s="1"/>
  <c r="AA63" i="52" s="1"/>
  <c r="AM63" i="52"/>
  <c r="H63" i="52" s="1"/>
  <c r="AJ63" i="52"/>
  <c r="AI63" i="52"/>
  <c r="AH63" i="52"/>
  <c r="AF63" i="52"/>
  <c r="AE63" i="52"/>
  <c r="AD63" i="52"/>
  <c r="AC63" i="52"/>
  <c r="AB63" i="52"/>
  <c r="X63" i="52"/>
  <c r="L63" i="52"/>
  <c r="BD63" i="52" s="1"/>
  <c r="J63" i="52"/>
  <c r="I63" i="52"/>
  <c r="BU61" i="52"/>
  <c r="BH61" i="52"/>
  <c r="BD61" i="52"/>
  <c r="BB61" i="52"/>
  <c r="AU61" i="52"/>
  <c r="AN61" i="52"/>
  <c r="AV61" i="52" s="1"/>
  <c r="AM61" i="52"/>
  <c r="BF61" i="52" s="1"/>
  <c r="Z61" i="52" s="1"/>
  <c r="AJ61" i="52"/>
  <c r="AH61" i="52"/>
  <c r="AF61" i="52"/>
  <c r="AE61" i="52"/>
  <c r="AD61" i="52"/>
  <c r="AC61" i="52"/>
  <c r="AB61" i="52"/>
  <c r="X61" i="52"/>
  <c r="L61" i="52"/>
  <c r="J61" i="52"/>
  <c r="AI61" i="52" s="1"/>
  <c r="H61" i="52"/>
  <c r="BU59" i="52"/>
  <c r="BH59" i="52"/>
  <c r="BB59" i="52"/>
  <c r="AV59" i="52"/>
  <c r="AN59" i="52"/>
  <c r="BG59" i="52" s="1"/>
  <c r="AA59" i="52" s="1"/>
  <c r="AM59" i="52"/>
  <c r="AU59" i="52" s="1"/>
  <c r="AJ59" i="52"/>
  <c r="AI59" i="52"/>
  <c r="AH59" i="52"/>
  <c r="AF59" i="52"/>
  <c r="AE59" i="52"/>
  <c r="AD59" i="52"/>
  <c r="AC59" i="52"/>
  <c r="AB59" i="52"/>
  <c r="X59" i="52"/>
  <c r="L59" i="52"/>
  <c r="BD59" i="52" s="1"/>
  <c r="J59" i="52"/>
  <c r="I59" i="52"/>
  <c r="BU57" i="52"/>
  <c r="BH57" i="52"/>
  <c r="BD57" i="52"/>
  <c r="BB57" i="52"/>
  <c r="AU57" i="52"/>
  <c r="AN57" i="52"/>
  <c r="I57" i="52" s="1"/>
  <c r="AM57" i="52"/>
  <c r="BF57" i="52" s="1"/>
  <c r="Z57" i="52" s="1"/>
  <c r="AJ57" i="52"/>
  <c r="AH57" i="52"/>
  <c r="AF57" i="52"/>
  <c r="AE57" i="52"/>
  <c r="AD57" i="52"/>
  <c r="AC57" i="52"/>
  <c r="AB57" i="52"/>
  <c r="X57" i="52"/>
  <c r="L57" i="52"/>
  <c r="J57" i="52"/>
  <c r="AI57" i="52" s="1"/>
  <c r="H57" i="52"/>
  <c r="BU55" i="52"/>
  <c r="BH55" i="52"/>
  <c r="BB55" i="52"/>
  <c r="AV55" i="52"/>
  <c r="AN55" i="52"/>
  <c r="BG55" i="52" s="1"/>
  <c r="AA55" i="52" s="1"/>
  <c r="AM55" i="52"/>
  <c r="H55" i="52" s="1"/>
  <c r="AJ55" i="52"/>
  <c r="AI55" i="52"/>
  <c r="AH55" i="52"/>
  <c r="AF55" i="52"/>
  <c r="AE55" i="52"/>
  <c r="AD55" i="52"/>
  <c r="AC55" i="52"/>
  <c r="AB55" i="52"/>
  <c r="X55" i="52"/>
  <c r="L55" i="52"/>
  <c r="BD55" i="52" s="1"/>
  <c r="J55" i="52"/>
  <c r="I55" i="52"/>
  <c r="BU53" i="52"/>
  <c r="BH53" i="52"/>
  <c r="BD53" i="52"/>
  <c r="BB53" i="52"/>
  <c r="AU53" i="52"/>
  <c r="AN53" i="52"/>
  <c r="AV53" i="52" s="1"/>
  <c r="AM53" i="52"/>
  <c r="BF53" i="52" s="1"/>
  <c r="Z53" i="52" s="1"/>
  <c r="AJ53" i="52"/>
  <c r="AH53" i="52"/>
  <c r="AF53" i="52"/>
  <c r="AE53" i="52"/>
  <c r="AD53" i="52"/>
  <c r="AC53" i="52"/>
  <c r="AB53" i="52"/>
  <c r="X53" i="52"/>
  <c r="L53" i="52"/>
  <c r="J53" i="52"/>
  <c r="AI53" i="52" s="1"/>
  <c r="H53" i="52"/>
  <c r="BU51" i="52"/>
  <c r="BH51" i="52"/>
  <c r="BB51" i="52"/>
  <c r="AV51" i="52"/>
  <c r="AN51" i="52"/>
  <c r="BG51" i="52" s="1"/>
  <c r="AA51" i="52" s="1"/>
  <c r="AM51" i="52"/>
  <c r="AU51" i="52" s="1"/>
  <c r="AJ51" i="52"/>
  <c r="AI51" i="52"/>
  <c r="AH51" i="52"/>
  <c r="AF51" i="52"/>
  <c r="AE51" i="52"/>
  <c r="AD51" i="52"/>
  <c r="AC51" i="52"/>
  <c r="AB51" i="52"/>
  <c r="X51" i="52"/>
  <c r="L51" i="52"/>
  <c r="BD51" i="52" s="1"/>
  <c r="J51" i="52"/>
  <c r="I51" i="52"/>
  <c r="BU49" i="52"/>
  <c r="BH49" i="52"/>
  <c r="BD49" i="52"/>
  <c r="BB49" i="52"/>
  <c r="AU49" i="52"/>
  <c r="AN49" i="52"/>
  <c r="I49" i="52" s="1"/>
  <c r="AM49" i="52"/>
  <c r="BF49" i="52" s="1"/>
  <c r="Z49" i="52" s="1"/>
  <c r="AJ49" i="52"/>
  <c r="AH49" i="52"/>
  <c r="AF49" i="52"/>
  <c r="AE49" i="52"/>
  <c r="AD49" i="52"/>
  <c r="AC49" i="52"/>
  <c r="AB49" i="52"/>
  <c r="X49" i="52"/>
  <c r="L49" i="52"/>
  <c r="J49" i="52"/>
  <c r="AI49" i="52" s="1"/>
  <c r="H49" i="52"/>
  <c r="BU47" i="52"/>
  <c r="BH47" i="52"/>
  <c r="BB47" i="52"/>
  <c r="AV47" i="52"/>
  <c r="AN47" i="52"/>
  <c r="BG47" i="52" s="1"/>
  <c r="AA47" i="52" s="1"/>
  <c r="AM47" i="52"/>
  <c r="H47" i="52" s="1"/>
  <c r="AJ47" i="52"/>
  <c r="AI47" i="52"/>
  <c r="AH47" i="52"/>
  <c r="AF47" i="52"/>
  <c r="AE47" i="52"/>
  <c r="AD47" i="52"/>
  <c r="AC47" i="52"/>
  <c r="AB47" i="52"/>
  <c r="X47" i="52"/>
  <c r="L47" i="52"/>
  <c r="BD47" i="52" s="1"/>
  <c r="J47" i="52"/>
  <c r="I47" i="52"/>
  <c r="BU45" i="52"/>
  <c r="BH45" i="52"/>
  <c r="BD45" i="52"/>
  <c r="BB45" i="52"/>
  <c r="AU45" i="52"/>
  <c r="AN45" i="52"/>
  <c r="AV45" i="52" s="1"/>
  <c r="AM45" i="52"/>
  <c r="BF45" i="52" s="1"/>
  <c r="Z45" i="52" s="1"/>
  <c r="AJ45" i="52"/>
  <c r="AS44" i="52" s="1"/>
  <c r="AH45" i="52"/>
  <c r="AQ44" i="52" s="1"/>
  <c r="AF45" i="52"/>
  <c r="AE45" i="52"/>
  <c r="AD45" i="52"/>
  <c r="AC45" i="52"/>
  <c r="AB45" i="52"/>
  <c r="X45" i="52"/>
  <c r="L45" i="52"/>
  <c r="J45" i="52"/>
  <c r="J44" i="52" s="1"/>
  <c r="H45" i="52"/>
  <c r="L44" i="52"/>
  <c r="BU42" i="52"/>
  <c r="BH42" i="52"/>
  <c r="BD42" i="52"/>
  <c r="BB42" i="52"/>
  <c r="AU42" i="52"/>
  <c r="AN42" i="52"/>
  <c r="I42" i="52" s="1"/>
  <c r="AM42" i="52"/>
  <c r="BF42" i="52" s="1"/>
  <c r="Z42" i="52" s="1"/>
  <c r="AJ42" i="52"/>
  <c r="AS39" i="52" s="1"/>
  <c r="AH42" i="52"/>
  <c r="AF42" i="52"/>
  <c r="AE42" i="52"/>
  <c r="AD42" i="52"/>
  <c r="AC42" i="52"/>
  <c r="AB42" i="52"/>
  <c r="X42" i="52"/>
  <c r="L42" i="52"/>
  <c r="J42" i="52"/>
  <c r="H42" i="52"/>
  <c r="BU40" i="52"/>
  <c r="BH40" i="52"/>
  <c r="BB40" i="52"/>
  <c r="AV40" i="52"/>
  <c r="AN40" i="52"/>
  <c r="BG40" i="52" s="1"/>
  <c r="AA40" i="52" s="1"/>
  <c r="AM40" i="52"/>
  <c r="H40" i="52" s="1"/>
  <c r="AJ40" i="52"/>
  <c r="AI40" i="52"/>
  <c r="AH40" i="52"/>
  <c r="AF40" i="52"/>
  <c r="AE40" i="52"/>
  <c r="AD40" i="52"/>
  <c r="AC40" i="52"/>
  <c r="AB40" i="52"/>
  <c r="X40" i="52"/>
  <c r="L40" i="52"/>
  <c r="L39" i="52" s="1"/>
  <c r="J40" i="52"/>
  <c r="I40" i="52"/>
  <c r="I39" i="52" s="1"/>
  <c r="AQ39" i="52"/>
  <c r="H39" i="52"/>
  <c r="BU37" i="52"/>
  <c r="BH37" i="52"/>
  <c r="BB37" i="52"/>
  <c r="AV37" i="52"/>
  <c r="AN37" i="52"/>
  <c r="BG37" i="52" s="1"/>
  <c r="AA37" i="52" s="1"/>
  <c r="AM37" i="52"/>
  <c r="AJ37" i="52"/>
  <c r="AI37" i="52"/>
  <c r="AH37" i="52"/>
  <c r="AF37" i="52"/>
  <c r="AE37" i="52"/>
  <c r="AD37" i="52"/>
  <c r="AC37" i="52"/>
  <c r="AB37" i="52"/>
  <c r="X37" i="52"/>
  <c r="L37" i="52"/>
  <c r="BD37" i="52" s="1"/>
  <c r="J37" i="52"/>
  <c r="I37" i="52"/>
  <c r="BU35" i="52"/>
  <c r="BH35" i="52"/>
  <c r="BD35" i="52"/>
  <c r="BB35" i="52"/>
  <c r="AU35" i="52"/>
  <c r="AN35" i="52"/>
  <c r="I35" i="52" s="1"/>
  <c r="AM35" i="52"/>
  <c r="BF35" i="52" s="1"/>
  <c r="Z35" i="52" s="1"/>
  <c r="AJ35" i="52"/>
  <c r="AH35" i="52"/>
  <c r="AF35" i="52"/>
  <c r="AE35" i="52"/>
  <c r="AD35" i="52"/>
  <c r="AC35" i="52"/>
  <c r="AB35" i="52"/>
  <c r="X35" i="52"/>
  <c r="L35" i="52"/>
  <c r="J35" i="52"/>
  <c r="AI35" i="52" s="1"/>
  <c r="H35" i="52"/>
  <c r="BU33" i="52"/>
  <c r="BH33" i="52"/>
  <c r="BB33" i="52"/>
  <c r="AV33" i="52"/>
  <c r="AN33" i="52"/>
  <c r="BG33" i="52" s="1"/>
  <c r="AA33" i="52" s="1"/>
  <c r="AM33" i="52"/>
  <c r="H33" i="52" s="1"/>
  <c r="AJ33" i="52"/>
  <c r="AI33" i="52"/>
  <c r="AH33" i="52"/>
  <c r="AF33" i="52"/>
  <c r="AE33" i="52"/>
  <c r="AD33" i="52"/>
  <c r="AC33" i="52"/>
  <c r="AB33" i="52"/>
  <c r="X33" i="52"/>
  <c r="L33" i="52"/>
  <c r="BD33" i="52" s="1"/>
  <c r="J33" i="52"/>
  <c r="I33" i="52"/>
  <c r="BU31" i="52"/>
  <c r="BH31" i="52"/>
  <c r="BD31" i="52"/>
  <c r="BB31" i="52"/>
  <c r="AU31" i="52"/>
  <c r="AN31" i="52"/>
  <c r="AM31" i="52"/>
  <c r="BF31" i="52" s="1"/>
  <c r="Z31" i="52" s="1"/>
  <c r="AJ31" i="52"/>
  <c r="AH31" i="52"/>
  <c r="AF31" i="52"/>
  <c r="AE31" i="52"/>
  <c r="AD31" i="52"/>
  <c r="AC31" i="52"/>
  <c r="AB31" i="52"/>
  <c r="X31" i="52"/>
  <c r="L31" i="52"/>
  <c r="J31" i="52"/>
  <c r="AI31" i="52" s="1"/>
  <c r="H31" i="52"/>
  <c r="BU29" i="52"/>
  <c r="BH29" i="52"/>
  <c r="BB29" i="52"/>
  <c r="AV29" i="52"/>
  <c r="AN29" i="52"/>
  <c r="BG29" i="52" s="1"/>
  <c r="AA29" i="52" s="1"/>
  <c r="AM29" i="52"/>
  <c r="AJ29" i="52"/>
  <c r="AI29" i="52"/>
  <c r="AH29" i="52"/>
  <c r="AF29" i="52"/>
  <c r="AE29" i="52"/>
  <c r="AD29" i="52"/>
  <c r="AC29" i="52"/>
  <c r="AB29" i="52"/>
  <c r="X29" i="52"/>
  <c r="L29" i="52"/>
  <c r="J29" i="52"/>
  <c r="I29" i="52"/>
  <c r="BU27" i="52"/>
  <c r="BH27" i="52"/>
  <c r="BD27" i="52"/>
  <c r="BB27" i="52"/>
  <c r="AU27" i="52"/>
  <c r="AN27" i="52"/>
  <c r="I27" i="52" s="1"/>
  <c r="AM27" i="52"/>
  <c r="BF27" i="52" s="1"/>
  <c r="Z27" i="52" s="1"/>
  <c r="AJ27" i="52"/>
  <c r="AH27" i="52"/>
  <c r="AQ26" i="52" s="1"/>
  <c r="AF27" i="52"/>
  <c r="AE27" i="52"/>
  <c r="AD27" i="52"/>
  <c r="AC27" i="52"/>
  <c r="AB27" i="52"/>
  <c r="X27" i="52"/>
  <c r="L27" i="52"/>
  <c r="J27" i="52"/>
  <c r="H27" i="52"/>
  <c r="BU24" i="52"/>
  <c r="BH24" i="52"/>
  <c r="BD24" i="52"/>
  <c r="BB24" i="52"/>
  <c r="AU24" i="52"/>
  <c r="AN24" i="52"/>
  <c r="AM24" i="52"/>
  <c r="BF24" i="52" s="1"/>
  <c r="Z24" i="52" s="1"/>
  <c r="AJ24" i="52"/>
  <c r="AS23" i="52" s="1"/>
  <c r="AH24" i="52"/>
  <c r="AQ23" i="52" s="1"/>
  <c r="AF24" i="52"/>
  <c r="AE24" i="52"/>
  <c r="AD24" i="52"/>
  <c r="AC24" i="52"/>
  <c r="AB24" i="52"/>
  <c r="X24" i="52"/>
  <c r="L24" i="52"/>
  <c r="J24" i="52"/>
  <c r="J23" i="52" s="1"/>
  <c r="H24" i="52"/>
  <c r="H23" i="52" s="1"/>
  <c r="L23" i="52"/>
  <c r="BU21" i="52"/>
  <c r="BH21" i="52"/>
  <c r="BD21" i="52"/>
  <c r="BB21" i="52"/>
  <c r="AU21" i="52"/>
  <c r="AN21" i="52"/>
  <c r="I21" i="52" s="1"/>
  <c r="AM21" i="52"/>
  <c r="BF21" i="52" s="1"/>
  <c r="Z21" i="52" s="1"/>
  <c r="AJ21" i="52"/>
  <c r="AH21" i="52"/>
  <c r="AF21" i="52"/>
  <c r="AE21" i="52"/>
  <c r="AD21" i="52"/>
  <c r="AC21" i="52"/>
  <c r="AB21" i="52"/>
  <c r="X21" i="52"/>
  <c r="L21" i="52"/>
  <c r="J21" i="52"/>
  <c r="AI21" i="52" s="1"/>
  <c r="H21" i="52"/>
  <c r="BU19" i="52"/>
  <c r="BH19" i="52"/>
  <c r="BB19" i="52"/>
  <c r="AV19" i="52"/>
  <c r="AN19" i="52"/>
  <c r="BG19" i="52" s="1"/>
  <c r="AA19" i="52" s="1"/>
  <c r="AM19" i="52"/>
  <c r="H19" i="52" s="1"/>
  <c r="AJ19" i="52"/>
  <c r="AI19" i="52"/>
  <c r="AH19" i="52"/>
  <c r="AF19" i="52"/>
  <c r="AE19" i="52"/>
  <c r="AD19" i="52"/>
  <c r="AC19" i="52"/>
  <c r="AB19" i="52"/>
  <c r="X19" i="52"/>
  <c r="L19" i="52"/>
  <c r="BD19" i="52" s="1"/>
  <c r="J19" i="52"/>
  <c r="I19" i="52"/>
  <c r="BU17" i="52"/>
  <c r="BH17" i="52"/>
  <c r="BD17" i="52"/>
  <c r="BB17" i="52"/>
  <c r="AU17" i="52"/>
  <c r="AN17" i="52"/>
  <c r="AM17" i="52"/>
  <c r="BF17" i="52" s="1"/>
  <c r="Z17" i="52" s="1"/>
  <c r="AJ17" i="52"/>
  <c r="AH17" i="52"/>
  <c r="AF17" i="52"/>
  <c r="AE17" i="52"/>
  <c r="AD17" i="52"/>
  <c r="AC17" i="52"/>
  <c r="AB17" i="52"/>
  <c r="X17" i="52"/>
  <c r="L17" i="52"/>
  <c r="J17" i="52"/>
  <c r="AI17" i="52" s="1"/>
  <c r="H17" i="52"/>
  <c r="BU15" i="52"/>
  <c r="BH15" i="52"/>
  <c r="BB15" i="52"/>
  <c r="AV15" i="52"/>
  <c r="AN15" i="52"/>
  <c r="BG15" i="52" s="1"/>
  <c r="AA15" i="52" s="1"/>
  <c r="AM15" i="52"/>
  <c r="AJ15" i="52"/>
  <c r="AI15" i="52"/>
  <c r="AH15" i="52"/>
  <c r="AF15" i="52"/>
  <c r="AE15" i="52"/>
  <c r="AD15" i="52"/>
  <c r="AC15" i="52"/>
  <c r="AB15" i="52"/>
  <c r="X15" i="52"/>
  <c r="L15" i="52"/>
  <c r="J15" i="52"/>
  <c r="I15" i="52"/>
  <c r="BU13" i="52"/>
  <c r="BH13" i="52"/>
  <c r="BD13" i="52"/>
  <c r="BB13" i="52"/>
  <c r="AN13" i="52"/>
  <c r="I13" i="52" s="1"/>
  <c r="AM13" i="52"/>
  <c r="BF13" i="52" s="1"/>
  <c r="Z13" i="52" s="1"/>
  <c r="AJ13" i="52"/>
  <c r="AH13" i="52"/>
  <c r="AQ12" i="52" s="1"/>
  <c r="AF13" i="52"/>
  <c r="AE13" i="52"/>
  <c r="AD13" i="52"/>
  <c r="AC13" i="52"/>
  <c r="AB13" i="52"/>
  <c r="X13" i="52"/>
  <c r="L13" i="52"/>
  <c r="J13" i="52"/>
  <c r="H13" i="52"/>
  <c r="AS1" i="52"/>
  <c r="AR1" i="52"/>
  <c r="AQ1" i="52"/>
  <c r="BU207" i="51"/>
  <c r="BH207" i="51"/>
  <c r="BB207" i="51"/>
  <c r="AN207" i="51"/>
  <c r="AV207" i="51" s="1"/>
  <c r="AM207" i="51"/>
  <c r="BF207" i="51" s="1"/>
  <c r="AJ207" i="51"/>
  <c r="AI207" i="51"/>
  <c r="AH207" i="51"/>
  <c r="AF207" i="51"/>
  <c r="AE207" i="51"/>
  <c r="AD207" i="51"/>
  <c r="AC207" i="51"/>
  <c r="AB207" i="51"/>
  <c r="AA207" i="51"/>
  <c r="Z207" i="51"/>
  <c r="X207" i="51"/>
  <c r="L207" i="51"/>
  <c r="BD207" i="51" s="1"/>
  <c r="J207" i="51"/>
  <c r="I207" i="51"/>
  <c r="H207" i="51"/>
  <c r="BU205" i="51"/>
  <c r="BH205" i="51"/>
  <c r="BG205" i="51"/>
  <c r="BB205" i="51"/>
  <c r="AN205" i="51"/>
  <c r="AM205" i="51"/>
  <c r="AU205" i="51" s="1"/>
  <c r="AJ205" i="51"/>
  <c r="AH205" i="51"/>
  <c r="AF205" i="51"/>
  <c r="AE205" i="51"/>
  <c r="AD205" i="51"/>
  <c r="AC205" i="51"/>
  <c r="AB205" i="51"/>
  <c r="AA205" i="51"/>
  <c r="Z205" i="51"/>
  <c r="X205" i="51"/>
  <c r="L205" i="51"/>
  <c r="BD205" i="51" s="1"/>
  <c r="J205" i="51"/>
  <c r="AI205" i="51" s="1"/>
  <c r="H205" i="51"/>
  <c r="BU203" i="51"/>
  <c r="BH203" i="51"/>
  <c r="BB203" i="51"/>
  <c r="AV203" i="51"/>
  <c r="AN203" i="51"/>
  <c r="BG203" i="51" s="1"/>
  <c r="AM203" i="51"/>
  <c r="AJ203" i="51"/>
  <c r="AH203" i="51"/>
  <c r="AF203" i="51"/>
  <c r="AE203" i="51"/>
  <c r="AD203" i="51"/>
  <c r="AC203" i="51"/>
  <c r="AB203" i="51"/>
  <c r="AA203" i="51"/>
  <c r="Z203" i="51"/>
  <c r="X203" i="51"/>
  <c r="L203" i="51"/>
  <c r="BD203" i="51" s="1"/>
  <c r="J203" i="51"/>
  <c r="AI203" i="51" s="1"/>
  <c r="I203" i="51"/>
  <c r="BU202" i="51"/>
  <c r="BH202" i="51"/>
  <c r="BD202" i="51"/>
  <c r="BB202" i="51"/>
  <c r="AV202" i="51"/>
  <c r="AU202" i="51"/>
  <c r="AN202" i="51"/>
  <c r="BG202" i="51" s="1"/>
  <c r="AM202" i="51"/>
  <c r="BF202" i="51" s="1"/>
  <c r="AJ202" i="51"/>
  <c r="AH202" i="51"/>
  <c r="AF202" i="51"/>
  <c r="AE202" i="51"/>
  <c r="AD202" i="51"/>
  <c r="AC202" i="51"/>
  <c r="AB202" i="51"/>
  <c r="AA202" i="51"/>
  <c r="Z202" i="51"/>
  <c r="X202" i="51"/>
  <c r="L202" i="51"/>
  <c r="J202" i="51"/>
  <c r="AI202" i="51" s="1"/>
  <c r="I202" i="51"/>
  <c r="H202" i="51"/>
  <c r="BU201" i="51"/>
  <c r="BH201" i="51"/>
  <c r="AF201" i="51" s="1"/>
  <c r="BB201" i="51"/>
  <c r="AU201" i="51"/>
  <c r="AN201" i="51"/>
  <c r="AV201" i="51" s="1"/>
  <c r="AT201" i="51" s="1"/>
  <c r="AM201" i="51"/>
  <c r="BF201" i="51" s="1"/>
  <c r="AJ201" i="51"/>
  <c r="AI201" i="51"/>
  <c r="AH201" i="51"/>
  <c r="AE201" i="51"/>
  <c r="AD201" i="51"/>
  <c r="AC201" i="51"/>
  <c r="AB201" i="51"/>
  <c r="AA201" i="51"/>
  <c r="Z201" i="51"/>
  <c r="X201" i="51"/>
  <c r="L201" i="51"/>
  <c r="BD201" i="51" s="1"/>
  <c r="J201" i="51"/>
  <c r="I201" i="51"/>
  <c r="H201" i="51"/>
  <c r="BU200" i="51"/>
  <c r="BH200" i="51"/>
  <c r="BG200" i="51"/>
  <c r="BB200" i="51"/>
  <c r="AN200" i="51"/>
  <c r="AM200" i="51"/>
  <c r="AU200" i="51" s="1"/>
  <c r="AJ200" i="51"/>
  <c r="AI200" i="51"/>
  <c r="AH200" i="51"/>
  <c r="AF200" i="51"/>
  <c r="AE200" i="51"/>
  <c r="AD200" i="51"/>
  <c r="AC200" i="51"/>
  <c r="AB200" i="51"/>
  <c r="AA200" i="51"/>
  <c r="Z200" i="51"/>
  <c r="X200" i="51"/>
  <c r="L200" i="51"/>
  <c r="BD200" i="51" s="1"/>
  <c r="J200" i="51"/>
  <c r="H200" i="51"/>
  <c r="BU199" i="51"/>
  <c r="BH199" i="51"/>
  <c r="BB199" i="51"/>
  <c r="AV199" i="51"/>
  <c r="AN199" i="51"/>
  <c r="I199" i="51" s="1"/>
  <c r="AM199" i="51"/>
  <c r="AJ199" i="51"/>
  <c r="AH199" i="51"/>
  <c r="AF199" i="51"/>
  <c r="AE199" i="51"/>
  <c r="AD199" i="51"/>
  <c r="AC199" i="51"/>
  <c r="AB199" i="51"/>
  <c r="AA199" i="51"/>
  <c r="Z199" i="51"/>
  <c r="X199" i="51"/>
  <c r="L199" i="51"/>
  <c r="BD199" i="51" s="1"/>
  <c r="J199" i="51"/>
  <c r="AI199" i="51" s="1"/>
  <c r="BU198" i="51"/>
  <c r="BH198" i="51"/>
  <c r="BD198" i="51"/>
  <c r="BB198" i="51"/>
  <c r="AV198" i="51"/>
  <c r="AU198" i="51"/>
  <c r="AN198" i="51"/>
  <c r="BG198" i="51" s="1"/>
  <c r="AM198" i="51"/>
  <c r="H198" i="51" s="1"/>
  <c r="AJ198" i="51"/>
  <c r="AH198" i="51"/>
  <c r="AF198" i="51"/>
  <c r="AE198" i="51"/>
  <c r="AD198" i="51"/>
  <c r="AC198" i="51"/>
  <c r="AB198" i="51"/>
  <c r="AA198" i="51"/>
  <c r="Z198" i="51"/>
  <c r="X198" i="51"/>
  <c r="L198" i="51"/>
  <c r="J198" i="51"/>
  <c r="AI198" i="51" s="1"/>
  <c r="I198" i="51"/>
  <c r="BU197" i="51"/>
  <c r="BH197" i="51"/>
  <c r="AF197" i="51" s="1"/>
  <c r="BD197" i="51"/>
  <c r="BB197" i="51"/>
  <c r="AU197" i="51"/>
  <c r="AN197" i="51"/>
  <c r="AV197" i="51" s="1"/>
  <c r="AT197" i="51" s="1"/>
  <c r="AM197" i="51"/>
  <c r="BF197" i="51" s="1"/>
  <c r="AJ197" i="51"/>
  <c r="AI197" i="51"/>
  <c r="AH197" i="51"/>
  <c r="AE197" i="51"/>
  <c r="AD197" i="51"/>
  <c r="AC197" i="51"/>
  <c r="AB197" i="51"/>
  <c r="AA197" i="51"/>
  <c r="Z197" i="51"/>
  <c r="X197" i="51"/>
  <c r="L197" i="51"/>
  <c r="J197" i="51"/>
  <c r="I197" i="51"/>
  <c r="H197" i="51"/>
  <c r="BU196" i="51"/>
  <c r="BH196" i="51"/>
  <c r="BB196" i="51"/>
  <c r="AN196" i="51"/>
  <c r="AM196" i="51"/>
  <c r="AU196" i="51" s="1"/>
  <c r="AJ196" i="51"/>
  <c r="AI196" i="51"/>
  <c r="AH196" i="51"/>
  <c r="AQ183" i="51" s="1"/>
  <c r="AF196" i="51"/>
  <c r="AE196" i="51"/>
  <c r="AD196" i="51"/>
  <c r="AC196" i="51"/>
  <c r="AB196" i="51"/>
  <c r="AA196" i="51"/>
  <c r="Z196" i="51"/>
  <c r="X196" i="51"/>
  <c r="L196" i="51"/>
  <c r="BD196" i="51" s="1"/>
  <c r="J196" i="51"/>
  <c r="H196" i="51"/>
  <c r="BU195" i="51"/>
  <c r="BH195" i="51"/>
  <c r="BB195" i="51"/>
  <c r="AV195" i="51"/>
  <c r="AN195" i="51"/>
  <c r="I195" i="51" s="1"/>
  <c r="AM195" i="51"/>
  <c r="AJ195" i="51"/>
  <c r="AH195" i="51"/>
  <c r="AF195" i="51"/>
  <c r="AE195" i="51"/>
  <c r="AD195" i="51"/>
  <c r="AC195" i="51"/>
  <c r="AB195" i="51"/>
  <c r="AA195" i="51"/>
  <c r="Z195" i="51"/>
  <c r="X195" i="51"/>
  <c r="L195" i="51"/>
  <c r="BD195" i="51" s="1"/>
  <c r="J195" i="51"/>
  <c r="AI195" i="51" s="1"/>
  <c r="BU194" i="51"/>
  <c r="BH194" i="51"/>
  <c r="BD194" i="51"/>
  <c r="BB194" i="51"/>
  <c r="AV194" i="51"/>
  <c r="AU194" i="51"/>
  <c r="AN194" i="51"/>
  <c r="BG194" i="51" s="1"/>
  <c r="AM194" i="51"/>
  <c r="H194" i="51" s="1"/>
  <c r="AJ194" i="51"/>
  <c r="AH194" i="51"/>
  <c r="AF194" i="51"/>
  <c r="AE194" i="51"/>
  <c r="AD194" i="51"/>
  <c r="AC194" i="51"/>
  <c r="AB194" i="51"/>
  <c r="AA194" i="51"/>
  <c r="Z194" i="51"/>
  <c r="X194" i="51"/>
  <c r="L194" i="51"/>
  <c r="J194" i="51"/>
  <c r="AI194" i="51" s="1"/>
  <c r="I194" i="51"/>
  <c r="BU192" i="51"/>
  <c r="BH192" i="51"/>
  <c r="AF192" i="51" s="1"/>
  <c r="BD192" i="51"/>
  <c r="BB192" i="51"/>
  <c r="AU192" i="51"/>
  <c r="BA192" i="51" s="1"/>
  <c r="AN192" i="51"/>
  <c r="AV192" i="51" s="1"/>
  <c r="AT192" i="51" s="1"/>
  <c r="AM192" i="51"/>
  <c r="BF192" i="51" s="1"/>
  <c r="AJ192" i="51"/>
  <c r="AI192" i="51"/>
  <c r="AH192" i="51"/>
  <c r="AE192" i="51"/>
  <c r="AD192" i="51"/>
  <c r="AC192" i="51"/>
  <c r="AB192" i="51"/>
  <c r="AA192" i="51"/>
  <c r="Z192" i="51"/>
  <c r="X192" i="51"/>
  <c r="L192" i="51"/>
  <c r="J192" i="51"/>
  <c r="I192" i="51"/>
  <c r="H192" i="51"/>
  <c r="BU190" i="51"/>
  <c r="BH190" i="51"/>
  <c r="BG190" i="51"/>
  <c r="BB190" i="51"/>
  <c r="AN190" i="51"/>
  <c r="AM190" i="51"/>
  <c r="AU190" i="51" s="1"/>
  <c r="AJ190" i="51"/>
  <c r="AI190" i="51"/>
  <c r="AH190" i="51"/>
  <c r="AF190" i="51"/>
  <c r="AE190" i="51"/>
  <c r="AD190" i="51"/>
  <c r="AC190" i="51"/>
  <c r="AB190" i="51"/>
  <c r="AA190" i="51"/>
  <c r="Z190" i="51"/>
  <c r="X190" i="51"/>
  <c r="L190" i="51"/>
  <c r="BD190" i="51" s="1"/>
  <c r="J190" i="51"/>
  <c r="H190" i="51"/>
  <c r="BU188" i="51"/>
  <c r="BH188" i="51"/>
  <c r="BB188" i="51"/>
  <c r="AV188" i="51"/>
  <c r="AN188" i="51"/>
  <c r="I188" i="51" s="1"/>
  <c r="AM188" i="51"/>
  <c r="AJ188" i="51"/>
  <c r="AH188" i="51"/>
  <c r="AF188" i="51"/>
  <c r="AE188" i="51"/>
  <c r="AD188" i="51"/>
  <c r="AC188" i="51"/>
  <c r="AB188" i="51"/>
  <c r="AA188" i="51"/>
  <c r="Z188" i="51"/>
  <c r="X188" i="51"/>
  <c r="L188" i="51"/>
  <c r="J188" i="51"/>
  <c r="AI188" i="51" s="1"/>
  <c r="BU186" i="51"/>
  <c r="BH186" i="51"/>
  <c r="BD186" i="51"/>
  <c r="BB186" i="51"/>
  <c r="AV186" i="51"/>
  <c r="AU186" i="51"/>
  <c r="AN186" i="51"/>
  <c r="BG186" i="51" s="1"/>
  <c r="AM186" i="51"/>
  <c r="H186" i="51" s="1"/>
  <c r="AJ186" i="51"/>
  <c r="AH186" i="51"/>
  <c r="AF186" i="51"/>
  <c r="AE186" i="51"/>
  <c r="AD186" i="51"/>
  <c r="AC186" i="51"/>
  <c r="AB186" i="51"/>
  <c r="AA186" i="51"/>
  <c r="Z186" i="51"/>
  <c r="X186" i="51"/>
  <c r="L186" i="51"/>
  <c r="J186" i="51"/>
  <c r="I186" i="51"/>
  <c r="BU184" i="51"/>
  <c r="BH184" i="51"/>
  <c r="AF184" i="51" s="1"/>
  <c r="BD184" i="51"/>
  <c r="BB184" i="51"/>
  <c r="AU184" i="51"/>
  <c r="AT184" i="51"/>
  <c r="AN184" i="51"/>
  <c r="AV184" i="51" s="1"/>
  <c r="AM184" i="51"/>
  <c r="BF184" i="51" s="1"/>
  <c r="AJ184" i="51"/>
  <c r="AI184" i="51"/>
  <c r="AH184" i="51"/>
  <c r="AE184" i="51"/>
  <c r="AD184" i="51"/>
  <c r="AC184" i="51"/>
  <c r="AB184" i="51"/>
  <c r="AA184" i="51"/>
  <c r="Z184" i="51"/>
  <c r="X184" i="51"/>
  <c r="L184" i="51"/>
  <c r="J184" i="51"/>
  <c r="I184" i="51"/>
  <c r="H184" i="51"/>
  <c r="BU181" i="51"/>
  <c r="BH181" i="51"/>
  <c r="BB181" i="51"/>
  <c r="AV181" i="51"/>
  <c r="AN181" i="51"/>
  <c r="BG181" i="51" s="1"/>
  <c r="AM181" i="51"/>
  <c r="AJ181" i="51"/>
  <c r="AH181" i="51"/>
  <c r="AF181" i="51"/>
  <c r="AE181" i="51"/>
  <c r="AD181" i="51"/>
  <c r="AC181" i="51"/>
  <c r="AB181" i="51"/>
  <c r="AA181" i="51"/>
  <c r="Z181" i="51"/>
  <c r="X181" i="51"/>
  <c r="L181" i="51"/>
  <c r="BD181" i="51" s="1"/>
  <c r="J181" i="51"/>
  <c r="AI181" i="51" s="1"/>
  <c r="I181" i="51"/>
  <c r="BU179" i="51"/>
  <c r="BH179" i="51"/>
  <c r="BD179" i="51"/>
  <c r="BB179" i="51"/>
  <c r="AU179" i="51"/>
  <c r="AN179" i="51"/>
  <c r="BG179" i="51" s="1"/>
  <c r="AM179" i="51"/>
  <c r="BF179" i="51" s="1"/>
  <c r="AJ179" i="51"/>
  <c r="AH179" i="51"/>
  <c r="AF179" i="51"/>
  <c r="AE179" i="51"/>
  <c r="AD179" i="51"/>
  <c r="AC179" i="51"/>
  <c r="AB179" i="51"/>
  <c r="AA179" i="51"/>
  <c r="Z179" i="51"/>
  <c r="X179" i="51"/>
  <c r="L179" i="51"/>
  <c r="J179" i="51"/>
  <c r="AI179" i="51" s="1"/>
  <c r="I179" i="51"/>
  <c r="H179" i="51"/>
  <c r="BU178" i="51"/>
  <c r="BH178" i="51"/>
  <c r="X178" i="51" s="1"/>
  <c r="BB178" i="51"/>
  <c r="AN178" i="51"/>
  <c r="AV178" i="51" s="1"/>
  <c r="AM178" i="51"/>
  <c r="BF178" i="51" s="1"/>
  <c r="AJ178" i="51"/>
  <c r="AI178" i="51"/>
  <c r="AH178" i="51"/>
  <c r="AF178" i="51"/>
  <c r="AE178" i="51"/>
  <c r="AD178" i="51"/>
  <c r="AC178" i="51"/>
  <c r="AB178" i="51"/>
  <c r="AA178" i="51"/>
  <c r="Z178" i="51"/>
  <c r="L178" i="51"/>
  <c r="BD178" i="51" s="1"/>
  <c r="J178" i="51"/>
  <c r="I178" i="51"/>
  <c r="H178" i="51"/>
  <c r="BU177" i="51"/>
  <c r="BH177" i="51"/>
  <c r="BB177" i="51"/>
  <c r="AN177" i="51"/>
  <c r="BG177" i="51" s="1"/>
  <c r="AM177" i="51"/>
  <c r="AU177" i="51" s="1"/>
  <c r="AJ177" i="51"/>
  <c r="AH177" i="51"/>
  <c r="AQ175" i="51" s="1"/>
  <c r="AF177" i="51"/>
  <c r="AE177" i="51"/>
  <c r="AD177" i="51"/>
  <c r="AC177" i="51"/>
  <c r="AB177" i="51"/>
  <c r="AA177" i="51"/>
  <c r="Z177" i="51"/>
  <c r="X177" i="51"/>
  <c r="L177" i="51"/>
  <c r="BD177" i="51" s="1"/>
  <c r="J177" i="51"/>
  <c r="AI177" i="51" s="1"/>
  <c r="H177" i="51"/>
  <c r="BU176" i="51"/>
  <c r="BH176" i="51"/>
  <c r="BB176" i="51"/>
  <c r="AV176" i="51"/>
  <c r="AN176" i="51"/>
  <c r="BG176" i="51" s="1"/>
  <c r="AM176" i="51"/>
  <c r="AJ176" i="51"/>
  <c r="AH176" i="51"/>
  <c r="AF176" i="51"/>
  <c r="AE176" i="51"/>
  <c r="AD176" i="51"/>
  <c r="AC176" i="51"/>
  <c r="AB176" i="51"/>
  <c r="AA176" i="51"/>
  <c r="Z176" i="51"/>
  <c r="X176" i="51"/>
  <c r="L176" i="51"/>
  <c r="J176" i="51"/>
  <c r="AI176" i="51" s="1"/>
  <c r="AR175" i="51" s="1"/>
  <c r="I176" i="51"/>
  <c r="AS175" i="51"/>
  <c r="J175" i="51"/>
  <c r="BU174" i="51"/>
  <c r="BH174" i="51"/>
  <c r="X174" i="51" s="1"/>
  <c r="BB174" i="51"/>
  <c r="AN174" i="51"/>
  <c r="AV174" i="51" s="1"/>
  <c r="AM174" i="51"/>
  <c r="BF174" i="51" s="1"/>
  <c r="AJ174" i="51"/>
  <c r="AI174" i="51"/>
  <c r="AH174" i="51"/>
  <c r="AF174" i="51"/>
  <c r="AE174" i="51"/>
  <c r="AD174" i="51"/>
  <c r="AC174" i="51"/>
  <c r="AB174" i="51"/>
  <c r="AA174" i="51"/>
  <c r="Z174" i="51"/>
  <c r="L174" i="51"/>
  <c r="BD174" i="51" s="1"/>
  <c r="J174" i="51"/>
  <c r="I174" i="51"/>
  <c r="H174" i="51"/>
  <c r="BU172" i="51"/>
  <c r="BH172" i="51"/>
  <c r="BG172" i="51"/>
  <c r="BB172" i="51"/>
  <c r="AN172" i="51"/>
  <c r="AM172" i="51"/>
  <c r="AU172" i="51" s="1"/>
  <c r="AJ172" i="51"/>
  <c r="AH172" i="51"/>
  <c r="AQ168" i="51" s="1"/>
  <c r="AF172" i="51"/>
  <c r="AE172" i="51"/>
  <c r="AD172" i="51"/>
  <c r="AC172" i="51"/>
  <c r="AB172" i="51"/>
  <c r="AA172" i="51"/>
  <c r="Z172" i="51"/>
  <c r="X172" i="51"/>
  <c r="L172" i="51"/>
  <c r="BD172" i="51" s="1"/>
  <c r="J172" i="51"/>
  <c r="AI172" i="51" s="1"/>
  <c r="H172" i="51"/>
  <c r="BU170" i="51"/>
  <c r="BH170" i="51"/>
  <c r="BB170" i="51"/>
  <c r="AV170" i="51"/>
  <c r="AN170" i="51"/>
  <c r="BG170" i="51" s="1"/>
  <c r="AM170" i="51"/>
  <c r="AJ170" i="51"/>
  <c r="AH170" i="51"/>
  <c r="AF170" i="51"/>
  <c r="AE170" i="51"/>
  <c r="AD170" i="51"/>
  <c r="AC170" i="51"/>
  <c r="AB170" i="51"/>
  <c r="AA170" i="51"/>
  <c r="Z170" i="51"/>
  <c r="X170" i="51"/>
  <c r="L170" i="51"/>
  <c r="J170" i="51"/>
  <c r="AI170" i="51" s="1"/>
  <c r="I170" i="51"/>
  <c r="BU169" i="51"/>
  <c r="BH169" i="51"/>
  <c r="BD169" i="51"/>
  <c r="BB169" i="51"/>
  <c r="AU169" i="51"/>
  <c r="AN169" i="51"/>
  <c r="BG169" i="51" s="1"/>
  <c r="AM169" i="51"/>
  <c r="BF169" i="51" s="1"/>
  <c r="AJ169" i="51"/>
  <c r="AS168" i="51" s="1"/>
  <c r="AH169" i="51"/>
  <c r="AF169" i="51"/>
  <c r="AE169" i="51"/>
  <c r="AD169" i="51"/>
  <c r="AC169" i="51"/>
  <c r="AB169" i="51"/>
  <c r="AA169" i="51"/>
  <c r="Z169" i="51"/>
  <c r="X169" i="51"/>
  <c r="L169" i="51"/>
  <c r="J169" i="51"/>
  <c r="I169" i="51"/>
  <c r="H169" i="51"/>
  <c r="BU166" i="51"/>
  <c r="BH166" i="51"/>
  <c r="BB166" i="51"/>
  <c r="AN166" i="51"/>
  <c r="BG166" i="51" s="1"/>
  <c r="AA166" i="51" s="1"/>
  <c r="AM166" i="51"/>
  <c r="AU166" i="51" s="1"/>
  <c r="AJ166" i="51"/>
  <c r="AH166" i="51"/>
  <c r="AQ165" i="51" s="1"/>
  <c r="AF166" i="51"/>
  <c r="AE166" i="51"/>
  <c r="AD166" i="51"/>
  <c r="AC166" i="51"/>
  <c r="AB166" i="51"/>
  <c r="X166" i="51"/>
  <c r="L166" i="51"/>
  <c r="BD166" i="51" s="1"/>
  <c r="J166" i="51"/>
  <c r="AI166" i="51" s="1"/>
  <c r="AR165" i="51" s="1"/>
  <c r="H166" i="51"/>
  <c r="H165" i="51" s="1"/>
  <c r="AS165" i="51"/>
  <c r="L165" i="51"/>
  <c r="J165" i="51"/>
  <c r="BU163" i="51"/>
  <c r="BH163" i="51"/>
  <c r="BD163" i="51"/>
  <c r="BB163" i="51"/>
  <c r="AU163" i="51"/>
  <c r="AN163" i="51"/>
  <c r="BG163" i="51" s="1"/>
  <c r="AM163" i="51"/>
  <c r="BF163" i="51" s="1"/>
  <c r="Z163" i="51" s="1"/>
  <c r="AJ163" i="51"/>
  <c r="AS160" i="51" s="1"/>
  <c r="AH163" i="51"/>
  <c r="AF163" i="51"/>
  <c r="AE163" i="51"/>
  <c r="AD163" i="51"/>
  <c r="AC163" i="51"/>
  <c r="AB163" i="51"/>
  <c r="AA163" i="51"/>
  <c r="X163" i="51"/>
  <c r="L163" i="51"/>
  <c r="J163" i="51"/>
  <c r="I163" i="51"/>
  <c r="H163" i="51"/>
  <c r="BU161" i="51"/>
  <c r="BH161" i="51"/>
  <c r="BB161" i="51"/>
  <c r="AN161" i="51"/>
  <c r="AV161" i="51" s="1"/>
  <c r="AM161" i="51"/>
  <c r="BF161" i="51" s="1"/>
  <c r="AJ161" i="51"/>
  <c r="AI161" i="51"/>
  <c r="AH161" i="51"/>
  <c r="AF161" i="51"/>
  <c r="AE161" i="51"/>
  <c r="AD161" i="51"/>
  <c r="AC161" i="51"/>
  <c r="AB161" i="51"/>
  <c r="Z161" i="51"/>
  <c r="X161" i="51"/>
  <c r="L161" i="51"/>
  <c r="BD161" i="51" s="1"/>
  <c r="J161" i="51"/>
  <c r="I161" i="51"/>
  <c r="I160" i="51" s="1"/>
  <c r="H161" i="51"/>
  <c r="AQ160" i="51"/>
  <c r="L160" i="51"/>
  <c r="H160" i="51"/>
  <c r="BU158" i="51"/>
  <c r="BH158" i="51"/>
  <c r="BB158" i="51"/>
  <c r="AV158" i="51"/>
  <c r="AN158" i="51"/>
  <c r="BG158" i="51" s="1"/>
  <c r="AA158" i="51" s="1"/>
  <c r="AM158" i="51"/>
  <c r="AJ158" i="51"/>
  <c r="AH158" i="51"/>
  <c r="AF158" i="51"/>
  <c r="AE158" i="51"/>
  <c r="AD158" i="51"/>
  <c r="AC158" i="51"/>
  <c r="AB158" i="51"/>
  <c r="X158" i="51"/>
  <c r="L158" i="51"/>
  <c r="J158" i="51"/>
  <c r="AI158" i="51" s="1"/>
  <c r="AR157" i="51" s="1"/>
  <c r="I158" i="51"/>
  <c r="AS157" i="51"/>
  <c r="AQ157" i="51"/>
  <c r="J157" i="51"/>
  <c r="I157" i="51"/>
  <c r="BU155" i="51"/>
  <c r="BH155" i="51"/>
  <c r="BB155" i="51"/>
  <c r="AN155" i="51"/>
  <c r="AV155" i="51" s="1"/>
  <c r="AM155" i="51"/>
  <c r="BF155" i="51" s="1"/>
  <c r="Z155" i="51" s="1"/>
  <c r="AJ155" i="51"/>
  <c r="AH155" i="51"/>
  <c r="AF155" i="51"/>
  <c r="AE155" i="51"/>
  <c r="AD155" i="51"/>
  <c r="AC155" i="51"/>
  <c r="AB155" i="51"/>
  <c r="X155" i="51"/>
  <c r="L155" i="51"/>
  <c r="BD155" i="51" s="1"/>
  <c r="J155" i="51"/>
  <c r="AI155" i="51" s="1"/>
  <c r="I155" i="51"/>
  <c r="H155" i="51"/>
  <c r="BU153" i="51"/>
  <c r="BH153" i="51"/>
  <c r="BB153" i="51"/>
  <c r="AV153" i="51"/>
  <c r="AN153" i="51"/>
  <c r="BG153" i="51" s="1"/>
  <c r="AA153" i="51" s="1"/>
  <c r="AM153" i="51"/>
  <c r="AJ153" i="51"/>
  <c r="AH153" i="51"/>
  <c r="AF153" i="51"/>
  <c r="AE153" i="51"/>
  <c r="AD153" i="51"/>
  <c r="AC153" i="51"/>
  <c r="AB153" i="51"/>
  <c r="X153" i="51"/>
  <c r="L153" i="51"/>
  <c r="BD153" i="51" s="1"/>
  <c r="J153" i="51"/>
  <c r="AI153" i="51" s="1"/>
  <c r="I153" i="51"/>
  <c r="BU151" i="51"/>
  <c r="BH151" i="51"/>
  <c r="BD151" i="51"/>
  <c r="BB151" i="51"/>
  <c r="AU151" i="51"/>
  <c r="AN151" i="51"/>
  <c r="BG151" i="51" s="1"/>
  <c r="AM151" i="51"/>
  <c r="BF151" i="51" s="1"/>
  <c r="Z151" i="51" s="1"/>
  <c r="AJ151" i="51"/>
  <c r="AH151" i="51"/>
  <c r="AF151" i="51"/>
  <c r="AE151" i="51"/>
  <c r="AD151" i="51"/>
  <c r="AC151" i="51"/>
  <c r="AB151" i="51"/>
  <c r="AA151" i="51"/>
  <c r="X151" i="51"/>
  <c r="L151" i="51"/>
  <c r="J151" i="51"/>
  <c r="AI151" i="51" s="1"/>
  <c r="I151" i="51"/>
  <c r="H151" i="51"/>
  <c r="BU149" i="51"/>
  <c r="BH149" i="51"/>
  <c r="BB149" i="51"/>
  <c r="AN149" i="51"/>
  <c r="BG149" i="51" s="1"/>
  <c r="AA149" i="51" s="1"/>
  <c r="AM149" i="51"/>
  <c r="BF149" i="51" s="1"/>
  <c r="AJ149" i="51"/>
  <c r="AI149" i="51"/>
  <c r="AH149" i="51"/>
  <c r="AF149" i="51"/>
  <c r="AE149" i="51"/>
  <c r="AD149" i="51"/>
  <c r="AC149" i="51"/>
  <c r="AB149" i="51"/>
  <c r="Z149" i="51"/>
  <c r="X149" i="51"/>
  <c r="L149" i="51"/>
  <c r="BD149" i="51" s="1"/>
  <c r="J149" i="51"/>
  <c r="I149" i="51"/>
  <c r="H149" i="51"/>
  <c r="BU147" i="51"/>
  <c r="BH147" i="51"/>
  <c r="BG147" i="51"/>
  <c r="AA147" i="51" s="1"/>
  <c r="BB147" i="51"/>
  <c r="AN147" i="51"/>
  <c r="AM147" i="51"/>
  <c r="BF147" i="51" s="1"/>
  <c r="Z147" i="51" s="1"/>
  <c r="AJ147" i="51"/>
  <c r="AH147" i="51"/>
  <c r="AF147" i="51"/>
  <c r="AE147" i="51"/>
  <c r="AD147" i="51"/>
  <c r="AC147" i="51"/>
  <c r="AB147" i="51"/>
  <c r="X147" i="51"/>
  <c r="L147" i="51"/>
  <c r="BD147" i="51" s="1"/>
  <c r="J147" i="51"/>
  <c r="AI147" i="51" s="1"/>
  <c r="H147" i="51"/>
  <c r="BU145" i="51"/>
  <c r="BH145" i="51"/>
  <c r="BB145" i="51"/>
  <c r="AV145" i="51"/>
  <c r="AN145" i="51"/>
  <c r="BG145" i="51" s="1"/>
  <c r="AA145" i="51" s="1"/>
  <c r="AM145" i="51"/>
  <c r="AJ145" i="51"/>
  <c r="AH145" i="51"/>
  <c r="AF145" i="51"/>
  <c r="AE145" i="51"/>
  <c r="AD145" i="51"/>
  <c r="AC145" i="51"/>
  <c r="AB145" i="51"/>
  <c r="X145" i="51"/>
  <c r="L145" i="51"/>
  <c r="BD145" i="51" s="1"/>
  <c r="J145" i="51"/>
  <c r="AI145" i="51" s="1"/>
  <c r="I145" i="51"/>
  <c r="BU143" i="51"/>
  <c r="BH143" i="51"/>
  <c r="BD143" i="51"/>
  <c r="BB143" i="51"/>
  <c r="AU143" i="51"/>
  <c r="AN143" i="51"/>
  <c r="BG143" i="51" s="1"/>
  <c r="AM143" i="51"/>
  <c r="BF143" i="51" s="1"/>
  <c r="Z143" i="51" s="1"/>
  <c r="AJ143" i="51"/>
  <c r="AH143" i="51"/>
  <c r="AF143" i="51"/>
  <c r="AE143" i="51"/>
  <c r="AD143" i="51"/>
  <c r="AC143" i="51"/>
  <c r="AB143" i="51"/>
  <c r="AA143" i="51"/>
  <c r="X143" i="51"/>
  <c r="L143" i="51"/>
  <c r="J143" i="51"/>
  <c r="AI143" i="51" s="1"/>
  <c r="I143" i="51"/>
  <c r="H143" i="51"/>
  <c r="BU141" i="51"/>
  <c r="BH141" i="51"/>
  <c r="BB141" i="51"/>
  <c r="AN141" i="51"/>
  <c r="BG141" i="51" s="1"/>
  <c r="AA141" i="51" s="1"/>
  <c r="AM141" i="51"/>
  <c r="BF141" i="51" s="1"/>
  <c r="AJ141" i="51"/>
  <c r="AI141" i="51"/>
  <c r="AH141" i="51"/>
  <c r="AF141" i="51"/>
  <c r="AE141" i="51"/>
  <c r="AD141" i="51"/>
  <c r="AC141" i="51"/>
  <c r="AB141" i="51"/>
  <c r="Z141" i="51"/>
  <c r="X141" i="51"/>
  <c r="L141" i="51"/>
  <c r="BD141" i="51" s="1"/>
  <c r="J141" i="51"/>
  <c r="I141" i="51"/>
  <c r="H141" i="51"/>
  <c r="BU139" i="51"/>
  <c r="BH139" i="51"/>
  <c r="BG139" i="51"/>
  <c r="AA139" i="51" s="1"/>
  <c r="BB139" i="51"/>
  <c r="AN139" i="51"/>
  <c r="AM139" i="51"/>
  <c r="BF139" i="51" s="1"/>
  <c r="Z139" i="51" s="1"/>
  <c r="AJ139" i="51"/>
  <c r="AH139" i="51"/>
  <c r="AQ134" i="51" s="1"/>
  <c r="AF139" i="51"/>
  <c r="AE139" i="51"/>
  <c r="AD139" i="51"/>
  <c r="AC139" i="51"/>
  <c r="AB139" i="51"/>
  <c r="X139" i="51"/>
  <c r="L139" i="51"/>
  <c r="BD139" i="51" s="1"/>
  <c r="J139" i="51"/>
  <c r="AI139" i="51" s="1"/>
  <c r="H139" i="51"/>
  <c r="BU137" i="51"/>
  <c r="BH137" i="51"/>
  <c r="BB137" i="51"/>
  <c r="AV137" i="51"/>
  <c r="AN137" i="51"/>
  <c r="BG137" i="51" s="1"/>
  <c r="AA137" i="51" s="1"/>
  <c r="AM137" i="51"/>
  <c r="AJ137" i="51"/>
  <c r="AH137" i="51"/>
  <c r="AF137" i="51"/>
  <c r="AE137" i="51"/>
  <c r="AD137" i="51"/>
  <c r="AC137" i="51"/>
  <c r="AB137" i="51"/>
  <c r="X137" i="51"/>
  <c r="L137" i="51"/>
  <c r="J137" i="51"/>
  <c r="AI137" i="51" s="1"/>
  <c r="I137" i="51"/>
  <c r="BU135" i="51"/>
  <c r="BH135" i="51"/>
  <c r="BD135" i="51"/>
  <c r="BB135" i="51"/>
  <c r="AU135" i="51"/>
  <c r="AN135" i="51"/>
  <c r="BG135" i="51" s="1"/>
  <c r="AM135" i="51"/>
  <c r="BF135" i="51" s="1"/>
  <c r="Z135" i="51" s="1"/>
  <c r="AJ135" i="51"/>
  <c r="AS134" i="51" s="1"/>
  <c r="AH135" i="51"/>
  <c r="AF135" i="51"/>
  <c r="AE135" i="51"/>
  <c r="AD135" i="51"/>
  <c r="AC135" i="51"/>
  <c r="AB135" i="51"/>
  <c r="AA135" i="51"/>
  <c r="X135" i="51"/>
  <c r="L135" i="51"/>
  <c r="J135" i="51"/>
  <c r="I135" i="51"/>
  <c r="H135" i="51"/>
  <c r="BU132" i="51"/>
  <c r="BH132" i="51"/>
  <c r="BB132" i="51"/>
  <c r="AN132" i="51"/>
  <c r="BG132" i="51" s="1"/>
  <c r="AA132" i="51" s="1"/>
  <c r="AM132" i="51"/>
  <c r="BF132" i="51" s="1"/>
  <c r="Z132" i="51" s="1"/>
  <c r="AJ132" i="51"/>
  <c r="AH132" i="51"/>
  <c r="AQ125" i="51" s="1"/>
  <c r="AF132" i="51"/>
  <c r="AE132" i="51"/>
  <c r="AD132" i="51"/>
  <c r="AC132" i="51"/>
  <c r="AB132" i="51"/>
  <c r="X132" i="51"/>
  <c r="L132" i="51"/>
  <c r="BD132" i="51" s="1"/>
  <c r="J132" i="51"/>
  <c r="AI132" i="51" s="1"/>
  <c r="H132" i="51"/>
  <c r="BU130" i="51"/>
  <c r="BH130" i="51"/>
  <c r="BB130" i="51"/>
  <c r="AV130" i="51"/>
  <c r="AN130" i="51"/>
  <c r="BG130" i="51" s="1"/>
  <c r="AA130" i="51" s="1"/>
  <c r="AM130" i="51"/>
  <c r="BF130" i="51" s="1"/>
  <c r="Z130" i="51" s="1"/>
  <c r="AJ130" i="51"/>
  <c r="AH130" i="51"/>
  <c r="AF130" i="51"/>
  <c r="AE130" i="51"/>
  <c r="AD130" i="51"/>
  <c r="AC130" i="51"/>
  <c r="AB130" i="51"/>
  <c r="X130" i="51"/>
  <c r="L130" i="51"/>
  <c r="J130" i="51"/>
  <c r="AI130" i="51" s="1"/>
  <c r="I130" i="51"/>
  <c r="BU128" i="51"/>
  <c r="BH128" i="51"/>
  <c r="BD128" i="51"/>
  <c r="BB128" i="51"/>
  <c r="AU128" i="51"/>
  <c r="AN128" i="51"/>
  <c r="BG128" i="51" s="1"/>
  <c r="AA128" i="51" s="1"/>
  <c r="AM128" i="51"/>
  <c r="BF128" i="51" s="1"/>
  <c r="Z128" i="51" s="1"/>
  <c r="AJ128" i="51"/>
  <c r="AS125" i="51" s="1"/>
  <c r="AH128" i="51"/>
  <c r="AF128" i="51"/>
  <c r="AE128" i="51"/>
  <c r="AD128" i="51"/>
  <c r="AC128" i="51"/>
  <c r="AB128" i="51"/>
  <c r="X128" i="51"/>
  <c r="L128" i="51"/>
  <c r="J128" i="51"/>
  <c r="I128" i="51"/>
  <c r="H128" i="51"/>
  <c r="BU126" i="51"/>
  <c r="BH126" i="51"/>
  <c r="BB126" i="51"/>
  <c r="AN126" i="51"/>
  <c r="BG126" i="51" s="1"/>
  <c r="AA126" i="51" s="1"/>
  <c r="AM126" i="51"/>
  <c r="BF126" i="51" s="1"/>
  <c r="Z126" i="51" s="1"/>
  <c r="AJ126" i="51"/>
  <c r="AI126" i="51"/>
  <c r="AH126" i="51"/>
  <c r="AF126" i="51"/>
  <c r="AE126" i="51"/>
  <c r="AD126" i="51"/>
  <c r="AC126" i="51"/>
  <c r="AB126" i="51"/>
  <c r="X126" i="51"/>
  <c r="L126" i="51"/>
  <c r="BD126" i="51" s="1"/>
  <c r="J126" i="51"/>
  <c r="I126" i="51"/>
  <c r="H126" i="51"/>
  <c r="BU123" i="51"/>
  <c r="BH123" i="51"/>
  <c r="BB123" i="51"/>
  <c r="AV123" i="51"/>
  <c r="AN123" i="51"/>
  <c r="BG123" i="51" s="1"/>
  <c r="AA123" i="51" s="1"/>
  <c r="AM123" i="51"/>
  <c r="AJ123" i="51"/>
  <c r="AH123" i="51"/>
  <c r="AF123" i="51"/>
  <c r="AE123" i="51"/>
  <c r="AD123" i="51"/>
  <c r="AC123" i="51"/>
  <c r="AB123" i="51"/>
  <c r="X123" i="51"/>
  <c r="L123" i="51"/>
  <c r="J123" i="51"/>
  <c r="AI123" i="51" s="1"/>
  <c r="AR122" i="51" s="1"/>
  <c r="I123" i="51"/>
  <c r="AS122" i="51"/>
  <c r="AQ122" i="51"/>
  <c r="J122" i="51"/>
  <c r="I122" i="51"/>
  <c r="BU120" i="51"/>
  <c r="BH120" i="51"/>
  <c r="BB120" i="51"/>
  <c r="AN120" i="51"/>
  <c r="BG120" i="51" s="1"/>
  <c r="AA120" i="51" s="1"/>
  <c r="AM120" i="51"/>
  <c r="BF120" i="51" s="1"/>
  <c r="Z120" i="51" s="1"/>
  <c r="AJ120" i="51"/>
  <c r="AI120" i="51"/>
  <c r="AH120" i="51"/>
  <c r="AF120" i="51"/>
  <c r="AE120" i="51"/>
  <c r="AD120" i="51"/>
  <c r="AC120" i="51"/>
  <c r="AB120" i="51"/>
  <c r="X120" i="51"/>
  <c r="L120" i="51"/>
  <c r="BD120" i="51" s="1"/>
  <c r="J120" i="51"/>
  <c r="I120" i="51"/>
  <c r="H120" i="51"/>
  <c r="BU118" i="51"/>
  <c r="BH118" i="51"/>
  <c r="BB118" i="51"/>
  <c r="AN118" i="51"/>
  <c r="BG118" i="51" s="1"/>
  <c r="AA118" i="51" s="1"/>
  <c r="AM118" i="51"/>
  <c r="BF118" i="51" s="1"/>
  <c r="Z118" i="51" s="1"/>
  <c r="AJ118" i="51"/>
  <c r="AH118" i="51"/>
  <c r="AF118" i="51"/>
  <c r="AE118" i="51"/>
  <c r="AD118" i="51"/>
  <c r="AC118" i="51"/>
  <c r="AB118" i="51"/>
  <c r="X118" i="51"/>
  <c r="L118" i="51"/>
  <c r="BD118" i="51" s="1"/>
  <c r="J118" i="51"/>
  <c r="AI118" i="51" s="1"/>
  <c r="H118" i="51"/>
  <c r="BU116" i="51"/>
  <c r="BH116" i="51"/>
  <c r="BB116" i="51"/>
  <c r="AV116" i="51"/>
  <c r="AN116" i="51"/>
  <c r="BG116" i="51" s="1"/>
  <c r="AA116" i="51" s="1"/>
  <c r="AM116" i="51"/>
  <c r="AJ116" i="51"/>
  <c r="AH116" i="51"/>
  <c r="AF116" i="51"/>
  <c r="AE116" i="51"/>
  <c r="AD116" i="51"/>
  <c r="AC116" i="51"/>
  <c r="AB116" i="51"/>
  <c r="X116" i="51"/>
  <c r="L116" i="51"/>
  <c r="BD116" i="51" s="1"/>
  <c r="J116" i="51"/>
  <c r="AI116" i="51" s="1"/>
  <c r="I116" i="51"/>
  <c r="BU114" i="51"/>
  <c r="BH114" i="51"/>
  <c r="BD114" i="51"/>
  <c r="BB114" i="51"/>
  <c r="AU114" i="51"/>
  <c r="AN114" i="51"/>
  <c r="I114" i="51" s="1"/>
  <c r="AM114" i="51"/>
  <c r="BF114" i="51" s="1"/>
  <c r="Z114" i="51" s="1"/>
  <c r="AJ114" i="51"/>
  <c r="AH114" i="51"/>
  <c r="AF114" i="51"/>
  <c r="AE114" i="51"/>
  <c r="AD114" i="51"/>
  <c r="AC114" i="51"/>
  <c r="AB114" i="51"/>
  <c r="X114" i="51"/>
  <c r="L114" i="51"/>
  <c r="J114" i="51"/>
  <c r="AI114" i="51" s="1"/>
  <c r="H114" i="51"/>
  <c r="BU112" i="51"/>
  <c r="BH112" i="51"/>
  <c r="BF112" i="51"/>
  <c r="Z112" i="51" s="1"/>
  <c r="BB112" i="51"/>
  <c r="AN112" i="51"/>
  <c r="BG112" i="51" s="1"/>
  <c r="AA112" i="51" s="1"/>
  <c r="AM112" i="51"/>
  <c r="AU112" i="51" s="1"/>
  <c r="AJ112" i="51"/>
  <c r="AI112" i="51"/>
  <c r="AR109" i="51" s="1"/>
  <c r="AH112" i="51"/>
  <c r="AF112" i="51"/>
  <c r="AE112" i="51"/>
  <c r="AD112" i="51"/>
  <c r="AC112" i="51"/>
  <c r="AB112" i="51"/>
  <c r="X112" i="51"/>
  <c r="L112" i="51"/>
  <c r="BD112" i="51" s="1"/>
  <c r="J112" i="51"/>
  <c r="H112" i="51"/>
  <c r="BU110" i="51"/>
  <c r="BH110" i="51"/>
  <c r="BF110" i="51"/>
  <c r="Z110" i="51" s="1"/>
  <c r="BB110" i="51"/>
  <c r="AV110" i="51"/>
  <c r="AU110" i="51"/>
  <c r="BA110" i="51" s="1"/>
  <c r="AN110" i="51"/>
  <c r="BG110" i="51" s="1"/>
  <c r="AA110" i="51" s="1"/>
  <c r="AM110" i="51"/>
  <c r="AJ110" i="51"/>
  <c r="AS109" i="51" s="1"/>
  <c r="AH110" i="51"/>
  <c r="AQ109" i="51" s="1"/>
  <c r="AF110" i="51"/>
  <c r="AE110" i="51"/>
  <c r="AD110" i="51"/>
  <c r="AC110" i="51"/>
  <c r="AB110" i="51"/>
  <c r="X110" i="51"/>
  <c r="L110" i="51"/>
  <c r="BD110" i="51" s="1"/>
  <c r="J110" i="51"/>
  <c r="AI110" i="51" s="1"/>
  <c r="H110" i="51"/>
  <c r="L109" i="51"/>
  <c r="J109" i="51"/>
  <c r="BU107" i="51"/>
  <c r="BH107" i="51"/>
  <c r="BD107" i="51"/>
  <c r="BB107" i="51"/>
  <c r="AU107" i="51"/>
  <c r="AN107" i="51"/>
  <c r="BG107" i="51" s="1"/>
  <c r="AA107" i="51" s="1"/>
  <c r="AM107" i="51"/>
  <c r="BF107" i="51" s="1"/>
  <c r="Z107" i="51" s="1"/>
  <c r="AJ107" i="51"/>
  <c r="AS106" i="51" s="1"/>
  <c r="AH107" i="51"/>
  <c r="AF107" i="51"/>
  <c r="AE107" i="51"/>
  <c r="AD107" i="51"/>
  <c r="AC107" i="51"/>
  <c r="AB107" i="51"/>
  <c r="X107" i="51"/>
  <c r="L107" i="51"/>
  <c r="J107" i="51"/>
  <c r="I107" i="51"/>
  <c r="H107" i="51"/>
  <c r="AQ106" i="51"/>
  <c r="L106" i="51"/>
  <c r="I106" i="51"/>
  <c r="H106" i="51"/>
  <c r="BU104" i="51"/>
  <c r="BH104" i="51"/>
  <c r="BB104" i="51"/>
  <c r="AN104" i="51"/>
  <c r="BG104" i="51" s="1"/>
  <c r="AA104" i="51" s="1"/>
  <c r="AM104" i="51"/>
  <c r="BF104" i="51" s="1"/>
  <c r="Z104" i="51" s="1"/>
  <c r="AJ104" i="51"/>
  <c r="AH104" i="51"/>
  <c r="AQ99" i="51" s="1"/>
  <c r="AF104" i="51"/>
  <c r="AE104" i="51"/>
  <c r="AD104" i="51"/>
  <c r="AC104" i="51"/>
  <c r="AB104" i="51"/>
  <c r="X104" i="51"/>
  <c r="L104" i="51"/>
  <c r="BD104" i="51" s="1"/>
  <c r="J104" i="51"/>
  <c r="AI104" i="51" s="1"/>
  <c r="H104" i="51"/>
  <c r="BU102" i="51"/>
  <c r="BH102" i="51"/>
  <c r="BB102" i="51"/>
  <c r="AV102" i="51"/>
  <c r="AN102" i="51"/>
  <c r="BG102" i="51" s="1"/>
  <c r="AA102" i="51" s="1"/>
  <c r="AM102" i="51"/>
  <c r="AJ102" i="51"/>
  <c r="AH102" i="51"/>
  <c r="AF102" i="51"/>
  <c r="AE102" i="51"/>
  <c r="AD102" i="51"/>
  <c r="AC102" i="51"/>
  <c r="AB102" i="51"/>
  <c r="X102" i="51"/>
  <c r="L102" i="51"/>
  <c r="J102" i="51"/>
  <c r="AI102" i="51" s="1"/>
  <c r="I102" i="51"/>
  <c r="BU100" i="51"/>
  <c r="BH100" i="51"/>
  <c r="BD100" i="51"/>
  <c r="BB100" i="51"/>
  <c r="AU100" i="51"/>
  <c r="AN100" i="51"/>
  <c r="BG100" i="51" s="1"/>
  <c r="AA100" i="51" s="1"/>
  <c r="AM100" i="51"/>
  <c r="BF100" i="51" s="1"/>
  <c r="Z100" i="51" s="1"/>
  <c r="AJ100" i="51"/>
  <c r="AS99" i="51" s="1"/>
  <c r="AH100" i="51"/>
  <c r="AF100" i="51"/>
  <c r="AE100" i="51"/>
  <c r="AD100" i="51"/>
  <c r="AC100" i="51"/>
  <c r="AB100" i="51"/>
  <c r="X100" i="51"/>
  <c r="L100" i="51"/>
  <c r="J100" i="51"/>
  <c r="I100" i="51"/>
  <c r="H100" i="51"/>
  <c r="BU97" i="51"/>
  <c r="BH97" i="51"/>
  <c r="BG97" i="51"/>
  <c r="AA97" i="51" s="1"/>
  <c r="BB97" i="51"/>
  <c r="AN97" i="51"/>
  <c r="AM97" i="51"/>
  <c r="BF97" i="51" s="1"/>
  <c r="Z97" i="51" s="1"/>
  <c r="AJ97" i="51"/>
  <c r="AH97" i="51"/>
  <c r="AQ96" i="51" s="1"/>
  <c r="AF97" i="51"/>
  <c r="AE97" i="51"/>
  <c r="AD97" i="51"/>
  <c r="AC97" i="51"/>
  <c r="AB97" i="51"/>
  <c r="X97" i="51"/>
  <c r="L97" i="51"/>
  <c r="BD97" i="51" s="1"/>
  <c r="J97" i="51"/>
  <c r="AI97" i="51" s="1"/>
  <c r="AR96" i="51" s="1"/>
  <c r="H97" i="51"/>
  <c r="H96" i="51" s="1"/>
  <c r="AS96" i="51"/>
  <c r="L96" i="51"/>
  <c r="J96" i="51"/>
  <c r="BU95" i="51"/>
  <c r="BH95" i="51"/>
  <c r="BD95" i="51"/>
  <c r="BB95" i="51"/>
  <c r="AU95" i="51"/>
  <c r="AN95" i="51"/>
  <c r="BG95" i="51" s="1"/>
  <c r="AM95" i="51"/>
  <c r="BF95" i="51" s="1"/>
  <c r="AJ95" i="51"/>
  <c r="AS90" i="51" s="1"/>
  <c r="AH95" i="51"/>
  <c r="AF95" i="51"/>
  <c r="AE95" i="51"/>
  <c r="AD95" i="51"/>
  <c r="AC95" i="51"/>
  <c r="AB95" i="51"/>
  <c r="AA95" i="51"/>
  <c r="Z95" i="51"/>
  <c r="X95" i="51"/>
  <c r="L95" i="51"/>
  <c r="J95" i="51"/>
  <c r="I95" i="51"/>
  <c r="H95" i="51"/>
  <c r="BU93" i="51"/>
  <c r="BH93" i="51"/>
  <c r="BB93" i="51"/>
  <c r="AN93" i="51"/>
  <c r="BG93" i="51" s="1"/>
  <c r="AA93" i="51" s="1"/>
  <c r="AM93" i="51"/>
  <c r="BF93" i="51" s="1"/>
  <c r="Z93" i="51" s="1"/>
  <c r="AJ93" i="51"/>
  <c r="AI93" i="51"/>
  <c r="AH93" i="51"/>
  <c r="AF93" i="51"/>
  <c r="AE93" i="51"/>
  <c r="AD93" i="51"/>
  <c r="AC93" i="51"/>
  <c r="AB93" i="51"/>
  <c r="X93" i="51"/>
  <c r="L93" i="51"/>
  <c r="BD93" i="51" s="1"/>
  <c r="J93" i="51"/>
  <c r="I93" i="51"/>
  <c r="H93" i="51"/>
  <c r="BU91" i="51"/>
  <c r="BH91" i="51"/>
  <c r="BB91" i="51"/>
  <c r="AN91" i="51"/>
  <c r="BG91" i="51" s="1"/>
  <c r="AA91" i="51" s="1"/>
  <c r="AM91" i="51"/>
  <c r="BF91" i="51" s="1"/>
  <c r="Z91" i="51" s="1"/>
  <c r="AJ91" i="51"/>
  <c r="AH91" i="51"/>
  <c r="AQ90" i="51" s="1"/>
  <c r="AF91" i="51"/>
  <c r="AE91" i="51"/>
  <c r="AD91" i="51"/>
  <c r="AC91" i="51"/>
  <c r="AB91" i="51"/>
  <c r="X91" i="51"/>
  <c r="L91" i="51"/>
  <c r="BD91" i="51" s="1"/>
  <c r="J91" i="51"/>
  <c r="AI91" i="51" s="1"/>
  <c r="H91" i="51"/>
  <c r="H90" i="51" s="1"/>
  <c r="L90" i="51"/>
  <c r="BU88" i="51"/>
  <c r="BH88" i="51"/>
  <c r="BD88" i="51"/>
  <c r="BB88" i="51"/>
  <c r="AU88" i="51"/>
  <c r="AN88" i="51"/>
  <c r="BG88" i="51" s="1"/>
  <c r="AA88" i="51" s="1"/>
  <c r="AM88" i="51"/>
  <c r="BF88" i="51" s="1"/>
  <c r="Z88" i="51" s="1"/>
  <c r="AJ88" i="51"/>
  <c r="AS85" i="51" s="1"/>
  <c r="AH88" i="51"/>
  <c r="AF88" i="51"/>
  <c r="AE88" i="51"/>
  <c r="AD88" i="51"/>
  <c r="AC88" i="51"/>
  <c r="AB88" i="51"/>
  <c r="X88" i="51"/>
  <c r="L88" i="51"/>
  <c r="J88" i="51"/>
  <c r="I88" i="51"/>
  <c r="H88" i="51"/>
  <c r="BU86" i="51"/>
  <c r="BH86" i="51"/>
  <c r="BB86" i="51"/>
  <c r="AN86" i="51"/>
  <c r="BG86" i="51" s="1"/>
  <c r="AA86" i="51" s="1"/>
  <c r="AM86" i="51"/>
  <c r="BF86" i="51" s="1"/>
  <c r="Z86" i="51" s="1"/>
  <c r="AJ86" i="51"/>
  <c r="AI86" i="51"/>
  <c r="AH86" i="51"/>
  <c r="AF86" i="51"/>
  <c r="AE86" i="51"/>
  <c r="AD86" i="51"/>
  <c r="AC86" i="51"/>
  <c r="AB86" i="51"/>
  <c r="X86" i="51"/>
  <c r="L86" i="51"/>
  <c r="BD86" i="51" s="1"/>
  <c r="J86" i="51"/>
  <c r="I86" i="51"/>
  <c r="I85" i="51" s="1"/>
  <c r="H86" i="51"/>
  <c r="AQ85" i="51"/>
  <c r="L85" i="51"/>
  <c r="H85" i="51"/>
  <c r="BU83" i="51"/>
  <c r="BH83" i="51"/>
  <c r="BB83" i="51"/>
  <c r="AV83" i="51"/>
  <c r="AN83" i="51"/>
  <c r="BG83" i="51" s="1"/>
  <c r="AA83" i="51" s="1"/>
  <c r="AM83" i="51"/>
  <c r="BF83" i="51" s="1"/>
  <c r="Z83" i="51" s="1"/>
  <c r="AJ83" i="51"/>
  <c r="AH83" i="51"/>
  <c r="AF83" i="51"/>
  <c r="AE83" i="51"/>
  <c r="AD83" i="51"/>
  <c r="AC83" i="51"/>
  <c r="AB83" i="51"/>
  <c r="X83" i="51"/>
  <c r="L83" i="51"/>
  <c r="J83" i="51"/>
  <c r="AI83" i="51" s="1"/>
  <c r="AR82" i="51" s="1"/>
  <c r="I83" i="51"/>
  <c r="AS82" i="51"/>
  <c r="AQ82" i="51"/>
  <c r="J82" i="51"/>
  <c r="I82" i="51"/>
  <c r="BU80" i="51"/>
  <c r="BH80" i="51"/>
  <c r="BB80" i="51"/>
  <c r="AN80" i="51"/>
  <c r="BG80" i="51" s="1"/>
  <c r="AA80" i="51" s="1"/>
  <c r="AM80" i="51"/>
  <c r="BF80" i="51" s="1"/>
  <c r="Z80" i="51" s="1"/>
  <c r="AJ80" i="51"/>
  <c r="AI80" i="51"/>
  <c r="AH80" i="51"/>
  <c r="AF80" i="51"/>
  <c r="AE80" i="51"/>
  <c r="AD80" i="51"/>
  <c r="AC80" i="51"/>
  <c r="AB80" i="51"/>
  <c r="X80" i="51"/>
  <c r="L80" i="51"/>
  <c r="BD80" i="51" s="1"/>
  <c r="J80" i="51"/>
  <c r="I80" i="51"/>
  <c r="H80" i="51"/>
  <c r="BU79" i="51"/>
  <c r="BH79" i="51"/>
  <c r="BB79" i="51"/>
  <c r="AN79" i="51"/>
  <c r="BG79" i="51" s="1"/>
  <c r="AA79" i="51" s="1"/>
  <c r="AM79" i="51"/>
  <c r="BF79" i="51" s="1"/>
  <c r="Z79" i="51" s="1"/>
  <c r="AJ79" i="51"/>
  <c r="AH79" i="51"/>
  <c r="AQ76" i="51" s="1"/>
  <c r="AF79" i="51"/>
  <c r="AE79" i="51"/>
  <c r="AD79" i="51"/>
  <c r="AC79" i="51"/>
  <c r="AB79" i="51"/>
  <c r="X79" i="51"/>
  <c r="L79" i="51"/>
  <c r="BD79" i="51" s="1"/>
  <c r="J79" i="51"/>
  <c r="AI79" i="51" s="1"/>
  <c r="H79" i="51"/>
  <c r="BU77" i="51"/>
  <c r="BH77" i="51"/>
  <c r="BB77" i="51"/>
  <c r="AV77" i="51"/>
  <c r="AN77" i="51"/>
  <c r="BG77" i="51" s="1"/>
  <c r="AA77" i="51" s="1"/>
  <c r="AM77" i="51"/>
  <c r="BF77" i="51" s="1"/>
  <c r="Z77" i="51" s="1"/>
  <c r="AJ77" i="51"/>
  <c r="AH77" i="51"/>
  <c r="AF77" i="51"/>
  <c r="AE77" i="51"/>
  <c r="AD77" i="51"/>
  <c r="AC77" i="51"/>
  <c r="AB77" i="51"/>
  <c r="X77" i="51"/>
  <c r="L77" i="51"/>
  <c r="J77" i="51"/>
  <c r="AI77" i="51" s="1"/>
  <c r="I77" i="51"/>
  <c r="AS76" i="51"/>
  <c r="J76" i="51"/>
  <c r="BU74" i="51"/>
  <c r="BH74" i="51"/>
  <c r="BB74" i="51"/>
  <c r="AN74" i="51"/>
  <c r="BG74" i="51" s="1"/>
  <c r="AA74" i="51" s="1"/>
  <c r="AM74" i="51"/>
  <c r="BF74" i="51" s="1"/>
  <c r="AJ74" i="51"/>
  <c r="AI74" i="51"/>
  <c r="AH74" i="51"/>
  <c r="AF74" i="51"/>
  <c r="AE74" i="51"/>
  <c r="AD74" i="51"/>
  <c r="AC74" i="51"/>
  <c r="AB74" i="51"/>
  <c r="Z74" i="51"/>
  <c r="X74" i="51"/>
  <c r="L74" i="51"/>
  <c r="BD74" i="51" s="1"/>
  <c r="J74" i="51"/>
  <c r="I74" i="51"/>
  <c r="H74" i="51"/>
  <c r="BU72" i="51"/>
  <c r="BH72" i="51"/>
  <c r="BG72" i="51"/>
  <c r="AA72" i="51" s="1"/>
  <c r="BB72" i="51"/>
  <c r="AN72" i="51"/>
  <c r="AM72" i="51"/>
  <c r="BF72" i="51" s="1"/>
  <c r="Z72" i="51" s="1"/>
  <c r="AJ72" i="51"/>
  <c r="AH72" i="51"/>
  <c r="AF72" i="51"/>
  <c r="AE72" i="51"/>
  <c r="AD72" i="51"/>
  <c r="AC72" i="51"/>
  <c r="AB72" i="51"/>
  <c r="X72" i="51"/>
  <c r="L72" i="51"/>
  <c r="BD72" i="51" s="1"/>
  <c r="J72" i="51"/>
  <c r="AI72" i="51" s="1"/>
  <c r="H72" i="51"/>
  <c r="BU70" i="51"/>
  <c r="BH70" i="51"/>
  <c r="BB70" i="51"/>
  <c r="AV70" i="51"/>
  <c r="AN70" i="51"/>
  <c r="BG70" i="51" s="1"/>
  <c r="AA70" i="51" s="1"/>
  <c r="AM70" i="51"/>
  <c r="AJ70" i="51"/>
  <c r="AH70" i="51"/>
  <c r="AF70" i="51"/>
  <c r="AE70" i="51"/>
  <c r="AD70" i="51"/>
  <c r="AC70" i="51"/>
  <c r="AB70" i="51"/>
  <c r="X70" i="51"/>
  <c r="L70" i="51"/>
  <c r="BD70" i="51" s="1"/>
  <c r="J70" i="51"/>
  <c r="AI70" i="51" s="1"/>
  <c r="I70" i="51"/>
  <c r="BU68" i="51"/>
  <c r="BH68" i="51"/>
  <c r="BD68" i="51"/>
  <c r="BB68" i="51"/>
  <c r="AU68" i="51"/>
  <c r="AN68" i="51"/>
  <c r="BG68" i="51" s="1"/>
  <c r="AM68" i="51"/>
  <c r="BF68" i="51" s="1"/>
  <c r="Z68" i="51" s="1"/>
  <c r="AJ68" i="51"/>
  <c r="AH68" i="51"/>
  <c r="AF68" i="51"/>
  <c r="AE68" i="51"/>
  <c r="AD68" i="51"/>
  <c r="AC68" i="51"/>
  <c r="AB68" i="51"/>
  <c r="AA68" i="51"/>
  <c r="X68" i="51"/>
  <c r="L68" i="51"/>
  <c r="J68" i="51"/>
  <c r="AI68" i="51" s="1"/>
  <c r="I68" i="51"/>
  <c r="H68" i="51"/>
  <c r="BU66" i="51"/>
  <c r="BH66" i="51"/>
  <c r="BB66" i="51"/>
  <c r="AN66" i="51"/>
  <c r="BG66" i="51" s="1"/>
  <c r="AA66" i="51" s="1"/>
  <c r="AM66" i="51"/>
  <c r="BF66" i="51" s="1"/>
  <c r="AJ66" i="51"/>
  <c r="AI66" i="51"/>
  <c r="AH66" i="51"/>
  <c r="AF66" i="51"/>
  <c r="AE66" i="51"/>
  <c r="AD66" i="51"/>
  <c r="AC66" i="51"/>
  <c r="AB66" i="51"/>
  <c r="Z66" i="51"/>
  <c r="X66" i="51"/>
  <c r="L66" i="51"/>
  <c r="BD66" i="51" s="1"/>
  <c r="J66" i="51"/>
  <c r="I66" i="51"/>
  <c r="H66" i="51"/>
  <c r="BU64" i="51"/>
  <c r="BH64" i="51"/>
  <c r="BG64" i="51"/>
  <c r="AA64" i="51" s="1"/>
  <c r="BB64" i="51"/>
  <c r="AN64" i="51"/>
  <c r="AM64" i="51"/>
  <c r="BF64" i="51" s="1"/>
  <c r="Z64" i="51" s="1"/>
  <c r="AJ64" i="51"/>
  <c r="AH64" i="51"/>
  <c r="AQ59" i="51" s="1"/>
  <c r="AF64" i="51"/>
  <c r="AE64" i="51"/>
  <c r="AD64" i="51"/>
  <c r="AC64" i="51"/>
  <c r="AB64" i="51"/>
  <c r="X64" i="51"/>
  <c r="L64" i="51"/>
  <c r="BD64" i="51" s="1"/>
  <c r="J64" i="51"/>
  <c r="AI64" i="51" s="1"/>
  <c r="H64" i="51"/>
  <c r="BU62" i="51"/>
  <c r="BH62" i="51"/>
  <c r="BB62" i="51"/>
  <c r="AV62" i="51"/>
  <c r="AN62" i="51"/>
  <c r="BG62" i="51" s="1"/>
  <c r="AA62" i="51" s="1"/>
  <c r="AM62" i="51"/>
  <c r="AJ62" i="51"/>
  <c r="AH62" i="51"/>
  <c r="AF62" i="51"/>
  <c r="AE62" i="51"/>
  <c r="AD62" i="51"/>
  <c r="AC62" i="51"/>
  <c r="AB62" i="51"/>
  <c r="X62" i="51"/>
  <c r="L62" i="51"/>
  <c r="J62" i="51"/>
  <c r="AI62" i="51" s="1"/>
  <c r="I62" i="51"/>
  <c r="BU60" i="51"/>
  <c r="BH60" i="51"/>
  <c r="BD60" i="51"/>
  <c r="BB60" i="51"/>
  <c r="AU60" i="51"/>
  <c r="AN60" i="51"/>
  <c r="BG60" i="51" s="1"/>
  <c r="AM60" i="51"/>
  <c r="BF60" i="51" s="1"/>
  <c r="Z60" i="51" s="1"/>
  <c r="AJ60" i="51"/>
  <c r="AS59" i="51" s="1"/>
  <c r="AH60" i="51"/>
  <c r="AF60" i="51"/>
  <c r="AE60" i="51"/>
  <c r="AD60" i="51"/>
  <c r="AC60" i="51"/>
  <c r="AB60" i="51"/>
  <c r="AA60" i="51"/>
  <c r="X60" i="51"/>
  <c r="L60" i="51"/>
  <c r="J60" i="51"/>
  <c r="I60" i="51"/>
  <c r="H60" i="51"/>
  <c r="BU57" i="51"/>
  <c r="BH57" i="51"/>
  <c r="BB57" i="51"/>
  <c r="AU57" i="51"/>
  <c r="AN57" i="51"/>
  <c r="AM57" i="51"/>
  <c r="BF57" i="51" s="1"/>
  <c r="Z57" i="51" s="1"/>
  <c r="AJ57" i="51"/>
  <c r="AH57" i="51"/>
  <c r="AF57" i="51"/>
  <c r="AE57" i="51"/>
  <c r="AD57" i="51"/>
  <c r="AC57" i="51"/>
  <c r="AB57" i="51"/>
  <c r="X57" i="51"/>
  <c r="L57" i="51"/>
  <c r="BD57" i="51" s="1"/>
  <c r="J57" i="51"/>
  <c r="AI57" i="51" s="1"/>
  <c r="H57" i="51"/>
  <c r="BU55" i="51"/>
  <c r="BH55" i="51"/>
  <c r="BB55" i="51"/>
  <c r="AV55" i="51"/>
  <c r="AN55" i="51"/>
  <c r="BG55" i="51" s="1"/>
  <c r="AA55" i="51" s="1"/>
  <c r="AM55" i="51"/>
  <c r="H55" i="51" s="1"/>
  <c r="AJ55" i="51"/>
  <c r="AI55" i="51"/>
  <c r="AH55" i="51"/>
  <c r="AF55" i="51"/>
  <c r="AE55" i="51"/>
  <c r="AD55" i="51"/>
  <c r="AC55" i="51"/>
  <c r="AB55" i="51"/>
  <c r="X55" i="51"/>
  <c r="L55" i="51"/>
  <c r="L54" i="51" s="1"/>
  <c r="J55" i="51"/>
  <c r="I55" i="51"/>
  <c r="AS54" i="51"/>
  <c r="AR54" i="51"/>
  <c r="AQ54" i="51"/>
  <c r="J54" i="51"/>
  <c r="H54" i="51"/>
  <c r="BU52" i="51"/>
  <c r="BH52" i="51"/>
  <c r="BG52" i="51"/>
  <c r="AA52" i="51" s="1"/>
  <c r="BB52" i="51"/>
  <c r="AV52" i="51"/>
  <c r="AN52" i="51"/>
  <c r="I52" i="51" s="1"/>
  <c r="AM52" i="51"/>
  <c r="BF52" i="51" s="1"/>
  <c r="Z52" i="51" s="1"/>
  <c r="AJ52" i="51"/>
  <c r="AH52" i="51"/>
  <c r="AF52" i="51"/>
  <c r="AE52" i="51"/>
  <c r="AD52" i="51"/>
  <c r="AC52" i="51"/>
  <c r="AB52" i="51"/>
  <c r="X52" i="51"/>
  <c r="L52" i="51"/>
  <c r="BD52" i="51" s="1"/>
  <c r="J52" i="51"/>
  <c r="AI52" i="51" s="1"/>
  <c r="BU50" i="51"/>
  <c r="BH50" i="51"/>
  <c r="BD50" i="51"/>
  <c r="BB50" i="51"/>
  <c r="AV50" i="51"/>
  <c r="AU50" i="51"/>
  <c r="AT50" i="51" s="1"/>
  <c r="AN50" i="51"/>
  <c r="BG50" i="51" s="1"/>
  <c r="AA50" i="51" s="1"/>
  <c r="AM50" i="51"/>
  <c r="H50" i="51" s="1"/>
  <c r="AJ50" i="51"/>
  <c r="AH50" i="51"/>
  <c r="AF50" i="51"/>
  <c r="AE50" i="51"/>
  <c r="AD50" i="51"/>
  <c r="AC50" i="51"/>
  <c r="AB50" i="51"/>
  <c r="X50" i="51"/>
  <c r="L50" i="51"/>
  <c r="J50" i="51"/>
  <c r="AI50" i="51" s="1"/>
  <c r="I50" i="51"/>
  <c r="BU48" i="51"/>
  <c r="BH48" i="51"/>
  <c r="BB48" i="51"/>
  <c r="AU48" i="51"/>
  <c r="AN48" i="51"/>
  <c r="BG48" i="51" s="1"/>
  <c r="AA48" i="51" s="1"/>
  <c r="AM48" i="51"/>
  <c r="BF48" i="51" s="1"/>
  <c r="Z48" i="51" s="1"/>
  <c r="AJ48" i="51"/>
  <c r="AI48" i="51"/>
  <c r="AH48" i="51"/>
  <c r="AF48" i="51"/>
  <c r="AE48" i="51"/>
  <c r="AD48" i="51"/>
  <c r="AC48" i="51"/>
  <c r="AB48" i="51"/>
  <c r="X48" i="51"/>
  <c r="L48" i="51"/>
  <c r="BD48" i="51" s="1"/>
  <c r="J48" i="51"/>
  <c r="I48" i="51"/>
  <c r="H48" i="51"/>
  <c r="BU46" i="51"/>
  <c r="BH46" i="51"/>
  <c r="BB46" i="51"/>
  <c r="AN46" i="51"/>
  <c r="AV46" i="51" s="1"/>
  <c r="AM46" i="51"/>
  <c r="BF46" i="51" s="1"/>
  <c r="Z46" i="51" s="1"/>
  <c r="AJ46" i="51"/>
  <c r="AI46" i="51"/>
  <c r="AH46" i="51"/>
  <c r="AF46" i="51"/>
  <c r="AE46" i="51"/>
  <c r="AD46" i="51"/>
  <c r="AC46" i="51"/>
  <c r="AB46" i="51"/>
  <c r="X46" i="51"/>
  <c r="L46" i="51"/>
  <c r="BD46" i="51" s="1"/>
  <c r="J46" i="51"/>
  <c r="H46" i="51"/>
  <c r="BU44" i="51"/>
  <c r="BH44" i="51"/>
  <c r="BB44" i="51"/>
  <c r="AV44" i="51"/>
  <c r="AN44" i="51"/>
  <c r="I44" i="51" s="1"/>
  <c r="AM44" i="51"/>
  <c r="AU44" i="51" s="1"/>
  <c r="AJ44" i="51"/>
  <c r="AH44" i="51"/>
  <c r="AF44" i="51"/>
  <c r="AE44" i="51"/>
  <c r="AD44" i="51"/>
  <c r="AC44" i="51"/>
  <c r="AB44" i="51"/>
  <c r="X44" i="51"/>
  <c r="L44" i="51"/>
  <c r="BD44" i="51" s="1"/>
  <c r="J44" i="51"/>
  <c r="AI44" i="51" s="1"/>
  <c r="BU42" i="51"/>
  <c r="BH42" i="51"/>
  <c r="BD42" i="51"/>
  <c r="BB42" i="51"/>
  <c r="AV42" i="51"/>
  <c r="AU42" i="51"/>
  <c r="AT42" i="51" s="1"/>
  <c r="AN42" i="51"/>
  <c r="BG42" i="51" s="1"/>
  <c r="AA42" i="51" s="1"/>
  <c r="AM42" i="51"/>
  <c r="H42" i="51" s="1"/>
  <c r="AJ42" i="51"/>
  <c r="AS37" i="51" s="1"/>
  <c r="AH42" i="51"/>
  <c r="AF42" i="51"/>
  <c r="AE42" i="51"/>
  <c r="AD42" i="51"/>
  <c r="AC42" i="51"/>
  <c r="AB42" i="51"/>
  <c r="X42" i="51"/>
  <c r="L42" i="51"/>
  <c r="J42" i="51"/>
  <c r="AI42" i="51" s="1"/>
  <c r="I42" i="51"/>
  <c r="BU40" i="51"/>
  <c r="BH40" i="51"/>
  <c r="BD40" i="51"/>
  <c r="BB40" i="51"/>
  <c r="AU40" i="51"/>
  <c r="AN40" i="51"/>
  <c r="BG40" i="51" s="1"/>
  <c r="AA40" i="51" s="1"/>
  <c r="AM40" i="51"/>
  <c r="BF40" i="51" s="1"/>
  <c r="Z40" i="51" s="1"/>
  <c r="AJ40" i="51"/>
  <c r="AI40" i="51"/>
  <c r="AH40" i="51"/>
  <c r="AF40" i="51"/>
  <c r="AE40" i="51"/>
  <c r="AD40" i="51"/>
  <c r="AC40" i="51"/>
  <c r="AB40" i="51"/>
  <c r="X40" i="51"/>
  <c r="L40" i="51"/>
  <c r="J40" i="51"/>
  <c r="I40" i="51"/>
  <c r="H40" i="51"/>
  <c r="BU38" i="51"/>
  <c r="BH38" i="51"/>
  <c r="BB38" i="51"/>
  <c r="AN38" i="51"/>
  <c r="AV38" i="51" s="1"/>
  <c r="AM38" i="51"/>
  <c r="BF38" i="51" s="1"/>
  <c r="Z38" i="51" s="1"/>
  <c r="AJ38" i="51"/>
  <c r="AI38" i="51"/>
  <c r="AH38" i="51"/>
  <c r="AQ37" i="51" s="1"/>
  <c r="AF38" i="51"/>
  <c r="AE38" i="51"/>
  <c r="AD38" i="51"/>
  <c r="AC38" i="51"/>
  <c r="AB38" i="51"/>
  <c r="X38" i="51"/>
  <c r="L38" i="51"/>
  <c r="BD38" i="51" s="1"/>
  <c r="J38" i="51"/>
  <c r="H38" i="51"/>
  <c r="L37" i="51"/>
  <c r="BU35" i="51"/>
  <c r="BH35" i="51"/>
  <c r="BD35" i="51"/>
  <c r="BB35" i="51"/>
  <c r="AV35" i="51"/>
  <c r="AU35" i="51"/>
  <c r="AT35" i="51" s="1"/>
  <c r="AN35" i="51"/>
  <c r="BG35" i="51" s="1"/>
  <c r="AA35" i="51" s="1"/>
  <c r="AM35" i="51"/>
  <c r="H35" i="51" s="1"/>
  <c r="H32" i="51" s="1"/>
  <c r="AJ35" i="51"/>
  <c r="AH35" i="51"/>
  <c r="AF35" i="51"/>
  <c r="AE35" i="51"/>
  <c r="AD35" i="51"/>
  <c r="AC35" i="51"/>
  <c r="AB35" i="51"/>
  <c r="X35" i="51"/>
  <c r="L35" i="51"/>
  <c r="J35" i="51"/>
  <c r="AI35" i="51" s="1"/>
  <c r="I35" i="51"/>
  <c r="BU33" i="51"/>
  <c r="BH33" i="51"/>
  <c r="BD33" i="51"/>
  <c r="BB33" i="51"/>
  <c r="AU33" i="51"/>
  <c r="AN33" i="51"/>
  <c r="BG33" i="51" s="1"/>
  <c r="AA33" i="51" s="1"/>
  <c r="AM33" i="51"/>
  <c r="BF33" i="51" s="1"/>
  <c r="Z33" i="51" s="1"/>
  <c r="AJ33" i="51"/>
  <c r="AS32" i="51" s="1"/>
  <c r="AI33" i="51"/>
  <c r="AH33" i="51"/>
  <c r="AF33" i="51"/>
  <c r="AE33" i="51"/>
  <c r="AD33" i="51"/>
  <c r="AC33" i="51"/>
  <c r="AB33" i="51"/>
  <c r="X33" i="51"/>
  <c r="L33" i="51"/>
  <c r="J33" i="51"/>
  <c r="J32" i="51" s="1"/>
  <c r="I33" i="51"/>
  <c r="I32" i="51" s="1"/>
  <c r="H33" i="51"/>
  <c r="AQ32" i="51"/>
  <c r="L32" i="51"/>
  <c r="BU30" i="51"/>
  <c r="BH30" i="51"/>
  <c r="BB30" i="51"/>
  <c r="AV30" i="51"/>
  <c r="AN30" i="51"/>
  <c r="I30" i="51" s="1"/>
  <c r="AM30" i="51"/>
  <c r="AU30" i="51" s="1"/>
  <c r="AJ30" i="51"/>
  <c r="AH30" i="51"/>
  <c r="AF30" i="51"/>
  <c r="AE30" i="51"/>
  <c r="AD30" i="51"/>
  <c r="AC30" i="51"/>
  <c r="AB30" i="51"/>
  <c r="X30" i="51"/>
  <c r="L30" i="51"/>
  <c r="BD30" i="51" s="1"/>
  <c r="J30" i="51"/>
  <c r="AI30" i="51" s="1"/>
  <c r="BU28" i="51"/>
  <c r="BH28" i="51"/>
  <c r="BD28" i="51"/>
  <c r="BB28" i="51"/>
  <c r="AV28" i="51"/>
  <c r="AU28" i="51"/>
  <c r="AT28" i="51" s="1"/>
  <c r="AN28" i="51"/>
  <c r="BG28" i="51" s="1"/>
  <c r="AA28" i="51" s="1"/>
  <c r="AM28" i="51"/>
  <c r="H28" i="51" s="1"/>
  <c r="AJ28" i="51"/>
  <c r="AH28" i="51"/>
  <c r="AF28" i="51"/>
  <c r="AE28" i="51"/>
  <c r="AD28" i="51"/>
  <c r="AC28" i="51"/>
  <c r="AB28" i="51"/>
  <c r="X28" i="51"/>
  <c r="L28" i="51"/>
  <c r="J28" i="51"/>
  <c r="AI28" i="51" s="1"/>
  <c r="I28" i="51"/>
  <c r="BU26" i="51"/>
  <c r="BH26" i="51"/>
  <c r="BD26" i="51"/>
  <c r="BB26" i="51"/>
  <c r="AU26" i="51"/>
  <c r="AN26" i="51"/>
  <c r="BG26" i="51" s="1"/>
  <c r="AA26" i="51" s="1"/>
  <c r="AM26" i="51"/>
  <c r="BF26" i="51" s="1"/>
  <c r="Z26" i="51" s="1"/>
  <c r="AJ26" i="51"/>
  <c r="AI26" i="51"/>
  <c r="AH26" i="51"/>
  <c r="AF26" i="51"/>
  <c r="AE26" i="51"/>
  <c r="AD26" i="51"/>
  <c r="AC26" i="51"/>
  <c r="AB26" i="51"/>
  <c r="X26" i="51"/>
  <c r="L26" i="51"/>
  <c r="J26" i="51"/>
  <c r="I26" i="51"/>
  <c r="H26" i="51"/>
  <c r="BU24" i="51"/>
  <c r="BH24" i="51"/>
  <c r="BB24" i="51"/>
  <c r="AN24" i="51"/>
  <c r="AV24" i="51" s="1"/>
  <c r="AM24" i="51"/>
  <c r="BF24" i="51" s="1"/>
  <c r="Z24" i="51" s="1"/>
  <c r="AJ24" i="51"/>
  <c r="AI24" i="51"/>
  <c r="AH24" i="51"/>
  <c r="AQ19" i="51" s="1"/>
  <c r="AF24" i="51"/>
  <c r="AE24" i="51"/>
  <c r="AD24" i="51"/>
  <c r="AC24" i="51"/>
  <c r="AB24" i="51"/>
  <c r="X24" i="51"/>
  <c r="L24" i="51"/>
  <c r="BD24" i="51" s="1"/>
  <c r="J24" i="51"/>
  <c r="H24" i="51"/>
  <c r="BU22" i="51"/>
  <c r="BH22" i="51"/>
  <c r="BB22" i="51"/>
  <c r="AV22" i="51"/>
  <c r="AN22" i="51"/>
  <c r="I22" i="51" s="1"/>
  <c r="AM22" i="51"/>
  <c r="AU22" i="51" s="1"/>
  <c r="AJ22" i="51"/>
  <c r="AH22" i="51"/>
  <c r="AF22" i="51"/>
  <c r="AE22" i="51"/>
  <c r="AD22" i="51"/>
  <c r="AC22" i="51"/>
  <c r="AB22" i="51"/>
  <c r="X22" i="51"/>
  <c r="L22" i="51"/>
  <c r="BD22" i="51" s="1"/>
  <c r="J22" i="51"/>
  <c r="AI22" i="51" s="1"/>
  <c r="BU20" i="51"/>
  <c r="BH20" i="51"/>
  <c r="BD20" i="51"/>
  <c r="BB20" i="51"/>
  <c r="AV20" i="51"/>
  <c r="AU20" i="51"/>
  <c r="AT20" i="51" s="1"/>
  <c r="AN20" i="51"/>
  <c r="BG20" i="51" s="1"/>
  <c r="AA20" i="51" s="1"/>
  <c r="AM20" i="51"/>
  <c r="H20" i="51" s="1"/>
  <c r="AJ20" i="51"/>
  <c r="AS19" i="51" s="1"/>
  <c r="AH20" i="51"/>
  <c r="AF20" i="51"/>
  <c r="AE20" i="51"/>
  <c r="AD20" i="51"/>
  <c r="AC20" i="51"/>
  <c r="AB20" i="51"/>
  <c r="X20" i="51"/>
  <c r="L20" i="51"/>
  <c r="L19" i="51" s="1"/>
  <c r="J20" i="51"/>
  <c r="AI20" i="51" s="1"/>
  <c r="AR19" i="51" s="1"/>
  <c r="I20" i="51"/>
  <c r="BU17" i="51"/>
  <c r="BH17" i="51"/>
  <c r="BB17" i="51"/>
  <c r="AN17" i="51"/>
  <c r="AV17" i="51" s="1"/>
  <c r="AM17" i="51"/>
  <c r="BF17" i="51" s="1"/>
  <c r="Z17" i="51" s="1"/>
  <c r="AJ17" i="51"/>
  <c r="AI17" i="51"/>
  <c r="AR16" i="51" s="1"/>
  <c r="AH17" i="51"/>
  <c r="AQ16" i="51" s="1"/>
  <c r="AF17" i="51"/>
  <c r="AE17" i="51"/>
  <c r="AD17" i="51"/>
  <c r="AC17" i="51"/>
  <c r="AB17" i="51"/>
  <c r="X17" i="51"/>
  <c r="L17" i="51"/>
  <c r="BD17" i="51" s="1"/>
  <c r="J17" i="51"/>
  <c r="H17" i="51"/>
  <c r="H16" i="51" s="1"/>
  <c r="AS16" i="51"/>
  <c r="L16" i="51"/>
  <c r="J16" i="51"/>
  <c r="BU14" i="51"/>
  <c r="BH14" i="51"/>
  <c r="BD14" i="51"/>
  <c r="BB14" i="51"/>
  <c r="AV14" i="51"/>
  <c r="AU14" i="51"/>
  <c r="AT14" i="51" s="1"/>
  <c r="AN14" i="51"/>
  <c r="BG14" i="51" s="1"/>
  <c r="AA14" i="51" s="1"/>
  <c r="AM14" i="51"/>
  <c r="H14" i="51" s="1"/>
  <c r="AJ14" i="51"/>
  <c r="AH14" i="51"/>
  <c r="AF14" i="51"/>
  <c r="AE14" i="51"/>
  <c r="AD14" i="51"/>
  <c r="AC14" i="51"/>
  <c r="AB14" i="51"/>
  <c r="X14" i="51"/>
  <c r="L14" i="51"/>
  <c r="J14" i="51"/>
  <c r="AI14" i="51" s="1"/>
  <c r="I14" i="51"/>
  <c r="BU13" i="51"/>
  <c r="BH13" i="51"/>
  <c r="BD13" i="51"/>
  <c r="BB13" i="51"/>
  <c r="AN13" i="51"/>
  <c r="BG13" i="51" s="1"/>
  <c r="AA13" i="51" s="1"/>
  <c r="AM13" i="51"/>
  <c r="BF13" i="51" s="1"/>
  <c r="Z13" i="51" s="1"/>
  <c r="AJ13" i="51"/>
  <c r="AS12" i="51" s="1"/>
  <c r="AH13" i="51"/>
  <c r="AQ12" i="51" s="1"/>
  <c r="AF13" i="51"/>
  <c r="AE13" i="51"/>
  <c r="AD13" i="51"/>
  <c r="AC13" i="51"/>
  <c r="AB13" i="51"/>
  <c r="X13" i="51"/>
  <c r="L13" i="51"/>
  <c r="J13" i="51"/>
  <c r="J12" i="51" s="1"/>
  <c r="I13" i="51"/>
  <c r="I12" i="51" s="1"/>
  <c r="L12" i="51"/>
  <c r="AS1" i="51"/>
  <c r="AR1" i="51"/>
  <c r="AQ1" i="51"/>
  <c r="E47" i="50"/>
  <c r="E45" i="50"/>
  <c r="G45" i="50" s="1"/>
  <c r="H45" i="50" s="1"/>
  <c r="F39" i="50"/>
  <c r="G39" i="50" s="1"/>
  <c r="E42" i="50"/>
  <c r="E41" i="50"/>
  <c r="E40" i="50"/>
  <c r="E38" i="50"/>
  <c r="E36" i="50"/>
  <c r="E35" i="50"/>
  <c r="E34" i="50"/>
  <c r="E33" i="50"/>
  <c r="E31" i="50"/>
  <c r="E29" i="50"/>
  <c r="E27" i="50"/>
  <c r="G27" i="50" s="1"/>
  <c r="E26" i="50"/>
  <c r="G49" i="50"/>
  <c r="H49" i="50" s="1"/>
  <c r="G47" i="50"/>
  <c r="G43" i="50"/>
  <c r="G41" i="50"/>
  <c r="H41" i="50" s="1"/>
  <c r="G40" i="50"/>
  <c r="H40" i="50" s="1"/>
  <c r="G36" i="50"/>
  <c r="H36" i="50" s="1"/>
  <c r="G35" i="50"/>
  <c r="G33" i="50"/>
  <c r="H33" i="50" s="1"/>
  <c r="G31" i="50"/>
  <c r="G29" i="50"/>
  <c r="H29" i="50" s="1"/>
  <c r="L131" i="49"/>
  <c r="J131" i="49"/>
  <c r="H131" i="49"/>
  <c r="L129" i="49"/>
  <c r="J129" i="49"/>
  <c r="I129" i="49" s="1"/>
  <c r="H129" i="49"/>
  <c r="L127" i="49"/>
  <c r="J127" i="49"/>
  <c r="H127" i="49"/>
  <c r="L125" i="49"/>
  <c r="J125" i="49"/>
  <c r="H125" i="49"/>
  <c r="L123" i="49"/>
  <c r="J123" i="49"/>
  <c r="I123" i="49" s="1"/>
  <c r="H123" i="49"/>
  <c r="L121" i="49"/>
  <c r="J121" i="49"/>
  <c r="I121" i="49" s="1"/>
  <c r="H121" i="49"/>
  <c r="L119" i="49"/>
  <c r="J119" i="49"/>
  <c r="I119" i="49" s="1"/>
  <c r="H119" i="49"/>
  <c r="L117" i="49"/>
  <c r="J117" i="49"/>
  <c r="I117" i="49" s="1"/>
  <c r="H117" i="49"/>
  <c r="L115" i="49"/>
  <c r="J115" i="49"/>
  <c r="I115" i="49" s="1"/>
  <c r="H115" i="49"/>
  <c r="L113" i="49"/>
  <c r="J113" i="49"/>
  <c r="I113" i="49" s="1"/>
  <c r="H113" i="49"/>
  <c r="L106" i="49"/>
  <c r="J106" i="49"/>
  <c r="H106" i="49"/>
  <c r="L104" i="49"/>
  <c r="J104" i="49"/>
  <c r="H104" i="49"/>
  <c r="L102" i="49"/>
  <c r="J102" i="49"/>
  <c r="I102" i="49" s="1"/>
  <c r="H102" i="49"/>
  <c r="L100" i="49"/>
  <c r="J100" i="49"/>
  <c r="I100" i="49" s="1"/>
  <c r="H100" i="49"/>
  <c r="L98" i="49"/>
  <c r="J98" i="49"/>
  <c r="H98" i="49"/>
  <c r="L96" i="49"/>
  <c r="J96" i="49"/>
  <c r="H96" i="49"/>
  <c r="L94" i="49"/>
  <c r="J94" i="49"/>
  <c r="H94" i="49"/>
  <c r="L92" i="49"/>
  <c r="J92" i="49"/>
  <c r="I92" i="49" s="1"/>
  <c r="H92" i="49"/>
  <c r="L90" i="49"/>
  <c r="J90" i="49"/>
  <c r="H90" i="49"/>
  <c r="L88" i="49"/>
  <c r="J88" i="49"/>
  <c r="H88" i="49"/>
  <c r="L86" i="49"/>
  <c r="J86" i="49"/>
  <c r="H86" i="49"/>
  <c r="L84" i="49"/>
  <c r="J84" i="49"/>
  <c r="I84" i="49" s="1"/>
  <c r="H84" i="49"/>
  <c r="L82" i="49"/>
  <c r="J82" i="49"/>
  <c r="H82" i="49"/>
  <c r="L75" i="49"/>
  <c r="J75" i="49"/>
  <c r="H75" i="49"/>
  <c r="L73" i="49"/>
  <c r="J73" i="49"/>
  <c r="H73" i="49"/>
  <c r="L71" i="49"/>
  <c r="J71" i="49"/>
  <c r="I71" i="49" s="1"/>
  <c r="H71" i="49"/>
  <c r="L69" i="49"/>
  <c r="J69" i="49"/>
  <c r="H69" i="49"/>
  <c r="L67" i="49"/>
  <c r="J67" i="49"/>
  <c r="H67" i="49"/>
  <c r="L65" i="49"/>
  <c r="J65" i="49"/>
  <c r="H65" i="49"/>
  <c r="L63" i="49"/>
  <c r="J63" i="49"/>
  <c r="I63" i="49" s="1"/>
  <c r="H63" i="49"/>
  <c r="L61" i="49"/>
  <c r="J61" i="49"/>
  <c r="H61" i="49"/>
  <c r="L59" i="49"/>
  <c r="J59" i="49"/>
  <c r="H59" i="49"/>
  <c r="L57" i="49"/>
  <c r="J57" i="49"/>
  <c r="H57" i="49"/>
  <c r="L55" i="49"/>
  <c r="J55" i="49"/>
  <c r="I55" i="49" s="1"/>
  <c r="H55" i="49"/>
  <c r="L53" i="49"/>
  <c r="J53" i="49"/>
  <c r="H53" i="49"/>
  <c r="L51" i="49"/>
  <c r="J51" i="49"/>
  <c r="H51" i="49"/>
  <c r="L44" i="49"/>
  <c r="J44" i="49"/>
  <c r="H44" i="49"/>
  <c r="L42" i="49"/>
  <c r="J42" i="49"/>
  <c r="I42" i="49" s="1"/>
  <c r="H42" i="49"/>
  <c r="L40" i="49"/>
  <c r="J40" i="49"/>
  <c r="H40" i="49"/>
  <c r="L38" i="49"/>
  <c r="J38" i="49"/>
  <c r="H38" i="49"/>
  <c r="L36" i="49"/>
  <c r="J36" i="49"/>
  <c r="H36" i="49"/>
  <c r="L34" i="49"/>
  <c r="J34" i="49"/>
  <c r="H34" i="49"/>
  <c r="J27" i="49"/>
  <c r="J25" i="49"/>
  <c r="J23" i="49"/>
  <c r="J21" i="49"/>
  <c r="J19" i="49"/>
  <c r="J17" i="49"/>
  <c r="J15" i="49"/>
  <c r="J135" i="49" s="1"/>
  <c r="F23" i="50" s="1"/>
  <c r="G23" i="50" s="1"/>
  <c r="BU164" i="45"/>
  <c r="BH164" i="45"/>
  <c r="BB164" i="45"/>
  <c r="AU164" i="45"/>
  <c r="AN164" i="45"/>
  <c r="BG164" i="45" s="1"/>
  <c r="AE164" i="45" s="1"/>
  <c r="AM164" i="45"/>
  <c r="BF164" i="45" s="1"/>
  <c r="AD164" i="45" s="1"/>
  <c r="AJ164" i="45"/>
  <c r="AH164" i="45"/>
  <c r="AF164" i="45"/>
  <c r="AC164" i="45"/>
  <c r="AB164" i="45"/>
  <c r="AA164" i="45"/>
  <c r="Z164" i="45"/>
  <c r="X164" i="45"/>
  <c r="L164" i="45"/>
  <c r="L163" i="45" s="1"/>
  <c r="J164" i="45"/>
  <c r="AI164" i="45" s="1"/>
  <c r="AR163" i="45" s="1"/>
  <c r="I164" i="45"/>
  <c r="H164" i="45"/>
  <c r="H163" i="45" s="1"/>
  <c r="AS163" i="45"/>
  <c r="AQ163" i="45"/>
  <c r="I163" i="45"/>
  <c r="BU162" i="45"/>
  <c r="BH162" i="45"/>
  <c r="X162" i="45" s="1"/>
  <c r="BD162" i="45"/>
  <c r="BB162" i="45"/>
  <c r="AN162" i="45"/>
  <c r="BG162" i="45" s="1"/>
  <c r="AM162" i="45"/>
  <c r="BF162" i="45" s="1"/>
  <c r="AJ162" i="45"/>
  <c r="AS161" i="45" s="1"/>
  <c r="AH162" i="45"/>
  <c r="AQ161" i="45" s="1"/>
  <c r="AF162" i="45"/>
  <c r="AE162" i="45"/>
  <c r="AD162" i="45"/>
  <c r="AC162" i="45"/>
  <c r="AB162" i="45"/>
  <c r="AA162" i="45"/>
  <c r="Z162" i="45"/>
  <c r="L162" i="45"/>
  <c r="J162" i="45"/>
  <c r="AI162" i="45" s="1"/>
  <c r="AR161" i="45" s="1"/>
  <c r="L161" i="45"/>
  <c r="J161" i="45"/>
  <c r="BU160" i="45"/>
  <c r="BH160" i="45"/>
  <c r="X160" i="45" s="1"/>
  <c r="BB160" i="45"/>
  <c r="AN160" i="45"/>
  <c r="BG160" i="45" s="1"/>
  <c r="AM160" i="45"/>
  <c r="BF160" i="45" s="1"/>
  <c r="AJ160" i="45"/>
  <c r="AH160" i="45"/>
  <c r="AF160" i="45"/>
  <c r="AE160" i="45"/>
  <c r="AD160" i="45"/>
  <c r="AC160" i="45"/>
  <c r="AB160" i="45"/>
  <c r="AA160" i="45"/>
  <c r="Z160" i="45"/>
  <c r="L160" i="45"/>
  <c r="BD160" i="45" s="1"/>
  <c r="J160" i="45"/>
  <c r="AI160" i="45" s="1"/>
  <c r="I160" i="45"/>
  <c r="BU159" i="45"/>
  <c r="BH159" i="45"/>
  <c r="X159" i="45" s="1"/>
  <c r="BB159" i="45"/>
  <c r="AN159" i="45"/>
  <c r="BG159" i="45" s="1"/>
  <c r="AM159" i="45"/>
  <c r="BF159" i="45" s="1"/>
  <c r="AJ159" i="45"/>
  <c r="AH159" i="45"/>
  <c r="AF159" i="45"/>
  <c r="AE159" i="45"/>
  <c r="AD159" i="45"/>
  <c r="AC159" i="45"/>
  <c r="AB159" i="45"/>
  <c r="AA159" i="45"/>
  <c r="Z159" i="45"/>
  <c r="L159" i="45"/>
  <c r="BD159" i="45" s="1"/>
  <c r="J159" i="45"/>
  <c r="I159" i="45"/>
  <c r="BU158" i="45"/>
  <c r="BH158" i="45"/>
  <c r="X158" i="45" s="1"/>
  <c r="BB158" i="45"/>
  <c r="AU158" i="45"/>
  <c r="AN158" i="45"/>
  <c r="BG158" i="45" s="1"/>
  <c r="AM158" i="45"/>
  <c r="BF158" i="45" s="1"/>
  <c r="AJ158" i="45"/>
  <c r="AI158" i="45"/>
  <c r="AH158" i="45"/>
  <c r="AF158" i="45"/>
  <c r="AE158" i="45"/>
  <c r="AD158" i="45"/>
  <c r="AC158" i="45"/>
  <c r="AB158" i="45"/>
  <c r="AA158" i="45"/>
  <c r="Z158" i="45"/>
  <c r="L158" i="45"/>
  <c r="BD158" i="45" s="1"/>
  <c r="J158" i="45"/>
  <c r="I158" i="45"/>
  <c r="H158" i="45"/>
  <c r="BU156" i="45"/>
  <c r="BH156" i="45"/>
  <c r="X156" i="45" s="1"/>
  <c r="BB156" i="45"/>
  <c r="AN156" i="45"/>
  <c r="BG156" i="45" s="1"/>
  <c r="AM156" i="45"/>
  <c r="BF156" i="45" s="1"/>
  <c r="AJ156" i="45"/>
  <c r="AH156" i="45"/>
  <c r="AF156" i="45"/>
  <c r="AE156" i="45"/>
  <c r="AD156" i="45"/>
  <c r="AC156" i="45"/>
  <c r="AB156" i="45"/>
  <c r="AA156" i="45"/>
  <c r="Z156" i="45"/>
  <c r="L156" i="45"/>
  <c r="BD156" i="45" s="1"/>
  <c r="J156" i="45"/>
  <c r="AI156" i="45" s="1"/>
  <c r="H156" i="45"/>
  <c r="BU154" i="45"/>
  <c r="BH154" i="45"/>
  <c r="X154" i="45" s="1"/>
  <c r="BB154" i="45"/>
  <c r="AN154" i="45"/>
  <c r="BG154" i="45" s="1"/>
  <c r="AM154" i="45"/>
  <c r="BF154" i="45" s="1"/>
  <c r="AJ154" i="45"/>
  <c r="AH154" i="45"/>
  <c r="AF154" i="45"/>
  <c r="AE154" i="45"/>
  <c r="AD154" i="45"/>
  <c r="AC154" i="45"/>
  <c r="AB154" i="45"/>
  <c r="AA154" i="45"/>
  <c r="Z154" i="45"/>
  <c r="L154" i="45"/>
  <c r="BD154" i="45" s="1"/>
  <c r="J154" i="45"/>
  <c r="AI154" i="45" s="1"/>
  <c r="H154" i="45"/>
  <c r="BU153" i="45"/>
  <c r="BH153" i="45"/>
  <c r="X153" i="45" s="1"/>
  <c r="BB153" i="45"/>
  <c r="AN153" i="45"/>
  <c r="BG153" i="45" s="1"/>
  <c r="AM153" i="45"/>
  <c r="BF153" i="45" s="1"/>
  <c r="AJ153" i="45"/>
  <c r="AH153" i="45"/>
  <c r="AF153" i="45"/>
  <c r="AE153" i="45"/>
  <c r="AD153" i="45"/>
  <c r="AC153" i="45"/>
  <c r="AB153" i="45"/>
  <c r="AA153" i="45"/>
  <c r="Z153" i="45"/>
  <c r="L153" i="45"/>
  <c r="BD153" i="45" s="1"/>
  <c r="J153" i="45"/>
  <c r="H153" i="45"/>
  <c r="BU151" i="45"/>
  <c r="BH151" i="45"/>
  <c r="X151" i="45" s="1"/>
  <c r="BB151" i="45"/>
  <c r="AN151" i="45"/>
  <c r="BG151" i="45" s="1"/>
  <c r="AM151" i="45"/>
  <c r="BF151" i="45" s="1"/>
  <c r="AJ151" i="45"/>
  <c r="AH151" i="45"/>
  <c r="AF151" i="45"/>
  <c r="AE151" i="45"/>
  <c r="AD151" i="45"/>
  <c r="AC151" i="45"/>
  <c r="AB151" i="45"/>
  <c r="AA151" i="45"/>
  <c r="Z151" i="45"/>
  <c r="L151" i="45"/>
  <c r="BD151" i="45" s="1"/>
  <c r="J151" i="45"/>
  <c r="AI151" i="45" s="1"/>
  <c r="H151" i="45"/>
  <c r="BU149" i="45"/>
  <c r="BH149" i="45"/>
  <c r="X149" i="45" s="1"/>
  <c r="BB149" i="45"/>
  <c r="AN149" i="45"/>
  <c r="BG149" i="45" s="1"/>
  <c r="AM149" i="45"/>
  <c r="BF149" i="45" s="1"/>
  <c r="AJ149" i="45"/>
  <c r="AH149" i="45"/>
  <c r="AF149" i="45"/>
  <c r="AE149" i="45"/>
  <c r="AD149" i="45"/>
  <c r="AC149" i="45"/>
  <c r="AB149" i="45"/>
  <c r="AA149" i="45"/>
  <c r="Z149" i="45"/>
  <c r="L149" i="45"/>
  <c r="BD149" i="45" s="1"/>
  <c r="J149" i="45"/>
  <c r="AI149" i="45" s="1"/>
  <c r="BU148" i="45"/>
  <c r="BH148" i="45"/>
  <c r="X148" i="45" s="1"/>
  <c r="BB148" i="45"/>
  <c r="AN148" i="45"/>
  <c r="BG148" i="45" s="1"/>
  <c r="AM148" i="45"/>
  <c r="BF148" i="45" s="1"/>
  <c r="AJ148" i="45"/>
  <c r="AH148" i="45"/>
  <c r="AQ147" i="45" s="1"/>
  <c r="AF148" i="45"/>
  <c r="AE148" i="45"/>
  <c r="AD148" i="45"/>
  <c r="AC148" i="45"/>
  <c r="AB148" i="45"/>
  <c r="AA148" i="45"/>
  <c r="Z148" i="45"/>
  <c r="L148" i="45"/>
  <c r="J148" i="45"/>
  <c r="AI148" i="45" s="1"/>
  <c r="I148" i="45"/>
  <c r="BU145" i="45"/>
  <c r="BH145" i="45"/>
  <c r="BB145" i="45"/>
  <c r="AN145" i="45"/>
  <c r="BG145" i="45" s="1"/>
  <c r="AA145" i="45" s="1"/>
  <c r="AM145" i="45"/>
  <c r="BF145" i="45" s="1"/>
  <c r="AJ145" i="45"/>
  <c r="AH145" i="45"/>
  <c r="AF145" i="45"/>
  <c r="AE145" i="45"/>
  <c r="AD145" i="45"/>
  <c r="AC145" i="45"/>
  <c r="AB145" i="45"/>
  <c r="Z145" i="45"/>
  <c r="X145" i="45"/>
  <c r="L145" i="45"/>
  <c r="BD145" i="45" s="1"/>
  <c r="J145" i="45"/>
  <c r="H145" i="45"/>
  <c r="H144" i="45" s="1"/>
  <c r="AS144" i="45"/>
  <c r="AQ144" i="45"/>
  <c r="J144" i="45"/>
  <c r="BU142" i="45"/>
  <c r="BH142" i="45"/>
  <c r="BB142" i="45"/>
  <c r="AN142" i="45"/>
  <c r="BG142" i="45" s="1"/>
  <c r="AA142" i="45" s="1"/>
  <c r="AM142" i="45"/>
  <c r="BF142" i="45" s="1"/>
  <c r="Z142" i="45" s="1"/>
  <c r="AJ142" i="45"/>
  <c r="AH142" i="45"/>
  <c r="AF142" i="45"/>
  <c r="AE142" i="45"/>
  <c r="AD142" i="45"/>
  <c r="AC142" i="45"/>
  <c r="AB142" i="45"/>
  <c r="X142" i="45"/>
  <c r="L142" i="45"/>
  <c r="L141" i="45" s="1"/>
  <c r="J142" i="45"/>
  <c r="AI142" i="45" s="1"/>
  <c r="AR141" i="45" s="1"/>
  <c r="AS141" i="45"/>
  <c r="AQ141" i="45"/>
  <c r="BU139" i="45"/>
  <c r="BH139" i="45"/>
  <c r="BB139" i="45"/>
  <c r="AN139" i="45"/>
  <c r="BG139" i="45" s="1"/>
  <c r="AA139" i="45" s="1"/>
  <c r="AM139" i="45"/>
  <c r="BF139" i="45" s="1"/>
  <c r="AJ139" i="45"/>
  <c r="AS138" i="45" s="1"/>
  <c r="AH139" i="45"/>
  <c r="AQ138" i="45" s="1"/>
  <c r="AF139" i="45"/>
  <c r="AE139" i="45"/>
  <c r="AD139" i="45"/>
  <c r="AC139" i="45"/>
  <c r="AB139" i="45"/>
  <c r="Z139" i="45"/>
  <c r="X139" i="45"/>
  <c r="L139" i="45"/>
  <c r="BD139" i="45" s="1"/>
  <c r="J139" i="45"/>
  <c r="J138" i="45" s="1"/>
  <c r="I139" i="45"/>
  <c r="I138" i="45" s="1"/>
  <c r="BU136" i="45"/>
  <c r="BH136" i="45"/>
  <c r="BB136" i="45"/>
  <c r="AN136" i="45"/>
  <c r="BG136" i="45" s="1"/>
  <c r="AA136" i="45" s="1"/>
  <c r="AM136" i="45"/>
  <c r="BF136" i="45" s="1"/>
  <c r="Z136" i="45" s="1"/>
  <c r="AJ136" i="45"/>
  <c r="AH136" i="45"/>
  <c r="AF136" i="45"/>
  <c r="AE136" i="45"/>
  <c r="AD136" i="45"/>
  <c r="AC136" i="45"/>
  <c r="AB136" i="45"/>
  <c r="X136" i="45"/>
  <c r="L136" i="45"/>
  <c r="BD136" i="45" s="1"/>
  <c r="J136" i="45"/>
  <c r="AI136" i="45" s="1"/>
  <c r="BU134" i="45"/>
  <c r="BH134" i="45"/>
  <c r="BB134" i="45"/>
  <c r="AN134" i="45"/>
  <c r="BG134" i="45" s="1"/>
  <c r="AA134" i="45" s="1"/>
  <c r="AM134" i="45"/>
  <c r="BF134" i="45" s="1"/>
  <c r="AJ134" i="45"/>
  <c r="AS133" i="45" s="1"/>
  <c r="AH134" i="45"/>
  <c r="AF134" i="45"/>
  <c r="AE134" i="45"/>
  <c r="AD134" i="45"/>
  <c r="AC134" i="45"/>
  <c r="AB134" i="45"/>
  <c r="Z134" i="45"/>
  <c r="X134" i="45"/>
  <c r="L134" i="45"/>
  <c r="BD134" i="45" s="1"/>
  <c r="J134" i="45"/>
  <c r="I134" i="45"/>
  <c r="L133" i="45"/>
  <c r="BU131" i="45"/>
  <c r="BH131" i="45"/>
  <c r="BB131" i="45"/>
  <c r="AN131" i="45"/>
  <c r="BG131" i="45" s="1"/>
  <c r="AC131" i="45" s="1"/>
  <c r="AM131" i="45"/>
  <c r="BF131" i="45" s="1"/>
  <c r="AB131" i="45" s="1"/>
  <c r="AJ131" i="45"/>
  <c r="AS130" i="45" s="1"/>
  <c r="AH131" i="45"/>
  <c r="AF131" i="45"/>
  <c r="AE131" i="45"/>
  <c r="AD131" i="45"/>
  <c r="AA131" i="45"/>
  <c r="Z131" i="45"/>
  <c r="X131" i="45"/>
  <c r="L131" i="45"/>
  <c r="L130" i="45" s="1"/>
  <c r="J131" i="45"/>
  <c r="AI131" i="45" s="1"/>
  <c r="AR130" i="45" s="1"/>
  <c r="AQ130" i="45"/>
  <c r="BU128" i="45"/>
  <c r="BH128" i="45"/>
  <c r="BB128" i="45"/>
  <c r="AN128" i="45"/>
  <c r="BG128" i="45" s="1"/>
  <c r="AA128" i="45" s="1"/>
  <c r="AM128" i="45"/>
  <c r="BF128" i="45" s="1"/>
  <c r="Z128" i="45" s="1"/>
  <c r="AJ128" i="45"/>
  <c r="AH128" i="45"/>
  <c r="AF128" i="45"/>
  <c r="AE128" i="45"/>
  <c r="AD128" i="45"/>
  <c r="AC128" i="45"/>
  <c r="AB128" i="45"/>
  <c r="X128" i="45"/>
  <c r="L128" i="45"/>
  <c r="L127" i="45" s="1"/>
  <c r="J128" i="45"/>
  <c r="AI128" i="45" s="1"/>
  <c r="AR127" i="45" s="1"/>
  <c r="I128" i="45"/>
  <c r="H128" i="45"/>
  <c r="H127" i="45" s="1"/>
  <c r="AS127" i="45"/>
  <c r="AQ127" i="45"/>
  <c r="I127" i="45"/>
  <c r="BU125" i="45"/>
  <c r="BH125" i="45"/>
  <c r="BB125" i="45"/>
  <c r="AN125" i="45"/>
  <c r="BG125" i="45" s="1"/>
  <c r="AA125" i="45" s="1"/>
  <c r="AM125" i="45"/>
  <c r="BF125" i="45" s="1"/>
  <c r="Z125" i="45" s="1"/>
  <c r="AJ125" i="45"/>
  <c r="AS122" i="45" s="1"/>
  <c r="AH125" i="45"/>
  <c r="AF125" i="45"/>
  <c r="AE125" i="45"/>
  <c r="AD125" i="45"/>
  <c r="AC125" i="45"/>
  <c r="AB125" i="45"/>
  <c r="X125" i="45"/>
  <c r="L125" i="45"/>
  <c r="BD125" i="45" s="1"/>
  <c r="J125" i="45"/>
  <c r="AI125" i="45" s="1"/>
  <c r="I125" i="45"/>
  <c r="H125" i="45"/>
  <c r="BU123" i="45"/>
  <c r="BH123" i="45"/>
  <c r="BB123" i="45"/>
  <c r="AN123" i="45"/>
  <c r="BG123" i="45" s="1"/>
  <c r="AA123" i="45" s="1"/>
  <c r="AM123" i="45"/>
  <c r="BF123" i="45" s="1"/>
  <c r="Z123" i="45" s="1"/>
  <c r="AJ123" i="45"/>
  <c r="AH123" i="45"/>
  <c r="AF123" i="45"/>
  <c r="AE123" i="45"/>
  <c r="AD123" i="45"/>
  <c r="AC123" i="45"/>
  <c r="AB123" i="45"/>
  <c r="X123" i="45"/>
  <c r="L123" i="45"/>
  <c r="L122" i="45" s="1"/>
  <c r="J123" i="45"/>
  <c r="AI123" i="45" s="1"/>
  <c r="AR122" i="45" s="1"/>
  <c r="I123" i="45"/>
  <c r="H123" i="45"/>
  <c r="AQ122" i="45"/>
  <c r="BU120" i="45"/>
  <c r="BH120" i="45"/>
  <c r="BB120" i="45"/>
  <c r="AN120" i="45"/>
  <c r="BG120" i="45" s="1"/>
  <c r="AA120" i="45" s="1"/>
  <c r="AM120" i="45"/>
  <c r="BF120" i="45" s="1"/>
  <c r="Z120" i="45" s="1"/>
  <c r="AJ120" i="45"/>
  <c r="AH120" i="45"/>
  <c r="AF120" i="45"/>
  <c r="AE120" i="45"/>
  <c r="AD120" i="45"/>
  <c r="AC120" i="45"/>
  <c r="AB120" i="45"/>
  <c r="X120" i="45"/>
  <c r="L120" i="45"/>
  <c r="BD120" i="45" s="1"/>
  <c r="J120" i="45"/>
  <c r="AI120" i="45" s="1"/>
  <c r="I120" i="45"/>
  <c r="H120" i="45"/>
  <c r="BU118" i="45"/>
  <c r="BH118" i="45"/>
  <c r="BB118" i="45"/>
  <c r="AN118" i="45"/>
  <c r="BG118" i="45" s="1"/>
  <c r="AA118" i="45" s="1"/>
  <c r="AM118" i="45"/>
  <c r="BF118" i="45" s="1"/>
  <c r="Z118" i="45" s="1"/>
  <c r="AJ118" i="45"/>
  <c r="AH118" i="45"/>
  <c r="AF118" i="45"/>
  <c r="AE118" i="45"/>
  <c r="AD118" i="45"/>
  <c r="AC118" i="45"/>
  <c r="AB118" i="45"/>
  <c r="X118" i="45"/>
  <c r="L118" i="45"/>
  <c r="BD118" i="45" s="1"/>
  <c r="J118" i="45"/>
  <c r="AI118" i="45" s="1"/>
  <c r="I118" i="45"/>
  <c r="H118" i="45"/>
  <c r="BU116" i="45"/>
  <c r="BH116" i="45"/>
  <c r="BB116" i="45"/>
  <c r="AN116" i="45"/>
  <c r="BG116" i="45" s="1"/>
  <c r="AA116" i="45" s="1"/>
  <c r="AM116" i="45"/>
  <c r="BF116" i="45" s="1"/>
  <c r="AJ116" i="45"/>
  <c r="AH116" i="45"/>
  <c r="AF116" i="45"/>
  <c r="AE116" i="45"/>
  <c r="AD116" i="45"/>
  <c r="AC116" i="45"/>
  <c r="AB116" i="45"/>
  <c r="Z116" i="45"/>
  <c r="X116" i="45"/>
  <c r="L116" i="45"/>
  <c r="BD116" i="45" s="1"/>
  <c r="J116" i="45"/>
  <c r="BU114" i="45"/>
  <c r="BH114" i="45"/>
  <c r="BB114" i="45"/>
  <c r="AN114" i="45"/>
  <c r="BG114" i="45" s="1"/>
  <c r="AA114" i="45" s="1"/>
  <c r="AM114" i="45"/>
  <c r="BF114" i="45" s="1"/>
  <c r="Z114" i="45" s="1"/>
  <c r="AJ114" i="45"/>
  <c r="AH114" i="45"/>
  <c r="AF114" i="45"/>
  <c r="AE114" i="45"/>
  <c r="AD114" i="45"/>
  <c r="AC114" i="45"/>
  <c r="AB114" i="45"/>
  <c r="X114" i="45"/>
  <c r="L114" i="45"/>
  <c r="BD114" i="45" s="1"/>
  <c r="J114" i="45"/>
  <c r="BU112" i="45"/>
  <c r="BH112" i="45"/>
  <c r="BB112" i="45"/>
  <c r="AN112" i="45"/>
  <c r="BG112" i="45" s="1"/>
  <c r="AA112" i="45" s="1"/>
  <c r="AM112" i="45"/>
  <c r="BF112" i="45" s="1"/>
  <c r="AJ112" i="45"/>
  <c r="AH112" i="45"/>
  <c r="AF112" i="45"/>
  <c r="AE112" i="45"/>
  <c r="AD112" i="45"/>
  <c r="AC112" i="45"/>
  <c r="AB112" i="45"/>
  <c r="Z112" i="45"/>
  <c r="X112" i="45"/>
  <c r="L112" i="45"/>
  <c r="BD112" i="45" s="1"/>
  <c r="J112" i="45"/>
  <c r="I112" i="45"/>
  <c r="BU110" i="45"/>
  <c r="BH110" i="45"/>
  <c r="BD110" i="45"/>
  <c r="BB110" i="45"/>
  <c r="AN110" i="45"/>
  <c r="BG110" i="45" s="1"/>
  <c r="AA110" i="45" s="1"/>
  <c r="AM110" i="45"/>
  <c r="BF110" i="45" s="1"/>
  <c r="Z110" i="45" s="1"/>
  <c r="AJ110" i="45"/>
  <c r="AH110" i="45"/>
  <c r="AF110" i="45"/>
  <c r="AE110" i="45"/>
  <c r="AD110" i="45"/>
  <c r="AC110" i="45"/>
  <c r="AB110" i="45"/>
  <c r="X110" i="45"/>
  <c r="L110" i="45"/>
  <c r="J110" i="45"/>
  <c r="BU108" i="45"/>
  <c r="BH108" i="45"/>
  <c r="BB108" i="45"/>
  <c r="AU108" i="45"/>
  <c r="AN108" i="45"/>
  <c r="BG108" i="45" s="1"/>
  <c r="AA108" i="45" s="1"/>
  <c r="AM108" i="45"/>
  <c r="BF108" i="45" s="1"/>
  <c r="AJ108" i="45"/>
  <c r="AH108" i="45"/>
  <c r="AF108" i="45"/>
  <c r="AE108" i="45"/>
  <c r="AD108" i="45"/>
  <c r="AC108" i="45"/>
  <c r="AB108" i="45"/>
  <c r="Z108" i="45"/>
  <c r="X108" i="45"/>
  <c r="L108" i="45"/>
  <c r="BD108" i="45" s="1"/>
  <c r="J108" i="45"/>
  <c r="H108" i="45"/>
  <c r="BU106" i="45"/>
  <c r="BH106" i="45"/>
  <c r="BD106" i="45"/>
  <c r="BB106" i="45"/>
  <c r="AN106" i="45"/>
  <c r="BG106" i="45" s="1"/>
  <c r="AA106" i="45" s="1"/>
  <c r="AM106" i="45"/>
  <c r="BF106" i="45" s="1"/>
  <c r="Z106" i="45" s="1"/>
  <c r="AJ106" i="45"/>
  <c r="AH106" i="45"/>
  <c r="AF106" i="45"/>
  <c r="AE106" i="45"/>
  <c r="AD106" i="45"/>
  <c r="AC106" i="45"/>
  <c r="AB106" i="45"/>
  <c r="X106" i="45"/>
  <c r="L106" i="45"/>
  <c r="J106" i="45"/>
  <c r="AI106" i="45" s="1"/>
  <c r="BU104" i="45"/>
  <c r="BH104" i="45"/>
  <c r="BB104" i="45"/>
  <c r="AN104" i="45"/>
  <c r="BG104" i="45" s="1"/>
  <c r="AA104" i="45" s="1"/>
  <c r="AM104" i="45"/>
  <c r="BF104" i="45" s="1"/>
  <c r="AJ104" i="45"/>
  <c r="AH104" i="45"/>
  <c r="AF104" i="45"/>
  <c r="AE104" i="45"/>
  <c r="AD104" i="45"/>
  <c r="AC104" i="45"/>
  <c r="AB104" i="45"/>
  <c r="Z104" i="45"/>
  <c r="X104" i="45"/>
  <c r="L104" i="45"/>
  <c r="BD104" i="45" s="1"/>
  <c r="J104" i="45"/>
  <c r="H104" i="45"/>
  <c r="BU102" i="45"/>
  <c r="BH102" i="45"/>
  <c r="BB102" i="45"/>
  <c r="AN102" i="45"/>
  <c r="BG102" i="45" s="1"/>
  <c r="AA102" i="45" s="1"/>
  <c r="AM102" i="45"/>
  <c r="BF102" i="45" s="1"/>
  <c r="Z102" i="45" s="1"/>
  <c r="AJ102" i="45"/>
  <c r="AS99" i="45" s="1"/>
  <c r="AH102" i="45"/>
  <c r="AF102" i="45"/>
  <c r="AE102" i="45"/>
  <c r="AD102" i="45"/>
  <c r="AC102" i="45"/>
  <c r="AB102" i="45"/>
  <c r="X102" i="45"/>
  <c r="L102" i="45"/>
  <c r="BD102" i="45" s="1"/>
  <c r="J102" i="45"/>
  <c r="BU100" i="45"/>
  <c r="BH100" i="45"/>
  <c r="BB100" i="45"/>
  <c r="AU100" i="45"/>
  <c r="AN100" i="45"/>
  <c r="BG100" i="45" s="1"/>
  <c r="AA100" i="45" s="1"/>
  <c r="AM100" i="45"/>
  <c r="BF100" i="45" s="1"/>
  <c r="AJ100" i="45"/>
  <c r="AH100" i="45"/>
  <c r="AF100" i="45"/>
  <c r="AE100" i="45"/>
  <c r="AD100" i="45"/>
  <c r="AC100" i="45"/>
  <c r="AB100" i="45"/>
  <c r="Z100" i="45"/>
  <c r="X100" i="45"/>
  <c r="L100" i="45"/>
  <c r="BD100" i="45" s="1"/>
  <c r="J100" i="45"/>
  <c r="AI100" i="45" s="1"/>
  <c r="H100" i="45"/>
  <c r="BU97" i="45"/>
  <c r="BH97" i="45"/>
  <c r="BB97" i="45"/>
  <c r="AN97" i="45"/>
  <c r="BG97" i="45" s="1"/>
  <c r="AM97" i="45"/>
  <c r="BF97" i="45" s="1"/>
  <c r="Z97" i="45" s="1"/>
  <c r="AJ97" i="45"/>
  <c r="AH97" i="45"/>
  <c r="AF97" i="45"/>
  <c r="AE97" i="45"/>
  <c r="AD97" i="45"/>
  <c r="AC97" i="45"/>
  <c r="AB97" i="45"/>
  <c r="AA97" i="45"/>
  <c r="X97" i="45"/>
  <c r="L97" i="45"/>
  <c r="L96" i="45" s="1"/>
  <c r="J97" i="45"/>
  <c r="AI97" i="45" s="1"/>
  <c r="AR96" i="45" s="1"/>
  <c r="I97" i="45"/>
  <c r="I96" i="45" s="1"/>
  <c r="AS96" i="45"/>
  <c r="AQ96" i="45"/>
  <c r="BU94" i="45"/>
  <c r="BH94" i="45"/>
  <c r="BB94" i="45"/>
  <c r="AN94" i="45"/>
  <c r="BG94" i="45" s="1"/>
  <c r="AA94" i="45" s="1"/>
  <c r="AM94" i="45"/>
  <c r="BF94" i="45" s="1"/>
  <c r="AJ94" i="45"/>
  <c r="AS93" i="45" s="1"/>
  <c r="AH94" i="45"/>
  <c r="AF94" i="45"/>
  <c r="AE94" i="45"/>
  <c r="AD94" i="45"/>
  <c r="AC94" i="45"/>
  <c r="AB94" i="45"/>
  <c r="Z94" i="45"/>
  <c r="X94" i="45"/>
  <c r="L94" i="45"/>
  <c r="BD94" i="45" s="1"/>
  <c r="J94" i="45"/>
  <c r="J93" i="45" s="1"/>
  <c r="AQ93" i="45"/>
  <c r="BU91" i="45"/>
  <c r="BH91" i="45"/>
  <c r="BB91" i="45"/>
  <c r="AN91" i="45"/>
  <c r="BG91" i="45" s="1"/>
  <c r="AA91" i="45" s="1"/>
  <c r="AM91" i="45"/>
  <c r="BF91" i="45" s="1"/>
  <c r="Z91" i="45" s="1"/>
  <c r="AJ91" i="45"/>
  <c r="AH91" i="45"/>
  <c r="AF91" i="45"/>
  <c r="AE91" i="45"/>
  <c r="AD91" i="45"/>
  <c r="AC91" i="45"/>
  <c r="AB91" i="45"/>
  <c r="X91" i="45"/>
  <c r="L91" i="45"/>
  <c r="BD91" i="45" s="1"/>
  <c r="J91" i="45"/>
  <c r="BU89" i="45"/>
  <c r="BH89" i="45"/>
  <c r="BB89" i="45"/>
  <c r="AN89" i="45"/>
  <c r="BG89" i="45" s="1"/>
  <c r="AA89" i="45" s="1"/>
  <c r="AM89" i="45"/>
  <c r="BF89" i="45" s="1"/>
  <c r="AJ89" i="45"/>
  <c r="AH89" i="45"/>
  <c r="AF89" i="45"/>
  <c r="AE89" i="45"/>
  <c r="AD89" i="45"/>
  <c r="AC89" i="45"/>
  <c r="AB89" i="45"/>
  <c r="Z89" i="45"/>
  <c r="X89" i="45"/>
  <c r="L89" i="45"/>
  <c r="BD89" i="45" s="1"/>
  <c r="J89" i="45"/>
  <c r="I89" i="45"/>
  <c r="BU86" i="45"/>
  <c r="BH86" i="45"/>
  <c r="BD86" i="45"/>
  <c r="BB86" i="45"/>
  <c r="AN86" i="45"/>
  <c r="BG86" i="45" s="1"/>
  <c r="AA86" i="45" s="1"/>
  <c r="AM86" i="45"/>
  <c r="BF86" i="45" s="1"/>
  <c r="Z86" i="45" s="1"/>
  <c r="AJ86" i="45"/>
  <c r="AH86" i="45"/>
  <c r="AF86" i="45"/>
  <c r="AE86" i="45"/>
  <c r="AD86" i="45"/>
  <c r="AC86" i="45"/>
  <c r="AB86" i="45"/>
  <c r="X86" i="45"/>
  <c r="L86" i="45"/>
  <c r="J86" i="45"/>
  <c r="BU84" i="45"/>
  <c r="BH84" i="45"/>
  <c r="BB84" i="45"/>
  <c r="AN84" i="45"/>
  <c r="AM84" i="45"/>
  <c r="BF84" i="45" s="1"/>
  <c r="Z84" i="45" s="1"/>
  <c r="AJ84" i="45"/>
  <c r="AH84" i="45"/>
  <c r="AQ83" i="45" s="1"/>
  <c r="AF84" i="45"/>
  <c r="AE84" i="45"/>
  <c r="AD84" i="45"/>
  <c r="AC84" i="45"/>
  <c r="AB84" i="45"/>
  <c r="X84" i="45"/>
  <c r="L84" i="45"/>
  <c r="BD84" i="45" s="1"/>
  <c r="J84" i="45"/>
  <c r="AI84" i="45" s="1"/>
  <c r="I84" i="45"/>
  <c r="H84" i="45"/>
  <c r="BU81" i="45"/>
  <c r="BH81" i="45"/>
  <c r="BF81" i="45"/>
  <c r="Z81" i="45" s="1"/>
  <c r="BB81" i="45"/>
  <c r="AN81" i="45"/>
  <c r="BG81" i="45" s="1"/>
  <c r="AA81" i="45" s="1"/>
  <c r="AM81" i="45"/>
  <c r="AU81" i="45" s="1"/>
  <c r="AJ81" i="45"/>
  <c r="AS80" i="45" s="1"/>
  <c r="AH81" i="45"/>
  <c r="AF81" i="45"/>
  <c r="AE81" i="45"/>
  <c r="AD81" i="45"/>
  <c r="AC81" i="45"/>
  <c r="AB81" i="45"/>
  <c r="X81" i="45"/>
  <c r="L81" i="45"/>
  <c r="BD81" i="45" s="1"/>
  <c r="J81" i="45"/>
  <c r="AI81" i="45" s="1"/>
  <c r="AR80" i="45" s="1"/>
  <c r="I81" i="45"/>
  <c r="H81" i="45"/>
  <c r="H80" i="45" s="1"/>
  <c r="AQ80" i="45"/>
  <c r="J80" i="45"/>
  <c r="I80" i="45"/>
  <c r="BU78" i="45"/>
  <c r="BH78" i="45"/>
  <c r="BB78" i="45"/>
  <c r="AN78" i="45"/>
  <c r="BG78" i="45" s="1"/>
  <c r="AA78" i="45" s="1"/>
  <c r="AM78" i="45"/>
  <c r="BF78" i="45" s="1"/>
  <c r="Z78" i="45" s="1"/>
  <c r="AJ78" i="45"/>
  <c r="AH78" i="45"/>
  <c r="AF78" i="45"/>
  <c r="AE78" i="45"/>
  <c r="AD78" i="45"/>
  <c r="AC78" i="45"/>
  <c r="AB78" i="45"/>
  <c r="X78" i="45"/>
  <c r="L78" i="45"/>
  <c r="BD78" i="45" s="1"/>
  <c r="J78" i="45"/>
  <c r="AI78" i="45" s="1"/>
  <c r="BU76" i="45"/>
  <c r="BH76" i="45"/>
  <c r="BB76" i="45"/>
  <c r="AN76" i="45"/>
  <c r="BG76" i="45" s="1"/>
  <c r="AA76" i="45" s="1"/>
  <c r="AM76" i="45"/>
  <c r="BF76" i="45" s="1"/>
  <c r="Z76" i="45" s="1"/>
  <c r="AJ76" i="45"/>
  <c r="AH76" i="45"/>
  <c r="AF76" i="45"/>
  <c r="AE76" i="45"/>
  <c r="AD76" i="45"/>
  <c r="AC76" i="45"/>
  <c r="AB76" i="45"/>
  <c r="X76" i="45"/>
  <c r="L76" i="45"/>
  <c r="BD76" i="45" s="1"/>
  <c r="J76" i="45"/>
  <c r="AI76" i="45" s="1"/>
  <c r="BU74" i="45"/>
  <c r="BH74" i="45"/>
  <c r="BB74" i="45"/>
  <c r="AN74" i="45"/>
  <c r="BG74" i="45" s="1"/>
  <c r="AA74" i="45" s="1"/>
  <c r="AM74" i="45"/>
  <c r="AU74" i="45" s="1"/>
  <c r="AJ74" i="45"/>
  <c r="AH74" i="45"/>
  <c r="AF74" i="45"/>
  <c r="AE74" i="45"/>
  <c r="AD74" i="45"/>
  <c r="AC74" i="45"/>
  <c r="AB74" i="45"/>
  <c r="X74" i="45"/>
  <c r="L74" i="45"/>
  <c r="BD74" i="45" s="1"/>
  <c r="J74" i="45"/>
  <c r="AI74" i="45" s="1"/>
  <c r="I74" i="45"/>
  <c r="H74" i="45"/>
  <c r="BU71" i="45"/>
  <c r="BH71" i="45"/>
  <c r="BB71" i="45"/>
  <c r="AN71" i="45"/>
  <c r="BG71" i="45" s="1"/>
  <c r="AA71" i="45" s="1"/>
  <c r="AM71" i="45"/>
  <c r="BF71" i="45" s="1"/>
  <c r="Z71" i="45" s="1"/>
  <c r="AJ71" i="45"/>
  <c r="AH71" i="45"/>
  <c r="AF71" i="45"/>
  <c r="AE71" i="45"/>
  <c r="AD71" i="45"/>
  <c r="AC71" i="45"/>
  <c r="AB71" i="45"/>
  <c r="X71" i="45"/>
  <c r="L71" i="45"/>
  <c r="BD71" i="45" s="1"/>
  <c r="J71" i="45"/>
  <c r="AI71" i="45" s="1"/>
  <c r="BU69" i="45"/>
  <c r="BH69" i="45"/>
  <c r="BB69" i="45"/>
  <c r="AN69" i="45"/>
  <c r="BG69" i="45" s="1"/>
  <c r="AA69" i="45" s="1"/>
  <c r="AM69" i="45"/>
  <c r="BF69" i="45" s="1"/>
  <c r="Z69" i="45" s="1"/>
  <c r="AJ69" i="45"/>
  <c r="AH69" i="45"/>
  <c r="AF69" i="45"/>
  <c r="AE69" i="45"/>
  <c r="AD69" i="45"/>
  <c r="AC69" i="45"/>
  <c r="AB69" i="45"/>
  <c r="X69" i="45"/>
  <c r="L69" i="45"/>
  <c r="BD69" i="45" s="1"/>
  <c r="J69" i="45"/>
  <c r="AI69" i="45" s="1"/>
  <c r="BU67" i="45"/>
  <c r="BH67" i="45"/>
  <c r="BF67" i="45"/>
  <c r="Z67" i="45" s="1"/>
  <c r="BB67" i="45"/>
  <c r="AN67" i="45"/>
  <c r="BG67" i="45" s="1"/>
  <c r="AA67" i="45" s="1"/>
  <c r="AM67" i="45"/>
  <c r="AU67" i="45" s="1"/>
  <c r="AJ67" i="45"/>
  <c r="AH67" i="45"/>
  <c r="AF67" i="45"/>
  <c r="AE67" i="45"/>
  <c r="AD67" i="45"/>
  <c r="AC67" i="45"/>
  <c r="AB67" i="45"/>
  <c r="X67" i="45"/>
  <c r="L67" i="45"/>
  <c r="BD67" i="45" s="1"/>
  <c r="J67" i="45"/>
  <c r="AI67" i="45" s="1"/>
  <c r="I67" i="45"/>
  <c r="H67" i="45"/>
  <c r="BU65" i="45"/>
  <c r="BH65" i="45"/>
  <c r="BF65" i="45"/>
  <c r="Z65" i="45" s="1"/>
  <c r="BB65" i="45"/>
  <c r="AN65" i="45"/>
  <c r="BG65" i="45" s="1"/>
  <c r="AA65" i="45" s="1"/>
  <c r="AM65" i="45"/>
  <c r="AU65" i="45" s="1"/>
  <c r="AJ65" i="45"/>
  <c r="AH65" i="45"/>
  <c r="AF65" i="45"/>
  <c r="AE65" i="45"/>
  <c r="AD65" i="45"/>
  <c r="AC65" i="45"/>
  <c r="AB65" i="45"/>
  <c r="X65" i="45"/>
  <c r="L65" i="45"/>
  <c r="BD65" i="45" s="1"/>
  <c r="J65" i="45"/>
  <c r="AI65" i="45" s="1"/>
  <c r="I65" i="45"/>
  <c r="H65" i="45"/>
  <c r="BU63" i="45"/>
  <c r="BH63" i="45"/>
  <c r="BB63" i="45"/>
  <c r="AN63" i="45"/>
  <c r="BG63" i="45" s="1"/>
  <c r="AA63" i="45" s="1"/>
  <c r="AM63" i="45"/>
  <c r="BF63" i="45" s="1"/>
  <c r="Z63" i="45" s="1"/>
  <c r="AJ63" i="45"/>
  <c r="AH63" i="45"/>
  <c r="AF63" i="45"/>
  <c r="AE63" i="45"/>
  <c r="AD63" i="45"/>
  <c r="AC63" i="45"/>
  <c r="AB63" i="45"/>
  <c r="X63" i="45"/>
  <c r="L63" i="45"/>
  <c r="BD63" i="45" s="1"/>
  <c r="J63" i="45"/>
  <c r="AI63" i="45" s="1"/>
  <c r="BU61" i="45"/>
  <c r="BH61" i="45"/>
  <c r="BB61" i="45"/>
  <c r="AN61" i="45"/>
  <c r="BG61" i="45" s="1"/>
  <c r="AA61" i="45" s="1"/>
  <c r="AM61" i="45"/>
  <c r="BF61" i="45" s="1"/>
  <c r="Z61" i="45" s="1"/>
  <c r="AJ61" i="45"/>
  <c r="AH61" i="45"/>
  <c r="AF61" i="45"/>
  <c r="AE61" i="45"/>
  <c r="AD61" i="45"/>
  <c r="AC61" i="45"/>
  <c r="AB61" i="45"/>
  <c r="X61" i="45"/>
  <c r="L61" i="45"/>
  <c r="BD61" i="45" s="1"/>
  <c r="J61" i="45"/>
  <c r="AI61" i="45" s="1"/>
  <c r="BU59" i="45"/>
  <c r="BH59" i="45"/>
  <c r="BB59" i="45"/>
  <c r="AN59" i="45"/>
  <c r="BG59" i="45" s="1"/>
  <c r="AA59" i="45" s="1"/>
  <c r="AM59" i="45"/>
  <c r="AU59" i="45" s="1"/>
  <c r="AJ59" i="45"/>
  <c r="AH59" i="45"/>
  <c r="AF59" i="45"/>
  <c r="AE59" i="45"/>
  <c r="AD59" i="45"/>
  <c r="AC59" i="45"/>
  <c r="AB59" i="45"/>
  <c r="X59" i="45"/>
  <c r="L59" i="45"/>
  <c r="BD59" i="45" s="1"/>
  <c r="J59" i="45"/>
  <c r="AI59" i="45" s="1"/>
  <c r="I59" i="45"/>
  <c r="H59" i="45"/>
  <c r="BU57" i="45"/>
  <c r="BH57" i="45"/>
  <c r="BB57" i="45"/>
  <c r="AN57" i="45"/>
  <c r="BG57" i="45" s="1"/>
  <c r="AA57" i="45" s="1"/>
  <c r="AM57" i="45"/>
  <c r="BF57" i="45" s="1"/>
  <c r="Z57" i="45" s="1"/>
  <c r="AJ57" i="45"/>
  <c r="AH57" i="45"/>
  <c r="AF57" i="45"/>
  <c r="AE57" i="45"/>
  <c r="AD57" i="45"/>
  <c r="AC57" i="45"/>
  <c r="AB57" i="45"/>
  <c r="X57" i="45"/>
  <c r="L57" i="45"/>
  <c r="BD57" i="45" s="1"/>
  <c r="J57" i="45"/>
  <c r="AI57" i="45" s="1"/>
  <c r="I57" i="45"/>
  <c r="H57" i="45"/>
  <c r="BU55" i="45"/>
  <c r="BH55" i="45"/>
  <c r="BB55" i="45"/>
  <c r="AN55" i="45"/>
  <c r="BG55" i="45" s="1"/>
  <c r="AA55" i="45" s="1"/>
  <c r="AM55" i="45"/>
  <c r="BF55" i="45" s="1"/>
  <c r="Z55" i="45" s="1"/>
  <c r="AJ55" i="45"/>
  <c r="AH55" i="45"/>
  <c r="AF55" i="45"/>
  <c r="AE55" i="45"/>
  <c r="AD55" i="45"/>
  <c r="AC55" i="45"/>
  <c r="AB55" i="45"/>
  <c r="X55" i="45"/>
  <c r="L55" i="45"/>
  <c r="BD55" i="45" s="1"/>
  <c r="J55" i="45"/>
  <c r="AI55" i="45" s="1"/>
  <c r="BU53" i="45"/>
  <c r="BH53" i="45"/>
  <c r="BB53" i="45"/>
  <c r="AN53" i="45"/>
  <c r="BG53" i="45" s="1"/>
  <c r="AA53" i="45" s="1"/>
  <c r="AM53" i="45"/>
  <c r="BF53" i="45" s="1"/>
  <c r="Z53" i="45" s="1"/>
  <c r="AJ53" i="45"/>
  <c r="AH53" i="45"/>
  <c r="AF53" i="45"/>
  <c r="AE53" i="45"/>
  <c r="AD53" i="45"/>
  <c r="AC53" i="45"/>
  <c r="AB53" i="45"/>
  <c r="X53" i="45"/>
  <c r="L53" i="45"/>
  <c r="BD53" i="45" s="1"/>
  <c r="J53" i="45"/>
  <c r="AI53" i="45" s="1"/>
  <c r="BU50" i="45"/>
  <c r="BH50" i="45"/>
  <c r="BB50" i="45"/>
  <c r="AU50" i="45"/>
  <c r="AN50" i="45"/>
  <c r="BG50" i="45" s="1"/>
  <c r="AA50" i="45" s="1"/>
  <c r="AM50" i="45"/>
  <c r="BF50" i="45" s="1"/>
  <c r="Z50" i="45" s="1"/>
  <c r="AJ50" i="45"/>
  <c r="AH50" i="45"/>
  <c r="AQ47" i="45" s="1"/>
  <c r="AF50" i="45"/>
  <c r="AE50" i="45"/>
  <c r="AD50" i="45"/>
  <c r="AC50" i="45"/>
  <c r="AB50" i="45"/>
  <c r="X50" i="45"/>
  <c r="L50" i="45"/>
  <c r="J50" i="45"/>
  <c r="AI50" i="45" s="1"/>
  <c r="I50" i="45"/>
  <c r="H50" i="45"/>
  <c r="BU48" i="45"/>
  <c r="BH48" i="45"/>
  <c r="BB48" i="45"/>
  <c r="AN48" i="45"/>
  <c r="BG48" i="45" s="1"/>
  <c r="AA48" i="45" s="1"/>
  <c r="AM48" i="45"/>
  <c r="BF48" i="45" s="1"/>
  <c r="Z48" i="45" s="1"/>
  <c r="AJ48" i="45"/>
  <c r="AS47" i="45" s="1"/>
  <c r="AH48" i="45"/>
  <c r="AF48" i="45"/>
  <c r="AE48" i="45"/>
  <c r="AD48" i="45"/>
  <c r="AC48" i="45"/>
  <c r="AB48" i="45"/>
  <c r="X48" i="45"/>
  <c r="L48" i="45"/>
  <c r="BD48" i="45" s="1"/>
  <c r="J48" i="45"/>
  <c r="AI48" i="45" s="1"/>
  <c r="BU45" i="45"/>
  <c r="BH45" i="45"/>
  <c r="BF45" i="45"/>
  <c r="Z45" i="45" s="1"/>
  <c r="BB45" i="45"/>
  <c r="AN45" i="45"/>
  <c r="BG45" i="45" s="1"/>
  <c r="AA45" i="45" s="1"/>
  <c r="AM45" i="45"/>
  <c r="AU45" i="45" s="1"/>
  <c r="AJ45" i="45"/>
  <c r="AH45" i="45"/>
  <c r="AF45" i="45"/>
  <c r="AE45" i="45"/>
  <c r="AD45" i="45"/>
  <c r="AC45" i="45"/>
  <c r="AB45" i="45"/>
  <c r="X45" i="45"/>
  <c r="L45" i="45"/>
  <c r="BD45" i="45" s="1"/>
  <c r="J45" i="45"/>
  <c r="AI45" i="45" s="1"/>
  <c r="I45" i="45"/>
  <c r="H45" i="45"/>
  <c r="BU43" i="45"/>
  <c r="BH43" i="45"/>
  <c r="BB43" i="45"/>
  <c r="AN43" i="45"/>
  <c r="BG43" i="45" s="1"/>
  <c r="AA43" i="45" s="1"/>
  <c r="AM43" i="45"/>
  <c r="BF43" i="45" s="1"/>
  <c r="Z43" i="45" s="1"/>
  <c r="AJ43" i="45"/>
  <c r="AH43" i="45"/>
  <c r="AF43" i="45"/>
  <c r="AE43" i="45"/>
  <c r="AD43" i="45"/>
  <c r="AC43" i="45"/>
  <c r="AB43" i="45"/>
  <c r="X43" i="45"/>
  <c r="L43" i="45"/>
  <c r="BD43" i="45" s="1"/>
  <c r="J43" i="45"/>
  <c r="AI43" i="45" s="1"/>
  <c r="I43" i="45"/>
  <c r="H43" i="45"/>
  <c r="BU41" i="45"/>
  <c r="BH41" i="45"/>
  <c r="BB41" i="45"/>
  <c r="AV41" i="45"/>
  <c r="AN41" i="45"/>
  <c r="BG41" i="45" s="1"/>
  <c r="AM41" i="45"/>
  <c r="H41" i="45" s="1"/>
  <c r="AJ41" i="45"/>
  <c r="AH41" i="45"/>
  <c r="AF41" i="45"/>
  <c r="AE41" i="45"/>
  <c r="AD41" i="45"/>
  <c r="AC41" i="45"/>
  <c r="AB41" i="45"/>
  <c r="AA41" i="45"/>
  <c r="X41" i="45"/>
  <c r="L41" i="45"/>
  <c r="BD41" i="45" s="1"/>
  <c r="J41" i="45"/>
  <c r="AI41" i="45" s="1"/>
  <c r="I41" i="45"/>
  <c r="BU39" i="45"/>
  <c r="BH39" i="45"/>
  <c r="BB39" i="45"/>
  <c r="AN39" i="45"/>
  <c r="BG39" i="45" s="1"/>
  <c r="AA39" i="45" s="1"/>
  <c r="AM39" i="45"/>
  <c r="BF39" i="45" s="1"/>
  <c r="Z39" i="45" s="1"/>
  <c r="AJ39" i="45"/>
  <c r="AH39" i="45"/>
  <c r="AF39" i="45"/>
  <c r="AE39" i="45"/>
  <c r="AD39" i="45"/>
  <c r="AC39" i="45"/>
  <c r="AB39" i="45"/>
  <c r="X39" i="45"/>
  <c r="L39" i="45"/>
  <c r="BD39" i="45" s="1"/>
  <c r="J39" i="45"/>
  <c r="I39" i="45"/>
  <c r="H39" i="45"/>
  <c r="BU37" i="45"/>
  <c r="BH37" i="45"/>
  <c r="BB37" i="45"/>
  <c r="AN37" i="45"/>
  <c r="BG37" i="45" s="1"/>
  <c r="AA37" i="45" s="1"/>
  <c r="AM37" i="45"/>
  <c r="AU37" i="45" s="1"/>
  <c r="AJ37" i="45"/>
  <c r="AH37" i="45"/>
  <c r="AF37" i="45"/>
  <c r="AE37" i="45"/>
  <c r="AD37" i="45"/>
  <c r="AC37" i="45"/>
  <c r="AB37" i="45"/>
  <c r="X37" i="45"/>
  <c r="L37" i="45"/>
  <c r="BD37" i="45" s="1"/>
  <c r="J37" i="45"/>
  <c r="AI37" i="45" s="1"/>
  <c r="BU35" i="45"/>
  <c r="BH35" i="45"/>
  <c r="BB35" i="45"/>
  <c r="AN35" i="45"/>
  <c r="BG35" i="45" s="1"/>
  <c r="AA35" i="45" s="1"/>
  <c r="AM35" i="45"/>
  <c r="BF35" i="45" s="1"/>
  <c r="Z35" i="45" s="1"/>
  <c r="AJ35" i="45"/>
  <c r="AH35" i="45"/>
  <c r="AF35" i="45"/>
  <c r="AE35" i="45"/>
  <c r="AD35" i="45"/>
  <c r="AC35" i="45"/>
  <c r="AB35" i="45"/>
  <c r="X35" i="45"/>
  <c r="L35" i="45"/>
  <c r="BD35" i="45" s="1"/>
  <c r="J35" i="45"/>
  <c r="I35" i="45"/>
  <c r="H35" i="45"/>
  <c r="BU32" i="45"/>
  <c r="BH32" i="45"/>
  <c r="BB32" i="45"/>
  <c r="AU32" i="45"/>
  <c r="AN32" i="45"/>
  <c r="BG32" i="45" s="1"/>
  <c r="AM32" i="45"/>
  <c r="BF32" i="45" s="1"/>
  <c r="Z32" i="45" s="1"/>
  <c r="AJ32" i="45"/>
  <c r="AH32" i="45"/>
  <c r="AF32" i="45"/>
  <c r="AE32" i="45"/>
  <c r="AD32" i="45"/>
  <c r="AC32" i="45"/>
  <c r="AB32" i="45"/>
  <c r="AA32" i="45"/>
  <c r="X32" i="45"/>
  <c r="L32" i="45"/>
  <c r="BD32" i="45" s="1"/>
  <c r="J32" i="45"/>
  <c r="AI32" i="45" s="1"/>
  <c r="I32" i="45"/>
  <c r="BU30" i="45"/>
  <c r="BH30" i="45"/>
  <c r="BB30" i="45"/>
  <c r="AN30" i="45"/>
  <c r="BG30" i="45" s="1"/>
  <c r="AA30" i="45" s="1"/>
  <c r="AM30" i="45"/>
  <c r="BF30" i="45" s="1"/>
  <c r="Z30" i="45" s="1"/>
  <c r="AJ30" i="45"/>
  <c r="AH30" i="45"/>
  <c r="AF30" i="45"/>
  <c r="AE30" i="45"/>
  <c r="AD30" i="45"/>
  <c r="AC30" i="45"/>
  <c r="AB30" i="45"/>
  <c r="X30" i="45"/>
  <c r="L30" i="45"/>
  <c r="BD30" i="45" s="1"/>
  <c r="J30" i="45"/>
  <c r="AI30" i="45" s="1"/>
  <c r="I30" i="45"/>
  <c r="H30" i="45"/>
  <c r="BU27" i="45"/>
  <c r="BH27" i="45"/>
  <c r="BB27" i="45"/>
  <c r="AN27" i="45"/>
  <c r="BG27" i="45" s="1"/>
  <c r="AA27" i="45" s="1"/>
  <c r="AM27" i="45"/>
  <c r="AU27" i="45" s="1"/>
  <c r="AJ27" i="45"/>
  <c r="AH27" i="45"/>
  <c r="AF27" i="45"/>
  <c r="AE27" i="45"/>
  <c r="AD27" i="45"/>
  <c r="AC27" i="45"/>
  <c r="AB27" i="45"/>
  <c r="X27" i="45"/>
  <c r="L27" i="45"/>
  <c r="BD27" i="45" s="1"/>
  <c r="J27" i="45"/>
  <c r="AI27" i="45" s="1"/>
  <c r="I27" i="45"/>
  <c r="H27" i="45"/>
  <c r="BU25" i="45"/>
  <c r="BH25" i="45"/>
  <c r="BB25" i="45"/>
  <c r="AN25" i="45"/>
  <c r="BG25" i="45" s="1"/>
  <c r="AA25" i="45" s="1"/>
  <c r="AM25" i="45"/>
  <c r="AU25" i="45" s="1"/>
  <c r="AJ25" i="45"/>
  <c r="AH25" i="45"/>
  <c r="AF25" i="45"/>
  <c r="AE25" i="45"/>
  <c r="AD25" i="45"/>
  <c r="AC25" i="45"/>
  <c r="AB25" i="45"/>
  <c r="X25" i="45"/>
  <c r="L25" i="45"/>
  <c r="BD25" i="45" s="1"/>
  <c r="J25" i="45"/>
  <c r="AI25" i="45" s="1"/>
  <c r="I25" i="45"/>
  <c r="H25" i="45"/>
  <c r="BU23" i="45"/>
  <c r="BH23" i="45"/>
  <c r="BB23" i="45"/>
  <c r="AN23" i="45"/>
  <c r="BG23" i="45" s="1"/>
  <c r="AA23" i="45" s="1"/>
  <c r="AM23" i="45"/>
  <c r="AU23" i="45" s="1"/>
  <c r="AJ23" i="45"/>
  <c r="AH23" i="45"/>
  <c r="AF23" i="45"/>
  <c r="AE23" i="45"/>
  <c r="AD23" i="45"/>
  <c r="AC23" i="45"/>
  <c r="AB23" i="45"/>
  <c r="X23" i="45"/>
  <c r="L23" i="45"/>
  <c r="BD23" i="45" s="1"/>
  <c r="J23" i="45"/>
  <c r="AI23" i="45" s="1"/>
  <c r="I23" i="45"/>
  <c r="H23" i="45"/>
  <c r="BU21" i="45"/>
  <c r="BH21" i="45"/>
  <c r="BB21" i="45"/>
  <c r="AN21" i="45"/>
  <c r="BG21" i="45" s="1"/>
  <c r="AA21" i="45" s="1"/>
  <c r="AM21" i="45"/>
  <c r="AU21" i="45" s="1"/>
  <c r="AJ21" i="45"/>
  <c r="AH21" i="45"/>
  <c r="AF21" i="45"/>
  <c r="AE21" i="45"/>
  <c r="AD21" i="45"/>
  <c r="AC21" i="45"/>
  <c r="AB21" i="45"/>
  <c r="X21" i="45"/>
  <c r="L21" i="45"/>
  <c r="BD21" i="45" s="1"/>
  <c r="J21" i="45"/>
  <c r="AI21" i="45" s="1"/>
  <c r="I21" i="45"/>
  <c r="H21" i="45"/>
  <c r="BU19" i="45"/>
  <c r="BH19" i="45"/>
  <c r="BB19" i="45"/>
  <c r="AN19" i="45"/>
  <c r="BG19" i="45" s="1"/>
  <c r="AA19" i="45" s="1"/>
  <c r="AM19" i="45"/>
  <c r="AU19" i="45" s="1"/>
  <c r="AJ19" i="45"/>
  <c r="AH19" i="45"/>
  <c r="AF19" i="45"/>
  <c r="AE19" i="45"/>
  <c r="AD19" i="45"/>
  <c r="AC19" i="45"/>
  <c r="AB19" i="45"/>
  <c r="X19" i="45"/>
  <c r="L19" i="45"/>
  <c r="BD19" i="45" s="1"/>
  <c r="J19" i="45"/>
  <c r="AI19" i="45" s="1"/>
  <c r="I19" i="45"/>
  <c r="H19" i="45"/>
  <c r="BU17" i="45"/>
  <c r="BH17" i="45"/>
  <c r="BB17" i="45"/>
  <c r="AN17" i="45"/>
  <c r="BG17" i="45" s="1"/>
  <c r="AA17" i="45" s="1"/>
  <c r="AM17" i="45"/>
  <c r="AU17" i="45" s="1"/>
  <c r="AJ17" i="45"/>
  <c r="AH17" i="45"/>
  <c r="AF17" i="45"/>
  <c r="AE17" i="45"/>
  <c r="AD17" i="45"/>
  <c r="AC17" i="45"/>
  <c r="AB17" i="45"/>
  <c r="X17" i="45"/>
  <c r="L17" i="45"/>
  <c r="BD17" i="45" s="1"/>
  <c r="J17" i="45"/>
  <c r="AI17" i="45" s="1"/>
  <c r="I17" i="45"/>
  <c r="H17" i="45"/>
  <c r="BU15" i="45"/>
  <c r="BH15" i="45"/>
  <c r="BB15" i="45"/>
  <c r="AN15" i="45"/>
  <c r="BG15" i="45" s="1"/>
  <c r="AA15" i="45" s="1"/>
  <c r="AM15" i="45"/>
  <c r="AU15" i="45" s="1"/>
  <c r="AJ15" i="45"/>
  <c r="AH15" i="45"/>
  <c r="AF15" i="45"/>
  <c r="AE15" i="45"/>
  <c r="AD15" i="45"/>
  <c r="AC15" i="45"/>
  <c r="AB15" i="45"/>
  <c r="X15" i="45"/>
  <c r="L15" i="45"/>
  <c r="BD15" i="45" s="1"/>
  <c r="J15" i="45"/>
  <c r="AI15" i="45" s="1"/>
  <c r="I15" i="45"/>
  <c r="H15" i="45"/>
  <c r="BU13" i="45"/>
  <c r="BH13" i="45"/>
  <c r="BB13" i="45"/>
  <c r="AN13" i="45"/>
  <c r="BG13" i="45" s="1"/>
  <c r="AA13" i="45" s="1"/>
  <c r="AM13" i="45"/>
  <c r="AU13" i="45" s="1"/>
  <c r="AJ13" i="45"/>
  <c r="AH13" i="45"/>
  <c r="AF13" i="45"/>
  <c r="AE13" i="45"/>
  <c r="AD13" i="45"/>
  <c r="AC13" i="45"/>
  <c r="AB13" i="45"/>
  <c r="X13" i="45"/>
  <c r="L13" i="45"/>
  <c r="BD13" i="45" s="1"/>
  <c r="J13" i="45"/>
  <c r="AI13" i="45" s="1"/>
  <c r="I13" i="45"/>
  <c r="H13" i="45"/>
  <c r="H12" i="45" s="1"/>
  <c r="AS1" i="45"/>
  <c r="AR1" i="45"/>
  <c r="AQ1" i="45"/>
  <c r="BU161" i="44"/>
  <c r="BH161" i="44"/>
  <c r="AF161" i="44" s="1"/>
  <c r="BB161" i="44"/>
  <c r="AN161" i="44"/>
  <c r="BG161" i="44" s="1"/>
  <c r="AM161" i="44"/>
  <c r="BF161" i="44" s="1"/>
  <c r="AJ161" i="44"/>
  <c r="AH161" i="44"/>
  <c r="AE161" i="44"/>
  <c r="AD161" i="44"/>
  <c r="AC161" i="44"/>
  <c r="AB161" i="44"/>
  <c r="AA161" i="44"/>
  <c r="Z161" i="44"/>
  <c r="X161" i="44"/>
  <c r="L161" i="44"/>
  <c r="BD161" i="44" s="1"/>
  <c r="J161" i="44"/>
  <c r="I161" i="44"/>
  <c r="BU159" i="44"/>
  <c r="BH159" i="44"/>
  <c r="AF159" i="44" s="1"/>
  <c r="BB159" i="44"/>
  <c r="AU159" i="44"/>
  <c r="AN159" i="44"/>
  <c r="BG159" i="44" s="1"/>
  <c r="AM159" i="44"/>
  <c r="BF159" i="44" s="1"/>
  <c r="AJ159" i="44"/>
  <c r="AH159" i="44"/>
  <c r="AE159" i="44"/>
  <c r="AD159" i="44"/>
  <c r="AC159" i="44"/>
  <c r="AB159" i="44"/>
  <c r="AA159" i="44"/>
  <c r="Z159" i="44"/>
  <c r="X159" i="44"/>
  <c r="L159" i="44"/>
  <c r="BD159" i="44" s="1"/>
  <c r="J159" i="44"/>
  <c r="AI159" i="44" s="1"/>
  <c r="I159" i="44"/>
  <c r="H159" i="44"/>
  <c r="BU158" i="44"/>
  <c r="BH158" i="44"/>
  <c r="AF158" i="44" s="1"/>
  <c r="BB158" i="44"/>
  <c r="AU158" i="44"/>
  <c r="AN158" i="44"/>
  <c r="BG158" i="44" s="1"/>
  <c r="AM158" i="44"/>
  <c r="BF158" i="44" s="1"/>
  <c r="AJ158" i="44"/>
  <c r="AH158" i="44"/>
  <c r="AE158" i="44"/>
  <c r="AD158" i="44"/>
  <c r="AC158" i="44"/>
  <c r="AB158" i="44"/>
  <c r="AA158" i="44"/>
  <c r="Z158" i="44"/>
  <c r="X158" i="44"/>
  <c r="L158" i="44"/>
  <c r="BD158" i="44" s="1"/>
  <c r="J158" i="44"/>
  <c r="H158" i="44"/>
  <c r="BU157" i="44"/>
  <c r="BH157" i="44"/>
  <c r="AF157" i="44" s="1"/>
  <c r="BB157" i="44"/>
  <c r="AN157" i="44"/>
  <c r="BG157" i="44" s="1"/>
  <c r="AM157" i="44"/>
  <c r="BF157" i="44" s="1"/>
  <c r="AJ157" i="44"/>
  <c r="AH157" i="44"/>
  <c r="AE157" i="44"/>
  <c r="AD157" i="44"/>
  <c r="AC157" i="44"/>
  <c r="AB157" i="44"/>
  <c r="AA157" i="44"/>
  <c r="Z157" i="44"/>
  <c r="X157" i="44"/>
  <c r="L157" i="44"/>
  <c r="BD157" i="44" s="1"/>
  <c r="J157" i="44"/>
  <c r="AI157" i="44" s="1"/>
  <c r="I157" i="44"/>
  <c r="BU156" i="44"/>
  <c r="BH156" i="44"/>
  <c r="AF156" i="44" s="1"/>
  <c r="BB156" i="44"/>
  <c r="AV156" i="44"/>
  <c r="AN156" i="44"/>
  <c r="BG156" i="44" s="1"/>
  <c r="AM156" i="44"/>
  <c r="BF156" i="44" s="1"/>
  <c r="AJ156" i="44"/>
  <c r="AH156" i="44"/>
  <c r="AE156" i="44"/>
  <c r="AD156" i="44"/>
  <c r="AC156" i="44"/>
  <c r="AB156" i="44"/>
  <c r="AA156" i="44"/>
  <c r="Z156" i="44"/>
  <c r="X156" i="44"/>
  <c r="L156" i="44"/>
  <c r="BD156" i="44" s="1"/>
  <c r="J156" i="44"/>
  <c r="I156" i="44"/>
  <c r="BU155" i="44"/>
  <c r="BH155" i="44"/>
  <c r="AF155" i="44" s="1"/>
  <c r="BB155" i="44"/>
  <c r="AU155" i="44"/>
  <c r="AN155" i="44"/>
  <c r="BG155" i="44" s="1"/>
  <c r="AM155" i="44"/>
  <c r="BF155" i="44" s="1"/>
  <c r="AJ155" i="44"/>
  <c r="AH155" i="44"/>
  <c r="AE155" i="44"/>
  <c r="AD155" i="44"/>
  <c r="AC155" i="44"/>
  <c r="AB155" i="44"/>
  <c r="AA155" i="44"/>
  <c r="Z155" i="44"/>
  <c r="X155" i="44"/>
  <c r="L155" i="44"/>
  <c r="BD155" i="44" s="1"/>
  <c r="J155" i="44"/>
  <c r="AI155" i="44" s="1"/>
  <c r="H155" i="44"/>
  <c r="BU154" i="44"/>
  <c r="BH154" i="44"/>
  <c r="AF154" i="44" s="1"/>
  <c r="BB154" i="44"/>
  <c r="AV154" i="44"/>
  <c r="AN154" i="44"/>
  <c r="BG154" i="44" s="1"/>
  <c r="AM154" i="44"/>
  <c r="BF154" i="44" s="1"/>
  <c r="AJ154" i="44"/>
  <c r="AH154" i="44"/>
  <c r="AE154" i="44"/>
  <c r="AD154" i="44"/>
  <c r="AC154" i="44"/>
  <c r="AB154" i="44"/>
  <c r="AA154" i="44"/>
  <c r="Z154" i="44"/>
  <c r="X154" i="44"/>
  <c r="L154" i="44"/>
  <c r="BD154" i="44" s="1"/>
  <c r="J154" i="44"/>
  <c r="I154" i="44"/>
  <c r="BU152" i="44"/>
  <c r="BH152" i="44"/>
  <c r="AF152" i="44" s="1"/>
  <c r="BB152" i="44"/>
  <c r="AU152" i="44"/>
  <c r="AN152" i="44"/>
  <c r="BG152" i="44" s="1"/>
  <c r="AM152" i="44"/>
  <c r="BF152" i="44" s="1"/>
  <c r="AJ152" i="44"/>
  <c r="AH152" i="44"/>
  <c r="AE152" i="44"/>
  <c r="AD152" i="44"/>
  <c r="AC152" i="44"/>
  <c r="AB152" i="44"/>
  <c r="AA152" i="44"/>
  <c r="Z152" i="44"/>
  <c r="X152" i="44"/>
  <c r="L152" i="44"/>
  <c r="BD152" i="44" s="1"/>
  <c r="J152" i="44"/>
  <c r="AI152" i="44" s="1"/>
  <c r="H152" i="44"/>
  <c r="BU150" i="44"/>
  <c r="BH150" i="44"/>
  <c r="AF150" i="44" s="1"/>
  <c r="BB150" i="44"/>
  <c r="AV150" i="44"/>
  <c r="AN150" i="44"/>
  <c r="BG150" i="44" s="1"/>
  <c r="AM150" i="44"/>
  <c r="BF150" i="44" s="1"/>
  <c r="AJ150" i="44"/>
  <c r="AH150" i="44"/>
  <c r="AE150" i="44"/>
  <c r="AD150" i="44"/>
  <c r="AC150" i="44"/>
  <c r="AB150" i="44"/>
  <c r="AA150" i="44"/>
  <c r="Z150" i="44"/>
  <c r="X150" i="44"/>
  <c r="L150" i="44"/>
  <c r="BD150" i="44" s="1"/>
  <c r="J150" i="44"/>
  <c r="AI150" i="44" s="1"/>
  <c r="I150" i="44"/>
  <c r="BU148" i="44"/>
  <c r="BH148" i="44"/>
  <c r="AF148" i="44" s="1"/>
  <c r="BB148" i="44"/>
  <c r="AN148" i="44"/>
  <c r="BG148" i="44" s="1"/>
  <c r="AM148" i="44"/>
  <c r="BF148" i="44" s="1"/>
  <c r="AJ148" i="44"/>
  <c r="AH148" i="44"/>
  <c r="AE148" i="44"/>
  <c r="AD148" i="44"/>
  <c r="AC148" i="44"/>
  <c r="AB148" i="44"/>
  <c r="AA148" i="44"/>
  <c r="Z148" i="44"/>
  <c r="X148" i="44"/>
  <c r="L148" i="44"/>
  <c r="BD148" i="44" s="1"/>
  <c r="J148" i="44"/>
  <c r="I148" i="44"/>
  <c r="H148" i="44"/>
  <c r="BU146" i="44"/>
  <c r="BH146" i="44"/>
  <c r="AF146" i="44" s="1"/>
  <c r="BB146" i="44"/>
  <c r="AV146" i="44"/>
  <c r="AN146" i="44"/>
  <c r="BG146" i="44" s="1"/>
  <c r="AM146" i="44"/>
  <c r="BF146" i="44" s="1"/>
  <c r="AJ146" i="44"/>
  <c r="AH146" i="44"/>
  <c r="AE146" i="44"/>
  <c r="AD146" i="44"/>
  <c r="AC146" i="44"/>
  <c r="AB146" i="44"/>
  <c r="AA146" i="44"/>
  <c r="Z146" i="44"/>
  <c r="X146" i="44"/>
  <c r="L146" i="44"/>
  <c r="BD146" i="44" s="1"/>
  <c r="J146" i="44"/>
  <c r="AI146" i="44" s="1"/>
  <c r="I146" i="44"/>
  <c r="AQ145" i="44"/>
  <c r="BU144" i="44"/>
  <c r="BH144" i="44"/>
  <c r="X144" i="44" s="1"/>
  <c r="BB144" i="44"/>
  <c r="AN144" i="44"/>
  <c r="BG144" i="44" s="1"/>
  <c r="AM144" i="44"/>
  <c r="BF144" i="44" s="1"/>
  <c r="AJ144" i="44"/>
  <c r="AH144" i="44"/>
  <c r="AF144" i="44"/>
  <c r="AE144" i="44"/>
  <c r="AD144" i="44"/>
  <c r="AC144" i="44"/>
  <c r="AB144" i="44"/>
  <c r="AA144" i="44"/>
  <c r="Z144" i="44"/>
  <c r="L144" i="44"/>
  <c r="BD144" i="44" s="1"/>
  <c r="J144" i="44"/>
  <c r="AI144" i="44" s="1"/>
  <c r="I144" i="44"/>
  <c r="H144" i="44"/>
  <c r="BU143" i="44"/>
  <c r="BH143" i="44"/>
  <c r="X143" i="44" s="1"/>
  <c r="BB143" i="44"/>
  <c r="AN143" i="44"/>
  <c r="BG143" i="44" s="1"/>
  <c r="AM143" i="44"/>
  <c r="BF143" i="44" s="1"/>
  <c r="AJ143" i="44"/>
  <c r="AH143" i="44"/>
  <c r="AF143" i="44"/>
  <c r="AE143" i="44"/>
  <c r="AD143" i="44"/>
  <c r="AC143" i="44"/>
  <c r="AB143" i="44"/>
  <c r="AA143" i="44"/>
  <c r="Z143" i="44"/>
  <c r="L143" i="44"/>
  <c r="BD143" i="44" s="1"/>
  <c r="J143" i="44"/>
  <c r="I143" i="44"/>
  <c r="H143" i="44"/>
  <c r="BU142" i="44"/>
  <c r="BH142" i="44"/>
  <c r="X142" i="44" s="1"/>
  <c r="BB142" i="44"/>
  <c r="AN142" i="44"/>
  <c r="BG142" i="44" s="1"/>
  <c r="AM142" i="44"/>
  <c r="BF142" i="44" s="1"/>
  <c r="AJ142" i="44"/>
  <c r="AS141" i="44" s="1"/>
  <c r="AH142" i="44"/>
  <c r="AF142" i="44"/>
  <c r="AE142" i="44"/>
  <c r="AD142" i="44"/>
  <c r="AC142" i="44"/>
  <c r="AB142" i="44"/>
  <c r="AA142" i="44"/>
  <c r="Z142" i="44"/>
  <c r="L142" i="44"/>
  <c r="BD142" i="44" s="1"/>
  <c r="J142" i="44"/>
  <c r="I142" i="44"/>
  <c r="H142" i="44"/>
  <c r="H141" i="44" s="1"/>
  <c r="AQ141" i="44"/>
  <c r="L141" i="44"/>
  <c r="I141" i="44"/>
  <c r="BU140" i="44"/>
  <c r="BH140" i="44"/>
  <c r="X140" i="44" s="1"/>
  <c r="BB140" i="44"/>
  <c r="AN140" i="44"/>
  <c r="BG140" i="44" s="1"/>
  <c r="AM140" i="44"/>
  <c r="BF140" i="44" s="1"/>
  <c r="AJ140" i="44"/>
  <c r="AH140" i="44"/>
  <c r="AF140" i="44"/>
  <c r="AE140" i="44"/>
  <c r="AD140" i="44"/>
  <c r="AC140" i="44"/>
  <c r="AB140" i="44"/>
  <c r="AA140" i="44"/>
  <c r="Z140" i="44"/>
  <c r="L140" i="44"/>
  <c r="BD140" i="44" s="1"/>
  <c r="J140" i="44"/>
  <c r="I140" i="44"/>
  <c r="H140" i="44"/>
  <c r="BU138" i="44"/>
  <c r="BH138" i="44"/>
  <c r="X138" i="44" s="1"/>
  <c r="BB138" i="44"/>
  <c r="AN138" i="44"/>
  <c r="BG138" i="44" s="1"/>
  <c r="AM138" i="44"/>
  <c r="BF138" i="44" s="1"/>
  <c r="AJ138" i="44"/>
  <c r="AH138" i="44"/>
  <c r="AF138" i="44"/>
  <c r="AE138" i="44"/>
  <c r="AD138" i="44"/>
  <c r="AC138" i="44"/>
  <c r="AB138" i="44"/>
  <c r="AA138" i="44"/>
  <c r="Z138" i="44"/>
  <c r="L138" i="44"/>
  <c r="BD138" i="44" s="1"/>
  <c r="J138" i="44"/>
  <c r="H138" i="44"/>
  <c r="BU136" i="44"/>
  <c r="BH136" i="44"/>
  <c r="X136" i="44" s="1"/>
  <c r="BB136" i="44"/>
  <c r="AN136" i="44"/>
  <c r="BG136" i="44" s="1"/>
  <c r="AM136" i="44"/>
  <c r="BF136" i="44" s="1"/>
  <c r="AJ136" i="44"/>
  <c r="AH136" i="44"/>
  <c r="AF136" i="44"/>
  <c r="AE136" i="44"/>
  <c r="AD136" i="44"/>
  <c r="AC136" i="44"/>
  <c r="AB136" i="44"/>
  <c r="AA136" i="44"/>
  <c r="Z136" i="44"/>
  <c r="L136" i="44"/>
  <c r="BD136" i="44" s="1"/>
  <c r="J136" i="44"/>
  <c r="I136" i="44"/>
  <c r="BU135" i="44"/>
  <c r="BH135" i="44"/>
  <c r="X135" i="44" s="1"/>
  <c r="BB135" i="44"/>
  <c r="AN135" i="44"/>
  <c r="BG135" i="44" s="1"/>
  <c r="AM135" i="44"/>
  <c r="BF135" i="44" s="1"/>
  <c r="AJ135" i="44"/>
  <c r="AS134" i="44" s="1"/>
  <c r="AH135" i="44"/>
  <c r="AF135" i="44"/>
  <c r="AE135" i="44"/>
  <c r="AD135" i="44"/>
  <c r="AC135" i="44"/>
  <c r="AB135" i="44"/>
  <c r="AA135" i="44"/>
  <c r="Z135" i="44"/>
  <c r="L135" i="44"/>
  <c r="BD135" i="44" s="1"/>
  <c r="J135" i="44"/>
  <c r="AI135" i="44" s="1"/>
  <c r="I135" i="44"/>
  <c r="H135" i="44"/>
  <c r="AQ134" i="44"/>
  <c r="L134" i="44"/>
  <c r="BU132" i="44"/>
  <c r="BH132" i="44"/>
  <c r="BB132" i="44"/>
  <c r="AN132" i="44"/>
  <c r="BG132" i="44" s="1"/>
  <c r="AA132" i="44" s="1"/>
  <c r="AM132" i="44"/>
  <c r="BF132" i="44" s="1"/>
  <c r="Z132" i="44" s="1"/>
  <c r="AJ132" i="44"/>
  <c r="AH132" i="44"/>
  <c r="AF132" i="44"/>
  <c r="AE132" i="44"/>
  <c r="AD132" i="44"/>
  <c r="AC132" i="44"/>
  <c r="AB132" i="44"/>
  <c r="X132" i="44"/>
  <c r="L132" i="44"/>
  <c r="BD132" i="44" s="1"/>
  <c r="J132" i="44"/>
  <c r="J131" i="44" s="1"/>
  <c r="I132" i="44"/>
  <c r="I131" i="44" s="1"/>
  <c r="AS131" i="44"/>
  <c r="AQ131" i="44"/>
  <c r="L131" i="44"/>
  <c r="BU129" i="44"/>
  <c r="BH129" i="44"/>
  <c r="BB129" i="44"/>
  <c r="AN129" i="44"/>
  <c r="BG129" i="44" s="1"/>
  <c r="AA129" i="44" s="1"/>
  <c r="AM129" i="44"/>
  <c r="BF129" i="44" s="1"/>
  <c r="Z129" i="44" s="1"/>
  <c r="AJ129" i="44"/>
  <c r="AH129" i="44"/>
  <c r="AF129" i="44"/>
  <c r="AE129" i="44"/>
  <c r="AD129" i="44"/>
  <c r="AC129" i="44"/>
  <c r="AB129" i="44"/>
  <c r="X129" i="44"/>
  <c r="L129" i="44"/>
  <c r="BD129" i="44" s="1"/>
  <c r="J129" i="44"/>
  <c r="AI129" i="44" s="1"/>
  <c r="I129" i="44"/>
  <c r="H129" i="44"/>
  <c r="BU127" i="44"/>
  <c r="BH127" i="44"/>
  <c r="BB127" i="44"/>
  <c r="AN127" i="44"/>
  <c r="BG127" i="44" s="1"/>
  <c r="AA127" i="44" s="1"/>
  <c r="AM127" i="44"/>
  <c r="BF127" i="44" s="1"/>
  <c r="Z127" i="44" s="1"/>
  <c r="AJ127" i="44"/>
  <c r="AH127" i="44"/>
  <c r="AF127" i="44"/>
  <c r="AE127" i="44"/>
  <c r="AD127" i="44"/>
  <c r="AC127" i="44"/>
  <c r="AB127" i="44"/>
  <c r="X127" i="44"/>
  <c r="L127" i="44"/>
  <c r="BD127" i="44" s="1"/>
  <c r="J127" i="44"/>
  <c r="I127" i="44"/>
  <c r="H127" i="44"/>
  <c r="BU125" i="44"/>
  <c r="BH125" i="44"/>
  <c r="BD125" i="44"/>
  <c r="BB125" i="44"/>
  <c r="AN125" i="44"/>
  <c r="BG125" i="44" s="1"/>
  <c r="AA125" i="44" s="1"/>
  <c r="AM125" i="44"/>
  <c r="BF125" i="44" s="1"/>
  <c r="Z125" i="44" s="1"/>
  <c r="AJ125" i="44"/>
  <c r="AH125" i="44"/>
  <c r="AF125" i="44"/>
  <c r="AE125" i="44"/>
  <c r="AD125" i="44"/>
  <c r="AC125" i="44"/>
  <c r="AB125" i="44"/>
  <c r="X125" i="44"/>
  <c r="L125" i="44"/>
  <c r="J125" i="44"/>
  <c r="AI125" i="44" s="1"/>
  <c r="I125" i="44"/>
  <c r="H125" i="44"/>
  <c r="BU123" i="44"/>
  <c r="BH123" i="44"/>
  <c r="BB123" i="44"/>
  <c r="AN123" i="44"/>
  <c r="BG123" i="44" s="1"/>
  <c r="AA123" i="44" s="1"/>
  <c r="AM123" i="44"/>
  <c r="BF123" i="44" s="1"/>
  <c r="Z123" i="44" s="1"/>
  <c r="AJ123" i="44"/>
  <c r="AH123" i="44"/>
  <c r="AF123" i="44"/>
  <c r="AE123" i="44"/>
  <c r="AD123" i="44"/>
  <c r="AC123" i="44"/>
  <c r="AB123" i="44"/>
  <c r="X123" i="44"/>
  <c r="L123" i="44"/>
  <c r="BD123" i="44" s="1"/>
  <c r="J123" i="44"/>
  <c r="I123" i="44"/>
  <c r="H123" i="44"/>
  <c r="BU121" i="44"/>
  <c r="BH121" i="44"/>
  <c r="BD121" i="44"/>
  <c r="BB121" i="44"/>
  <c r="AN121" i="44"/>
  <c r="BG121" i="44" s="1"/>
  <c r="AA121" i="44" s="1"/>
  <c r="AM121" i="44"/>
  <c r="BF121" i="44" s="1"/>
  <c r="Z121" i="44" s="1"/>
  <c r="AJ121" i="44"/>
  <c r="AH121" i="44"/>
  <c r="AF121" i="44"/>
  <c r="AE121" i="44"/>
  <c r="AD121" i="44"/>
  <c r="AC121" i="44"/>
  <c r="AB121" i="44"/>
  <c r="X121" i="44"/>
  <c r="L121" i="44"/>
  <c r="J121" i="44"/>
  <c r="AI121" i="44" s="1"/>
  <c r="I121" i="44"/>
  <c r="H121" i="44"/>
  <c r="BU119" i="44"/>
  <c r="BH119" i="44"/>
  <c r="BB119" i="44"/>
  <c r="AN119" i="44"/>
  <c r="BG119" i="44" s="1"/>
  <c r="AA119" i="44" s="1"/>
  <c r="AM119" i="44"/>
  <c r="BF119" i="44" s="1"/>
  <c r="Z119" i="44" s="1"/>
  <c r="AJ119" i="44"/>
  <c r="AH119" i="44"/>
  <c r="AF119" i="44"/>
  <c r="AE119" i="44"/>
  <c r="AD119" i="44"/>
  <c r="AC119" i="44"/>
  <c r="AB119" i="44"/>
  <c r="X119" i="44"/>
  <c r="L119" i="44"/>
  <c r="BD119" i="44" s="1"/>
  <c r="J119" i="44"/>
  <c r="I119" i="44"/>
  <c r="H119" i="44"/>
  <c r="BU117" i="44"/>
  <c r="BH117" i="44"/>
  <c r="BD117" i="44"/>
  <c r="BB117" i="44"/>
  <c r="AN117" i="44"/>
  <c r="BG117" i="44" s="1"/>
  <c r="AA117" i="44" s="1"/>
  <c r="AM117" i="44"/>
  <c r="BF117" i="44" s="1"/>
  <c r="Z117" i="44" s="1"/>
  <c r="AJ117" i="44"/>
  <c r="AH117" i="44"/>
  <c r="AF117" i="44"/>
  <c r="AE117" i="44"/>
  <c r="AD117" i="44"/>
  <c r="AC117" i="44"/>
  <c r="AB117" i="44"/>
  <c r="X117" i="44"/>
  <c r="L117" i="44"/>
  <c r="J117" i="44"/>
  <c r="AI117" i="44" s="1"/>
  <c r="I117" i="44"/>
  <c r="H117" i="44"/>
  <c r="BU115" i="44"/>
  <c r="BH115" i="44"/>
  <c r="BB115" i="44"/>
  <c r="AN115" i="44"/>
  <c r="BG115" i="44" s="1"/>
  <c r="AA115" i="44" s="1"/>
  <c r="AM115" i="44"/>
  <c r="BF115" i="44" s="1"/>
  <c r="Z115" i="44" s="1"/>
  <c r="AJ115" i="44"/>
  <c r="AH115" i="44"/>
  <c r="AF115" i="44"/>
  <c r="AE115" i="44"/>
  <c r="AD115" i="44"/>
  <c r="AC115" i="44"/>
  <c r="AB115" i="44"/>
  <c r="X115" i="44"/>
  <c r="L115" i="44"/>
  <c r="BD115" i="44" s="1"/>
  <c r="J115" i="44"/>
  <c r="I115" i="44"/>
  <c r="H115" i="44"/>
  <c r="BU113" i="44"/>
  <c r="BH113" i="44"/>
  <c r="BD113" i="44"/>
  <c r="BB113" i="44"/>
  <c r="AU113" i="44"/>
  <c r="AN113" i="44"/>
  <c r="BG113" i="44" s="1"/>
  <c r="AA113" i="44" s="1"/>
  <c r="AM113" i="44"/>
  <c r="BF113" i="44" s="1"/>
  <c r="Z113" i="44" s="1"/>
  <c r="AJ113" i="44"/>
  <c r="AH113" i="44"/>
  <c r="AF113" i="44"/>
  <c r="AE113" i="44"/>
  <c r="AD113" i="44"/>
  <c r="AC113" i="44"/>
  <c r="AB113" i="44"/>
  <c r="X113" i="44"/>
  <c r="L113" i="44"/>
  <c r="J113" i="44"/>
  <c r="AI113" i="44" s="1"/>
  <c r="I113" i="44"/>
  <c r="H113" i="44"/>
  <c r="H112" i="44" s="1"/>
  <c r="AQ112" i="44"/>
  <c r="I112" i="44"/>
  <c r="BU110" i="44"/>
  <c r="BH110" i="44"/>
  <c r="BB110" i="44"/>
  <c r="AN110" i="44"/>
  <c r="BG110" i="44" s="1"/>
  <c r="AA110" i="44" s="1"/>
  <c r="AM110" i="44"/>
  <c r="BF110" i="44" s="1"/>
  <c r="AJ110" i="44"/>
  <c r="AH110" i="44"/>
  <c r="AF110" i="44"/>
  <c r="AE110" i="44"/>
  <c r="AD110" i="44"/>
  <c r="AC110" i="44"/>
  <c r="AB110" i="44"/>
  <c r="Z110" i="44"/>
  <c r="X110" i="44"/>
  <c r="L110" i="44"/>
  <c r="BD110" i="44" s="1"/>
  <c r="J110" i="44"/>
  <c r="AI110" i="44" s="1"/>
  <c r="I110" i="44"/>
  <c r="H110" i="44"/>
  <c r="BU108" i="44"/>
  <c r="BH108" i="44"/>
  <c r="BD108" i="44"/>
  <c r="BB108" i="44"/>
  <c r="AN108" i="44"/>
  <c r="BG108" i="44" s="1"/>
  <c r="AA108" i="44" s="1"/>
  <c r="AM108" i="44"/>
  <c r="BF108" i="44" s="1"/>
  <c r="Z108" i="44" s="1"/>
  <c r="AJ108" i="44"/>
  <c r="AH108" i="44"/>
  <c r="AQ107" i="44" s="1"/>
  <c r="AF108" i="44"/>
  <c r="AE108" i="44"/>
  <c r="AD108" i="44"/>
  <c r="AC108" i="44"/>
  <c r="AB108" i="44"/>
  <c r="X108" i="44"/>
  <c r="L108" i="44"/>
  <c r="J108" i="44"/>
  <c r="I108" i="44"/>
  <c r="H108" i="44"/>
  <c r="H107" i="44" s="1"/>
  <c r="I107" i="44"/>
  <c r="BU105" i="44"/>
  <c r="BH105" i="44"/>
  <c r="BD105" i="44"/>
  <c r="BB105" i="44"/>
  <c r="AN105" i="44"/>
  <c r="BG105" i="44" s="1"/>
  <c r="AA105" i="44" s="1"/>
  <c r="AM105" i="44"/>
  <c r="BF105" i="44" s="1"/>
  <c r="Z105" i="44" s="1"/>
  <c r="AJ105" i="44"/>
  <c r="AH105" i="44"/>
  <c r="AF105" i="44"/>
  <c r="AE105" i="44"/>
  <c r="AD105" i="44"/>
  <c r="AC105" i="44"/>
  <c r="AB105" i="44"/>
  <c r="X105" i="44"/>
  <c r="L105" i="44"/>
  <c r="J105" i="44"/>
  <c r="I105" i="44"/>
  <c r="I104" i="44" s="1"/>
  <c r="H105" i="44"/>
  <c r="H104" i="44" s="1"/>
  <c r="AS104" i="44"/>
  <c r="AQ104" i="44"/>
  <c r="L104" i="44"/>
  <c r="J104" i="44"/>
  <c r="BU102" i="44"/>
  <c r="BH102" i="44"/>
  <c r="BB102" i="44"/>
  <c r="AU102" i="44"/>
  <c r="AN102" i="44"/>
  <c r="BG102" i="44" s="1"/>
  <c r="AA102" i="44" s="1"/>
  <c r="AM102" i="44"/>
  <c r="BF102" i="44" s="1"/>
  <c r="AJ102" i="44"/>
  <c r="AH102" i="44"/>
  <c r="AF102" i="44"/>
  <c r="AE102" i="44"/>
  <c r="AD102" i="44"/>
  <c r="AC102" i="44"/>
  <c r="AB102" i="44"/>
  <c r="Z102" i="44"/>
  <c r="X102" i="44"/>
  <c r="L102" i="44"/>
  <c r="BD102" i="44" s="1"/>
  <c r="J102" i="44"/>
  <c r="AI102" i="44" s="1"/>
  <c r="H102" i="44"/>
  <c r="BU100" i="44"/>
  <c r="BH100" i="44"/>
  <c r="BD100" i="44"/>
  <c r="BB100" i="44"/>
  <c r="AU100" i="44"/>
  <c r="AN100" i="44"/>
  <c r="BG100" i="44" s="1"/>
  <c r="AA100" i="44" s="1"/>
  <c r="AM100" i="44"/>
  <c r="BF100" i="44" s="1"/>
  <c r="Z100" i="44" s="1"/>
  <c r="AJ100" i="44"/>
  <c r="AH100" i="44"/>
  <c r="AF100" i="44"/>
  <c r="AE100" i="44"/>
  <c r="AD100" i="44"/>
  <c r="AC100" i="44"/>
  <c r="AB100" i="44"/>
  <c r="X100" i="44"/>
  <c r="L100" i="44"/>
  <c r="J100" i="44"/>
  <c r="I100" i="44"/>
  <c r="H100" i="44"/>
  <c r="BU98" i="44"/>
  <c r="BH98" i="44"/>
  <c r="BB98" i="44"/>
  <c r="AU98" i="44"/>
  <c r="AN98" i="44"/>
  <c r="BG98" i="44" s="1"/>
  <c r="AA98" i="44" s="1"/>
  <c r="AM98" i="44"/>
  <c r="BF98" i="44" s="1"/>
  <c r="AJ98" i="44"/>
  <c r="AH98" i="44"/>
  <c r="AF98" i="44"/>
  <c r="AE98" i="44"/>
  <c r="AD98" i="44"/>
  <c r="AC98" i="44"/>
  <c r="AB98" i="44"/>
  <c r="Z98" i="44"/>
  <c r="X98" i="44"/>
  <c r="L98" i="44"/>
  <c r="BD98" i="44" s="1"/>
  <c r="J98" i="44"/>
  <c r="AI98" i="44" s="1"/>
  <c r="H98" i="44"/>
  <c r="BU96" i="44"/>
  <c r="BH96" i="44"/>
  <c r="BD96" i="44"/>
  <c r="BB96" i="44"/>
  <c r="AU96" i="44"/>
  <c r="AN96" i="44"/>
  <c r="BG96" i="44" s="1"/>
  <c r="AA96" i="44" s="1"/>
  <c r="AM96" i="44"/>
  <c r="BF96" i="44" s="1"/>
  <c r="Z96" i="44" s="1"/>
  <c r="AJ96" i="44"/>
  <c r="AH96" i="44"/>
  <c r="AF96" i="44"/>
  <c r="AE96" i="44"/>
  <c r="AD96" i="44"/>
  <c r="AC96" i="44"/>
  <c r="AB96" i="44"/>
  <c r="X96" i="44"/>
  <c r="L96" i="44"/>
  <c r="J96" i="44"/>
  <c r="I96" i="44"/>
  <c r="H96" i="44"/>
  <c r="BU94" i="44"/>
  <c r="BH94" i="44"/>
  <c r="BB94" i="44"/>
  <c r="AN94" i="44"/>
  <c r="BG94" i="44" s="1"/>
  <c r="AA94" i="44" s="1"/>
  <c r="AM94" i="44"/>
  <c r="BF94" i="44" s="1"/>
  <c r="AJ94" i="44"/>
  <c r="AH94" i="44"/>
  <c r="AF94" i="44"/>
  <c r="AE94" i="44"/>
  <c r="AD94" i="44"/>
  <c r="AC94" i="44"/>
  <c r="AB94" i="44"/>
  <c r="Z94" i="44"/>
  <c r="X94" i="44"/>
  <c r="L94" i="44"/>
  <c r="BD94" i="44" s="1"/>
  <c r="J94" i="44"/>
  <c r="AI94" i="44" s="1"/>
  <c r="H94" i="44"/>
  <c r="BU92" i="44"/>
  <c r="BH92" i="44"/>
  <c r="BD92" i="44"/>
  <c r="BB92" i="44"/>
  <c r="AN92" i="44"/>
  <c r="BG92" i="44" s="1"/>
  <c r="AA92" i="44" s="1"/>
  <c r="AM92" i="44"/>
  <c r="BF92" i="44" s="1"/>
  <c r="Z92" i="44" s="1"/>
  <c r="AJ92" i="44"/>
  <c r="AH92" i="44"/>
  <c r="AF92" i="44"/>
  <c r="AE92" i="44"/>
  <c r="AD92" i="44"/>
  <c r="AC92" i="44"/>
  <c r="AB92" i="44"/>
  <c r="X92" i="44"/>
  <c r="L92" i="44"/>
  <c r="J92" i="44"/>
  <c r="I92" i="44"/>
  <c r="H92" i="44"/>
  <c r="BU90" i="44"/>
  <c r="BH90" i="44"/>
  <c r="BB90" i="44"/>
  <c r="AN90" i="44"/>
  <c r="BG90" i="44" s="1"/>
  <c r="AA90" i="44" s="1"/>
  <c r="AM90" i="44"/>
  <c r="BF90" i="44" s="1"/>
  <c r="AJ90" i="44"/>
  <c r="AH90" i="44"/>
  <c r="AQ89" i="44" s="1"/>
  <c r="AF90" i="44"/>
  <c r="AE90" i="44"/>
  <c r="AD90" i="44"/>
  <c r="AC90" i="44"/>
  <c r="AB90" i="44"/>
  <c r="Z90" i="44"/>
  <c r="X90" i="44"/>
  <c r="L90" i="44"/>
  <c r="BD90" i="44" s="1"/>
  <c r="J90" i="44"/>
  <c r="AI90" i="44" s="1"/>
  <c r="H90" i="44"/>
  <c r="AS89" i="44"/>
  <c r="H89" i="44"/>
  <c r="BU87" i="44"/>
  <c r="BH87" i="44"/>
  <c r="BB87" i="44"/>
  <c r="AU87" i="44"/>
  <c r="AN87" i="44"/>
  <c r="AM87" i="44"/>
  <c r="BF87" i="44" s="1"/>
  <c r="Z87" i="44" s="1"/>
  <c r="AJ87" i="44"/>
  <c r="AH87" i="44"/>
  <c r="AF87" i="44"/>
  <c r="AE87" i="44"/>
  <c r="AD87" i="44"/>
  <c r="AC87" i="44"/>
  <c r="AB87" i="44"/>
  <c r="X87" i="44"/>
  <c r="L87" i="44"/>
  <c r="BD87" i="44" s="1"/>
  <c r="J87" i="44"/>
  <c r="J86" i="44" s="1"/>
  <c r="I87" i="44"/>
  <c r="I86" i="44" s="1"/>
  <c r="H87" i="44"/>
  <c r="H86" i="44" s="1"/>
  <c r="AS86" i="44"/>
  <c r="AQ86" i="44"/>
  <c r="L86" i="44"/>
  <c r="BU84" i="44"/>
  <c r="BH84" i="44"/>
  <c r="BB84" i="44"/>
  <c r="AN84" i="44"/>
  <c r="AV84" i="44" s="1"/>
  <c r="AM84" i="44"/>
  <c r="BF84" i="44" s="1"/>
  <c r="Z84" i="44" s="1"/>
  <c r="AJ84" i="44"/>
  <c r="AH84" i="44"/>
  <c r="AF84" i="44"/>
  <c r="AE84" i="44"/>
  <c r="AD84" i="44"/>
  <c r="AC84" i="44"/>
  <c r="AB84" i="44"/>
  <c r="X84" i="44"/>
  <c r="L84" i="44"/>
  <c r="BD84" i="44" s="1"/>
  <c r="J84" i="44"/>
  <c r="AI84" i="44" s="1"/>
  <c r="AR83" i="44" s="1"/>
  <c r="I84" i="44"/>
  <c r="I83" i="44" s="1"/>
  <c r="H84" i="44"/>
  <c r="H83" i="44" s="1"/>
  <c r="AS83" i="44"/>
  <c r="AQ83" i="44"/>
  <c r="L83" i="44"/>
  <c r="BU81" i="44"/>
  <c r="BH81" i="44"/>
  <c r="BB81" i="44"/>
  <c r="AN81" i="44"/>
  <c r="AV81" i="44" s="1"/>
  <c r="AM81" i="44"/>
  <c r="BF81" i="44" s="1"/>
  <c r="Z81" i="44" s="1"/>
  <c r="AJ81" i="44"/>
  <c r="AH81" i="44"/>
  <c r="AQ80" i="44" s="1"/>
  <c r="AF81" i="44"/>
  <c r="AE81" i="44"/>
  <c r="AD81" i="44"/>
  <c r="AC81" i="44"/>
  <c r="AB81" i="44"/>
  <c r="X81" i="44"/>
  <c r="L81" i="44"/>
  <c r="BD81" i="44" s="1"/>
  <c r="J81" i="44"/>
  <c r="AI81" i="44" s="1"/>
  <c r="AR80" i="44" s="1"/>
  <c r="I81" i="44"/>
  <c r="I80" i="44" s="1"/>
  <c r="H81" i="44"/>
  <c r="H80" i="44" s="1"/>
  <c r="AS80" i="44"/>
  <c r="J80" i="44"/>
  <c r="BU78" i="44"/>
  <c r="BH78" i="44"/>
  <c r="BB78" i="44"/>
  <c r="AN78" i="44"/>
  <c r="AV78" i="44" s="1"/>
  <c r="AM78" i="44"/>
  <c r="BF78" i="44" s="1"/>
  <c r="Z78" i="44" s="1"/>
  <c r="AJ78" i="44"/>
  <c r="AH78" i="44"/>
  <c r="AF78" i="44"/>
  <c r="AE78" i="44"/>
  <c r="AD78" i="44"/>
  <c r="AC78" i="44"/>
  <c r="AB78" i="44"/>
  <c r="X78" i="44"/>
  <c r="L78" i="44"/>
  <c r="BD78" i="44" s="1"/>
  <c r="J78" i="44"/>
  <c r="I78" i="44"/>
  <c r="H78" i="44"/>
  <c r="BU76" i="44"/>
  <c r="BH76" i="44"/>
  <c r="BB76" i="44"/>
  <c r="AN76" i="44"/>
  <c r="AV76" i="44" s="1"/>
  <c r="AM76" i="44"/>
  <c r="BF76" i="44" s="1"/>
  <c r="Z76" i="44" s="1"/>
  <c r="AJ76" i="44"/>
  <c r="AH76" i="44"/>
  <c r="AQ75" i="44" s="1"/>
  <c r="AF76" i="44"/>
  <c r="AE76" i="44"/>
  <c r="AD76" i="44"/>
  <c r="AC76" i="44"/>
  <c r="AB76" i="44"/>
  <c r="X76" i="44"/>
  <c r="L76" i="44"/>
  <c r="BD76" i="44" s="1"/>
  <c r="J76" i="44"/>
  <c r="J75" i="44" s="1"/>
  <c r="AS75" i="44"/>
  <c r="L75" i="44"/>
  <c r="BU73" i="44"/>
  <c r="BH73" i="44"/>
  <c r="BB73" i="44"/>
  <c r="AN73" i="44"/>
  <c r="AV73" i="44" s="1"/>
  <c r="AM73" i="44"/>
  <c r="BF73" i="44" s="1"/>
  <c r="Z73" i="44" s="1"/>
  <c r="AJ73" i="44"/>
  <c r="AH73" i="44"/>
  <c r="AF73" i="44"/>
  <c r="AE73" i="44"/>
  <c r="AD73" i="44"/>
  <c r="AC73" i="44"/>
  <c r="AB73" i="44"/>
  <c r="X73" i="44"/>
  <c r="L73" i="44"/>
  <c r="BD73" i="44" s="1"/>
  <c r="J73" i="44"/>
  <c r="J72" i="44" s="1"/>
  <c r="I73" i="44"/>
  <c r="H73" i="44"/>
  <c r="H72" i="44" s="1"/>
  <c r="AS72" i="44"/>
  <c r="AQ72" i="44"/>
  <c r="L72" i="44"/>
  <c r="I72" i="44"/>
  <c r="BU70" i="44"/>
  <c r="BH70" i="44"/>
  <c r="BB70" i="44"/>
  <c r="AN70" i="44"/>
  <c r="AV70" i="44" s="1"/>
  <c r="AM70" i="44"/>
  <c r="BF70" i="44" s="1"/>
  <c r="Z70" i="44" s="1"/>
  <c r="AJ70" i="44"/>
  <c r="AH70" i="44"/>
  <c r="AF70" i="44"/>
  <c r="AE70" i="44"/>
  <c r="AD70" i="44"/>
  <c r="AC70" i="44"/>
  <c r="AB70" i="44"/>
  <c r="X70" i="44"/>
  <c r="L70" i="44"/>
  <c r="BD70" i="44" s="1"/>
  <c r="J70" i="44"/>
  <c r="I70" i="44"/>
  <c r="H70" i="44"/>
  <c r="BU69" i="44"/>
  <c r="BH69" i="44"/>
  <c r="BB69" i="44"/>
  <c r="AN69" i="44"/>
  <c r="AV69" i="44" s="1"/>
  <c r="AM69" i="44"/>
  <c r="BF69" i="44" s="1"/>
  <c r="Z69" i="44" s="1"/>
  <c r="AJ69" i="44"/>
  <c r="AH69" i="44"/>
  <c r="AF69" i="44"/>
  <c r="AE69" i="44"/>
  <c r="AD69" i="44"/>
  <c r="AC69" i="44"/>
  <c r="AB69" i="44"/>
  <c r="X69" i="44"/>
  <c r="L69" i="44"/>
  <c r="BD69" i="44" s="1"/>
  <c r="J69" i="44"/>
  <c r="I69" i="44"/>
  <c r="H69" i="44"/>
  <c r="BU67" i="44"/>
  <c r="BH67" i="44"/>
  <c r="BB67" i="44"/>
  <c r="AN67" i="44"/>
  <c r="AV67" i="44" s="1"/>
  <c r="AM67" i="44"/>
  <c r="BF67" i="44" s="1"/>
  <c r="Z67" i="44" s="1"/>
  <c r="AJ67" i="44"/>
  <c r="AH67" i="44"/>
  <c r="AF67" i="44"/>
  <c r="AE67" i="44"/>
  <c r="AD67" i="44"/>
  <c r="AC67" i="44"/>
  <c r="AB67" i="44"/>
  <c r="X67" i="44"/>
  <c r="L67" i="44"/>
  <c r="L66" i="44" s="1"/>
  <c r="J67" i="44"/>
  <c r="AI67" i="44" s="1"/>
  <c r="H67" i="44"/>
  <c r="H66" i="44" s="1"/>
  <c r="AQ66" i="44"/>
  <c r="BU64" i="44"/>
  <c r="BH64" i="44"/>
  <c r="BD64" i="44"/>
  <c r="BB64" i="44"/>
  <c r="AN64" i="44"/>
  <c r="AV64" i="44" s="1"/>
  <c r="AM64" i="44"/>
  <c r="BF64" i="44" s="1"/>
  <c r="Z64" i="44" s="1"/>
  <c r="AJ64" i="44"/>
  <c r="AH64" i="44"/>
  <c r="AF64" i="44"/>
  <c r="AE64" i="44"/>
  <c r="AD64" i="44"/>
  <c r="AC64" i="44"/>
  <c r="AB64" i="44"/>
  <c r="X64" i="44"/>
  <c r="L64" i="44"/>
  <c r="J64" i="44"/>
  <c r="AI64" i="44" s="1"/>
  <c r="BU62" i="44"/>
  <c r="BH62" i="44"/>
  <c r="BD62" i="44"/>
  <c r="BB62" i="44"/>
  <c r="AN62" i="44"/>
  <c r="AV62" i="44" s="1"/>
  <c r="AM62" i="44"/>
  <c r="BF62" i="44" s="1"/>
  <c r="Z62" i="44" s="1"/>
  <c r="AJ62" i="44"/>
  <c r="AH62" i="44"/>
  <c r="AF62" i="44"/>
  <c r="AE62" i="44"/>
  <c r="AD62" i="44"/>
  <c r="AC62" i="44"/>
  <c r="AB62" i="44"/>
  <c r="X62" i="44"/>
  <c r="L62" i="44"/>
  <c r="J62" i="44"/>
  <c r="AI62" i="44" s="1"/>
  <c r="I62" i="44"/>
  <c r="H62" i="44"/>
  <c r="BU60" i="44"/>
  <c r="BH60" i="44"/>
  <c r="BD60" i="44"/>
  <c r="BB60" i="44"/>
  <c r="AN60" i="44"/>
  <c r="AV60" i="44" s="1"/>
  <c r="AM60" i="44"/>
  <c r="BF60" i="44" s="1"/>
  <c r="Z60" i="44" s="1"/>
  <c r="AJ60" i="44"/>
  <c r="AH60" i="44"/>
  <c r="AF60" i="44"/>
  <c r="AE60" i="44"/>
  <c r="AD60" i="44"/>
  <c r="AC60" i="44"/>
  <c r="AB60" i="44"/>
  <c r="X60" i="44"/>
  <c r="L60" i="44"/>
  <c r="J60" i="44"/>
  <c r="AI60" i="44" s="1"/>
  <c r="BU58" i="44"/>
  <c r="BH58" i="44"/>
  <c r="BB58" i="44"/>
  <c r="AN58" i="44"/>
  <c r="AV58" i="44" s="1"/>
  <c r="AM58" i="44"/>
  <c r="BF58" i="44" s="1"/>
  <c r="Z58" i="44" s="1"/>
  <c r="AJ58" i="44"/>
  <c r="AH58" i="44"/>
  <c r="AF58" i="44"/>
  <c r="AE58" i="44"/>
  <c r="AD58" i="44"/>
  <c r="AC58" i="44"/>
  <c r="AB58" i="44"/>
  <c r="X58" i="44"/>
  <c r="L58" i="44"/>
  <c r="BD58" i="44" s="1"/>
  <c r="J58" i="44"/>
  <c r="AI58" i="44" s="1"/>
  <c r="I58" i="44"/>
  <c r="H58" i="44"/>
  <c r="BU56" i="44"/>
  <c r="BH56" i="44"/>
  <c r="BD56" i="44"/>
  <c r="BB56" i="44"/>
  <c r="AN56" i="44"/>
  <c r="AV56" i="44" s="1"/>
  <c r="AM56" i="44"/>
  <c r="BF56" i="44" s="1"/>
  <c r="Z56" i="44" s="1"/>
  <c r="AJ56" i="44"/>
  <c r="AH56" i="44"/>
  <c r="AF56" i="44"/>
  <c r="AE56" i="44"/>
  <c r="AD56" i="44"/>
  <c r="AC56" i="44"/>
  <c r="AB56" i="44"/>
  <c r="X56" i="44"/>
  <c r="L56" i="44"/>
  <c r="J56" i="44"/>
  <c r="AI56" i="44" s="1"/>
  <c r="BU54" i="44"/>
  <c r="BH54" i="44"/>
  <c r="BD54" i="44"/>
  <c r="BB54" i="44"/>
  <c r="AU54" i="44"/>
  <c r="AN54" i="44"/>
  <c r="AV54" i="44" s="1"/>
  <c r="BA54" i="44" s="1"/>
  <c r="AM54" i="44"/>
  <c r="BF54" i="44" s="1"/>
  <c r="Z54" i="44" s="1"/>
  <c r="AJ54" i="44"/>
  <c r="AH54" i="44"/>
  <c r="AF54" i="44"/>
  <c r="AE54" i="44"/>
  <c r="AD54" i="44"/>
  <c r="AC54" i="44"/>
  <c r="AB54" i="44"/>
  <c r="X54" i="44"/>
  <c r="L54" i="44"/>
  <c r="J54" i="44"/>
  <c r="AI54" i="44" s="1"/>
  <c r="I54" i="44"/>
  <c r="H54" i="44"/>
  <c r="BU52" i="44"/>
  <c r="BH52" i="44"/>
  <c r="BD52" i="44"/>
  <c r="BB52" i="44"/>
  <c r="AN52" i="44"/>
  <c r="AV52" i="44" s="1"/>
  <c r="AM52" i="44"/>
  <c r="BF52" i="44" s="1"/>
  <c r="Z52" i="44" s="1"/>
  <c r="AJ52" i="44"/>
  <c r="AH52" i="44"/>
  <c r="AF52" i="44"/>
  <c r="AE52" i="44"/>
  <c r="AD52" i="44"/>
  <c r="AC52" i="44"/>
  <c r="AB52" i="44"/>
  <c r="X52" i="44"/>
  <c r="L52" i="44"/>
  <c r="J52" i="44"/>
  <c r="AI52" i="44" s="1"/>
  <c r="BU50" i="44"/>
  <c r="BH50" i="44"/>
  <c r="BB50" i="44"/>
  <c r="AN50" i="44"/>
  <c r="AV50" i="44" s="1"/>
  <c r="AM50" i="44"/>
  <c r="BF50" i="44" s="1"/>
  <c r="Z50" i="44" s="1"/>
  <c r="AJ50" i="44"/>
  <c r="AH50" i="44"/>
  <c r="AF50" i="44"/>
  <c r="AE50" i="44"/>
  <c r="AD50" i="44"/>
  <c r="AC50" i="44"/>
  <c r="AB50" i="44"/>
  <c r="X50" i="44"/>
  <c r="L50" i="44"/>
  <c r="BD50" i="44" s="1"/>
  <c r="J50" i="44"/>
  <c r="AI50" i="44" s="1"/>
  <c r="I50" i="44"/>
  <c r="H50" i="44"/>
  <c r="BU48" i="44"/>
  <c r="BH48" i="44"/>
  <c r="BD48" i="44"/>
  <c r="BB48" i="44"/>
  <c r="AU48" i="44"/>
  <c r="AN48" i="44"/>
  <c r="AV48" i="44" s="1"/>
  <c r="AM48" i="44"/>
  <c r="BF48" i="44" s="1"/>
  <c r="Z48" i="44" s="1"/>
  <c r="AJ48" i="44"/>
  <c r="AH48" i="44"/>
  <c r="AF48" i="44"/>
  <c r="AE48" i="44"/>
  <c r="AD48" i="44"/>
  <c r="AC48" i="44"/>
  <c r="AB48" i="44"/>
  <c r="X48" i="44"/>
  <c r="L48" i="44"/>
  <c r="J48" i="44"/>
  <c r="AI48" i="44" s="1"/>
  <c r="BU46" i="44"/>
  <c r="BH46" i="44"/>
  <c r="BB46" i="44"/>
  <c r="AU46" i="44"/>
  <c r="AT46" i="44" s="1"/>
  <c r="AN46" i="44"/>
  <c r="AV46" i="44" s="1"/>
  <c r="AM46" i="44"/>
  <c r="BF46" i="44" s="1"/>
  <c r="Z46" i="44" s="1"/>
  <c r="AJ46" i="44"/>
  <c r="AH46" i="44"/>
  <c r="AQ45" i="44" s="1"/>
  <c r="AF46" i="44"/>
  <c r="AE46" i="44"/>
  <c r="AD46" i="44"/>
  <c r="AC46" i="44"/>
  <c r="AB46" i="44"/>
  <c r="X46" i="44"/>
  <c r="L46" i="44"/>
  <c r="BD46" i="44" s="1"/>
  <c r="J46" i="44"/>
  <c r="AI46" i="44" s="1"/>
  <c r="I46" i="44"/>
  <c r="H46" i="44"/>
  <c r="L45" i="44"/>
  <c r="BU43" i="44"/>
  <c r="BH43" i="44"/>
  <c r="BB43" i="44"/>
  <c r="AN43" i="44"/>
  <c r="AV43" i="44" s="1"/>
  <c r="AM43" i="44"/>
  <c r="BF43" i="44" s="1"/>
  <c r="Z43" i="44" s="1"/>
  <c r="AJ43" i="44"/>
  <c r="AH43" i="44"/>
  <c r="AF43" i="44"/>
  <c r="AE43" i="44"/>
  <c r="AD43" i="44"/>
  <c r="AC43" i="44"/>
  <c r="AB43" i="44"/>
  <c r="X43" i="44"/>
  <c r="L43" i="44"/>
  <c r="BD43" i="44" s="1"/>
  <c r="J43" i="44"/>
  <c r="AI43" i="44" s="1"/>
  <c r="BU41" i="44"/>
  <c r="BH41" i="44"/>
  <c r="BB41" i="44"/>
  <c r="AN41" i="44"/>
  <c r="AV41" i="44" s="1"/>
  <c r="AM41" i="44"/>
  <c r="BF41" i="44" s="1"/>
  <c r="AJ41" i="44"/>
  <c r="AS40" i="44" s="1"/>
  <c r="AH41" i="44"/>
  <c r="AF41" i="44"/>
  <c r="AE41" i="44"/>
  <c r="AD41" i="44"/>
  <c r="AC41" i="44"/>
  <c r="AB41" i="44"/>
  <c r="Z41" i="44"/>
  <c r="X41" i="44"/>
  <c r="L41" i="44"/>
  <c r="BD41" i="44" s="1"/>
  <c r="J41" i="44"/>
  <c r="J40" i="44" s="1"/>
  <c r="H41" i="44"/>
  <c r="AQ40" i="44"/>
  <c r="BU38" i="44"/>
  <c r="BH38" i="44"/>
  <c r="BB38" i="44"/>
  <c r="AN38" i="44"/>
  <c r="AV38" i="44" s="1"/>
  <c r="AM38" i="44"/>
  <c r="BF38" i="44" s="1"/>
  <c r="Z38" i="44" s="1"/>
  <c r="AJ38" i="44"/>
  <c r="AH38" i="44"/>
  <c r="AF38" i="44"/>
  <c r="AE38" i="44"/>
  <c r="AD38" i="44"/>
  <c r="AC38" i="44"/>
  <c r="AB38" i="44"/>
  <c r="X38" i="44"/>
  <c r="L38" i="44"/>
  <c r="BD38" i="44" s="1"/>
  <c r="J38" i="44"/>
  <c r="I38" i="44"/>
  <c r="H38" i="44"/>
  <c r="BU36" i="44"/>
  <c r="BH36" i="44"/>
  <c r="BB36" i="44"/>
  <c r="AN36" i="44"/>
  <c r="AV36" i="44" s="1"/>
  <c r="AM36" i="44"/>
  <c r="BF36" i="44" s="1"/>
  <c r="Z36" i="44" s="1"/>
  <c r="AJ36" i="44"/>
  <c r="AH36" i="44"/>
  <c r="AF36" i="44"/>
  <c r="AE36" i="44"/>
  <c r="AD36" i="44"/>
  <c r="AC36" i="44"/>
  <c r="AB36" i="44"/>
  <c r="X36" i="44"/>
  <c r="L36" i="44"/>
  <c r="BD36" i="44" s="1"/>
  <c r="J36" i="44"/>
  <c r="I36" i="44"/>
  <c r="H36" i="44"/>
  <c r="BU34" i="44"/>
  <c r="BH34" i="44"/>
  <c r="BB34" i="44"/>
  <c r="AN34" i="44"/>
  <c r="AV34" i="44" s="1"/>
  <c r="AM34" i="44"/>
  <c r="BF34" i="44" s="1"/>
  <c r="Z34" i="44" s="1"/>
  <c r="AJ34" i="44"/>
  <c r="AH34" i="44"/>
  <c r="AF34" i="44"/>
  <c r="AE34" i="44"/>
  <c r="AD34" i="44"/>
  <c r="AC34" i="44"/>
  <c r="AB34" i="44"/>
  <c r="X34" i="44"/>
  <c r="L34" i="44"/>
  <c r="BD34" i="44" s="1"/>
  <c r="J34" i="44"/>
  <c r="I34" i="44"/>
  <c r="H34" i="44"/>
  <c r="BU32" i="44"/>
  <c r="BH32" i="44"/>
  <c r="BB32" i="44"/>
  <c r="AN32" i="44"/>
  <c r="AV32" i="44" s="1"/>
  <c r="AM32" i="44"/>
  <c r="BF32" i="44" s="1"/>
  <c r="Z32" i="44" s="1"/>
  <c r="AJ32" i="44"/>
  <c r="AH32" i="44"/>
  <c r="AF32" i="44"/>
  <c r="AE32" i="44"/>
  <c r="AD32" i="44"/>
  <c r="AC32" i="44"/>
  <c r="AB32" i="44"/>
  <c r="X32" i="44"/>
  <c r="L32" i="44"/>
  <c r="BD32" i="44" s="1"/>
  <c r="J32" i="44"/>
  <c r="I32" i="44"/>
  <c r="H32" i="44"/>
  <c r="BU30" i="44"/>
  <c r="BH30" i="44"/>
  <c r="BB30" i="44"/>
  <c r="AN30" i="44"/>
  <c r="AV30" i="44" s="1"/>
  <c r="AM30" i="44"/>
  <c r="BF30" i="44" s="1"/>
  <c r="Z30" i="44" s="1"/>
  <c r="AJ30" i="44"/>
  <c r="AH30" i="44"/>
  <c r="AF30" i="44"/>
  <c r="AE30" i="44"/>
  <c r="AD30" i="44"/>
  <c r="AC30" i="44"/>
  <c r="AB30" i="44"/>
  <c r="X30" i="44"/>
  <c r="L30" i="44"/>
  <c r="BD30" i="44" s="1"/>
  <c r="J30" i="44"/>
  <c r="I30" i="44"/>
  <c r="H30" i="44"/>
  <c r="BU28" i="44"/>
  <c r="BH28" i="44"/>
  <c r="BB28" i="44"/>
  <c r="AU28" i="44"/>
  <c r="AN28" i="44"/>
  <c r="AV28" i="44" s="1"/>
  <c r="AM28" i="44"/>
  <c r="BF28" i="44" s="1"/>
  <c r="Z28" i="44" s="1"/>
  <c r="AJ28" i="44"/>
  <c r="AH28" i="44"/>
  <c r="AF28" i="44"/>
  <c r="AE28" i="44"/>
  <c r="AD28" i="44"/>
  <c r="AC28" i="44"/>
  <c r="AB28" i="44"/>
  <c r="X28" i="44"/>
  <c r="L28" i="44"/>
  <c r="BD28" i="44" s="1"/>
  <c r="J28" i="44"/>
  <c r="I28" i="44"/>
  <c r="H28" i="44"/>
  <c r="L27" i="44"/>
  <c r="BU25" i="44"/>
  <c r="BH25" i="44"/>
  <c r="BB25" i="44"/>
  <c r="AN25" i="44"/>
  <c r="AV25" i="44" s="1"/>
  <c r="AM25" i="44"/>
  <c r="BF25" i="44" s="1"/>
  <c r="Z25" i="44" s="1"/>
  <c r="AJ25" i="44"/>
  <c r="AH25" i="44"/>
  <c r="AF25" i="44"/>
  <c r="AE25" i="44"/>
  <c r="AD25" i="44"/>
  <c r="AC25" i="44"/>
  <c r="AB25" i="44"/>
  <c r="X25" i="44"/>
  <c r="L25" i="44"/>
  <c r="BD25" i="44" s="1"/>
  <c r="J25" i="44"/>
  <c r="I25" i="44"/>
  <c r="I24" i="44" s="1"/>
  <c r="H25" i="44"/>
  <c r="H24" i="44" s="1"/>
  <c r="AS24" i="44"/>
  <c r="AQ24" i="44"/>
  <c r="L24" i="44"/>
  <c r="J24" i="44"/>
  <c r="BU22" i="44"/>
  <c r="BH22" i="44"/>
  <c r="BB22" i="44"/>
  <c r="AN22" i="44"/>
  <c r="AV22" i="44" s="1"/>
  <c r="AM22" i="44"/>
  <c r="BF22" i="44" s="1"/>
  <c r="Z22" i="44" s="1"/>
  <c r="AJ22" i="44"/>
  <c r="AH22" i="44"/>
  <c r="AF22" i="44"/>
  <c r="AE22" i="44"/>
  <c r="AD22" i="44"/>
  <c r="AC22" i="44"/>
  <c r="AB22" i="44"/>
  <c r="X22" i="44"/>
  <c r="L22" i="44"/>
  <c r="BD22" i="44" s="1"/>
  <c r="J22" i="44"/>
  <c r="I22" i="44"/>
  <c r="H22" i="44"/>
  <c r="BU20" i="44"/>
  <c r="BH20" i="44"/>
  <c r="BD20" i="44"/>
  <c r="BB20" i="44"/>
  <c r="AN20" i="44"/>
  <c r="AV20" i="44" s="1"/>
  <c r="AM20" i="44"/>
  <c r="BF20" i="44" s="1"/>
  <c r="Z20" i="44" s="1"/>
  <c r="AJ20" i="44"/>
  <c r="AH20" i="44"/>
  <c r="AF20" i="44"/>
  <c r="AE20" i="44"/>
  <c r="AD20" i="44"/>
  <c r="AC20" i="44"/>
  <c r="AB20" i="44"/>
  <c r="X20" i="44"/>
  <c r="L20" i="44"/>
  <c r="J20" i="44"/>
  <c r="I20" i="44"/>
  <c r="H20" i="44"/>
  <c r="BU18" i="44"/>
  <c r="BH18" i="44"/>
  <c r="BB18" i="44"/>
  <c r="AU18" i="44"/>
  <c r="AN18" i="44"/>
  <c r="AV18" i="44" s="1"/>
  <c r="AM18" i="44"/>
  <c r="BF18" i="44" s="1"/>
  <c r="Z18" i="44" s="1"/>
  <c r="AJ18" i="44"/>
  <c r="AH18" i="44"/>
  <c r="AF18" i="44"/>
  <c r="AE18" i="44"/>
  <c r="AD18" i="44"/>
  <c r="AC18" i="44"/>
  <c r="AB18" i="44"/>
  <c r="X18" i="44"/>
  <c r="L18" i="44"/>
  <c r="BD18" i="44" s="1"/>
  <c r="J18" i="44"/>
  <c r="I18" i="44"/>
  <c r="H18" i="44"/>
  <c r="BU16" i="44"/>
  <c r="BH16" i="44"/>
  <c r="BD16" i="44"/>
  <c r="BB16" i="44"/>
  <c r="AN16" i="44"/>
  <c r="AV16" i="44" s="1"/>
  <c r="AM16" i="44"/>
  <c r="BF16" i="44" s="1"/>
  <c r="Z16" i="44" s="1"/>
  <c r="AJ16" i="44"/>
  <c r="AH16" i="44"/>
  <c r="AF16" i="44"/>
  <c r="AE16" i="44"/>
  <c r="AD16" i="44"/>
  <c r="AC16" i="44"/>
  <c r="AB16" i="44"/>
  <c r="X16" i="44"/>
  <c r="L16" i="44"/>
  <c r="J16" i="44"/>
  <c r="J15" i="44" s="1"/>
  <c r="I16" i="44"/>
  <c r="H16" i="44"/>
  <c r="H15" i="44" s="1"/>
  <c r="BU13" i="44"/>
  <c r="BH13" i="44"/>
  <c r="BB13" i="44"/>
  <c r="AN13" i="44"/>
  <c r="AV13" i="44" s="1"/>
  <c r="AM13" i="44"/>
  <c r="BF13" i="44" s="1"/>
  <c r="Z13" i="44" s="1"/>
  <c r="AJ13" i="44"/>
  <c r="AH13" i="44"/>
  <c r="AF13" i="44"/>
  <c r="AE13" i="44"/>
  <c r="AD13" i="44"/>
  <c r="AC13" i="44"/>
  <c r="AB13" i="44"/>
  <c r="X13" i="44"/>
  <c r="L13" i="44"/>
  <c r="BD13" i="44" s="1"/>
  <c r="J13" i="44"/>
  <c r="J12" i="44" s="1"/>
  <c r="I13" i="44"/>
  <c r="I12" i="44" s="1"/>
  <c r="H13" i="44"/>
  <c r="H12" i="44" s="1"/>
  <c r="AS12" i="44"/>
  <c r="AQ12" i="44"/>
  <c r="L12" i="44"/>
  <c r="AS1" i="44"/>
  <c r="AR1" i="44"/>
  <c r="AQ1" i="44"/>
  <c r="BU182" i="43"/>
  <c r="BH182" i="43"/>
  <c r="AF182" i="43" s="1"/>
  <c r="BB182" i="43"/>
  <c r="AU182" i="43"/>
  <c r="AN182" i="43"/>
  <c r="AM182" i="43"/>
  <c r="BF182" i="43" s="1"/>
  <c r="AJ182" i="43"/>
  <c r="AH182" i="43"/>
  <c r="AE182" i="43"/>
  <c r="AD182" i="43"/>
  <c r="AC182" i="43"/>
  <c r="AB182" i="43"/>
  <c r="AA182" i="43"/>
  <c r="Z182" i="43"/>
  <c r="X182" i="43"/>
  <c r="L182" i="43"/>
  <c r="BD182" i="43" s="1"/>
  <c r="J182" i="43"/>
  <c r="AI182" i="43" s="1"/>
  <c r="H182" i="43"/>
  <c r="BU180" i="43"/>
  <c r="BH180" i="43"/>
  <c r="AF180" i="43" s="1"/>
  <c r="BB180" i="43"/>
  <c r="AV180" i="43"/>
  <c r="AN180" i="43"/>
  <c r="BG180" i="43" s="1"/>
  <c r="AM180" i="43"/>
  <c r="AJ180" i="43"/>
  <c r="AH180" i="43"/>
  <c r="AE180" i="43"/>
  <c r="AD180" i="43"/>
  <c r="AC180" i="43"/>
  <c r="AB180" i="43"/>
  <c r="AA180" i="43"/>
  <c r="Z180" i="43"/>
  <c r="X180" i="43"/>
  <c r="L180" i="43"/>
  <c r="BD180" i="43" s="1"/>
  <c r="J180" i="43"/>
  <c r="I180" i="43"/>
  <c r="BU178" i="43"/>
  <c r="BH178" i="43"/>
  <c r="AF178" i="43" s="1"/>
  <c r="BB178" i="43"/>
  <c r="AV178" i="43"/>
  <c r="AN178" i="43"/>
  <c r="BG178" i="43" s="1"/>
  <c r="AM178" i="43"/>
  <c r="BF178" i="43" s="1"/>
  <c r="AJ178" i="43"/>
  <c r="AH178" i="43"/>
  <c r="AE178" i="43"/>
  <c r="AD178" i="43"/>
  <c r="AC178" i="43"/>
  <c r="AB178" i="43"/>
  <c r="AA178" i="43"/>
  <c r="Z178" i="43"/>
  <c r="X178" i="43"/>
  <c r="L178" i="43"/>
  <c r="BD178" i="43" s="1"/>
  <c r="J178" i="43"/>
  <c r="I178" i="43"/>
  <c r="BU176" i="43"/>
  <c r="BH176" i="43"/>
  <c r="AF176" i="43" s="1"/>
  <c r="BD176" i="43"/>
  <c r="BB176" i="43"/>
  <c r="AN176" i="43"/>
  <c r="BG176" i="43" s="1"/>
  <c r="AM176" i="43"/>
  <c r="AJ176" i="43"/>
  <c r="AH176" i="43"/>
  <c r="AE176" i="43"/>
  <c r="AD176" i="43"/>
  <c r="AC176" i="43"/>
  <c r="AB176" i="43"/>
  <c r="AA176" i="43"/>
  <c r="Z176" i="43"/>
  <c r="X176" i="43"/>
  <c r="L176" i="43"/>
  <c r="J176" i="43"/>
  <c r="BU174" i="43"/>
  <c r="BH174" i="43"/>
  <c r="AF174" i="43" s="1"/>
  <c r="BB174" i="43"/>
  <c r="AU174" i="43"/>
  <c r="AN174" i="43"/>
  <c r="BG174" i="43" s="1"/>
  <c r="AM174" i="43"/>
  <c r="BF174" i="43" s="1"/>
  <c r="AJ174" i="43"/>
  <c r="AH174" i="43"/>
  <c r="AE174" i="43"/>
  <c r="AD174" i="43"/>
  <c r="AC174" i="43"/>
  <c r="AB174" i="43"/>
  <c r="AA174" i="43"/>
  <c r="Z174" i="43"/>
  <c r="X174" i="43"/>
  <c r="L174" i="43"/>
  <c r="BD174" i="43" s="1"/>
  <c r="J174" i="43"/>
  <c r="AI174" i="43" s="1"/>
  <c r="I174" i="43"/>
  <c r="H174" i="43"/>
  <c r="BU172" i="43"/>
  <c r="BH172" i="43"/>
  <c r="AF172" i="43" s="1"/>
  <c r="BB172" i="43"/>
  <c r="AV172" i="43"/>
  <c r="AN172" i="43"/>
  <c r="BG172" i="43" s="1"/>
  <c r="AM172" i="43"/>
  <c r="BF172" i="43" s="1"/>
  <c r="AJ172" i="43"/>
  <c r="AH172" i="43"/>
  <c r="AE172" i="43"/>
  <c r="AD172" i="43"/>
  <c r="AC172" i="43"/>
  <c r="AB172" i="43"/>
  <c r="AA172" i="43"/>
  <c r="Z172" i="43"/>
  <c r="X172" i="43"/>
  <c r="L172" i="43"/>
  <c r="BD172" i="43" s="1"/>
  <c r="J172" i="43"/>
  <c r="I172" i="43"/>
  <c r="BU170" i="43"/>
  <c r="BH170" i="43"/>
  <c r="AF170" i="43" s="1"/>
  <c r="BB170" i="43"/>
  <c r="AV170" i="43"/>
  <c r="AN170" i="43"/>
  <c r="BG170" i="43" s="1"/>
  <c r="AM170" i="43"/>
  <c r="AJ170" i="43"/>
  <c r="AH170" i="43"/>
  <c r="AE170" i="43"/>
  <c r="AD170" i="43"/>
  <c r="AC170" i="43"/>
  <c r="AB170" i="43"/>
  <c r="AA170" i="43"/>
  <c r="Z170" i="43"/>
  <c r="X170" i="43"/>
  <c r="L170" i="43"/>
  <c r="BD170" i="43" s="1"/>
  <c r="J170" i="43"/>
  <c r="I170" i="43"/>
  <c r="BU168" i="43"/>
  <c r="BH168" i="43"/>
  <c r="AF168" i="43" s="1"/>
  <c r="BD168" i="43"/>
  <c r="BB168" i="43"/>
  <c r="AN168" i="43"/>
  <c r="BG168" i="43" s="1"/>
  <c r="AM168" i="43"/>
  <c r="BF168" i="43" s="1"/>
  <c r="AJ168" i="43"/>
  <c r="AH168" i="43"/>
  <c r="AE168" i="43"/>
  <c r="AD168" i="43"/>
  <c r="AC168" i="43"/>
  <c r="AB168" i="43"/>
  <c r="AA168" i="43"/>
  <c r="Z168" i="43"/>
  <c r="X168" i="43"/>
  <c r="L168" i="43"/>
  <c r="J168" i="43"/>
  <c r="AI168" i="43" s="1"/>
  <c r="I168" i="43"/>
  <c r="H168" i="43"/>
  <c r="BU166" i="43"/>
  <c r="BH166" i="43"/>
  <c r="AF166" i="43" s="1"/>
  <c r="BB166" i="43"/>
  <c r="AN166" i="43"/>
  <c r="AM166" i="43"/>
  <c r="BF166" i="43" s="1"/>
  <c r="AJ166" i="43"/>
  <c r="AH166" i="43"/>
  <c r="AE166" i="43"/>
  <c r="AD166" i="43"/>
  <c r="AC166" i="43"/>
  <c r="AB166" i="43"/>
  <c r="AA166" i="43"/>
  <c r="Z166" i="43"/>
  <c r="X166" i="43"/>
  <c r="L166" i="43"/>
  <c r="BD166" i="43" s="1"/>
  <c r="J166" i="43"/>
  <c r="AI166" i="43" s="1"/>
  <c r="H166" i="43"/>
  <c r="BU164" i="43"/>
  <c r="BH164" i="43"/>
  <c r="AF164" i="43" s="1"/>
  <c r="BB164" i="43"/>
  <c r="AN164" i="43"/>
  <c r="BG164" i="43" s="1"/>
  <c r="AM164" i="43"/>
  <c r="AJ164" i="43"/>
  <c r="AH164" i="43"/>
  <c r="AE164" i="43"/>
  <c r="AD164" i="43"/>
  <c r="AC164" i="43"/>
  <c r="AB164" i="43"/>
  <c r="AA164" i="43"/>
  <c r="Z164" i="43"/>
  <c r="X164" i="43"/>
  <c r="L164" i="43"/>
  <c r="BD164" i="43" s="1"/>
  <c r="J164" i="43"/>
  <c r="BU162" i="43"/>
  <c r="BH162" i="43"/>
  <c r="AF162" i="43" s="1"/>
  <c r="BB162" i="43"/>
  <c r="AV162" i="43"/>
  <c r="AN162" i="43"/>
  <c r="BG162" i="43" s="1"/>
  <c r="AM162" i="43"/>
  <c r="BF162" i="43" s="1"/>
  <c r="AJ162" i="43"/>
  <c r="AH162" i="43"/>
  <c r="AE162" i="43"/>
  <c r="AD162" i="43"/>
  <c r="AC162" i="43"/>
  <c r="AB162" i="43"/>
  <c r="AA162" i="43"/>
  <c r="Z162" i="43"/>
  <c r="X162" i="43"/>
  <c r="L162" i="43"/>
  <c r="L161" i="43" s="1"/>
  <c r="J162" i="43"/>
  <c r="I162" i="43"/>
  <c r="BU160" i="43"/>
  <c r="BH160" i="43"/>
  <c r="X160" i="43" s="1"/>
  <c r="BD160" i="43"/>
  <c r="BB160" i="43"/>
  <c r="AV160" i="43"/>
  <c r="AN160" i="43"/>
  <c r="BG160" i="43" s="1"/>
  <c r="AM160" i="43"/>
  <c r="BF160" i="43" s="1"/>
  <c r="AJ160" i="43"/>
  <c r="AI160" i="43"/>
  <c r="AH160" i="43"/>
  <c r="AF160" i="43"/>
  <c r="AE160" i="43"/>
  <c r="AD160" i="43"/>
  <c r="AC160" i="43"/>
  <c r="AB160" i="43"/>
  <c r="AA160" i="43"/>
  <c r="Z160" i="43"/>
  <c r="L160" i="43"/>
  <c r="J160" i="43"/>
  <c r="H160" i="43"/>
  <c r="BU159" i="43"/>
  <c r="BH159" i="43"/>
  <c r="X159" i="43" s="1"/>
  <c r="BB159" i="43"/>
  <c r="AN159" i="43"/>
  <c r="BG159" i="43" s="1"/>
  <c r="AM159" i="43"/>
  <c r="BF159" i="43" s="1"/>
  <c r="AJ159" i="43"/>
  <c r="AH159" i="43"/>
  <c r="AF159" i="43"/>
  <c r="AE159" i="43"/>
  <c r="AD159" i="43"/>
  <c r="AC159" i="43"/>
  <c r="AB159" i="43"/>
  <c r="AA159" i="43"/>
  <c r="Z159" i="43"/>
  <c r="L159" i="43"/>
  <c r="BD159" i="43" s="1"/>
  <c r="J159" i="43"/>
  <c r="H159" i="43"/>
  <c r="BU158" i="43"/>
  <c r="BH158" i="43"/>
  <c r="X158" i="43" s="1"/>
  <c r="BB158" i="43"/>
  <c r="AN158" i="43"/>
  <c r="BG158" i="43" s="1"/>
  <c r="AM158" i="43"/>
  <c r="BF158" i="43" s="1"/>
  <c r="AJ158" i="43"/>
  <c r="AH158" i="43"/>
  <c r="AQ157" i="43" s="1"/>
  <c r="AF158" i="43"/>
  <c r="AE158" i="43"/>
  <c r="AD158" i="43"/>
  <c r="AC158" i="43"/>
  <c r="AB158" i="43"/>
  <c r="AA158" i="43"/>
  <c r="Z158" i="43"/>
  <c r="L158" i="43"/>
  <c r="BD158" i="43" s="1"/>
  <c r="J158" i="43"/>
  <c r="AI158" i="43" s="1"/>
  <c r="I158" i="43"/>
  <c r="H158" i="43"/>
  <c r="L157" i="43"/>
  <c r="BU156" i="43"/>
  <c r="BH156" i="43"/>
  <c r="X156" i="43" s="1"/>
  <c r="BD156" i="43"/>
  <c r="BB156" i="43"/>
  <c r="AU156" i="43"/>
  <c r="AN156" i="43"/>
  <c r="BG156" i="43" s="1"/>
  <c r="AM156" i="43"/>
  <c r="BF156" i="43" s="1"/>
  <c r="AJ156" i="43"/>
  <c r="AH156" i="43"/>
  <c r="AF156" i="43"/>
  <c r="AE156" i="43"/>
  <c r="AD156" i="43"/>
  <c r="AC156" i="43"/>
  <c r="AB156" i="43"/>
  <c r="AA156" i="43"/>
  <c r="Z156" i="43"/>
  <c r="L156" i="43"/>
  <c r="J156" i="43"/>
  <c r="AI156" i="43" s="1"/>
  <c r="I156" i="43"/>
  <c r="H156" i="43"/>
  <c r="BU154" i="43"/>
  <c r="BH154" i="43"/>
  <c r="X154" i="43" s="1"/>
  <c r="BB154" i="43"/>
  <c r="AN154" i="43"/>
  <c r="BG154" i="43" s="1"/>
  <c r="AM154" i="43"/>
  <c r="BF154" i="43" s="1"/>
  <c r="AJ154" i="43"/>
  <c r="AH154" i="43"/>
  <c r="AF154" i="43"/>
  <c r="AE154" i="43"/>
  <c r="AD154" i="43"/>
  <c r="AC154" i="43"/>
  <c r="AB154" i="43"/>
  <c r="AA154" i="43"/>
  <c r="Z154" i="43"/>
  <c r="L154" i="43"/>
  <c r="BD154" i="43" s="1"/>
  <c r="J154" i="43"/>
  <c r="H154" i="43"/>
  <c r="BU152" i="43"/>
  <c r="BH152" i="43"/>
  <c r="X152" i="43" s="1"/>
  <c r="BB152" i="43"/>
  <c r="AN152" i="43"/>
  <c r="BG152" i="43" s="1"/>
  <c r="AM152" i="43"/>
  <c r="BF152" i="43" s="1"/>
  <c r="AJ152" i="43"/>
  <c r="AS150" i="43" s="1"/>
  <c r="AH152" i="43"/>
  <c r="AF152" i="43"/>
  <c r="AE152" i="43"/>
  <c r="AD152" i="43"/>
  <c r="AC152" i="43"/>
  <c r="AB152" i="43"/>
  <c r="AA152" i="43"/>
  <c r="Z152" i="43"/>
  <c r="L152" i="43"/>
  <c r="BD152" i="43" s="1"/>
  <c r="J152" i="43"/>
  <c r="AI152" i="43" s="1"/>
  <c r="H152" i="43"/>
  <c r="BU151" i="43"/>
  <c r="BH151" i="43"/>
  <c r="X151" i="43" s="1"/>
  <c r="BD151" i="43"/>
  <c r="BB151" i="43"/>
  <c r="AN151" i="43"/>
  <c r="BG151" i="43" s="1"/>
  <c r="AM151" i="43"/>
  <c r="AJ151" i="43"/>
  <c r="AH151" i="43"/>
  <c r="AQ150" i="43" s="1"/>
  <c r="AF151" i="43"/>
  <c r="AE151" i="43"/>
  <c r="AD151" i="43"/>
  <c r="AC151" i="43"/>
  <c r="AB151" i="43"/>
  <c r="AA151" i="43"/>
  <c r="Z151" i="43"/>
  <c r="L151" i="43"/>
  <c r="J151" i="43"/>
  <c r="I151" i="43"/>
  <c r="L150" i="43"/>
  <c r="BU148" i="43"/>
  <c r="BH148" i="43"/>
  <c r="BB148" i="43"/>
  <c r="AN148" i="43"/>
  <c r="AM148" i="43"/>
  <c r="BF148" i="43" s="1"/>
  <c r="AJ148" i="43"/>
  <c r="AH148" i="43"/>
  <c r="AQ147" i="43" s="1"/>
  <c r="AF148" i="43"/>
  <c r="AE148" i="43"/>
  <c r="AD148" i="43"/>
  <c r="AC148" i="43"/>
  <c r="AB148" i="43"/>
  <c r="Z148" i="43"/>
  <c r="X148" i="43"/>
  <c r="L148" i="43"/>
  <c r="J148" i="43"/>
  <c r="AI148" i="43" s="1"/>
  <c r="AR147" i="43" s="1"/>
  <c r="H148" i="43"/>
  <c r="AS147" i="43"/>
  <c r="H147" i="43"/>
  <c r="BU145" i="43"/>
  <c r="BH145" i="43"/>
  <c r="BD145" i="43"/>
  <c r="BB145" i="43"/>
  <c r="AN145" i="43"/>
  <c r="BG145" i="43" s="1"/>
  <c r="AA145" i="43" s="1"/>
  <c r="AM145" i="43"/>
  <c r="AJ145" i="43"/>
  <c r="AH145" i="43"/>
  <c r="AF145" i="43"/>
  <c r="AE145" i="43"/>
  <c r="AD145" i="43"/>
  <c r="AC145" i="43"/>
  <c r="AB145" i="43"/>
  <c r="X145" i="43"/>
  <c r="L145" i="43"/>
  <c r="J145" i="43"/>
  <c r="I145" i="43"/>
  <c r="H145" i="43"/>
  <c r="H144" i="43" s="1"/>
  <c r="AS144" i="43"/>
  <c r="AQ144" i="43"/>
  <c r="L144" i="43"/>
  <c r="I144" i="43"/>
  <c r="BU142" i="43"/>
  <c r="BH142" i="43"/>
  <c r="BD142" i="43"/>
  <c r="BB142" i="43"/>
  <c r="AN142" i="43"/>
  <c r="BG142" i="43" s="1"/>
  <c r="AA142" i="43" s="1"/>
  <c r="AM142" i="43"/>
  <c r="AJ142" i="43"/>
  <c r="AH142" i="43"/>
  <c r="AF142" i="43"/>
  <c r="AE142" i="43"/>
  <c r="AD142" i="43"/>
  <c r="AC142" i="43"/>
  <c r="AB142" i="43"/>
  <c r="X142" i="43"/>
  <c r="L142" i="43"/>
  <c r="J142" i="43"/>
  <c r="I142" i="43"/>
  <c r="BU140" i="43"/>
  <c r="BH140" i="43"/>
  <c r="BD140" i="43"/>
  <c r="BB140" i="43"/>
  <c r="AN140" i="43"/>
  <c r="BG140" i="43" s="1"/>
  <c r="AA140" i="43" s="1"/>
  <c r="AM140" i="43"/>
  <c r="AJ140" i="43"/>
  <c r="AH140" i="43"/>
  <c r="AF140" i="43"/>
  <c r="AE140" i="43"/>
  <c r="AD140" i="43"/>
  <c r="AC140" i="43"/>
  <c r="AB140" i="43"/>
  <c r="X140" i="43"/>
  <c r="L140" i="43"/>
  <c r="J140" i="43"/>
  <c r="AI140" i="43" s="1"/>
  <c r="I140" i="43"/>
  <c r="BU138" i="43"/>
  <c r="BH138" i="43"/>
  <c r="BB138" i="43"/>
  <c r="AU138" i="43"/>
  <c r="AN138" i="43"/>
  <c r="AM138" i="43"/>
  <c r="BF138" i="43" s="1"/>
  <c r="AJ138" i="43"/>
  <c r="AH138" i="43"/>
  <c r="AF138" i="43"/>
  <c r="AE138" i="43"/>
  <c r="AD138" i="43"/>
  <c r="AC138" i="43"/>
  <c r="AB138" i="43"/>
  <c r="Z138" i="43"/>
  <c r="X138" i="43"/>
  <c r="L138" i="43"/>
  <c r="BD138" i="43" s="1"/>
  <c r="J138" i="43"/>
  <c r="H138" i="43"/>
  <c r="BU136" i="43"/>
  <c r="BH136" i="43"/>
  <c r="BB136" i="43"/>
  <c r="AN136" i="43"/>
  <c r="BG136" i="43" s="1"/>
  <c r="AA136" i="43" s="1"/>
  <c r="AM136" i="43"/>
  <c r="BF136" i="43" s="1"/>
  <c r="AJ136" i="43"/>
  <c r="AH136" i="43"/>
  <c r="AF136" i="43"/>
  <c r="AE136" i="43"/>
  <c r="AD136" i="43"/>
  <c r="AC136" i="43"/>
  <c r="AB136" i="43"/>
  <c r="Z136" i="43"/>
  <c r="X136" i="43"/>
  <c r="L136" i="43"/>
  <c r="BD136" i="43" s="1"/>
  <c r="J136" i="43"/>
  <c r="I136" i="43"/>
  <c r="BU134" i="43"/>
  <c r="BH134" i="43"/>
  <c r="BB134" i="43"/>
  <c r="AN134" i="43"/>
  <c r="BG134" i="43" s="1"/>
  <c r="AA134" i="43" s="1"/>
  <c r="AM134" i="43"/>
  <c r="BF134" i="43" s="1"/>
  <c r="Z134" i="43" s="1"/>
  <c r="AJ134" i="43"/>
  <c r="AH134" i="43"/>
  <c r="AQ129" i="43" s="1"/>
  <c r="AF134" i="43"/>
  <c r="AE134" i="43"/>
  <c r="AD134" i="43"/>
  <c r="AC134" i="43"/>
  <c r="AB134" i="43"/>
  <c r="X134" i="43"/>
  <c r="L134" i="43"/>
  <c r="BD134" i="43" s="1"/>
  <c r="J134" i="43"/>
  <c r="I134" i="43"/>
  <c r="H134" i="43"/>
  <c r="BU132" i="43"/>
  <c r="BH132" i="43"/>
  <c r="BB132" i="43"/>
  <c r="AN132" i="43"/>
  <c r="BG132" i="43" s="1"/>
  <c r="AA132" i="43" s="1"/>
  <c r="AM132" i="43"/>
  <c r="BF132" i="43" s="1"/>
  <c r="Z132" i="43" s="1"/>
  <c r="AJ132" i="43"/>
  <c r="AH132" i="43"/>
  <c r="AF132" i="43"/>
  <c r="AE132" i="43"/>
  <c r="AD132" i="43"/>
  <c r="AC132" i="43"/>
  <c r="AB132" i="43"/>
  <c r="X132" i="43"/>
  <c r="L132" i="43"/>
  <c r="BD132" i="43" s="1"/>
  <c r="J132" i="43"/>
  <c r="AI132" i="43" s="1"/>
  <c r="I132" i="43"/>
  <c r="BU130" i="43"/>
  <c r="BH130" i="43"/>
  <c r="BB130" i="43"/>
  <c r="AN130" i="43"/>
  <c r="BG130" i="43" s="1"/>
  <c r="AA130" i="43" s="1"/>
  <c r="AM130" i="43"/>
  <c r="BF130" i="43" s="1"/>
  <c r="Z130" i="43" s="1"/>
  <c r="AJ130" i="43"/>
  <c r="AH130" i="43"/>
  <c r="AF130" i="43"/>
  <c r="AE130" i="43"/>
  <c r="AD130" i="43"/>
  <c r="AC130" i="43"/>
  <c r="AB130" i="43"/>
  <c r="X130" i="43"/>
  <c r="L130" i="43"/>
  <c r="J130" i="43"/>
  <c r="I130" i="43"/>
  <c r="H130" i="43"/>
  <c r="AS129" i="43"/>
  <c r="BU127" i="43"/>
  <c r="BH127" i="43"/>
  <c r="BB127" i="43"/>
  <c r="AN127" i="43"/>
  <c r="AM127" i="43"/>
  <c r="BF127" i="43" s="1"/>
  <c r="Z127" i="43" s="1"/>
  <c r="AJ127" i="43"/>
  <c r="AH127" i="43"/>
  <c r="AF127" i="43"/>
  <c r="AE127" i="43"/>
  <c r="AD127" i="43"/>
  <c r="AC127" i="43"/>
  <c r="AB127" i="43"/>
  <c r="X127" i="43"/>
  <c r="L127" i="43"/>
  <c r="BD127" i="43" s="1"/>
  <c r="J127" i="43"/>
  <c r="AI127" i="43" s="1"/>
  <c r="I127" i="43"/>
  <c r="H127" i="43"/>
  <c r="BU125" i="43"/>
  <c r="BH125" i="43"/>
  <c r="BB125" i="43"/>
  <c r="AN125" i="43"/>
  <c r="AV125" i="43" s="1"/>
  <c r="AM125" i="43"/>
  <c r="BF125" i="43" s="1"/>
  <c r="Z125" i="43" s="1"/>
  <c r="AJ125" i="43"/>
  <c r="AH125" i="43"/>
  <c r="AF125" i="43"/>
  <c r="AE125" i="43"/>
  <c r="AD125" i="43"/>
  <c r="AC125" i="43"/>
  <c r="AB125" i="43"/>
  <c r="X125" i="43"/>
  <c r="L125" i="43"/>
  <c r="L122" i="43" s="1"/>
  <c r="J125" i="43"/>
  <c r="AI125" i="43" s="1"/>
  <c r="H125" i="43"/>
  <c r="BU123" i="43"/>
  <c r="BH123" i="43"/>
  <c r="BB123" i="43"/>
  <c r="AU123" i="43"/>
  <c r="AN123" i="43"/>
  <c r="AM123" i="43"/>
  <c r="BF123" i="43" s="1"/>
  <c r="Z123" i="43" s="1"/>
  <c r="AJ123" i="43"/>
  <c r="AH123" i="43"/>
  <c r="AQ122" i="43" s="1"/>
  <c r="AF123" i="43"/>
  <c r="AE123" i="43"/>
  <c r="AD123" i="43"/>
  <c r="AC123" i="43"/>
  <c r="AB123" i="43"/>
  <c r="X123" i="43"/>
  <c r="L123" i="43"/>
  <c r="BD123" i="43" s="1"/>
  <c r="J123" i="43"/>
  <c r="AI123" i="43" s="1"/>
  <c r="BU120" i="43"/>
  <c r="BH120" i="43"/>
  <c r="BB120" i="43"/>
  <c r="AN120" i="43"/>
  <c r="AV120" i="43" s="1"/>
  <c r="AM120" i="43"/>
  <c r="AJ120" i="43"/>
  <c r="AS119" i="43" s="1"/>
  <c r="AH120" i="43"/>
  <c r="AQ119" i="43" s="1"/>
  <c r="AF120" i="43"/>
  <c r="AE120" i="43"/>
  <c r="AD120" i="43"/>
  <c r="AC120" i="43"/>
  <c r="AB120" i="43"/>
  <c r="X120" i="43"/>
  <c r="L120" i="43"/>
  <c r="BD120" i="43" s="1"/>
  <c r="J120" i="43"/>
  <c r="I120" i="43"/>
  <c r="I119" i="43" s="1"/>
  <c r="L119" i="43"/>
  <c r="BU117" i="43"/>
  <c r="BH117" i="43"/>
  <c r="BB117" i="43"/>
  <c r="AN117" i="43"/>
  <c r="AM117" i="43"/>
  <c r="BF117" i="43" s="1"/>
  <c r="Z117" i="43" s="1"/>
  <c r="AJ117" i="43"/>
  <c r="AS116" i="43" s="1"/>
  <c r="AH117" i="43"/>
  <c r="AQ116" i="43" s="1"/>
  <c r="AF117" i="43"/>
  <c r="AE117" i="43"/>
  <c r="AD117" i="43"/>
  <c r="AC117" i="43"/>
  <c r="AB117" i="43"/>
  <c r="X117" i="43"/>
  <c r="L117" i="43"/>
  <c r="BD117" i="43" s="1"/>
  <c r="J117" i="43"/>
  <c r="AI117" i="43" s="1"/>
  <c r="AR116" i="43" s="1"/>
  <c r="H117" i="43"/>
  <c r="H116" i="43" s="1"/>
  <c r="L116" i="43"/>
  <c r="BU114" i="43"/>
  <c r="BH114" i="43"/>
  <c r="BD114" i="43"/>
  <c r="BB114" i="43"/>
  <c r="AN114" i="43"/>
  <c r="AM114" i="43"/>
  <c r="AJ114" i="43"/>
  <c r="AH114" i="43"/>
  <c r="AF114" i="43"/>
  <c r="AE114" i="43"/>
  <c r="AD114" i="43"/>
  <c r="AC114" i="43"/>
  <c r="AB114" i="43"/>
  <c r="X114" i="43"/>
  <c r="L114" i="43"/>
  <c r="J114" i="43"/>
  <c r="H114" i="43"/>
  <c r="BU112" i="43"/>
  <c r="BH112" i="43"/>
  <c r="BD112" i="43"/>
  <c r="BB112" i="43"/>
  <c r="AN112" i="43"/>
  <c r="AM112" i="43"/>
  <c r="BF112" i="43" s="1"/>
  <c r="AJ112" i="43"/>
  <c r="AH112" i="43"/>
  <c r="AF112" i="43"/>
  <c r="AE112" i="43"/>
  <c r="AD112" i="43"/>
  <c r="AC112" i="43"/>
  <c r="AB112" i="43"/>
  <c r="Z112" i="43"/>
  <c r="X112" i="43"/>
  <c r="L112" i="43"/>
  <c r="J112" i="43"/>
  <c r="BU110" i="43"/>
  <c r="BH110" i="43"/>
  <c r="BB110" i="43"/>
  <c r="AN110" i="43"/>
  <c r="AM110" i="43"/>
  <c r="BF110" i="43" s="1"/>
  <c r="AJ110" i="43"/>
  <c r="AH110" i="43"/>
  <c r="AF110" i="43"/>
  <c r="AE110" i="43"/>
  <c r="AD110" i="43"/>
  <c r="AC110" i="43"/>
  <c r="AB110" i="43"/>
  <c r="Z110" i="43"/>
  <c r="X110" i="43"/>
  <c r="L110" i="43"/>
  <c r="BD110" i="43" s="1"/>
  <c r="J110" i="43"/>
  <c r="H110" i="43"/>
  <c r="BU108" i="43"/>
  <c r="BH108" i="43"/>
  <c r="BB108" i="43"/>
  <c r="AN108" i="43"/>
  <c r="AV108" i="43" s="1"/>
  <c r="AM108" i="43"/>
  <c r="BF108" i="43" s="1"/>
  <c r="AJ108" i="43"/>
  <c r="AH108" i="43"/>
  <c r="AF108" i="43"/>
  <c r="AE108" i="43"/>
  <c r="AD108" i="43"/>
  <c r="AC108" i="43"/>
  <c r="AB108" i="43"/>
  <c r="Z108" i="43"/>
  <c r="X108" i="43"/>
  <c r="L108" i="43"/>
  <c r="BD108" i="43" s="1"/>
  <c r="J108" i="43"/>
  <c r="H108" i="43"/>
  <c r="BU106" i="43"/>
  <c r="BH106" i="43"/>
  <c r="BG106" i="43"/>
  <c r="AA106" i="43" s="1"/>
  <c r="BB106" i="43"/>
  <c r="AN106" i="43"/>
  <c r="AV106" i="43" s="1"/>
  <c r="AM106" i="43"/>
  <c r="AJ106" i="43"/>
  <c r="AI106" i="43"/>
  <c r="AH106" i="43"/>
  <c r="AF106" i="43"/>
  <c r="AE106" i="43"/>
  <c r="AD106" i="43"/>
  <c r="AC106" i="43"/>
  <c r="AB106" i="43"/>
  <c r="X106" i="43"/>
  <c r="L106" i="43"/>
  <c r="BD106" i="43" s="1"/>
  <c r="J106" i="43"/>
  <c r="I106" i="43"/>
  <c r="BU104" i="43"/>
  <c r="BH104" i="43"/>
  <c r="BB104" i="43"/>
  <c r="AN104" i="43"/>
  <c r="BG104" i="43" s="1"/>
  <c r="AA104" i="43" s="1"/>
  <c r="AM104" i="43"/>
  <c r="BF104" i="43" s="1"/>
  <c r="Z104" i="43" s="1"/>
  <c r="AJ104" i="43"/>
  <c r="AS101" i="43" s="1"/>
  <c r="AH104" i="43"/>
  <c r="AF104" i="43"/>
  <c r="AE104" i="43"/>
  <c r="AD104" i="43"/>
  <c r="AC104" i="43"/>
  <c r="AB104" i="43"/>
  <c r="X104" i="43"/>
  <c r="L104" i="43"/>
  <c r="BD104" i="43" s="1"/>
  <c r="J104" i="43"/>
  <c r="AI104" i="43" s="1"/>
  <c r="H104" i="43"/>
  <c r="BU102" i="43"/>
  <c r="BH102" i="43"/>
  <c r="BB102" i="43"/>
  <c r="AN102" i="43"/>
  <c r="AM102" i="43"/>
  <c r="AJ102" i="43"/>
  <c r="AI102" i="43"/>
  <c r="AH102" i="43"/>
  <c r="AF102" i="43"/>
  <c r="AE102" i="43"/>
  <c r="AD102" i="43"/>
  <c r="AC102" i="43"/>
  <c r="AB102" i="43"/>
  <c r="X102" i="43"/>
  <c r="L102" i="43"/>
  <c r="J102" i="43"/>
  <c r="H102" i="43"/>
  <c r="BU99" i="43"/>
  <c r="BH99" i="43"/>
  <c r="BB99" i="43"/>
  <c r="AN99" i="43"/>
  <c r="BG99" i="43" s="1"/>
  <c r="AA99" i="43" s="1"/>
  <c r="AM99" i="43"/>
  <c r="AJ99" i="43"/>
  <c r="AS98" i="43" s="1"/>
  <c r="AH99" i="43"/>
  <c r="AQ98" i="43" s="1"/>
  <c r="AF99" i="43"/>
  <c r="AE99" i="43"/>
  <c r="AD99" i="43"/>
  <c r="AC99" i="43"/>
  <c r="AB99" i="43"/>
  <c r="X99" i="43"/>
  <c r="L99" i="43"/>
  <c r="J99" i="43"/>
  <c r="I99" i="43"/>
  <c r="I98" i="43" s="1"/>
  <c r="J98" i="43"/>
  <c r="BU96" i="43"/>
  <c r="BH96" i="43"/>
  <c r="BG96" i="43"/>
  <c r="AA96" i="43" s="1"/>
  <c r="BB96" i="43"/>
  <c r="AN96" i="43"/>
  <c r="AM96" i="43"/>
  <c r="AU96" i="43" s="1"/>
  <c r="AJ96" i="43"/>
  <c r="AS95" i="43" s="1"/>
  <c r="AH96" i="43"/>
  <c r="AQ95" i="43" s="1"/>
  <c r="AF96" i="43"/>
  <c r="AE96" i="43"/>
  <c r="AD96" i="43"/>
  <c r="AC96" i="43"/>
  <c r="AB96" i="43"/>
  <c r="X96" i="43"/>
  <c r="L96" i="43"/>
  <c r="BD96" i="43" s="1"/>
  <c r="J96" i="43"/>
  <c r="H96" i="43"/>
  <c r="H95" i="43" s="1"/>
  <c r="L95" i="43"/>
  <c r="BU94" i="43"/>
  <c r="BH94" i="43"/>
  <c r="BB94" i="43"/>
  <c r="AN94" i="43"/>
  <c r="AM94" i="43"/>
  <c r="AU94" i="43" s="1"/>
  <c r="AJ94" i="43"/>
  <c r="AH94" i="43"/>
  <c r="AF94" i="43"/>
  <c r="AE94" i="43"/>
  <c r="AD94" i="43"/>
  <c r="AC94" i="43"/>
  <c r="AB94" i="43"/>
  <c r="AA94" i="43"/>
  <c r="Z94" i="43"/>
  <c r="X94" i="43"/>
  <c r="L94" i="43"/>
  <c r="BD94" i="43" s="1"/>
  <c r="J94" i="43"/>
  <c r="AI94" i="43" s="1"/>
  <c r="BU92" i="43"/>
  <c r="BH92" i="43"/>
  <c r="BG92" i="43"/>
  <c r="BB92" i="43"/>
  <c r="AV92" i="43"/>
  <c r="AN92" i="43"/>
  <c r="AM92" i="43"/>
  <c r="AJ92" i="43"/>
  <c r="AH92" i="43"/>
  <c r="AF92" i="43"/>
  <c r="AE92" i="43"/>
  <c r="AD92" i="43"/>
  <c r="AC92" i="43"/>
  <c r="AB92" i="43"/>
  <c r="AA92" i="43"/>
  <c r="X92" i="43"/>
  <c r="L92" i="43"/>
  <c r="BD92" i="43" s="1"/>
  <c r="J92" i="43"/>
  <c r="AI92" i="43" s="1"/>
  <c r="I92" i="43"/>
  <c r="BU90" i="43"/>
  <c r="BH90" i="43"/>
  <c r="BB90" i="43"/>
  <c r="AN90" i="43"/>
  <c r="AM90" i="43"/>
  <c r="AJ90" i="43"/>
  <c r="AS89" i="43" s="1"/>
  <c r="AH90" i="43"/>
  <c r="AF90" i="43"/>
  <c r="AE90" i="43"/>
  <c r="AD90" i="43"/>
  <c r="AC90" i="43"/>
  <c r="AB90" i="43"/>
  <c r="X90" i="43"/>
  <c r="L90" i="43"/>
  <c r="J90" i="43"/>
  <c r="AI90" i="43" s="1"/>
  <c r="BU87" i="43"/>
  <c r="BH87" i="43"/>
  <c r="BB87" i="43"/>
  <c r="AN87" i="43"/>
  <c r="AM87" i="43"/>
  <c r="BF87" i="43" s="1"/>
  <c r="Z87" i="43" s="1"/>
  <c r="AJ87" i="43"/>
  <c r="AH87" i="43"/>
  <c r="AF87" i="43"/>
  <c r="AE87" i="43"/>
  <c r="AD87" i="43"/>
  <c r="AC87" i="43"/>
  <c r="AB87" i="43"/>
  <c r="X87" i="43"/>
  <c r="L87" i="43"/>
  <c r="BD87" i="43" s="1"/>
  <c r="J87" i="43"/>
  <c r="AI87" i="43" s="1"/>
  <c r="H87" i="43"/>
  <c r="BU85" i="43"/>
  <c r="BH85" i="43"/>
  <c r="BB85" i="43"/>
  <c r="AV85" i="43"/>
  <c r="AU85" i="43"/>
  <c r="AN85" i="43"/>
  <c r="BG85" i="43" s="1"/>
  <c r="AA85" i="43" s="1"/>
  <c r="AM85" i="43"/>
  <c r="BF85" i="43" s="1"/>
  <c r="Z85" i="43" s="1"/>
  <c r="AJ85" i="43"/>
  <c r="AH85" i="43"/>
  <c r="AQ84" i="43" s="1"/>
  <c r="AF85" i="43"/>
  <c r="AE85" i="43"/>
  <c r="AD85" i="43"/>
  <c r="AC85" i="43"/>
  <c r="AB85" i="43"/>
  <c r="X85" i="43"/>
  <c r="L85" i="43"/>
  <c r="J85" i="43"/>
  <c r="I85" i="43"/>
  <c r="H85" i="43"/>
  <c r="BU82" i="43"/>
  <c r="BH82" i="43"/>
  <c r="BB82" i="43"/>
  <c r="AN82" i="43"/>
  <c r="BG82" i="43" s="1"/>
  <c r="AA82" i="43" s="1"/>
  <c r="AM82" i="43"/>
  <c r="AJ82" i="43"/>
  <c r="AS81" i="43" s="1"/>
  <c r="AH82" i="43"/>
  <c r="AQ81" i="43" s="1"/>
  <c r="AF82" i="43"/>
  <c r="AE82" i="43"/>
  <c r="AD82" i="43"/>
  <c r="AC82" i="43"/>
  <c r="AB82" i="43"/>
  <c r="X82" i="43"/>
  <c r="L82" i="43"/>
  <c r="L81" i="43" s="1"/>
  <c r="J82" i="43"/>
  <c r="AI82" i="43" s="1"/>
  <c r="AR81" i="43" s="1"/>
  <c r="I82" i="43"/>
  <c r="I81" i="43" s="1"/>
  <c r="H82" i="43"/>
  <c r="H81" i="43" s="1"/>
  <c r="BU79" i="43"/>
  <c r="BH79" i="43"/>
  <c r="BB79" i="43"/>
  <c r="AV79" i="43"/>
  <c r="AN79" i="43"/>
  <c r="BG79" i="43" s="1"/>
  <c r="AA79" i="43" s="1"/>
  <c r="AM79" i="43"/>
  <c r="BF79" i="43" s="1"/>
  <c r="Z79" i="43" s="1"/>
  <c r="AJ79" i="43"/>
  <c r="AH79" i="43"/>
  <c r="AF79" i="43"/>
  <c r="AE79" i="43"/>
  <c r="AD79" i="43"/>
  <c r="AC79" i="43"/>
  <c r="AB79" i="43"/>
  <c r="X79" i="43"/>
  <c r="L79" i="43"/>
  <c r="BD79" i="43" s="1"/>
  <c r="J79" i="43"/>
  <c r="AI79" i="43" s="1"/>
  <c r="I79" i="43"/>
  <c r="H79" i="43"/>
  <c r="BU78" i="43"/>
  <c r="BH78" i="43"/>
  <c r="BB78" i="43"/>
  <c r="AV78" i="43"/>
  <c r="AN78" i="43"/>
  <c r="BG78" i="43" s="1"/>
  <c r="AA78" i="43" s="1"/>
  <c r="AM78" i="43"/>
  <c r="AU78" i="43" s="1"/>
  <c r="AJ78" i="43"/>
  <c r="AH78" i="43"/>
  <c r="AF78" i="43"/>
  <c r="AE78" i="43"/>
  <c r="AD78" i="43"/>
  <c r="AC78" i="43"/>
  <c r="AB78" i="43"/>
  <c r="X78" i="43"/>
  <c r="L78" i="43"/>
  <c r="BD78" i="43" s="1"/>
  <c r="J78" i="43"/>
  <c r="AI78" i="43" s="1"/>
  <c r="I78" i="43"/>
  <c r="H78" i="43"/>
  <c r="BU76" i="43"/>
  <c r="BH76" i="43"/>
  <c r="BG76" i="43"/>
  <c r="BB76" i="43"/>
  <c r="AN76" i="43"/>
  <c r="AV76" i="43" s="1"/>
  <c r="AM76" i="43"/>
  <c r="BF76" i="43" s="1"/>
  <c r="Z76" i="43" s="1"/>
  <c r="AJ76" i="43"/>
  <c r="AH76" i="43"/>
  <c r="AF76" i="43"/>
  <c r="AE76" i="43"/>
  <c r="AD76" i="43"/>
  <c r="AC76" i="43"/>
  <c r="AB76" i="43"/>
  <c r="AA76" i="43"/>
  <c r="X76" i="43"/>
  <c r="L76" i="43"/>
  <c r="BD76" i="43" s="1"/>
  <c r="J76" i="43"/>
  <c r="AI76" i="43" s="1"/>
  <c r="I76" i="43"/>
  <c r="BU73" i="43"/>
  <c r="BH73" i="43"/>
  <c r="BG73" i="43"/>
  <c r="AA73" i="43" s="1"/>
  <c r="BB73" i="43"/>
  <c r="AN73" i="43"/>
  <c r="AV73" i="43" s="1"/>
  <c r="AM73" i="43"/>
  <c r="AJ73" i="43"/>
  <c r="AH73" i="43"/>
  <c r="AF73" i="43"/>
  <c r="AE73" i="43"/>
  <c r="AD73" i="43"/>
  <c r="AC73" i="43"/>
  <c r="AB73" i="43"/>
  <c r="X73" i="43"/>
  <c r="L73" i="43"/>
  <c r="BD73" i="43" s="1"/>
  <c r="J73" i="43"/>
  <c r="AI73" i="43" s="1"/>
  <c r="BU71" i="43"/>
  <c r="BH71" i="43"/>
  <c r="BB71" i="43"/>
  <c r="AN71" i="43"/>
  <c r="BG71" i="43" s="1"/>
  <c r="AA71" i="43" s="1"/>
  <c r="AM71" i="43"/>
  <c r="H71" i="43" s="1"/>
  <c r="AJ71" i="43"/>
  <c r="AH71" i="43"/>
  <c r="AF71" i="43"/>
  <c r="AE71" i="43"/>
  <c r="AD71" i="43"/>
  <c r="AC71" i="43"/>
  <c r="AB71" i="43"/>
  <c r="X71" i="43"/>
  <c r="L71" i="43"/>
  <c r="BD71" i="43" s="1"/>
  <c r="J71" i="43"/>
  <c r="AI71" i="43" s="1"/>
  <c r="BU69" i="43"/>
  <c r="BH69" i="43"/>
  <c r="BF69" i="43"/>
  <c r="Z69" i="43" s="1"/>
  <c r="BB69" i="43"/>
  <c r="AV69" i="43"/>
  <c r="AU69" i="43"/>
  <c r="AN69" i="43"/>
  <c r="BG69" i="43" s="1"/>
  <c r="AA69" i="43" s="1"/>
  <c r="AM69" i="43"/>
  <c r="AJ69" i="43"/>
  <c r="AH69" i="43"/>
  <c r="AF69" i="43"/>
  <c r="AE69" i="43"/>
  <c r="AD69" i="43"/>
  <c r="AC69" i="43"/>
  <c r="AB69" i="43"/>
  <c r="X69" i="43"/>
  <c r="L69" i="43"/>
  <c r="BD69" i="43" s="1"/>
  <c r="J69" i="43"/>
  <c r="AI69" i="43" s="1"/>
  <c r="I69" i="43"/>
  <c r="H69" i="43"/>
  <c r="BU67" i="43"/>
  <c r="BH67" i="43"/>
  <c r="BB67" i="43"/>
  <c r="AN67" i="43"/>
  <c r="AM67" i="43"/>
  <c r="BF67" i="43" s="1"/>
  <c r="Z67" i="43" s="1"/>
  <c r="AJ67" i="43"/>
  <c r="AH67" i="43"/>
  <c r="AF67" i="43"/>
  <c r="AE67" i="43"/>
  <c r="AD67" i="43"/>
  <c r="AC67" i="43"/>
  <c r="AB67" i="43"/>
  <c r="X67" i="43"/>
  <c r="L67" i="43"/>
  <c r="BD67" i="43" s="1"/>
  <c r="J67" i="43"/>
  <c r="AI67" i="43" s="1"/>
  <c r="BU65" i="43"/>
  <c r="BH65" i="43"/>
  <c r="BB65" i="43"/>
  <c r="AN65" i="43"/>
  <c r="BG65" i="43" s="1"/>
  <c r="AA65" i="43" s="1"/>
  <c r="AM65" i="43"/>
  <c r="BF65" i="43" s="1"/>
  <c r="Z65" i="43" s="1"/>
  <c r="AJ65" i="43"/>
  <c r="AH65" i="43"/>
  <c r="AF65" i="43"/>
  <c r="AE65" i="43"/>
  <c r="AD65" i="43"/>
  <c r="AC65" i="43"/>
  <c r="AB65" i="43"/>
  <c r="X65" i="43"/>
  <c r="L65" i="43"/>
  <c r="BD65" i="43" s="1"/>
  <c r="J65" i="43"/>
  <c r="AI65" i="43" s="1"/>
  <c r="BU63" i="43"/>
  <c r="BH63" i="43"/>
  <c r="BB63" i="43"/>
  <c r="AV63" i="43"/>
  <c r="AN63" i="43"/>
  <c r="BG63" i="43" s="1"/>
  <c r="AA63" i="43" s="1"/>
  <c r="AM63" i="43"/>
  <c r="AJ63" i="43"/>
  <c r="AH63" i="43"/>
  <c r="AF63" i="43"/>
  <c r="AE63" i="43"/>
  <c r="AD63" i="43"/>
  <c r="AC63" i="43"/>
  <c r="AB63" i="43"/>
  <c r="X63" i="43"/>
  <c r="L63" i="43"/>
  <c r="J63" i="43"/>
  <c r="AI63" i="43" s="1"/>
  <c r="I63" i="43"/>
  <c r="BU61" i="43"/>
  <c r="BH61" i="43"/>
  <c r="BB61" i="43"/>
  <c r="AN61" i="43"/>
  <c r="BG61" i="43" s="1"/>
  <c r="AA61" i="43" s="1"/>
  <c r="AM61" i="43"/>
  <c r="AU61" i="43" s="1"/>
  <c r="AJ61" i="43"/>
  <c r="AH61" i="43"/>
  <c r="AF61" i="43"/>
  <c r="AE61" i="43"/>
  <c r="AD61" i="43"/>
  <c r="AC61" i="43"/>
  <c r="AB61" i="43"/>
  <c r="X61" i="43"/>
  <c r="L61" i="43"/>
  <c r="BD61" i="43" s="1"/>
  <c r="J61" i="43"/>
  <c r="AI61" i="43" s="1"/>
  <c r="BU59" i="43"/>
  <c r="BH59" i="43"/>
  <c r="BB59" i="43"/>
  <c r="AN59" i="43"/>
  <c r="AV59" i="43" s="1"/>
  <c r="AM59" i="43"/>
  <c r="BF59" i="43" s="1"/>
  <c r="Z59" i="43" s="1"/>
  <c r="AJ59" i="43"/>
  <c r="AH59" i="43"/>
  <c r="AF59" i="43"/>
  <c r="AE59" i="43"/>
  <c r="AD59" i="43"/>
  <c r="AC59" i="43"/>
  <c r="AB59" i="43"/>
  <c r="X59" i="43"/>
  <c r="L59" i="43"/>
  <c r="BD59" i="43" s="1"/>
  <c r="J59" i="43"/>
  <c r="AI59" i="43" s="1"/>
  <c r="BU57" i="43"/>
  <c r="BH57" i="43"/>
  <c r="BB57" i="43"/>
  <c r="AN57" i="43"/>
  <c r="BG57" i="43" s="1"/>
  <c r="AA57" i="43" s="1"/>
  <c r="AM57" i="43"/>
  <c r="BF57" i="43" s="1"/>
  <c r="Z57" i="43" s="1"/>
  <c r="AJ57" i="43"/>
  <c r="AH57" i="43"/>
  <c r="AF57" i="43"/>
  <c r="AE57" i="43"/>
  <c r="AD57" i="43"/>
  <c r="AC57" i="43"/>
  <c r="AB57" i="43"/>
  <c r="X57" i="43"/>
  <c r="L57" i="43"/>
  <c r="BD57" i="43" s="1"/>
  <c r="J57" i="43"/>
  <c r="I57" i="43"/>
  <c r="H57" i="43"/>
  <c r="BU55" i="43"/>
  <c r="BH55" i="43"/>
  <c r="BB55" i="43"/>
  <c r="AU55" i="43"/>
  <c r="AN55" i="43"/>
  <c r="AV55" i="43" s="1"/>
  <c r="AM55" i="43"/>
  <c r="BF55" i="43" s="1"/>
  <c r="Z55" i="43" s="1"/>
  <c r="AJ55" i="43"/>
  <c r="AH55" i="43"/>
  <c r="AF55" i="43"/>
  <c r="AE55" i="43"/>
  <c r="AD55" i="43"/>
  <c r="AC55" i="43"/>
  <c r="AB55" i="43"/>
  <c r="X55" i="43"/>
  <c r="L55" i="43"/>
  <c r="BD55" i="43" s="1"/>
  <c r="J55" i="43"/>
  <c r="I55" i="43"/>
  <c r="H55" i="43"/>
  <c r="J54" i="43"/>
  <c r="BU52" i="43"/>
  <c r="BH52" i="43"/>
  <c r="BB52" i="43"/>
  <c r="AN52" i="43"/>
  <c r="AV52" i="43" s="1"/>
  <c r="AM52" i="43"/>
  <c r="BF52" i="43" s="1"/>
  <c r="Z52" i="43" s="1"/>
  <c r="AJ52" i="43"/>
  <c r="AH52" i="43"/>
  <c r="AF52" i="43"/>
  <c r="AE52" i="43"/>
  <c r="AD52" i="43"/>
  <c r="AC52" i="43"/>
  <c r="AB52" i="43"/>
  <c r="X52" i="43"/>
  <c r="L52" i="43"/>
  <c r="BD52" i="43" s="1"/>
  <c r="J52" i="43"/>
  <c r="I52" i="43"/>
  <c r="H52" i="43"/>
  <c r="BU50" i="43"/>
  <c r="BH50" i="43"/>
  <c r="BB50" i="43"/>
  <c r="AU50" i="43"/>
  <c r="AN50" i="43"/>
  <c r="AV50" i="43" s="1"/>
  <c r="AM50" i="43"/>
  <c r="BF50" i="43" s="1"/>
  <c r="Z50" i="43" s="1"/>
  <c r="AJ50" i="43"/>
  <c r="AH50" i="43"/>
  <c r="AF50" i="43"/>
  <c r="AE50" i="43"/>
  <c r="AD50" i="43"/>
  <c r="AC50" i="43"/>
  <c r="AB50" i="43"/>
  <c r="X50" i="43"/>
  <c r="L50" i="43"/>
  <c r="J50" i="43"/>
  <c r="J49" i="43" s="1"/>
  <c r="I50" i="43"/>
  <c r="I49" i="43" s="1"/>
  <c r="H50" i="43"/>
  <c r="AQ49" i="43"/>
  <c r="H49" i="43"/>
  <c r="BU47" i="43"/>
  <c r="BH47" i="43"/>
  <c r="BB47" i="43"/>
  <c r="AN47" i="43"/>
  <c r="AV47" i="43" s="1"/>
  <c r="AM47" i="43"/>
  <c r="BF47" i="43" s="1"/>
  <c r="Z47" i="43" s="1"/>
  <c r="AJ47" i="43"/>
  <c r="AH47" i="43"/>
  <c r="AF47" i="43"/>
  <c r="AE47" i="43"/>
  <c r="AD47" i="43"/>
  <c r="AC47" i="43"/>
  <c r="AB47" i="43"/>
  <c r="X47" i="43"/>
  <c r="L47" i="43"/>
  <c r="BD47" i="43" s="1"/>
  <c r="J47" i="43"/>
  <c r="I47" i="43"/>
  <c r="H47" i="43"/>
  <c r="BU45" i="43"/>
  <c r="BH45" i="43"/>
  <c r="BB45" i="43"/>
  <c r="AN45" i="43"/>
  <c r="AV45" i="43" s="1"/>
  <c r="AM45" i="43"/>
  <c r="BF45" i="43" s="1"/>
  <c r="Z45" i="43" s="1"/>
  <c r="AJ45" i="43"/>
  <c r="AH45" i="43"/>
  <c r="AF45" i="43"/>
  <c r="AE45" i="43"/>
  <c r="AD45" i="43"/>
  <c r="AC45" i="43"/>
  <c r="AB45" i="43"/>
  <c r="X45" i="43"/>
  <c r="L45" i="43"/>
  <c r="BD45" i="43" s="1"/>
  <c r="J45" i="43"/>
  <c r="I45" i="43"/>
  <c r="H45" i="43"/>
  <c r="BU43" i="43"/>
  <c r="BH43" i="43"/>
  <c r="BB43" i="43"/>
  <c r="AU43" i="43"/>
  <c r="AN43" i="43"/>
  <c r="AV43" i="43" s="1"/>
  <c r="AM43" i="43"/>
  <c r="BF43" i="43" s="1"/>
  <c r="Z43" i="43" s="1"/>
  <c r="AJ43" i="43"/>
  <c r="AH43" i="43"/>
  <c r="AF43" i="43"/>
  <c r="AE43" i="43"/>
  <c r="AD43" i="43"/>
  <c r="AC43" i="43"/>
  <c r="AB43" i="43"/>
  <c r="X43" i="43"/>
  <c r="L43" i="43"/>
  <c r="BD43" i="43" s="1"/>
  <c r="J43" i="43"/>
  <c r="I43" i="43"/>
  <c r="H43" i="43"/>
  <c r="BU41" i="43"/>
  <c r="BH41" i="43"/>
  <c r="BD41" i="43"/>
  <c r="BB41" i="43"/>
  <c r="AN41" i="43"/>
  <c r="AV41" i="43" s="1"/>
  <c r="AM41" i="43"/>
  <c r="AJ41" i="43"/>
  <c r="AH41" i="43"/>
  <c r="AF41" i="43"/>
  <c r="AE41" i="43"/>
  <c r="AD41" i="43"/>
  <c r="AC41" i="43"/>
  <c r="AB41" i="43"/>
  <c r="X41" i="43"/>
  <c r="L41" i="43"/>
  <c r="J41" i="43"/>
  <c r="I41" i="43"/>
  <c r="H41" i="43"/>
  <c r="BU39" i="43"/>
  <c r="BH39" i="43"/>
  <c r="BB39" i="43"/>
  <c r="AN39" i="43"/>
  <c r="AV39" i="43" s="1"/>
  <c r="AM39" i="43"/>
  <c r="BF39" i="43" s="1"/>
  <c r="Z39" i="43" s="1"/>
  <c r="AJ39" i="43"/>
  <c r="AH39" i="43"/>
  <c r="AF39" i="43"/>
  <c r="AE39" i="43"/>
  <c r="AD39" i="43"/>
  <c r="AC39" i="43"/>
  <c r="AB39" i="43"/>
  <c r="X39" i="43"/>
  <c r="L39" i="43"/>
  <c r="J39" i="43"/>
  <c r="I39" i="43"/>
  <c r="H39" i="43"/>
  <c r="BU37" i="43"/>
  <c r="BH37" i="43"/>
  <c r="BB37" i="43"/>
  <c r="AN37" i="43"/>
  <c r="AV37" i="43" s="1"/>
  <c r="AM37" i="43"/>
  <c r="BF37" i="43" s="1"/>
  <c r="Z37" i="43" s="1"/>
  <c r="AJ37" i="43"/>
  <c r="AH37" i="43"/>
  <c r="AF37" i="43"/>
  <c r="AE37" i="43"/>
  <c r="AD37" i="43"/>
  <c r="AC37" i="43"/>
  <c r="AB37" i="43"/>
  <c r="X37" i="43"/>
  <c r="L37" i="43"/>
  <c r="BD37" i="43" s="1"/>
  <c r="J37" i="43"/>
  <c r="I37" i="43"/>
  <c r="H37" i="43"/>
  <c r="BU35" i="43"/>
  <c r="BH35" i="43"/>
  <c r="BB35" i="43"/>
  <c r="AU35" i="43"/>
  <c r="AN35" i="43"/>
  <c r="AV35" i="43" s="1"/>
  <c r="AM35" i="43"/>
  <c r="BF35" i="43" s="1"/>
  <c r="Z35" i="43" s="1"/>
  <c r="AJ35" i="43"/>
  <c r="AH35" i="43"/>
  <c r="AF35" i="43"/>
  <c r="AE35" i="43"/>
  <c r="AD35" i="43"/>
  <c r="AC35" i="43"/>
  <c r="AB35" i="43"/>
  <c r="X35" i="43"/>
  <c r="L35" i="43"/>
  <c r="BD35" i="43" s="1"/>
  <c r="J35" i="43"/>
  <c r="I35" i="43"/>
  <c r="H35" i="43"/>
  <c r="BU33" i="43"/>
  <c r="BH33" i="43"/>
  <c r="BD33" i="43"/>
  <c r="BB33" i="43"/>
  <c r="AN33" i="43"/>
  <c r="AV33" i="43" s="1"/>
  <c r="AM33" i="43"/>
  <c r="AJ33" i="43"/>
  <c r="AH33" i="43"/>
  <c r="AF33" i="43"/>
  <c r="AE33" i="43"/>
  <c r="AD33" i="43"/>
  <c r="AC33" i="43"/>
  <c r="AB33" i="43"/>
  <c r="X33" i="43"/>
  <c r="L33" i="43"/>
  <c r="J33" i="43"/>
  <c r="I33" i="43"/>
  <c r="H33" i="43"/>
  <c r="H32" i="43" s="1"/>
  <c r="BU30" i="43"/>
  <c r="BH30" i="43"/>
  <c r="BB30" i="43"/>
  <c r="AN30" i="43"/>
  <c r="AV30" i="43" s="1"/>
  <c r="AM30" i="43"/>
  <c r="AJ30" i="43"/>
  <c r="AH30" i="43"/>
  <c r="AF30" i="43"/>
  <c r="AE30" i="43"/>
  <c r="AD30" i="43"/>
  <c r="AC30" i="43"/>
  <c r="AB30" i="43"/>
  <c r="X30" i="43"/>
  <c r="L30" i="43"/>
  <c r="BD30" i="43" s="1"/>
  <c r="J30" i="43"/>
  <c r="I30" i="43"/>
  <c r="I27" i="43" s="1"/>
  <c r="H30" i="43"/>
  <c r="H27" i="43" s="1"/>
  <c r="BU28" i="43"/>
  <c r="BH28" i="43"/>
  <c r="BB28" i="43"/>
  <c r="AU28" i="43"/>
  <c r="AN28" i="43"/>
  <c r="AV28" i="43" s="1"/>
  <c r="AM28" i="43"/>
  <c r="BF28" i="43" s="1"/>
  <c r="Z28" i="43" s="1"/>
  <c r="AJ28" i="43"/>
  <c r="AH28" i="43"/>
  <c r="AF28" i="43"/>
  <c r="AE28" i="43"/>
  <c r="AD28" i="43"/>
  <c r="AC28" i="43"/>
  <c r="AB28" i="43"/>
  <c r="X28" i="43"/>
  <c r="L28" i="43"/>
  <c r="L27" i="43" s="1"/>
  <c r="J28" i="43"/>
  <c r="J27" i="43" s="1"/>
  <c r="I28" i="43"/>
  <c r="H28" i="43"/>
  <c r="AS27" i="43"/>
  <c r="AQ27" i="43"/>
  <c r="BU25" i="43"/>
  <c r="BH25" i="43"/>
  <c r="BD25" i="43"/>
  <c r="BB25" i="43"/>
  <c r="AN25" i="43"/>
  <c r="AV25" i="43" s="1"/>
  <c r="AM25" i="43"/>
  <c r="BF25" i="43" s="1"/>
  <c r="Z25" i="43" s="1"/>
  <c r="AJ25" i="43"/>
  <c r="AH25" i="43"/>
  <c r="AF25" i="43"/>
  <c r="AE25" i="43"/>
  <c r="AD25" i="43"/>
  <c r="AC25" i="43"/>
  <c r="AB25" i="43"/>
  <c r="X25" i="43"/>
  <c r="L25" i="43"/>
  <c r="J25" i="43"/>
  <c r="I25" i="43"/>
  <c r="H25" i="43"/>
  <c r="BU23" i="43"/>
  <c r="BH23" i="43"/>
  <c r="BB23" i="43"/>
  <c r="AU23" i="43"/>
  <c r="AN23" i="43"/>
  <c r="AV23" i="43" s="1"/>
  <c r="AM23" i="43"/>
  <c r="BF23" i="43" s="1"/>
  <c r="Z23" i="43" s="1"/>
  <c r="AJ23" i="43"/>
  <c r="AH23" i="43"/>
  <c r="AF23" i="43"/>
  <c r="AE23" i="43"/>
  <c r="AD23" i="43"/>
  <c r="AC23" i="43"/>
  <c r="AB23" i="43"/>
  <c r="X23" i="43"/>
  <c r="L23" i="43"/>
  <c r="BD23" i="43" s="1"/>
  <c r="J23" i="43"/>
  <c r="I23" i="43"/>
  <c r="H23" i="43"/>
  <c r="BU21" i="43"/>
  <c r="BH21" i="43"/>
  <c r="BD21" i="43"/>
  <c r="BB21" i="43"/>
  <c r="AN21" i="43"/>
  <c r="AV21" i="43" s="1"/>
  <c r="AM21" i="43"/>
  <c r="BF21" i="43" s="1"/>
  <c r="Z21" i="43" s="1"/>
  <c r="AJ21" i="43"/>
  <c r="AH21" i="43"/>
  <c r="AF21" i="43"/>
  <c r="AE21" i="43"/>
  <c r="AD21" i="43"/>
  <c r="AC21" i="43"/>
  <c r="AB21" i="43"/>
  <c r="X21" i="43"/>
  <c r="L21" i="43"/>
  <c r="J21" i="43"/>
  <c r="I21" i="43"/>
  <c r="H21" i="43"/>
  <c r="BU19" i="43"/>
  <c r="BH19" i="43"/>
  <c r="BB19" i="43"/>
  <c r="AN19" i="43"/>
  <c r="AV19" i="43" s="1"/>
  <c r="AM19" i="43"/>
  <c r="BF19" i="43" s="1"/>
  <c r="Z19" i="43" s="1"/>
  <c r="AJ19" i="43"/>
  <c r="AH19" i="43"/>
  <c r="AF19" i="43"/>
  <c r="AE19" i="43"/>
  <c r="AD19" i="43"/>
  <c r="AC19" i="43"/>
  <c r="AB19" i="43"/>
  <c r="X19" i="43"/>
  <c r="L19" i="43"/>
  <c r="BD19" i="43" s="1"/>
  <c r="J19" i="43"/>
  <c r="I19" i="43"/>
  <c r="H19" i="43"/>
  <c r="BU17" i="43"/>
  <c r="BH17" i="43"/>
  <c r="BB17" i="43"/>
  <c r="AN17" i="43"/>
  <c r="AV17" i="43" s="1"/>
  <c r="AM17" i="43"/>
  <c r="BF17" i="43" s="1"/>
  <c r="Z17" i="43" s="1"/>
  <c r="AJ17" i="43"/>
  <c r="AH17" i="43"/>
  <c r="AF17" i="43"/>
  <c r="AE17" i="43"/>
  <c r="AD17" i="43"/>
  <c r="AC17" i="43"/>
  <c r="AB17" i="43"/>
  <c r="X17" i="43"/>
  <c r="L17" i="43"/>
  <c r="BD17" i="43" s="1"/>
  <c r="J17" i="43"/>
  <c r="I17" i="43"/>
  <c r="H17" i="43"/>
  <c r="BU15" i="43"/>
  <c r="BH15" i="43"/>
  <c r="BB15" i="43"/>
  <c r="AN15" i="43"/>
  <c r="AV15" i="43" s="1"/>
  <c r="AM15" i="43"/>
  <c r="BF15" i="43" s="1"/>
  <c r="Z15" i="43" s="1"/>
  <c r="AJ15" i="43"/>
  <c r="AH15" i="43"/>
  <c r="AF15" i="43"/>
  <c r="AE15" i="43"/>
  <c r="AD15" i="43"/>
  <c r="AC15" i="43"/>
  <c r="AB15" i="43"/>
  <c r="X15" i="43"/>
  <c r="L15" i="43"/>
  <c r="BD15" i="43" s="1"/>
  <c r="J15" i="43"/>
  <c r="I15" i="43"/>
  <c r="H15" i="43"/>
  <c r="BU13" i="43"/>
  <c r="BH13" i="43"/>
  <c r="BB13" i="43"/>
  <c r="AN13" i="43"/>
  <c r="AV13" i="43" s="1"/>
  <c r="AM13" i="43"/>
  <c r="BF13" i="43" s="1"/>
  <c r="Z13" i="43" s="1"/>
  <c r="AJ13" i="43"/>
  <c r="AH13" i="43"/>
  <c r="AF13" i="43"/>
  <c r="AE13" i="43"/>
  <c r="AD13" i="43"/>
  <c r="AC13" i="43"/>
  <c r="AB13" i="43"/>
  <c r="X13" i="43"/>
  <c r="L13" i="43"/>
  <c r="BD13" i="43" s="1"/>
  <c r="J13" i="43"/>
  <c r="I13" i="43"/>
  <c r="H13" i="43"/>
  <c r="L12" i="43"/>
  <c r="AS1" i="43"/>
  <c r="AR1" i="43"/>
  <c r="AQ1" i="43"/>
  <c r="BU196" i="42"/>
  <c r="BH196" i="42"/>
  <c r="AF196" i="42" s="1"/>
  <c r="BB196" i="42"/>
  <c r="AV196" i="42"/>
  <c r="AN196" i="42"/>
  <c r="BG196" i="42" s="1"/>
  <c r="AM196" i="42"/>
  <c r="BF196" i="42" s="1"/>
  <c r="AJ196" i="42"/>
  <c r="AI196" i="42"/>
  <c r="AH196" i="42"/>
  <c r="AE196" i="42"/>
  <c r="AD196" i="42"/>
  <c r="AC196" i="42"/>
  <c r="AB196" i="42"/>
  <c r="AA196" i="42"/>
  <c r="Z196" i="42"/>
  <c r="X196" i="42"/>
  <c r="L196" i="42"/>
  <c r="BD196" i="42" s="1"/>
  <c r="J196" i="42"/>
  <c r="H196" i="42"/>
  <c r="BU194" i="42"/>
  <c r="BH194" i="42"/>
  <c r="AF194" i="42" s="1"/>
  <c r="BB194" i="42"/>
  <c r="AV194" i="42"/>
  <c r="AN194" i="42"/>
  <c r="BG194" i="42" s="1"/>
  <c r="AM194" i="42"/>
  <c r="BF194" i="42" s="1"/>
  <c r="AJ194" i="42"/>
  <c r="AH194" i="42"/>
  <c r="AE194" i="42"/>
  <c r="AD194" i="42"/>
  <c r="AC194" i="42"/>
  <c r="AB194" i="42"/>
  <c r="AA194" i="42"/>
  <c r="Z194" i="42"/>
  <c r="X194" i="42"/>
  <c r="L194" i="42"/>
  <c r="BD194" i="42" s="1"/>
  <c r="J194" i="42"/>
  <c r="BU192" i="42"/>
  <c r="BH192" i="42"/>
  <c r="AF192" i="42" s="1"/>
  <c r="BB192" i="42"/>
  <c r="AN192" i="42"/>
  <c r="BG192" i="42" s="1"/>
  <c r="AM192" i="42"/>
  <c r="BF192" i="42" s="1"/>
  <c r="AJ192" i="42"/>
  <c r="AH192" i="42"/>
  <c r="AE192" i="42"/>
  <c r="AD192" i="42"/>
  <c r="AC192" i="42"/>
  <c r="AB192" i="42"/>
  <c r="AA192" i="42"/>
  <c r="Z192" i="42"/>
  <c r="X192" i="42"/>
  <c r="L192" i="42"/>
  <c r="BD192" i="42" s="1"/>
  <c r="J192" i="42"/>
  <c r="H192" i="42"/>
  <c r="BU191" i="42"/>
  <c r="BH191" i="42"/>
  <c r="AF191" i="42" s="1"/>
  <c r="BB191" i="42"/>
  <c r="AN191" i="42"/>
  <c r="BG191" i="42" s="1"/>
  <c r="AM191" i="42"/>
  <c r="BF191" i="42" s="1"/>
  <c r="AJ191" i="42"/>
  <c r="AH191" i="42"/>
  <c r="AE191" i="42"/>
  <c r="AD191" i="42"/>
  <c r="AC191" i="42"/>
  <c r="AB191" i="42"/>
  <c r="AA191" i="42"/>
  <c r="Z191" i="42"/>
  <c r="X191" i="42"/>
  <c r="L191" i="42"/>
  <c r="BD191" i="42" s="1"/>
  <c r="J191" i="42"/>
  <c r="AI191" i="42" s="1"/>
  <c r="BU190" i="42"/>
  <c r="BH190" i="42"/>
  <c r="AF190" i="42" s="1"/>
  <c r="BB190" i="42"/>
  <c r="AV190" i="42"/>
  <c r="AN190" i="42"/>
  <c r="BG190" i="42" s="1"/>
  <c r="AM190" i="42"/>
  <c r="BF190" i="42" s="1"/>
  <c r="AJ190" i="42"/>
  <c r="AH190" i="42"/>
  <c r="AE190" i="42"/>
  <c r="AD190" i="42"/>
  <c r="AC190" i="42"/>
  <c r="AB190" i="42"/>
  <c r="AA190" i="42"/>
  <c r="Z190" i="42"/>
  <c r="X190" i="42"/>
  <c r="L190" i="42"/>
  <c r="BD190" i="42" s="1"/>
  <c r="J190" i="42"/>
  <c r="AI190" i="42" s="1"/>
  <c r="I190" i="42"/>
  <c r="BU189" i="42"/>
  <c r="BH189" i="42"/>
  <c r="AF189" i="42" s="1"/>
  <c r="BB189" i="42"/>
  <c r="AN189" i="42"/>
  <c r="BG189" i="42" s="1"/>
  <c r="AM189" i="42"/>
  <c r="BF189" i="42" s="1"/>
  <c r="AJ189" i="42"/>
  <c r="AH189" i="42"/>
  <c r="AE189" i="42"/>
  <c r="AD189" i="42"/>
  <c r="AC189" i="42"/>
  <c r="AB189" i="42"/>
  <c r="AA189" i="42"/>
  <c r="Z189" i="42"/>
  <c r="X189" i="42"/>
  <c r="L189" i="42"/>
  <c r="BD189" i="42" s="1"/>
  <c r="J189" i="42"/>
  <c r="BU188" i="42"/>
  <c r="BH188" i="42"/>
  <c r="AF188" i="42" s="1"/>
  <c r="BB188" i="42"/>
  <c r="AN188" i="42"/>
  <c r="BG188" i="42" s="1"/>
  <c r="AM188" i="42"/>
  <c r="BF188" i="42" s="1"/>
  <c r="AJ188" i="42"/>
  <c r="AH188" i="42"/>
  <c r="AE188" i="42"/>
  <c r="AD188" i="42"/>
  <c r="AC188" i="42"/>
  <c r="AB188" i="42"/>
  <c r="AA188" i="42"/>
  <c r="Z188" i="42"/>
  <c r="X188" i="42"/>
  <c r="L188" i="42"/>
  <c r="BD188" i="42" s="1"/>
  <c r="J188" i="42"/>
  <c r="H188" i="42"/>
  <c r="BU187" i="42"/>
  <c r="BH187" i="42"/>
  <c r="AF187" i="42" s="1"/>
  <c r="BB187" i="42"/>
  <c r="AV187" i="42"/>
  <c r="AN187" i="42"/>
  <c r="BG187" i="42" s="1"/>
  <c r="AM187" i="42"/>
  <c r="BF187" i="42" s="1"/>
  <c r="AJ187" i="42"/>
  <c r="AH187" i="42"/>
  <c r="AE187" i="42"/>
  <c r="AD187" i="42"/>
  <c r="AC187" i="42"/>
  <c r="AB187" i="42"/>
  <c r="AA187" i="42"/>
  <c r="Z187" i="42"/>
  <c r="X187" i="42"/>
  <c r="L187" i="42"/>
  <c r="BD187" i="42" s="1"/>
  <c r="J187" i="42"/>
  <c r="AI187" i="42" s="1"/>
  <c r="I187" i="42"/>
  <c r="BU186" i="42"/>
  <c r="BH186" i="42"/>
  <c r="AF186" i="42" s="1"/>
  <c r="BB186" i="42"/>
  <c r="AV186" i="42"/>
  <c r="AN186" i="42"/>
  <c r="BG186" i="42" s="1"/>
  <c r="AM186" i="42"/>
  <c r="BF186" i="42" s="1"/>
  <c r="AJ186" i="42"/>
  <c r="AH186" i="42"/>
  <c r="AE186" i="42"/>
  <c r="AD186" i="42"/>
  <c r="AC186" i="42"/>
  <c r="AB186" i="42"/>
  <c r="AA186" i="42"/>
  <c r="Z186" i="42"/>
  <c r="X186" i="42"/>
  <c r="L186" i="42"/>
  <c r="BD186" i="42" s="1"/>
  <c r="J186" i="42"/>
  <c r="AI186" i="42" s="1"/>
  <c r="I186" i="42"/>
  <c r="BU185" i="42"/>
  <c r="BH185" i="42"/>
  <c r="AF185" i="42" s="1"/>
  <c r="BB185" i="42"/>
  <c r="AV185" i="42"/>
  <c r="AN185" i="42"/>
  <c r="BG185" i="42" s="1"/>
  <c r="AM185" i="42"/>
  <c r="BF185" i="42" s="1"/>
  <c r="AJ185" i="42"/>
  <c r="AH185" i="42"/>
  <c r="AE185" i="42"/>
  <c r="AD185" i="42"/>
  <c r="AC185" i="42"/>
  <c r="AB185" i="42"/>
  <c r="AA185" i="42"/>
  <c r="Z185" i="42"/>
  <c r="X185" i="42"/>
  <c r="L185" i="42"/>
  <c r="BD185" i="42" s="1"/>
  <c r="J185" i="42"/>
  <c r="I185" i="42"/>
  <c r="BU184" i="42"/>
  <c r="BH184" i="42"/>
  <c r="AF184" i="42" s="1"/>
  <c r="BB184" i="42"/>
  <c r="AN184" i="42"/>
  <c r="BG184" i="42" s="1"/>
  <c r="AM184" i="42"/>
  <c r="BF184" i="42" s="1"/>
  <c r="AJ184" i="42"/>
  <c r="AH184" i="42"/>
  <c r="AE184" i="42"/>
  <c r="AD184" i="42"/>
  <c r="AC184" i="42"/>
  <c r="AB184" i="42"/>
  <c r="AA184" i="42"/>
  <c r="Z184" i="42"/>
  <c r="X184" i="42"/>
  <c r="L184" i="42"/>
  <c r="BD184" i="42" s="1"/>
  <c r="J184" i="42"/>
  <c r="H184" i="42"/>
  <c r="BU183" i="42"/>
  <c r="BH183" i="42"/>
  <c r="AF183" i="42" s="1"/>
  <c r="BB183" i="42"/>
  <c r="AV183" i="42"/>
  <c r="AN183" i="42"/>
  <c r="BG183" i="42" s="1"/>
  <c r="AM183" i="42"/>
  <c r="BF183" i="42" s="1"/>
  <c r="AJ183" i="42"/>
  <c r="AH183" i="42"/>
  <c r="AE183" i="42"/>
  <c r="AD183" i="42"/>
  <c r="AC183" i="42"/>
  <c r="AB183" i="42"/>
  <c r="AA183" i="42"/>
  <c r="Z183" i="42"/>
  <c r="X183" i="42"/>
  <c r="L183" i="42"/>
  <c r="BD183" i="42" s="1"/>
  <c r="J183" i="42"/>
  <c r="AI183" i="42" s="1"/>
  <c r="I183" i="42"/>
  <c r="BU182" i="42"/>
  <c r="BH182" i="42"/>
  <c r="AF182" i="42" s="1"/>
  <c r="BB182" i="42"/>
  <c r="AN182" i="42"/>
  <c r="BG182" i="42" s="1"/>
  <c r="AM182" i="42"/>
  <c r="BF182" i="42" s="1"/>
  <c r="AJ182" i="42"/>
  <c r="AH182" i="42"/>
  <c r="AE182" i="42"/>
  <c r="AD182" i="42"/>
  <c r="AC182" i="42"/>
  <c r="AB182" i="42"/>
  <c r="AA182" i="42"/>
  <c r="Z182" i="42"/>
  <c r="X182" i="42"/>
  <c r="L182" i="42"/>
  <c r="BD182" i="42" s="1"/>
  <c r="J182" i="42"/>
  <c r="AI182" i="42" s="1"/>
  <c r="BU181" i="42"/>
  <c r="BH181" i="42"/>
  <c r="AF181" i="42" s="1"/>
  <c r="BB181" i="42"/>
  <c r="AV181" i="42"/>
  <c r="AN181" i="42"/>
  <c r="BG181" i="42" s="1"/>
  <c r="AM181" i="42"/>
  <c r="BF181" i="42" s="1"/>
  <c r="AJ181" i="42"/>
  <c r="AH181" i="42"/>
  <c r="AE181" i="42"/>
  <c r="AD181" i="42"/>
  <c r="AC181" i="42"/>
  <c r="AB181" i="42"/>
  <c r="AA181" i="42"/>
  <c r="Z181" i="42"/>
  <c r="X181" i="42"/>
  <c r="L181" i="42"/>
  <c r="BD181" i="42" s="1"/>
  <c r="J181" i="42"/>
  <c r="I181" i="42"/>
  <c r="BU180" i="42"/>
  <c r="BH180" i="42"/>
  <c r="AF180" i="42" s="1"/>
  <c r="BB180" i="42"/>
  <c r="AN180" i="42"/>
  <c r="BG180" i="42" s="1"/>
  <c r="AM180" i="42"/>
  <c r="BF180" i="42" s="1"/>
  <c r="AJ180" i="42"/>
  <c r="AH180" i="42"/>
  <c r="AE180" i="42"/>
  <c r="AD180" i="42"/>
  <c r="AC180" i="42"/>
  <c r="AB180" i="42"/>
  <c r="AA180" i="42"/>
  <c r="Z180" i="42"/>
  <c r="X180" i="42"/>
  <c r="L180" i="42"/>
  <c r="BD180" i="42" s="1"/>
  <c r="J180" i="42"/>
  <c r="H180" i="42"/>
  <c r="BU179" i="42"/>
  <c r="BH179" i="42"/>
  <c r="AF179" i="42" s="1"/>
  <c r="BB179" i="42"/>
  <c r="AV179" i="42"/>
  <c r="AN179" i="42"/>
  <c r="BG179" i="42" s="1"/>
  <c r="AM179" i="42"/>
  <c r="BF179" i="42" s="1"/>
  <c r="AJ179" i="42"/>
  <c r="AI179" i="42"/>
  <c r="AH179" i="42"/>
  <c r="AE179" i="42"/>
  <c r="AD179" i="42"/>
  <c r="AC179" i="42"/>
  <c r="AB179" i="42"/>
  <c r="AA179" i="42"/>
  <c r="Z179" i="42"/>
  <c r="X179" i="42"/>
  <c r="L179" i="42"/>
  <c r="BD179" i="42" s="1"/>
  <c r="J179" i="42"/>
  <c r="H179" i="42"/>
  <c r="BU177" i="42"/>
  <c r="BH177" i="42"/>
  <c r="AF177" i="42" s="1"/>
  <c r="BB177" i="42"/>
  <c r="AV177" i="42"/>
  <c r="AN177" i="42"/>
  <c r="BG177" i="42" s="1"/>
  <c r="AM177" i="42"/>
  <c r="BF177" i="42" s="1"/>
  <c r="AJ177" i="42"/>
  <c r="AI177" i="42"/>
  <c r="AH177" i="42"/>
  <c r="AE177" i="42"/>
  <c r="AD177" i="42"/>
  <c r="AC177" i="42"/>
  <c r="AB177" i="42"/>
  <c r="AA177" i="42"/>
  <c r="Z177" i="42"/>
  <c r="X177" i="42"/>
  <c r="L177" i="42"/>
  <c r="BD177" i="42" s="1"/>
  <c r="J177" i="42"/>
  <c r="H177" i="42"/>
  <c r="BU175" i="42"/>
  <c r="BH175" i="42"/>
  <c r="AF175" i="42" s="1"/>
  <c r="BB175" i="42"/>
  <c r="AV175" i="42"/>
  <c r="AN175" i="42"/>
  <c r="BG175" i="42" s="1"/>
  <c r="AM175" i="42"/>
  <c r="BF175" i="42" s="1"/>
  <c r="AJ175" i="42"/>
  <c r="AH175" i="42"/>
  <c r="AE175" i="42"/>
  <c r="AD175" i="42"/>
  <c r="AC175" i="42"/>
  <c r="AB175" i="42"/>
  <c r="AA175" i="42"/>
  <c r="Z175" i="42"/>
  <c r="X175" i="42"/>
  <c r="L175" i="42"/>
  <c r="BD175" i="42" s="1"/>
  <c r="J175" i="42"/>
  <c r="BU173" i="42"/>
  <c r="BH173" i="42"/>
  <c r="AF173" i="42" s="1"/>
  <c r="BB173" i="42"/>
  <c r="AN173" i="42"/>
  <c r="BG173" i="42" s="1"/>
  <c r="AM173" i="42"/>
  <c r="BF173" i="42" s="1"/>
  <c r="AJ173" i="42"/>
  <c r="AH173" i="42"/>
  <c r="AE173" i="42"/>
  <c r="AD173" i="42"/>
  <c r="AC173" i="42"/>
  <c r="AB173" i="42"/>
  <c r="AA173" i="42"/>
  <c r="Z173" i="42"/>
  <c r="X173" i="42"/>
  <c r="L173" i="42"/>
  <c r="BD173" i="42" s="1"/>
  <c r="J173" i="42"/>
  <c r="H173" i="42"/>
  <c r="BU171" i="42"/>
  <c r="BH171" i="42"/>
  <c r="AF171" i="42" s="1"/>
  <c r="BB171" i="42"/>
  <c r="AN171" i="42"/>
  <c r="BG171" i="42" s="1"/>
  <c r="AM171" i="42"/>
  <c r="BF171" i="42" s="1"/>
  <c r="AJ171" i="42"/>
  <c r="AH171" i="42"/>
  <c r="AE171" i="42"/>
  <c r="AD171" i="42"/>
  <c r="AC171" i="42"/>
  <c r="AB171" i="42"/>
  <c r="AA171" i="42"/>
  <c r="Z171" i="42"/>
  <c r="X171" i="42"/>
  <c r="L171" i="42"/>
  <c r="BD171" i="42" s="1"/>
  <c r="J171" i="42"/>
  <c r="AI171" i="42" s="1"/>
  <c r="BU169" i="42"/>
  <c r="BH169" i="42"/>
  <c r="AF169" i="42" s="1"/>
  <c r="BB169" i="42"/>
  <c r="AV169" i="42"/>
  <c r="AN169" i="42"/>
  <c r="BG169" i="42" s="1"/>
  <c r="AM169" i="42"/>
  <c r="BF169" i="42" s="1"/>
  <c r="AJ169" i="42"/>
  <c r="AH169" i="42"/>
  <c r="AE169" i="42"/>
  <c r="AD169" i="42"/>
  <c r="AC169" i="42"/>
  <c r="AB169" i="42"/>
  <c r="AA169" i="42"/>
  <c r="Z169" i="42"/>
  <c r="X169" i="42"/>
  <c r="L169" i="42"/>
  <c r="BD169" i="42" s="1"/>
  <c r="J169" i="42"/>
  <c r="AI169" i="42" s="1"/>
  <c r="I169" i="42"/>
  <c r="BU167" i="42"/>
  <c r="BH167" i="42"/>
  <c r="AF167" i="42" s="1"/>
  <c r="BB167" i="42"/>
  <c r="AN167" i="42"/>
  <c r="BG167" i="42" s="1"/>
  <c r="AM167" i="42"/>
  <c r="BF167" i="42" s="1"/>
  <c r="AJ167" i="42"/>
  <c r="AH167" i="42"/>
  <c r="AE167" i="42"/>
  <c r="AD167" i="42"/>
  <c r="AC167" i="42"/>
  <c r="AB167" i="42"/>
  <c r="AA167" i="42"/>
  <c r="Z167" i="42"/>
  <c r="X167" i="42"/>
  <c r="L167" i="42"/>
  <c r="BD167" i="42" s="1"/>
  <c r="J167" i="42"/>
  <c r="BU165" i="42"/>
  <c r="BH165" i="42"/>
  <c r="AF165" i="42" s="1"/>
  <c r="BB165" i="42"/>
  <c r="AN165" i="42"/>
  <c r="BG165" i="42" s="1"/>
  <c r="AM165" i="42"/>
  <c r="BF165" i="42" s="1"/>
  <c r="AJ165" i="42"/>
  <c r="AH165" i="42"/>
  <c r="AE165" i="42"/>
  <c r="AD165" i="42"/>
  <c r="AC165" i="42"/>
  <c r="AB165" i="42"/>
  <c r="AA165" i="42"/>
  <c r="Z165" i="42"/>
  <c r="X165" i="42"/>
  <c r="L165" i="42"/>
  <c r="BD165" i="42" s="1"/>
  <c r="J165" i="42"/>
  <c r="H165" i="42"/>
  <c r="BU163" i="42"/>
  <c r="BH163" i="42"/>
  <c r="AF163" i="42" s="1"/>
  <c r="BB163" i="42"/>
  <c r="AN163" i="42"/>
  <c r="BG163" i="42" s="1"/>
  <c r="AM163" i="42"/>
  <c r="BF163" i="42" s="1"/>
  <c r="AJ163" i="42"/>
  <c r="AH163" i="42"/>
  <c r="AE163" i="42"/>
  <c r="AD163" i="42"/>
  <c r="AC163" i="42"/>
  <c r="AB163" i="42"/>
  <c r="AA163" i="42"/>
  <c r="Z163" i="42"/>
  <c r="X163" i="42"/>
  <c r="L163" i="42"/>
  <c r="BD163" i="42" s="1"/>
  <c r="J163" i="42"/>
  <c r="AI163" i="42" s="1"/>
  <c r="I163" i="42"/>
  <c r="BU161" i="42"/>
  <c r="BH161" i="42"/>
  <c r="AF161" i="42" s="1"/>
  <c r="BB161" i="42"/>
  <c r="AN161" i="42"/>
  <c r="BG161" i="42" s="1"/>
  <c r="AM161" i="42"/>
  <c r="BF161" i="42" s="1"/>
  <c r="AJ161" i="42"/>
  <c r="AH161" i="42"/>
  <c r="AE161" i="42"/>
  <c r="AD161" i="42"/>
  <c r="AC161" i="42"/>
  <c r="AB161" i="42"/>
  <c r="AA161" i="42"/>
  <c r="Z161" i="42"/>
  <c r="X161" i="42"/>
  <c r="L161" i="42"/>
  <c r="BD161" i="42" s="1"/>
  <c r="J161" i="42"/>
  <c r="AI161" i="42" s="1"/>
  <c r="I161" i="42"/>
  <c r="BU159" i="42"/>
  <c r="BH159" i="42"/>
  <c r="X159" i="42" s="1"/>
  <c r="BB159" i="42"/>
  <c r="AN159" i="42"/>
  <c r="BG159" i="42" s="1"/>
  <c r="AM159" i="42"/>
  <c r="BF159" i="42" s="1"/>
  <c r="AJ159" i="42"/>
  <c r="AS156" i="42" s="1"/>
  <c r="AH159" i="42"/>
  <c r="AF159" i="42"/>
  <c r="AE159" i="42"/>
  <c r="AD159" i="42"/>
  <c r="AC159" i="42"/>
  <c r="AB159" i="42"/>
  <c r="AA159" i="42"/>
  <c r="Z159" i="42"/>
  <c r="L159" i="42"/>
  <c r="BD159" i="42" s="1"/>
  <c r="J159" i="42"/>
  <c r="I159" i="42"/>
  <c r="H159" i="42"/>
  <c r="BU158" i="42"/>
  <c r="BH158" i="42"/>
  <c r="X158" i="42" s="1"/>
  <c r="BB158" i="42"/>
  <c r="AN158" i="42"/>
  <c r="AV158" i="42" s="1"/>
  <c r="AM158" i="42"/>
  <c r="BF158" i="42" s="1"/>
  <c r="AJ158" i="42"/>
  <c r="AI158" i="42"/>
  <c r="AH158" i="42"/>
  <c r="AF158" i="42"/>
  <c r="AE158" i="42"/>
  <c r="AD158" i="42"/>
  <c r="AC158" i="42"/>
  <c r="AB158" i="42"/>
  <c r="AA158" i="42"/>
  <c r="Z158" i="42"/>
  <c r="L158" i="42"/>
  <c r="BD158" i="42" s="1"/>
  <c r="J158" i="42"/>
  <c r="H158" i="42"/>
  <c r="BU157" i="42"/>
  <c r="BH157" i="42"/>
  <c r="BB157" i="42"/>
  <c r="AN157" i="42"/>
  <c r="BG157" i="42" s="1"/>
  <c r="AM157" i="42"/>
  <c r="H157" i="42" s="1"/>
  <c r="AJ157" i="42"/>
  <c r="AH157" i="42"/>
  <c r="AQ156" i="42" s="1"/>
  <c r="AF157" i="42"/>
  <c r="AE157" i="42"/>
  <c r="AD157" i="42"/>
  <c r="AC157" i="42"/>
  <c r="AB157" i="42"/>
  <c r="AA157" i="42"/>
  <c r="Z157" i="42"/>
  <c r="X157" i="42"/>
  <c r="L157" i="42"/>
  <c r="BD157" i="42" s="1"/>
  <c r="J157" i="42"/>
  <c r="BU155" i="42"/>
  <c r="BH155" i="42"/>
  <c r="X155" i="42" s="1"/>
  <c r="BB155" i="42"/>
  <c r="AN155" i="42"/>
  <c r="BG155" i="42" s="1"/>
  <c r="AM155" i="42"/>
  <c r="AU155" i="42" s="1"/>
  <c r="AJ155" i="42"/>
  <c r="AH155" i="42"/>
  <c r="AF155" i="42"/>
  <c r="AE155" i="42"/>
  <c r="AD155" i="42"/>
  <c r="AC155" i="42"/>
  <c r="AB155" i="42"/>
  <c r="AA155" i="42"/>
  <c r="Z155" i="42"/>
  <c r="L155" i="42"/>
  <c r="BD155" i="42" s="1"/>
  <c r="J155" i="42"/>
  <c r="BU153" i="42"/>
  <c r="BH153" i="42"/>
  <c r="X153" i="42" s="1"/>
  <c r="BB153" i="42"/>
  <c r="AN153" i="42"/>
  <c r="BG153" i="42" s="1"/>
  <c r="AM153" i="42"/>
  <c r="AU153" i="42" s="1"/>
  <c r="AJ153" i="42"/>
  <c r="AH153" i="42"/>
  <c r="AF153" i="42"/>
  <c r="AE153" i="42"/>
  <c r="AD153" i="42"/>
  <c r="AC153" i="42"/>
  <c r="AB153" i="42"/>
  <c r="AA153" i="42"/>
  <c r="Z153" i="42"/>
  <c r="L153" i="42"/>
  <c r="BD153" i="42" s="1"/>
  <c r="J153" i="42"/>
  <c r="BU151" i="42"/>
  <c r="BH151" i="42"/>
  <c r="X151" i="42" s="1"/>
  <c r="BB151" i="42"/>
  <c r="AN151" i="42"/>
  <c r="BG151" i="42" s="1"/>
  <c r="AM151" i="42"/>
  <c r="AU151" i="42" s="1"/>
  <c r="AJ151" i="42"/>
  <c r="AH151" i="42"/>
  <c r="AF151" i="42"/>
  <c r="AE151" i="42"/>
  <c r="AD151" i="42"/>
  <c r="AC151" i="42"/>
  <c r="AB151" i="42"/>
  <c r="AA151" i="42"/>
  <c r="Z151" i="42"/>
  <c r="L151" i="42"/>
  <c r="BD151" i="42" s="1"/>
  <c r="J151" i="42"/>
  <c r="BU150" i="42"/>
  <c r="BH150" i="42"/>
  <c r="X150" i="42" s="1"/>
  <c r="BB150" i="42"/>
  <c r="AN150" i="42"/>
  <c r="BG150" i="42" s="1"/>
  <c r="AM150" i="42"/>
  <c r="AU150" i="42" s="1"/>
  <c r="AJ150" i="42"/>
  <c r="AH150" i="42"/>
  <c r="AF150" i="42"/>
  <c r="AE150" i="42"/>
  <c r="AD150" i="42"/>
  <c r="AC150" i="42"/>
  <c r="AB150" i="42"/>
  <c r="AA150" i="42"/>
  <c r="Z150" i="42"/>
  <c r="L150" i="42"/>
  <c r="BD150" i="42" s="1"/>
  <c r="J150" i="42"/>
  <c r="AQ149" i="42"/>
  <c r="J149" i="42"/>
  <c r="BU147" i="42"/>
  <c r="BH147" i="42"/>
  <c r="BB147" i="42"/>
  <c r="AN147" i="42"/>
  <c r="BG147" i="42" s="1"/>
  <c r="AA147" i="42" s="1"/>
  <c r="AM147" i="42"/>
  <c r="AU147" i="42" s="1"/>
  <c r="AJ147" i="42"/>
  <c r="AH147" i="42"/>
  <c r="AF147" i="42"/>
  <c r="AE147" i="42"/>
  <c r="AD147" i="42"/>
  <c r="AC147" i="42"/>
  <c r="AB147" i="42"/>
  <c r="X147" i="42"/>
  <c r="L147" i="42"/>
  <c r="BD147" i="42" s="1"/>
  <c r="J147" i="42"/>
  <c r="J146" i="42" s="1"/>
  <c r="I147" i="42"/>
  <c r="I146" i="42" s="1"/>
  <c r="H147" i="42"/>
  <c r="H146" i="42" s="1"/>
  <c r="AS146" i="42"/>
  <c r="AQ146" i="42"/>
  <c r="BU144" i="42"/>
  <c r="BH144" i="42"/>
  <c r="BB144" i="42"/>
  <c r="AN144" i="42"/>
  <c r="BG144" i="42" s="1"/>
  <c r="AA144" i="42" s="1"/>
  <c r="AM144" i="42"/>
  <c r="AU144" i="42" s="1"/>
  <c r="AJ144" i="42"/>
  <c r="AH144" i="42"/>
  <c r="AF144" i="42"/>
  <c r="AE144" i="42"/>
  <c r="AD144" i="42"/>
  <c r="AC144" i="42"/>
  <c r="AB144" i="42"/>
  <c r="X144" i="42"/>
  <c r="L144" i="42"/>
  <c r="BD144" i="42" s="1"/>
  <c r="J144" i="42"/>
  <c r="J143" i="42" s="1"/>
  <c r="I144" i="42"/>
  <c r="H144" i="42"/>
  <c r="H143" i="42" s="1"/>
  <c r="AS143" i="42"/>
  <c r="AQ143" i="42"/>
  <c r="L143" i="42"/>
  <c r="I143" i="42"/>
  <c r="BU141" i="42"/>
  <c r="BH141" i="42"/>
  <c r="BB141" i="42"/>
  <c r="AV141" i="42"/>
  <c r="AN141" i="42"/>
  <c r="BG141" i="42" s="1"/>
  <c r="AA141" i="42" s="1"/>
  <c r="AM141" i="42"/>
  <c r="AU141" i="42" s="1"/>
  <c r="AJ141" i="42"/>
  <c r="AH141" i="42"/>
  <c r="AF141" i="42"/>
  <c r="AE141" i="42"/>
  <c r="AD141" i="42"/>
  <c r="AC141" i="42"/>
  <c r="AB141" i="42"/>
  <c r="X141" i="42"/>
  <c r="L141" i="42"/>
  <c r="BD141" i="42" s="1"/>
  <c r="J141" i="42"/>
  <c r="I141" i="42"/>
  <c r="H141" i="42"/>
  <c r="BU139" i="42"/>
  <c r="BH139" i="42"/>
  <c r="BB139" i="42"/>
  <c r="AN139" i="42"/>
  <c r="BG139" i="42" s="1"/>
  <c r="AA139" i="42" s="1"/>
  <c r="AM139" i="42"/>
  <c r="AU139" i="42" s="1"/>
  <c r="AJ139" i="42"/>
  <c r="AH139" i="42"/>
  <c r="AF139" i="42"/>
  <c r="AE139" i="42"/>
  <c r="AD139" i="42"/>
  <c r="AC139" i="42"/>
  <c r="AB139" i="42"/>
  <c r="X139" i="42"/>
  <c r="L139" i="42"/>
  <c r="BD139" i="42" s="1"/>
  <c r="J139" i="42"/>
  <c r="I139" i="42"/>
  <c r="H139" i="42"/>
  <c r="BU137" i="42"/>
  <c r="BH137" i="42"/>
  <c r="BB137" i="42"/>
  <c r="AV137" i="42"/>
  <c r="AN137" i="42"/>
  <c r="BG137" i="42" s="1"/>
  <c r="AA137" i="42" s="1"/>
  <c r="AM137" i="42"/>
  <c r="AU137" i="42" s="1"/>
  <c r="AJ137" i="42"/>
  <c r="AH137" i="42"/>
  <c r="AF137" i="42"/>
  <c r="AE137" i="42"/>
  <c r="AD137" i="42"/>
  <c r="AC137" i="42"/>
  <c r="AB137" i="42"/>
  <c r="X137" i="42"/>
  <c r="L137" i="42"/>
  <c r="BD137" i="42" s="1"/>
  <c r="J137" i="42"/>
  <c r="I137" i="42"/>
  <c r="H137" i="42"/>
  <c r="BU135" i="42"/>
  <c r="BH135" i="42"/>
  <c r="BB135" i="42"/>
  <c r="AN135" i="42"/>
  <c r="BG135" i="42" s="1"/>
  <c r="AA135" i="42" s="1"/>
  <c r="AM135" i="42"/>
  <c r="AU135" i="42" s="1"/>
  <c r="AJ135" i="42"/>
  <c r="AH135" i="42"/>
  <c r="AF135" i="42"/>
  <c r="AE135" i="42"/>
  <c r="AD135" i="42"/>
  <c r="AC135" i="42"/>
  <c r="AB135" i="42"/>
  <c r="X135" i="42"/>
  <c r="L135" i="42"/>
  <c r="BD135" i="42" s="1"/>
  <c r="J135" i="42"/>
  <c r="H135" i="42"/>
  <c r="BU133" i="42"/>
  <c r="BH133" i="42"/>
  <c r="BB133" i="42"/>
  <c r="AV133" i="42"/>
  <c r="AN133" i="42"/>
  <c r="BG133" i="42" s="1"/>
  <c r="AA133" i="42" s="1"/>
  <c r="AM133" i="42"/>
  <c r="AU133" i="42" s="1"/>
  <c r="AJ133" i="42"/>
  <c r="AH133" i="42"/>
  <c r="AF133" i="42"/>
  <c r="AE133" i="42"/>
  <c r="AD133" i="42"/>
  <c r="AC133" i="42"/>
  <c r="AB133" i="42"/>
  <c r="X133" i="42"/>
  <c r="L133" i="42"/>
  <c r="BD133" i="42" s="1"/>
  <c r="J133" i="42"/>
  <c r="I133" i="42"/>
  <c r="H133" i="42"/>
  <c r="BU131" i="42"/>
  <c r="BH131" i="42"/>
  <c r="BB131" i="42"/>
  <c r="AN131" i="42"/>
  <c r="BG131" i="42" s="1"/>
  <c r="AA131" i="42" s="1"/>
  <c r="AM131" i="42"/>
  <c r="AU131" i="42" s="1"/>
  <c r="AJ131" i="42"/>
  <c r="AH131" i="42"/>
  <c r="AF131" i="42"/>
  <c r="AE131" i="42"/>
  <c r="AD131" i="42"/>
  <c r="AC131" i="42"/>
  <c r="AB131" i="42"/>
  <c r="X131" i="42"/>
  <c r="L131" i="42"/>
  <c r="BD131" i="42" s="1"/>
  <c r="J131" i="42"/>
  <c r="I131" i="42"/>
  <c r="H131" i="42"/>
  <c r="BU129" i="42"/>
  <c r="BH129" i="42"/>
  <c r="BB129" i="42"/>
  <c r="AV129" i="42"/>
  <c r="AN129" i="42"/>
  <c r="BG129" i="42" s="1"/>
  <c r="AA129" i="42" s="1"/>
  <c r="AM129" i="42"/>
  <c r="AU129" i="42" s="1"/>
  <c r="AJ129" i="42"/>
  <c r="AH129" i="42"/>
  <c r="AF129" i="42"/>
  <c r="AE129" i="42"/>
  <c r="AD129" i="42"/>
  <c r="AC129" i="42"/>
  <c r="AB129" i="42"/>
  <c r="X129" i="42"/>
  <c r="L129" i="42"/>
  <c r="BD129" i="42" s="1"/>
  <c r="J129" i="42"/>
  <c r="I129" i="42"/>
  <c r="H129" i="42"/>
  <c r="BU127" i="42"/>
  <c r="BH127" i="42"/>
  <c r="BB127" i="42"/>
  <c r="AN127" i="42"/>
  <c r="BG127" i="42" s="1"/>
  <c r="AA127" i="42" s="1"/>
  <c r="AM127" i="42"/>
  <c r="AU127" i="42" s="1"/>
  <c r="AJ127" i="42"/>
  <c r="AH127" i="42"/>
  <c r="AF127" i="42"/>
  <c r="AE127" i="42"/>
  <c r="AD127" i="42"/>
  <c r="AC127" i="42"/>
  <c r="AB127" i="42"/>
  <c r="X127" i="42"/>
  <c r="L127" i="42"/>
  <c r="BD127" i="42" s="1"/>
  <c r="J127" i="42"/>
  <c r="I127" i="42"/>
  <c r="H127" i="42"/>
  <c r="BU125" i="42"/>
  <c r="BH125" i="42"/>
  <c r="BB125" i="42"/>
  <c r="AV125" i="42"/>
  <c r="AN125" i="42"/>
  <c r="BG125" i="42" s="1"/>
  <c r="AA125" i="42" s="1"/>
  <c r="AM125" i="42"/>
  <c r="AU125" i="42" s="1"/>
  <c r="AJ125" i="42"/>
  <c r="AH125" i="42"/>
  <c r="AF125" i="42"/>
  <c r="AE125" i="42"/>
  <c r="AD125" i="42"/>
  <c r="AC125" i="42"/>
  <c r="AB125" i="42"/>
  <c r="X125" i="42"/>
  <c r="L125" i="42"/>
  <c r="BD125" i="42" s="1"/>
  <c r="J125" i="42"/>
  <c r="I125" i="42"/>
  <c r="H125" i="42"/>
  <c r="BU123" i="42"/>
  <c r="BH123" i="42"/>
  <c r="BB123" i="42"/>
  <c r="AN123" i="42"/>
  <c r="BG123" i="42" s="1"/>
  <c r="AA123" i="42" s="1"/>
  <c r="AM123" i="42"/>
  <c r="AU123" i="42" s="1"/>
  <c r="AJ123" i="42"/>
  <c r="AH123" i="42"/>
  <c r="AF123" i="42"/>
  <c r="AE123" i="42"/>
  <c r="AD123" i="42"/>
  <c r="AC123" i="42"/>
  <c r="AB123" i="42"/>
  <c r="X123" i="42"/>
  <c r="L123" i="42"/>
  <c r="BD123" i="42" s="1"/>
  <c r="J123" i="42"/>
  <c r="I123" i="42"/>
  <c r="H123" i="42"/>
  <c r="BU121" i="42"/>
  <c r="BH121" i="42"/>
  <c r="BB121" i="42"/>
  <c r="AV121" i="42"/>
  <c r="AN121" i="42"/>
  <c r="BG121" i="42" s="1"/>
  <c r="AA121" i="42" s="1"/>
  <c r="AM121" i="42"/>
  <c r="AU121" i="42" s="1"/>
  <c r="AJ121" i="42"/>
  <c r="AH121" i="42"/>
  <c r="AF121" i="42"/>
  <c r="AE121" i="42"/>
  <c r="AD121" i="42"/>
  <c r="AC121" i="42"/>
  <c r="AB121" i="42"/>
  <c r="X121" i="42"/>
  <c r="L121" i="42"/>
  <c r="BD121" i="42" s="1"/>
  <c r="J121" i="42"/>
  <c r="J120" i="42" s="1"/>
  <c r="I121" i="42"/>
  <c r="H121" i="42"/>
  <c r="AS120" i="42"/>
  <c r="AQ120" i="42"/>
  <c r="BU118" i="42"/>
  <c r="BH118" i="42"/>
  <c r="BB118" i="42"/>
  <c r="AN118" i="42"/>
  <c r="BG118" i="42" s="1"/>
  <c r="AA118" i="42" s="1"/>
  <c r="AM118" i="42"/>
  <c r="AU118" i="42" s="1"/>
  <c r="AJ118" i="42"/>
  <c r="AH118" i="42"/>
  <c r="AF118" i="42"/>
  <c r="AE118" i="42"/>
  <c r="AD118" i="42"/>
  <c r="AC118" i="42"/>
  <c r="AB118" i="42"/>
  <c r="X118" i="42"/>
  <c r="L118" i="42"/>
  <c r="BD118" i="42" s="1"/>
  <c r="J118" i="42"/>
  <c r="I118" i="42"/>
  <c r="H118" i="42"/>
  <c r="BU116" i="42"/>
  <c r="BH116" i="42"/>
  <c r="BB116" i="42"/>
  <c r="AV116" i="42"/>
  <c r="AN116" i="42"/>
  <c r="BG116" i="42" s="1"/>
  <c r="AA116" i="42" s="1"/>
  <c r="AM116" i="42"/>
  <c r="BF116" i="42" s="1"/>
  <c r="Z116" i="42" s="1"/>
  <c r="AJ116" i="42"/>
  <c r="AH116" i="42"/>
  <c r="AF116" i="42"/>
  <c r="AE116" i="42"/>
  <c r="AD116" i="42"/>
  <c r="AC116" i="42"/>
  <c r="AB116" i="42"/>
  <c r="X116" i="42"/>
  <c r="L116" i="42"/>
  <c r="BD116" i="42" s="1"/>
  <c r="J116" i="42"/>
  <c r="AI116" i="42" s="1"/>
  <c r="H116" i="42"/>
  <c r="BU114" i="42"/>
  <c r="BH114" i="42"/>
  <c r="BF114" i="42"/>
  <c r="Z114" i="42" s="1"/>
  <c r="BD114" i="42"/>
  <c r="BB114" i="42"/>
  <c r="AN114" i="42"/>
  <c r="BG114" i="42" s="1"/>
  <c r="AA114" i="42" s="1"/>
  <c r="AM114" i="42"/>
  <c r="AU114" i="42" s="1"/>
  <c r="AJ114" i="42"/>
  <c r="AH114" i="42"/>
  <c r="AF114" i="42"/>
  <c r="AE114" i="42"/>
  <c r="AD114" i="42"/>
  <c r="AC114" i="42"/>
  <c r="AB114" i="42"/>
  <c r="X114" i="42"/>
  <c r="L114" i="42"/>
  <c r="J114" i="42"/>
  <c r="AI114" i="42" s="1"/>
  <c r="I114" i="42"/>
  <c r="H114" i="42"/>
  <c r="BU112" i="42"/>
  <c r="BH112" i="42"/>
  <c r="BF112" i="42"/>
  <c r="Z112" i="42" s="1"/>
  <c r="BB112" i="42"/>
  <c r="AN112" i="42"/>
  <c r="BG112" i="42" s="1"/>
  <c r="AA112" i="42" s="1"/>
  <c r="AM112" i="42"/>
  <c r="AU112" i="42" s="1"/>
  <c r="AJ112" i="42"/>
  <c r="AS111" i="42" s="1"/>
  <c r="AH112" i="42"/>
  <c r="AF112" i="42"/>
  <c r="AE112" i="42"/>
  <c r="AD112" i="42"/>
  <c r="AC112" i="42"/>
  <c r="AB112" i="42"/>
  <c r="X112" i="42"/>
  <c r="L112" i="42"/>
  <c r="BD112" i="42" s="1"/>
  <c r="J112" i="42"/>
  <c r="AI112" i="42" s="1"/>
  <c r="AQ111" i="42"/>
  <c r="BU109" i="42"/>
  <c r="BH109" i="42"/>
  <c r="BB109" i="42"/>
  <c r="AN109" i="42"/>
  <c r="BG109" i="42" s="1"/>
  <c r="AA109" i="42" s="1"/>
  <c r="AM109" i="42"/>
  <c r="BF109" i="42" s="1"/>
  <c r="Z109" i="42" s="1"/>
  <c r="AJ109" i="42"/>
  <c r="AH109" i="42"/>
  <c r="AF109" i="42"/>
  <c r="AE109" i="42"/>
  <c r="AD109" i="42"/>
  <c r="AC109" i="42"/>
  <c r="AB109" i="42"/>
  <c r="X109" i="42"/>
  <c r="L109" i="42"/>
  <c r="BD109" i="42" s="1"/>
  <c r="J109" i="42"/>
  <c r="AI109" i="42" s="1"/>
  <c r="AR108" i="42" s="1"/>
  <c r="I109" i="42"/>
  <c r="I108" i="42" s="1"/>
  <c r="H109" i="42"/>
  <c r="H108" i="42" s="1"/>
  <c r="AS108" i="42"/>
  <c r="AQ108" i="42"/>
  <c r="L108" i="42"/>
  <c r="BU106" i="42"/>
  <c r="BH106" i="42"/>
  <c r="BB106" i="42"/>
  <c r="AN106" i="42"/>
  <c r="BG106" i="42" s="1"/>
  <c r="AM106" i="42"/>
  <c r="BF106" i="42" s="1"/>
  <c r="Z106" i="42" s="1"/>
  <c r="AJ106" i="42"/>
  <c r="AH106" i="42"/>
  <c r="AF106" i="42"/>
  <c r="AE106" i="42"/>
  <c r="AD106" i="42"/>
  <c r="AC106" i="42"/>
  <c r="AB106" i="42"/>
  <c r="AA106" i="42"/>
  <c r="X106" i="42"/>
  <c r="L106" i="42"/>
  <c r="BD106" i="42" s="1"/>
  <c r="J106" i="42"/>
  <c r="AI106" i="42" s="1"/>
  <c r="I106" i="42"/>
  <c r="BU104" i="42"/>
  <c r="BH104" i="42"/>
  <c r="BD104" i="42"/>
  <c r="BB104" i="42"/>
  <c r="AN104" i="42"/>
  <c r="BG104" i="42" s="1"/>
  <c r="AA104" i="42" s="1"/>
  <c r="AM104" i="42"/>
  <c r="BF104" i="42" s="1"/>
  <c r="Z104" i="42" s="1"/>
  <c r="AJ104" i="42"/>
  <c r="AH104" i="42"/>
  <c r="AF104" i="42"/>
  <c r="AE104" i="42"/>
  <c r="AD104" i="42"/>
  <c r="AC104" i="42"/>
  <c r="AB104" i="42"/>
  <c r="X104" i="42"/>
  <c r="L104" i="42"/>
  <c r="J104" i="42"/>
  <c r="AI104" i="42" s="1"/>
  <c r="I104" i="42"/>
  <c r="H104" i="42"/>
  <c r="BU102" i="42"/>
  <c r="BH102" i="42"/>
  <c r="BB102" i="42"/>
  <c r="AN102" i="42"/>
  <c r="BG102" i="42" s="1"/>
  <c r="AM102" i="42"/>
  <c r="H102" i="42" s="1"/>
  <c r="AJ102" i="42"/>
  <c r="AH102" i="42"/>
  <c r="AF102" i="42"/>
  <c r="AE102" i="42"/>
  <c r="AD102" i="42"/>
  <c r="AC102" i="42"/>
  <c r="AB102" i="42"/>
  <c r="AA102" i="42"/>
  <c r="X102" i="42"/>
  <c r="L102" i="42"/>
  <c r="BD102" i="42" s="1"/>
  <c r="J102" i="42"/>
  <c r="AI102" i="42" s="1"/>
  <c r="I102" i="42"/>
  <c r="BU100" i="42"/>
  <c r="BH100" i="42"/>
  <c r="BB100" i="42"/>
  <c r="AU100" i="42"/>
  <c r="AN100" i="42"/>
  <c r="BG100" i="42" s="1"/>
  <c r="AA100" i="42" s="1"/>
  <c r="AM100" i="42"/>
  <c r="BF100" i="42" s="1"/>
  <c r="Z100" i="42" s="1"/>
  <c r="AJ100" i="42"/>
  <c r="AH100" i="42"/>
  <c r="AF100" i="42"/>
  <c r="AE100" i="42"/>
  <c r="AD100" i="42"/>
  <c r="AC100" i="42"/>
  <c r="AB100" i="42"/>
  <c r="X100" i="42"/>
  <c r="L100" i="42"/>
  <c r="BD100" i="42" s="1"/>
  <c r="J100" i="42"/>
  <c r="AI100" i="42" s="1"/>
  <c r="I100" i="42"/>
  <c r="H100" i="42"/>
  <c r="BU98" i="42"/>
  <c r="BH98" i="42"/>
  <c r="BD98" i="42"/>
  <c r="BB98" i="42"/>
  <c r="AN98" i="42"/>
  <c r="BG98" i="42" s="1"/>
  <c r="AA98" i="42" s="1"/>
  <c r="AM98" i="42"/>
  <c r="BF98" i="42" s="1"/>
  <c r="Z98" i="42" s="1"/>
  <c r="AJ98" i="42"/>
  <c r="AH98" i="42"/>
  <c r="AF98" i="42"/>
  <c r="AE98" i="42"/>
  <c r="AD98" i="42"/>
  <c r="AC98" i="42"/>
  <c r="AB98" i="42"/>
  <c r="X98" i="42"/>
  <c r="L98" i="42"/>
  <c r="J98" i="42"/>
  <c r="AI98" i="42" s="1"/>
  <c r="I98" i="42"/>
  <c r="H98" i="42"/>
  <c r="BU96" i="42"/>
  <c r="BH96" i="42"/>
  <c r="BB96" i="42"/>
  <c r="AN96" i="42"/>
  <c r="BG96" i="42" s="1"/>
  <c r="AA96" i="42" s="1"/>
  <c r="AM96" i="42"/>
  <c r="BF96" i="42" s="1"/>
  <c r="Z96" i="42" s="1"/>
  <c r="AJ96" i="42"/>
  <c r="AH96" i="42"/>
  <c r="AF96" i="42"/>
  <c r="AE96" i="42"/>
  <c r="AD96" i="42"/>
  <c r="AC96" i="42"/>
  <c r="AB96" i="42"/>
  <c r="X96" i="42"/>
  <c r="L96" i="42"/>
  <c r="BD96" i="42" s="1"/>
  <c r="J96" i="42"/>
  <c r="AI96" i="42" s="1"/>
  <c r="I96" i="42"/>
  <c r="I93" i="42" s="1"/>
  <c r="H96" i="42"/>
  <c r="BU94" i="42"/>
  <c r="BH94" i="42"/>
  <c r="BD94" i="42"/>
  <c r="BB94" i="42"/>
  <c r="AN94" i="42"/>
  <c r="BG94" i="42" s="1"/>
  <c r="AA94" i="42" s="1"/>
  <c r="AM94" i="42"/>
  <c r="BF94" i="42" s="1"/>
  <c r="Z94" i="42" s="1"/>
  <c r="AJ94" i="42"/>
  <c r="AH94" i="42"/>
  <c r="AF94" i="42"/>
  <c r="AE94" i="42"/>
  <c r="AD94" i="42"/>
  <c r="AC94" i="42"/>
  <c r="AB94" i="42"/>
  <c r="X94" i="42"/>
  <c r="L94" i="42"/>
  <c r="J94" i="42"/>
  <c r="AI94" i="42" s="1"/>
  <c r="I94" i="42"/>
  <c r="H94" i="42"/>
  <c r="BU91" i="42"/>
  <c r="BH91" i="42"/>
  <c r="BD91" i="42"/>
  <c r="BB91" i="42"/>
  <c r="AN91" i="42"/>
  <c r="BG91" i="42" s="1"/>
  <c r="AA91" i="42" s="1"/>
  <c r="AM91" i="42"/>
  <c r="BF91" i="42" s="1"/>
  <c r="Z91" i="42" s="1"/>
  <c r="AJ91" i="42"/>
  <c r="AH91" i="42"/>
  <c r="AF91" i="42"/>
  <c r="AE91" i="42"/>
  <c r="AD91" i="42"/>
  <c r="AC91" i="42"/>
  <c r="AB91" i="42"/>
  <c r="X91" i="42"/>
  <c r="L91" i="42"/>
  <c r="J91" i="42"/>
  <c r="AI91" i="42" s="1"/>
  <c r="AR90" i="42" s="1"/>
  <c r="I91" i="42"/>
  <c r="I90" i="42" s="1"/>
  <c r="H91" i="42"/>
  <c r="H90" i="42" s="1"/>
  <c r="AS90" i="42"/>
  <c r="AQ90" i="42"/>
  <c r="L90" i="42"/>
  <c r="J90" i="42"/>
  <c r="BU88" i="42"/>
  <c r="BH88" i="42"/>
  <c r="BB88" i="42"/>
  <c r="AU88" i="42"/>
  <c r="AN88" i="42"/>
  <c r="BG88" i="42" s="1"/>
  <c r="AA88" i="42" s="1"/>
  <c r="AM88" i="42"/>
  <c r="BF88" i="42" s="1"/>
  <c r="Z88" i="42" s="1"/>
  <c r="AJ88" i="42"/>
  <c r="AH88" i="42"/>
  <c r="AF88" i="42"/>
  <c r="AE88" i="42"/>
  <c r="AD88" i="42"/>
  <c r="AC88" i="42"/>
  <c r="AB88" i="42"/>
  <c r="X88" i="42"/>
  <c r="L88" i="42"/>
  <c r="BD88" i="42" s="1"/>
  <c r="J88" i="42"/>
  <c r="AI88" i="42" s="1"/>
  <c r="AR87" i="42" s="1"/>
  <c r="H88" i="42"/>
  <c r="AS87" i="42"/>
  <c r="AQ87" i="42"/>
  <c r="L87" i="42"/>
  <c r="H87" i="42"/>
  <c r="BU86" i="42"/>
  <c r="BH86" i="42"/>
  <c r="X86" i="42" s="1"/>
  <c r="BD86" i="42"/>
  <c r="BB86" i="42"/>
  <c r="AN86" i="42"/>
  <c r="BG86" i="42" s="1"/>
  <c r="AM86" i="42"/>
  <c r="BF86" i="42" s="1"/>
  <c r="AJ86" i="42"/>
  <c r="AH86" i="42"/>
  <c r="AF86" i="42"/>
  <c r="AE86" i="42"/>
  <c r="AD86" i="42"/>
  <c r="AC86" i="42"/>
  <c r="AB86" i="42"/>
  <c r="AA86" i="42"/>
  <c r="Z86" i="42"/>
  <c r="L86" i="42"/>
  <c r="J86" i="42"/>
  <c r="AI86" i="42" s="1"/>
  <c r="BU84" i="42"/>
  <c r="BH84" i="42"/>
  <c r="BB84" i="42"/>
  <c r="AN84" i="42"/>
  <c r="BG84" i="42" s="1"/>
  <c r="AA84" i="42" s="1"/>
  <c r="AM84" i="42"/>
  <c r="BF84" i="42" s="1"/>
  <c r="Z84" i="42" s="1"/>
  <c r="AJ84" i="42"/>
  <c r="AS81" i="42" s="1"/>
  <c r="AH84" i="42"/>
  <c r="AF84" i="42"/>
  <c r="AE84" i="42"/>
  <c r="AD84" i="42"/>
  <c r="AC84" i="42"/>
  <c r="AB84" i="42"/>
  <c r="X84" i="42"/>
  <c r="L84" i="42"/>
  <c r="L81" i="42" s="1"/>
  <c r="J84" i="42"/>
  <c r="AI84" i="42" s="1"/>
  <c r="I84" i="42"/>
  <c r="H84" i="42"/>
  <c r="BU82" i="42"/>
  <c r="BH82" i="42"/>
  <c r="BD82" i="42"/>
  <c r="BB82" i="42"/>
  <c r="AU82" i="42"/>
  <c r="AN82" i="42"/>
  <c r="BG82" i="42" s="1"/>
  <c r="AA82" i="42" s="1"/>
  <c r="AM82" i="42"/>
  <c r="BF82" i="42" s="1"/>
  <c r="Z82" i="42" s="1"/>
  <c r="AJ82" i="42"/>
  <c r="AH82" i="42"/>
  <c r="AQ81" i="42" s="1"/>
  <c r="AF82" i="42"/>
  <c r="AE82" i="42"/>
  <c r="AD82" i="42"/>
  <c r="AC82" i="42"/>
  <c r="AB82" i="42"/>
  <c r="X82" i="42"/>
  <c r="L82" i="42"/>
  <c r="J82" i="42"/>
  <c r="AI82" i="42" s="1"/>
  <c r="AR81" i="42" s="1"/>
  <c r="I82" i="42"/>
  <c r="H82" i="42"/>
  <c r="BU79" i="42"/>
  <c r="BH79" i="42"/>
  <c r="BB79" i="42"/>
  <c r="AN79" i="42"/>
  <c r="BG79" i="42" s="1"/>
  <c r="AA79" i="42" s="1"/>
  <c r="AM79" i="42"/>
  <c r="BF79" i="42" s="1"/>
  <c r="Z79" i="42" s="1"/>
  <c r="AJ79" i="42"/>
  <c r="AH79" i="42"/>
  <c r="AQ76" i="42" s="1"/>
  <c r="AF79" i="42"/>
  <c r="AE79" i="42"/>
  <c r="AD79" i="42"/>
  <c r="AC79" i="42"/>
  <c r="AB79" i="42"/>
  <c r="X79" i="42"/>
  <c r="L79" i="42"/>
  <c r="L76" i="42" s="1"/>
  <c r="J79" i="42"/>
  <c r="AI79" i="42" s="1"/>
  <c r="I79" i="42"/>
  <c r="I76" i="42" s="1"/>
  <c r="H79" i="42"/>
  <c r="BU77" i="42"/>
  <c r="BH77" i="42"/>
  <c r="BD77" i="42"/>
  <c r="BB77" i="42"/>
  <c r="AN77" i="42"/>
  <c r="BG77" i="42" s="1"/>
  <c r="AA77" i="42" s="1"/>
  <c r="AM77" i="42"/>
  <c r="BF77" i="42" s="1"/>
  <c r="Z77" i="42" s="1"/>
  <c r="AJ77" i="42"/>
  <c r="AH77" i="42"/>
  <c r="AF77" i="42"/>
  <c r="AE77" i="42"/>
  <c r="AD77" i="42"/>
  <c r="AC77" i="42"/>
  <c r="AB77" i="42"/>
  <c r="X77" i="42"/>
  <c r="L77" i="42"/>
  <c r="J77" i="42"/>
  <c r="AI77" i="42" s="1"/>
  <c r="I77" i="42"/>
  <c r="H77" i="42"/>
  <c r="H76" i="42" s="1"/>
  <c r="BU74" i="42"/>
  <c r="BH74" i="42"/>
  <c r="BB74" i="42"/>
  <c r="AN74" i="42"/>
  <c r="BG74" i="42" s="1"/>
  <c r="AA74" i="42" s="1"/>
  <c r="AM74" i="42"/>
  <c r="BF74" i="42" s="1"/>
  <c r="Z74" i="42" s="1"/>
  <c r="AJ74" i="42"/>
  <c r="AH74" i="42"/>
  <c r="AF74" i="42"/>
  <c r="AE74" i="42"/>
  <c r="AD74" i="42"/>
  <c r="AC74" i="42"/>
  <c r="AB74" i="42"/>
  <c r="X74" i="42"/>
  <c r="L74" i="42"/>
  <c r="BD74" i="42" s="1"/>
  <c r="J74" i="42"/>
  <c r="AI74" i="42" s="1"/>
  <c r="I74" i="42"/>
  <c r="H74" i="42"/>
  <c r="BU73" i="42"/>
  <c r="BH73" i="42"/>
  <c r="BD73" i="42"/>
  <c r="BB73" i="42"/>
  <c r="AN73" i="42"/>
  <c r="BG73" i="42" s="1"/>
  <c r="AA73" i="42" s="1"/>
  <c r="AM73" i="42"/>
  <c r="BF73" i="42" s="1"/>
  <c r="Z73" i="42" s="1"/>
  <c r="AJ73" i="42"/>
  <c r="AH73" i="42"/>
  <c r="AQ70" i="42" s="1"/>
  <c r="AF73" i="42"/>
  <c r="AE73" i="42"/>
  <c r="AD73" i="42"/>
  <c r="AC73" i="42"/>
  <c r="AB73" i="42"/>
  <c r="X73" i="42"/>
  <c r="L73" i="42"/>
  <c r="J73" i="42"/>
  <c r="AI73" i="42" s="1"/>
  <c r="I73" i="42"/>
  <c r="H73" i="42"/>
  <c r="BU71" i="42"/>
  <c r="BH71" i="42"/>
  <c r="BB71" i="42"/>
  <c r="AN71" i="42"/>
  <c r="BG71" i="42" s="1"/>
  <c r="AA71" i="42" s="1"/>
  <c r="AM71" i="42"/>
  <c r="BF71" i="42" s="1"/>
  <c r="Z71" i="42" s="1"/>
  <c r="AJ71" i="42"/>
  <c r="AH71" i="42"/>
  <c r="AF71" i="42"/>
  <c r="AE71" i="42"/>
  <c r="AD71" i="42"/>
  <c r="AC71" i="42"/>
  <c r="AB71" i="42"/>
  <c r="X71" i="42"/>
  <c r="L71" i="42"/>
  <c r="BD71" i="42" s="1"/>
  <c r="J71" i="42"/>
  <c r="AI71" i="42" s="1"/>
  <c r="I71" i="42"/>
  <c r="I70" i="42" s="1"/>
  <c r="H71" i="42"/>
  <c r="L70" i="42"/>
  <c r="BU68" i="42"/>
  <c r="BH68" i="42"/>
  <c r="BD68" i="42"/>
  <c r="BB68" i="42"/>
  <c r="AN68" i="42"/>
  <c r="BG68" i="42" s="1"/>
  <c r="AA68" i="42" s="1"/>
  <c r="AM68" i="42"/>
  <c r="BF68" i="42" s="1"/>
  <c r="Z68" i="42" s="1"/>
  <c r="AJ68" i="42"/>
  <c r="AH68" i="42"/>
  <c r="AF68" i="42"/>
  <c r="AE68" i="42"/>
  <c r="AD68" i="42"/>
  <c r="AC68" i="42"/>
  <c r="AB68" i="42"/>
  <c r="X68" i="42"/>
  <c r="L68" i="42"/>
  <c r="J68" i="42"/>
  <c r="AI68" i="42" s="1"/>
  <c r="I68" i="42"/>
  <c r="H68" i="42"/>
  <c r="BU66" i="42"/>
  <c r="BH66" i="42"/>
  <c r="BB66" i="42"/>
  <c r="AN66" i="42"/>
  <c r="BG66" i="42" s="1"/>
  <c r="AA66" i="42" s="1"/>
  <c r="AM66" i="42"/>
  <c r="BF66" i="42" s="1"/>
  <c r="Z66" i="42" s="1"/>
  <c r="AJ66" i="42"/>
  <c r="AH66" i="42"/>
  <c r="AF66" i="42"/>
  <c r="AE66" i="42"/>
  <c r="AD66" i="42"/>
  <c r="AC66" i="42"/>
  <c r="AB66" i="42"/>
  <c r="X66" i="42"/>
  <c r="L66" i="42"/>
  <c r="BD66" i="42" s="1"/>
  <c r="J66" i="42"/>
  <c r="AI66" i="42" s="1"/>
  <c r="I66" i="42"/>
  <c r="H66" i="42"/>
  <c r="BU64" i="42"/>
  <c r="BH64" i="42"/>
  <c r="BD64" i="42"/>
  <c r="BB64" i="42"/>
  <c r="AN64" i="42"/>
  <c r="BG64" i="42" s="1"/>
  <c r="AA64" i="42" s="1"/>
  <c r="AM64" i="42"/>
  <c r="BF64" i="42" s="1"/>
  <c r="Z64" i="42" s="1"/>
  <c r="AJ64" i="42"/>
  <c r="AH64" i="42"/>
  <c r="AF64" i="42"/>
  <c r="AE64" i="42"/>
  <c r="AD64" i="42"/>
  <c r="AC64" i="42"/>
  <c r="AB64" i="42"/>
  <c r="X64" i="42"/>
  <c r="L64" i="42"/>
  <c r="J64" i="42"/>
  <c r="AI64" i="42" s="1"/>
  <c r="I64" i="42"/>
  <c r="H64" i="42"/>
  <c r="BU62" i="42"/>
  <c r="BH62" i="42"/>
  <c r="BB62" i="42"/>
  <c r="AN62" i="42"/>
  <c r="BG62" i="42" s="1"/>
  <c r="AA62" i="42" s="1"/>
  <c r="AM62" i="42"/>
  <c r="BF62" i="42" s="1"/>
  <c r="Z62" i="42" s="1"/>
  <c r="AJ62" i="42"/>
  <c r="AH62" i="42"/>
  <c r="AF62" i="42"/>
  <c r="AE62" i="42"/>
  <c r="AD62" i="42"/>
  <c r="AC62" i="42"/>
  <c r="AB62" i="42"/>
  <c r="X62" i="42"/>
  <c r="L62" i="42"/>
  <c r="BD62" i="42" s="1"/>
  <c r="J62" i="42"/>
  <c r="AI62" i="42" s="1"/>
  <c r="I62" i="42"/>
  <c r="H62" i="42"/>
  <c r="BU60" i="42"/>
  <c r="BH60" i="42"/>
  <c r="BD60" i="42"/>
  <c r="BB60" i="42"/>
  <c r="AN60" i="42"/>
  <c r="BG60" i="42" s="1"/>
  <c r="AA60" i="42" s="1"/>
  <c r="AM60" i="42"/>
  <c r="BF60" i="42" s="1"/>
  <c r="Z60" i="42" s="1"/>
  <c r="AJ60" i="42"/>
  <c r="AH60" i="42"/>
  <c r="AF60" i="42"/>
  <c r="AE60" i="42"/>
  <c r="AD60" i="42"/>
  <c r="AC60" i="42"/>
  <c r="AB60" i="42"/>
  <c r="X60" i="42"/>
  <c r="L60" i="42"/>
  <c r="J60" i="42"/>
  <c r="AI60" i="42" s="1"/>
  <c r="I60" i="42"/>
  <c r="H60" i="42"/>
  <c r="BU58" i="42"/>
  <c r="BH58" i="42"/>
  <c r="BB58" i="42"/>
  <c r="AN58" i="42"/>
  <c r="BG58" i="42" s="1"/>
  <c r="AA58" i="42" s="1"/>
  <c r="AM58" i="42"/>
  <c r="BF58" i="42" s="1"/>
  <c r="Z58" i="42" s="1"/>
  <c r="AJ58" i="42"/>
  <c r="AH58" i="42"/>
  <c r="AF58" i="42"/>
  <c r="AE58" i="42"/>
  <c r="AD58" i="42"/>
  <c r="AC58" i="42"/>
  <c r="AB58" i="42"/>
  <c r="X58" i="42"/>
  <c r="L58" i="42"/>
  <c r="BD58" i="42" s="1"/>
  <c r="J58" i="42"/>
  <c r="AI58" i="42" s="1"/>
  <c r="I58" i="42"/>
  <c r="I53" i="42" s="1"/>
  <c r="H58" i="42"/>
  <c r="BU56" i="42"/>
  <c r="BH56" i="42"/>
  <c r="BD56" i="42"/>
  <c r="BB56" i="42"/>
  <c r="AN56" i="42"/>
  <c r="BG56" i="42" s="1"/>
  <c r="AA56" i="42" s="1"/>
  <c r="AM56" i="42"/>
  <c r="BF56" i="42" s="1"/>
  <c r="Z56" i="42" s="1"/>
  <c r="AJ56" i="42"/>
  <c r="AH56" i="42"/>
  <c r="AQ53" i="42" s="1"/>
  <c r="AF56" i="42"/>
  <c r="AE56" i="42"/>
  <c r="AD56" i="42"/>
  <c r="AC56" i="42"/>
  <c r="AB56" i="42"/>
  <c r="X56" i="42"/>
  <c r="L56" i="42"/>
  <c r="J56" i="42"/>
  <c r="AI56" i="42" s="1"/>
  <c r="I56" i="42"/>
  <c r="H56" i="42"/>
  <c r="BU54" i="42"/>
  <c r="BH54" i="42"/>
  <c r="BB54" i="42"/>
  <c r="AN54" i="42"/>
  <c r="BG54" i="42" s="1"/>
  <c r="AA54" i="42" s="1"/>
  <c r="AM54" i="42"/>
  <c r="BF54" i="42" s="1"/>
  <c r="Z54" i="42" s="1"/>
  <c r="AJ54" i="42"/>
  <c r="AH54" i="42"/>
  <c r="AF54" i="42"/>
  <c r="AE54" i="42"/>
  <c r="AD54" i="42"/>
  <c r="AC54" i="42"/>
  <c r="AB54" i="42"/>
  <c r="X54" i="42"/>
  <c r="L54" i="42"/>
  <c r="L53" i="42" s="1"/>
  <c r="J54" i="42"/>
  <c r="AI54" i="42" s="1"/>
  <c r="I54" i="42"/>
  <c r="H54" i="42"/>
  <c r="AS53" i="42"/>
  <c r="BU51" i="42"/>
  <c r="BH51" i="42"/>
  <c r="BD51" i="42"/>
  <c r="BB51" i="42"/>
  <c r="AN51" i="42"/>
  <c r="BG51" i="42" s="1"/>
  <c r="AA51" i="42" s="1"/>
  <c r="AM51" i="42"/>
  <c r="BF51" i="42" s="1"/>
  <c r="Z51" i="42" s="1"/>
  <c r="AJ51" i="42"/>
  <c r="AS48" i="42" s="1"/>
  <c r="AH51" i="42"/>
  <c r="AQ48" i="42" s="1"/>
  <c r="AF51" i="42"/>
  <c r="AE51" i="42"/>
  <c r="AD51" i="42"/>
  <c r="AC51" i="42"/>
  <c r="AB51" i="42"/>
  <c r="X51" i="42"/>
  <c r="L51" i="42"/>
  <c r="J51" i="42"/>
  <c r="AI51" i="42" s="1"/>
  <c r="I51" i="42"/>
  <c r="H51" i="42"/>
  <c r="BU49" i="42"/>
  <c r="BH49" i="42"/>
  <c r="BB49" i="42"/>
  <c r="AN49" i="42"/>
  <c r="BG49" i="42" s="1"/>
  <c r="AA49" i="42" s="1"/>
  <c r="AM49" i="42"/>
  <c r="BF49" i="42" s="1"/>
  <c r="Z49" i="42" s="1"/>
  <c r="AJ49" i="42"/>
  <c r="AH49" i="42"/>
  <c r="AF49" i="42"/>
  <c r="AE49" i="42"/>
  <c r="AD49" i="42"/>
  <c r="AC49" i="42"/>
  <c r="AB49" i="42"/>
  <c r="X49" i="42"/>
  <c r="L49" i="42"/>
  <c r="L48" i="42" s="1"/>
  <c r="J49" i="42"/>
  <c r="AI49" i="42" s="1"/>
  <c r="I49" i="42"/>
  <c r="H49" i="42"/>
  <c r="J48" i="42"/>
  <c r="I48" i="42"/>
  <c r="BU46" i="42"/>
  <c r="BH46" i="42"/>
  <c r="BD46" i="42"/>
  <c r="BB46" i="42"/>
  <c r="AN46" i="42"/>
  <c r="BG46" i="42" s="1"/>
  <c r="AA46" i="42" s="1"/>
  <c r="AM46" i="42"/>
  <c r="BF46" i="42" s="1"/>
  <c r="Z46" i="42" s="1"/>
  <c r="AJ46" i="42"/>
  <c r="AH46" i="42"/>
  <c r="AF46" i="42"/>
  <c r="AE46" i="42"/>
  <c r="AD46" i="42"/>
  <c r="AC46" i="42"/>
  <c r="AB46" i="42"/>
  <c r="X46" i="42"/>
  <c r="L46" i="42"/>
  <c r="J46" i="42"/>
  <c r="AI46" i="42" s="1"/>
  <c r="I46" i="42"/>
  <c r="H46" i="42"/>
  <c r="BU44" i="42"/>
  <c r="BH44" i="42"/>
  <c r="BB44" i="42"/>
  <c r="AN44" i="42"/>
  <c r="BG44" i="42" s="1"/>
  <c r="AA44" i="42" s="1"/>
  <c r="AM44" i="42"/>
  <c r="BF44" i="42" s="1"/>
  <c r="Z44" i="42" s="1"/>
  <c r="AJ44" i="42"/>
  <c r="AH44" i="42"/>
  <c r="AF44" i="42"/>
  <c r="AE44" i="42"/>
  <c r="AD44" i="42"/>
  <c r="AC44" i="42"/>
  <c r="AB44" i="42"/>
  <c r="X44" i="42"/>
  <c r="L44" i="42"/>
  <c r="BD44" i="42" s="1"/>
  <c r="J44" i="42"/>
  <c r="AI44" i="42" s="1"/>
  <c r="I44" i="42"/>
  <c r="H44" i="42"/>
  <c r="BU42" i="42"/>
  <c r="BH42" i="42"/>
  <c r="BB42" i="42"/>
  <c r="AU42" i="42"/>
  <c r="AN42" i="42"/>
  <c r="BG42" i="42" s="1"/>
  <c r="AA42" i="42" s="1"/>
  <c r="AM42" i="42"/>
  <c r="BF42" i="42" s="1"/>
  <c r="Z42" i="42" s="1"/>
  <c r="AJ42" i="42"/>
  <c r="AH42" i="42"/>
  <c r="AF42" i="42"/>
  <c r="AE42" i="42"/>
  <c r="AD42" i="42"/>
  <c r="AC42" i="42"/>
  <c r="AB42" i="42"/>
  <c r="X42" i="42"/>
  <c r="L42" i="42"/>
  <c r="BD42" i="42" s="1"/>
  <c r="J42" i="42"/>
  <c r="AI42" i="42" s="1"/>
  <c r="I42" i="42"/>
  <c r="H42" i="42"/>
  <c r="BU40" i="42"/>
  <c r="BH40" i="42"/>
  <c r="BB40" i="42"/>
  <c r="AN40" i="42"/>
  <c r="BG40" i="42" s="1"/>
  <c r="AA40" i="42" s="1"/>
  <c r="AM40" i="42"/>
  <c r="BF40" i="42" s="1"/>
  <c r="Z40" i="42" s="1"/>
  <c r="AJ40" i="42"/>
  <c r="AH40" i="42"/>
  <c r="AF40" i="42"/>
  <c r="AE40" i="42"/>
  <c r="AD40" i="42"/>
  <c r="AC40" i="42"/>
  <c r="AB40" i="42"/>
  <c r="X40" i="42"/>
  <c r="L40" i="42"/>
  <c r="BD40" i="42" s="1"/>
  <c r="J40" i="42"/>
  <c r="AI40" i="42" s="1"/>
  <c r="I40" i="42"/>
  <c r="H40" i="42"/>
  <c r="BU38" i="42"/>
  <c r="BH38" i="42"/>
  <c r="BD38" i="42"/>
  <c r="BB38" i="42"/>
  <c r="AN38" i="42"/>
  <c r="BG38" i="42" s="1"/>
  <c r="AA38" i="42" s="1"/>
  <c r="AM38" i="42"/>
  <c r="BF38" i="42" s="1"/>
  <c r="Z38" i="42" s="1"/>
  <c r="AJ38" i="42"/>
  <c r="AH38" i="42"/>
  <c r="AF38" i="42"/>
  <c r="AE38" i="42"/>
  <c r="AD38" i="42"/>
  <c r="AC38" i="42"/>
  <c r="AB38" i="42"/>
  <c r="X38" i="42"/>
  <c r="L38" i="42"/>
  <c r="J38" i="42"/>
  <c r="AI38" i="42" s="1"/>
  <c r="I38" i="42"/>
  <c r="H38" i="42"/>
  <c r="BU36" i="42"/>
  <c r="BH36" i="42"/>
  <c r="BB36" i="42"/>
  <c r="AU36" i="42"/>
  <c r="AN36" i="42"/>
  <c r="BG36" i="42" s="1"/>
  <c r="AA36" i="42" s="1"/>
  <c r="AM36" i="42"/>
  <c r="BF36" i="42" s="1"/>
  <c r="Z36" i="42" s="1"/>
  <c r="AJ36" i="42"/>
  <c r="AH36" i="42"/>
  <c r="AF36" i="42"/>
  <c r="AE36" i="42"/>
  <c r="AD36" i="42"/>
  <c r="AC36" i="42"/>
  <c r="AB36" i="42"/>
  <c r="X36" i="42"/>
  <c r="L36" i="42"/>
  <c r="BD36" i="42" s="1"/>
  <c r="J36" i="42"/>
  <c r="AI36" i="42" s="1"/>
  <c r="I36" i="42"/>
  <c r="H36" i="42"/>
  <c r="BU34" i="42"/>
  <c r="BH34" i="42"/>
  <c r="BB34" i="42"/>
  <c r="AN34" i="42"/>
  <c r="BG34" i="42" s="1"/>
  <c r="AA34" i="42" s="1"/>
  <c r="AM34" i="42"/>
  <c r="BF34" i="42" s="1"/>
  <c r="Z34" i="42" s="1"/>
  <c r="AJ34" i="42"/>
  <c r="AH34" i="42"/>
  <c r="AF34" i="42"/>
  <c r="AE34" i="42"/>
  <c r="AD34" i="42"/>
  <c r="AC34" i="42"/>
  <c r="AB34" i="42"/>
  <c r="X34" i="42"/>
  <c r="L34" i="42"/>
  <c r="BD34" i="42" s="1"/>
  <c r="J34" i="42"/>
  <c r="AI34" i="42" s="1"/>
  <c r="I34" i="42"/>
  <c r="H34" i="42"/>
  <c r="BU32" i="42"/>
  <c r="BH32" i="42"/>
  <c r="BB32" i="42"/>
  <c r="AN32" i="42"/>
  <c r="BG32" i="42" s="1"/>
  <c r="AA32" i="42" s="1"/>
  <c r="AM32" i="42"/>
  <c r="BF32" i="42" s="1"/>
  <c r="Z32" i="42" s="1"/>
  <c r="AJ32" i="42"/>
  <c r="AH32" i="42"/>
  <c r="AF32" i="42"/>
  <c r="AE32" i="42"/>
  <c r="AD32" i="42"/>
  <c r="AC32" i="42"/>
  <c r="AB32" i="42"/>
  <c r="X32" i="42"/>
  <c r="L32" i="42"/>
  <c r="BD32" i="42" s="1"/>
  <c r="J32" i="42"/>
  <c r="AI32" i="42" s="1"/>
  <c r="I32" i="42"/>
  <c r="I31" i="42" s="1"/>
  <c r="H32" i="42"/>
  <c r="L31" i="42"/>
  <c r="BU29" i="42"/>
  <c r="BH29" i="42"/>
  <c r="BB29" i="42"/>
  <c r="AN29" i="42"/>
  <c r="BG29" i="42" s="1"/>
  <c r="AA29" i="42" s="1"/>
  <c r="AM29" i="42"/>
  <c r="BF29" i="42" s="1"/>
  <c r="Z29" i="42" s="1"/>
  <c r="AJ29" i="42"/>
  <c r="AH29" i="42"/>
  <c r="AF29" i="42"/>
  <c r="AE29" i="42"/>
  <c r="AD29" i="42"/>
  <c r="AC29" i="42"/>
  <c r="AB29" i="42"/>
  <c r="X29" i="42"/>
  <c r="L29" i="42"/>
  <c r="BD29" i="42" s="1"/>
  <c r="J29" i="42"/>
  <c r="AI29" i="42" s="1"/>
  <c r="AR28" i="42" s="1"/>
  <c r="I29" i="42"/>
  <c r="I28" i="42" s="1"/>
  <c r="H29" i="42"/>
  <c r="AS28" i="42"/>
  <c r="AQ28" i="42"/>
  <c r="L28" i="42"/>
  <c r="H28" i="42"/>
  <c r="BU26" i="42"/>
  <c r="BH26" i="42"/>
  <c r="BB26" i="42"/>
  <c r="AU26" i="42"/>
  <c r="AN26" i="42"/>
  <c r="BG26" i="42" s="1"/>
  <c r="AA26" i="42" s="1"/>
  <c r="AM26" i="42"/>
  <c r="BF26" i="42" s="1"/>
  <c r="Z26" i="42" s="1"/>
  <c r="AJ26" i="42"/>
  <c r="AH26" i="42"/>
  <c r="AF26" i="42"/>
  <c r="AE26" i="42"/>
  <c r="AD26" i="42"/>
  <c r="AC26" i="42"/>
  <c r="AB26" i="42"/>
  <c r="X26" i="42"/>
  <c r="L26" i="42"/>
  <c r="BD26" i="42" s="1"/>
  <c r="J26" i="42"/>
  <c r="AI26" i="42" s="1"/>
  <c r="I26" i="42"/>
  <c r="H26" i="42"/>
  <c r="BU24" i="42"/>
  <c r="BH24" i="42"/>
  <c r="BB24" i="42"/>
  <c r="AN24" i="42"/>
  <c r="BG24" i="42" s="1"/>
  <c r="AA24" i="42" s="1"/>
  <c r="AM24" i="42"/>
  <c r="BF24" i="42" s="1"/>
  <c r="Z24" i="42" s="1"/>
  <c r="AJ24" i="42"/>
  <c r="AH24" i="42"/>
  <c r="AF24" i="42"/>
  <c r="AE24" i="42"/>
  <c r="AD24" i="42"/>
  <c r="AC24" i="42"/>
  <c r="AB24" i="42"/>
  <c r="X24" i="42"/>
  <c r="L24" i="42"/>
  <c r="BD24" i="42" s="1"/>
  <c r="J24" i="42"/>
  <c r="AI24" i="42" s="1"/>
  <c r="I24" i="42"/>
  <c r="H24" i="42"/>
  <c r="BU22" i="42"/>
  <c r="BH22" i="42"/>
  <c r="BB22" i="42"/>
  <c r="AN22" i="42"/>
  <c r="BG22" i="42" s="1"/>
  <c r="AA22" i="42" s="1"/>
  <c r="AM22" i="42"/>
  <c r="BF22" i="42" s="1"/>
  <c r="Z22" i="42" s="1"/>
  <c r="AJ22" i="42"/>
  <c r="AH22" i="42"/>
  <c r="AF22" i="42"/>
  <c r="AE22" i="42"/>
  <c r="AD22" i="42"/>
  <c r="AC22" i="42"/>
  <c r="AB22" i="42"/>
  <c r="X22" i="42"/>
  <c r="L22" i="42"/>
  <c r="BD22" i="42" s="1"/>
  <c r="J22" i="42"/>
  <c r="AI22" i="42" s="1"/>
  <c r="H22" i="42"/>
  <c r="BU20" i="42"/>
  <c r="BH20" i="42"/>
  <c r="BD20" i="42"/>
  <c r="BB20" i="42"/>
  <c r="AN20" i="42"/>
  <c r="BG20" i="42" s="1"/>
  <c r="AA20" i="42" s="1"/>
  <c r="AM20" i="42"/>
  <c r="BF20" i="42" s="1"/>
  <c r="Z20" i="42" s="1"/>
  <c r="AJ20" i="42"/>
  <c r="AH20" i="42"/>
  <c r="AF20" i="42"/>
  <c r="AE20" i="42"/>
  <c r="AD20" i="42"/>
  <c r="AC20" i="42"/>
  <c r="AB20" i="42"/>
  <c r="X20" i="42"/>
  <c r="L20" i="42"/>
  <c r="J20" i="42"/>
  <c r="AI20" i="42" s="1"/>
  <c r="H20" i="42"/>
  <c r="BU18" i="42"/>
  <c r="BH18" i="42"/>
  <c r="BB18" i="42"/>
  <c r="AN18" i="42"/>
  <c r="BG18" i="42" s="1"/>
  <c r="AA18" i="42" s="1"/>
  <c r="AM18" i="42"/>
  <c r="BF18" i="42" s="1"/>
  <c r="Z18" i="42" s="1"/>
  <c r="AJ18" i="42"/>
  <c r="AH18" i="42"/>
  <c r="AF18" i="42"/>
  <c r="AE18" i="42"/>
  <c r="AD18" i="42"/>
  <c r="AC18" i="42"/>
  <c r="AB18" i="42"/>
  <c r="X18" i="42"/>
  <c r="L18" i="42"/>
  <c r="BD18" i="42" s="1"/>
  <c r="J18" i="42"/>
  <c r="AI18" i="42" s="1"/>
  <c r="I18" i="42"/>
  <c r="H18" i="42"/>
  <c r="BU16" i="42"/>
  <c r="BH16" i="42"/>
  <c r="BD16" i="42"/>
  <c r="BB16" i="42"/>
  <c r="AN16" i="42"/>
  <c r="AM16" i="42"/>
  <c r="BF16" i="42" s="1"/>
  <c r="Z16" i="42" s="1"/>
  <c r="AJ16" i="42"/>
  <c r="AH16" i="42"/>
  <c r="AF16" i="42"/>
  <c r="AE16" i="42"/>
  <c r="AD16" i="42"/>
  <c r="AC16" i="42"/>
  <c r="AB16" i="42"/>
  <c r="X16" i="42"/>
  <c r="L16" i="42"/>
  <c r="L15" i="42" s="1"/>
  <c r="J16" i="42"/>
  <c r="AI16" i="42" s="1"/>
  <c r="I16" i="42"/>
  <c r="H16" i="42"/>
  <c r="H15" i="42" s="1"/>
  <c r="BU13" i="42"/>
  <c r="BH13" i="42"/>
  <c r="BB13" i="42"/>
  <c r="AN13" i="42"/>
  <c r="AV13" i="42" s="1"/>
  <c r="AM13" i="42"/>
  <c r="BF13" i="42" s="1"/>
  <c r="Z13" i="42" s="1"/>
  <c r="AJ13" i="42"/>
  <c r="AS12" i="42" s="1"/>
  <c r="AH13" i="42"/>
  <c r="AQ12" i="42" s="1"/>
  <c r="AF13" i="42"/>
  <c r="AE13" i="42"/>
  <c r="AD13" i="42"/>
  <c r="AC13" i="42"/>
  <c r="AB13" i="42"/>
  <c r="X13" i="42"/>
  <c r="L13" i="42"/>
  <c r="L12" i="42" s="1"/>
  <c r="J13" i="42"/>
  <c r="AI13" i="42" s="1"/>
  <c r="AR12" i="42" s="1"/>
  <c r="AS1" i="42"/>
  <c r="AR1" i="42"/>
  <c r="AQ1" i="42"/>
  <c r="BU163" i="41"/>
  <c r="BH163" i="41"/>
  <c r="BB163" i="41"/>
  <c r="AN163" i="41"/>
  <c r="BG163" i="41" s="1"/>
  <c r="AE163" i="41" s="1"/>
  <c r="AM163" i="41"/>
  <c r="BF163" i="41" s="1"/>
  <c r="AD163" i="41" s="1"/>
  <c r="AJ163" i="41"/>
  <c r="AH163" i="41"/>
  <c r="AF163" i="41"/>
  <c r="AC163" i="41"/>
  <c r="AB163" i="41"/>
  <c r="AA163" i="41"/>
  <c r="Z163" i="41"/>
  <c r="X163" i="41"/>
  <c r="L163" i="41"/>
  <c r="J163" i="41"/>
  <c r="AI163" i="41" s="1"/>
  <c r="AR162" i="41" s="1"/>
  <c r="I163" i="41"/>
  <c r="H163" i="41"/>
  <c r="AS162" i="41"/>
  <c r="AQ162" i="41"/>
  <c r="I162" i="41"/>
  <c r="H162" i="41"/>
  <c r="BU161" i="41"/>
  <c r="BH161" i="41"/>
  <c r="X161" i="41" s="1"/>
  <c r="BD161" i="41"/>
  <c r="BB161" i="41"/>
  <c r="AN161" i="41"/>
  <c r="BG161" i="41" s="1"/>
  <c r="AM161" i="41"/>
  <c r="AJ161" i="41"/>
  <c r="AS160" i="41" s="1"/>
  <c r="AH161" i="41"/>
  <c r="AQ160" i="41" s="1"/>
  <c r="AF161" i="41"/>
  <c r="AE161" i="41"/>
  <c r="AD161" i="41"/>
  <c r="AC161" i="41"/>
  <c r="AB161" i="41"/>
  <c r="AA161" i="41"/>
  <c r="Z161" i="41"/>
  <c r="L161" i="41"/>
  <c r="J161" i="41"/>
  <c r="AI161" i="41" s="1"/>
  <c r="AR160" i="41" s="1"/>
  <c r="L160" i="41"/>
  <c r="BU159" i="41"/>
  <c r="BH159" i="41"/>
  <c r="X159" i="41" s="1"/>
  <c r="BB159" i="41"/>
  <c r="AU159" i="41"/>
  <c r="AN159" i="41"/>
  <c r="BG159" i="41" s="1"/>
  <c r="AM159" i="41"/>
  <c r="BF159" i="41" s="1"/>
  <c r="AJ159" i="41"/>
  <c r="AH159" i="41"/>
  <c r="AF159" i="41"/>
  <c r="AE159" i="41"/>
  <c r="AD159" i="41"/>
  <c r="AC159" i="41"/>
  <c r="AB159" i="41"/>
  <c r="AA159" i="41"/>
  <c r="Z159" i="41"/>
  <c r="L159" i="41"/>
  <c r="BD159" i="41" s="1"/>
  <c r="J159" i="41"/>
  <c r="H159" i="41"/>
  <c r="BU158" i="41"/>
  <c r="BH158" i="41"/>
  <c r="X158" i="41" s="1"/>
  <c r="BB158" i="41"/>
  <c r="AN158" i="41"/>
  <c r="BG158" i="41" s="1"/>
  <c r="AM158" i="41"/>
  <c r="BF158" i="41" s="1"/>
  <c r="AJ158" i="41"/>
  <c r="AH158" i="41"/>
  <c r="AF158" i="41"/>
  <c r="AE158" i="41"/>
  <c r="AD158" i="41"/>
  <c r="AC158" i="41"/>
  <c r="AB158" i="41"/>
  <c r="AA158" i="41"/>
  <c r="Z158" i="41"/>
  <c r="L158" i="41"/>
  <c r="BD158" i="41" s="1"/>
  <c r="J158" i="41"/>
  <c r="AI158" i="41" s="1"/>
  <c r="H158" i="41"/>
  <c r="BU157" i="41"/>
  <c r="BH157" i="41"/>
  <c r="X157" i="41" s="1"/>
  <c r="BB157" i="41"/>
  <c r="AU157" i="41"/>
  <c r="AN157" i="41"/>
  <c r="BG157" i="41" s="1"/>
  <c r="AM157" i="41"/>
  <c r="BF157" i="41" s="1"/>
  <c r="AJ157" i="41"/>
  <c r="AI157" i="41"/>
  <c r="AH157" i="41"/>
  <c r="AF157" i="41"/>
  <c r="AE157" i="41"/>
  <c r="AD157" i="41"/>
  <c r="AC157" i="41"/>
  <c r="AB157" i="41"/>
  <c r="AA157" i="41"/>
  <c r="Z157" i="41"/>
  <c r="L157" i="41"/>
  <c r="BD157" i="41" s="1"/>
  <c r="J157" i="41"/>
  <c r="I157" i="41"/>
  <c r="H157" i="41"/>
  <c r="BU155" i="41"/>
  <c r="BH155" i="41"/>
  <c r="X155" i="41" s="1"/>
  <c r="BD155" i="41"/>
  <c r="BB155" i="41"/>
  <c r="AN155" i="41"/>
  <c r="BG155" i="41" s="1"/>
  <c r="AM155" i="41"/>
  <c r="AJ155" i="41"/>
  <c r="AH155" i="41"/>
  <c r="AF155" i="41"/>
  <c r="AE155" i="41"/>
  <c r="AD155" i="41"/>
  <c r="AC155" i="41"/>
  <c r="AB155" i="41"/>
  <c r="AA155" i="41"/>
  <c r="Z155" i="41"/>
  <c r="L155" i="41"/>
  <c r="J155" i="41"/>
  <c r="AI155" i="41" s="1"/>
  <c r="I155" i="41"/>
  <c r="BU153" i="41"/>
  <c r="BH153" i="41"/>
  <c r="X153" i="41" s="1"/>
  <c r="BD153" i="41"/>
  <c r="BB153" i="41"/>
  <c r="AN153" i="41"/>
  <c r="BG153" i="41" s="1"/>
  <c r="AM153" i="41"/>
  <c r="AJ153" i="41"/>
  <c r="AH153" i="41"/>
  <c r="AF153" i="41"/>
  <c r="AE153" i="41"/>
  <c r="AD153" i="41"/>
  <c r="AC153" i="41"/>
  <c r="AB153" i="41"/>
  <c r="AA153" i="41"/>
  <c r="Z153" i="41"/>
  <c r="L153" i="41"/>
  <c r="J153" i="41"/>
  <c r="I153" i="41"/>
  <c r="BU152" i="41"/>
  <c r="BH152" i="41"/>
  <c r="X152" i="41" s="1"/>
  <c r="BD152" i="41"/>
  <c r="BB152" i="41"/>
  <c r="AN152" i="41"/>
  <c r="BG152" i="41" s="1"/>
  <c r="AM152" i="41"/>
  <c r="AJ152" i="41"/>
  <c r="AH152" i="41"/>
  <c r="AF152" i="41"/>
  <c r="AE152" i="41"/>
  <c r="AD152" i="41"/>
  <c r="AC152" i="41"/>
  <c r="AB152" i="41"/>
  <c r="AA152" i="41"/>
  <c r="Z152" i="41"/>
  <c r="L152" i="41"/>
  <c r="J152" i="41"/>
  <c r="AI152" i="41" s="1"/>
  <c r="I152" i="41"/>
  <c r="BU150" i="41"/>
  <c r="BH150" i="41"/>
  <c r="X150" i="41" s="1"/>
  <c r="BB150" i="41"/>
  <c r="AN150" i="41"/>
  <c r="AM150" i="41"/>
  <c r="BF150" i="41" s="1"/>
  <c r="AJ150" i="41"/>
  <c r="AH150" i="41"/>
  <c r="AF150" i="41"/>
  <c r="AE150" i="41"/>
  <c r="AD150" i="41"/>
  <c r="AC150" i="41"/>
  <c r="AB150" i="41"/>
  <c r="AA150" i="41"/>
  <c r="Z150" i="41"/>
  <c r="L150" i="41"/>
  <c r="BD150" i="41" s="1"/>
  <c r="J150" i="41"/>
  <c r="AI150" i="41" s="1"/>
  <c r="BU148" i="41"/>
  <c r="BH148" i="41"/>
  <c r="X148" i="41" s="1"/>
  <c r="BB148" i="41"/>
  <c r="AN148" i="41"/>
  <c r="BG148" i="41" s="1"/>
  <c r="AM148" i="41"/>
  <c r="BF148" i="41" s="1"/>
  <c r="AJ148" i="41"/>
  <c r="AH148" i="41"/>
  <c r="AF148" i="41"/>
  <c r="AE148" i="41"/>
  <c r="AD148" i="41"/>
  <c r="AC148" i="41"/>
  <c r="AB148" i="41"/>
  <c r="AA148" i="41"/>
  <c r="Z148" i="41"/>
  <c r="L148" i="41"/>
  <c r="BD148" i="41" s="1"/>
  <c r="J148" i="41"/>
  <c r="AI148" i="41" s="1"/>
  <c r="H148" i="41"/>
  <c r="BU147" i="41"/>
  <c r="BH147" i="41"/>
  <c r="X147" i="41" s="1"/>
  <c r="BB147" i="41"/>
  <c r="AU147" i="41"/>
  <c r="AN147" i="41"/>
  <c r="BG147" i="41" s="1"/>
  <c r="AM147" i="41"/>
  <c r="BF147" i="41" s="1"/>
  <c r="AJ147" i="41"/>
  <c r="AH147" i="41"/>
  <c r="AQ146" i="41" s="1"/>
  <c r="AF147" i="41"/>
  <c r="AE147" i="41"/>
  <c r="AD147" i="41"/>
  <c r="AC147" i="41"/>
  <c r="AB147" i="41"/>
  <c r="AA147" i="41"/>
  <c r="Z147" i="41"/>
  <c r="L147" i="41"/>
  <c r="J147" i="41"/>
  <c r="H147" i="41"/>
  <c r="BU144" i="41"/>
  <c r="BH144" i="41"/>
  <c r="BB144" i="41"/>
  <c r="AN144" i="41"/>
  <c r="BG144" i="41" s="1"/>
  <c r="AM144" i="41"/>
  <c r="BF144" i="41" s="1"/>
  <c r="Z144" i="41" s="1"/>
  <c r="AJ144" i="41"/>
  <c r="AS143" i="41" s="1"/>
  <c r="AH144" i="41"/>
  <c r="AQ143" i="41" s="1"/>
  <c r="AF144" i="41"/>
  <c r="AE144" i="41"/>
  <c r="AD144" i="41"/>
  <c r="AC144" i="41"/>
  <c r="AB144" i="41"/>
  <c r="AA144" i="41"/>
  <c r="X144" i="41"/>
  <c r="L144" i="41"/>
  <c r="BD144" i="41" s="1"/>
  <c r="J144" i="41"/>
  <c r="L143" i="41"/>
  <c r="BU141" i="41"/>
  <c r="BH141" i="41"/>
  <c r="BB141" i="41"/>
  <c r="AN141" i="41"/>
  <c r="AM141" i="41"/>
  <c r="BF141" i="41" s="1"/>
  <c r="Z141" i="41" s="1"/>
  <c r="AJ141" i="41"/>
  <c r="AH141" i="41"/>
  <c r="AF141" i="41"/>
  <c r="AE141" i="41"/>
  <c r="AD141" i="41"/>
  <c r="AC141" i="41"/>
  <c r="AB141" i="41"/>
  <c r="X141" i="41"/>
  <c r="L141" i="41"/>
  <c r="J141" i="41"/>
  <c r="J140" i="41" s="1"/>
  <c r="AS140" i="41"/>
  <c r="AQ140" i="41"/>
  <c r="BU138" i="41"/>
  <c r="BH138" i="41"/>
  <c r="BD138" i="41"/>
  <c r="BB138" i="41"/>
  <c r="AN138" i="41"/>
  <c r="BG138" i="41" s="1"/>
  <c r="AM138" i="41"/>
  <c r="AJ138" i="41"/>
  <c r="AH138" i="41"/>
  <c r="AF138" i="41"/>
  <c r="AE138" i="41"/>
  <c r="AD138" i="41"/>
  <c r="AC138" i="41"/>
  <c r="AB138" i="41"/>
  <c r="AA138" i="41"/>
  <c r="X138" i="41"/>
  <c r="L138" i="41"/>
  <c r="J138" i="41"/>
  <c r="I138" i="41"/>
  <c r="BU136" i="41"/>
  <c r="BH136" i="41"/>
  <c r="BB136" i="41"/>
  <c r="AN136" i="41"/>
  <c r="AM136" i="41"/>
  <c r="BF136" i="41" s="1"/>
  <c r="Z136" i="41" s="1"/>
  <c r="AJ136" i="41"/>
  <c r="AS135" i="41" s="1"/>
  <c r="AH136" i="41"/>
  <c r="AF136" i="41"/>
  <c r="AE136" i="41"/>
  <c r="AD136" i="41"/>
  <c r="AC136" i="41"/>
  <c r="AB136" i="41"/>
  <c r="X136" i="41"/>
  <c r="L136" i="41"/>
  <c r="BD136" i="41" s="1"/>
  <c r="J136" i="41"/>
  <c r="AI136" i="41" s="1"/>
  <c r="BU133" i="41"/>
  <c r="BH133" i="41"/>
  <c r="BD133" i="41"/>
  <c r="BB133" i="41"/>
  <c r="AN133" i="41"/>
  <c r="BG133" i="41" s="1"/>
  <c r="AA133" i="41" s="1"/>
  <c r="AM133" i="41"/>
  <c r="AJ133" i="41"/>
  <c r="AH133" i="41"/>
  <c r="AF133" i="41"/>
  <c r="AE133" i="41"/>
  <c r="AD133" i="41"/>
  <c r="AC133" i="41"/>
  <c r="AB133" i="41"/>
  <c r="X133" i="41"/>
  <c r="L133" i="41"/>
  <c r="J133" i="41"/>
  <c r="BU131" i="41"/>
  <c r="BH131" i="41"/>
  <c r="BB131" i="41"/>
  <c r="AN131" i="41"/>
  <c r="AM131" i="41"/>
  <c r="BF131" i="41" s="1"/>
  <c r="Z131" i="41" s="1"/>
  <c r="AJ131" i="41"/>
  <c r="AS130" i="41" s="1"/>
  <c r="AH131" i="41"/>
  <c r="AQ130" i="41" s="1"/>
  <c r="AF131" i="41"/>
  <c r="AE131" i="41"/>
  <c r="AD131" i="41"/>
  <c r="AC131" i="41"/>
  <c r="AB131" i="41"/>
  <c r="X131" i="41"/>
  <c r="L131" i="41"/>
  <c r="J131" i="41"/>
  <c r="BU128" i="41"/>
  <c r="BH128" i="41"/>
  <c r="BB128" i="41"/>
  <c r="AN128" i="41"/>
  <c r="BG128" i="41" s="1"/>
  <c r="AM128" i="41"/>
  <c r="BF128" i="41" s="1"/>
  <c r="Z128" i="41" s="1"/>
  <c r="AJ128" i="41"/>
  <c r="AS127" i="41" s="1"/>
  <c r="AH128" i="41"/>
  <c r="AF128" i="41"/>
  <c r="AE128" i="41"/>
  <c r="AD128" i="41"/>
  <c r="AC128" i="41"/>
  <c r="AB128" i="41"/>
  <c r="AA128" i="41"/>
  <c r="X128" i="41"/>
  <c r="L128" i="41"/>
  <c r="BD128" i="41" s="1"/>
  <c r="J128" i="41"/>
  <c r="J127" i="41" s="1"/>
  <c r="AQ127" i="41"/>
  <c r="L127" i="41"/>
  <c r="BU125" i="41"/>
  <c r="BH125" i="41"/>
  <c r="BB125" i="41"/>
  <c r="AN125" i="41"/>
  <c r="BG125" i="41" s="1"/>
  <c r="AA125" i="41" s="1"/>
  <c r="AM125" i="41"/>
  <c r="BF125" i="41" s="1"/>
  <c r="AJ125" i="41"/>
  <c r="AH125" i="41"/>
  <c r="AF125" i="41"/>
  <c r="AE125" i="41"/>
  <c r="AD125" i="41"/>
  <c r="AC125" i="41"/>
  <c r="AB125" i="41"/>
  <c r="Z125" i="41"/>
  <c r="X125" i="41"/>
  <c r="L125" i="41"/>
  <c r="BD125" i="41" s="1"/>
  <c r="J125" i="41"/>
  <c r="I125" i="41"/>
  <c r="H125" i="41"/>
  <c r="BU123" i="41"/>
  <c r="BH123" i="41"/>
  <c r="BB123" i="41"/>
  <c r="AN123" i="41"/>
  <c r="BG123" i="41" s="1"/>
  <c r="AA123" i="41" s="1"/>
  <c r="AM123" i="41"/>
  <c r="BF123" i="41" s="1"/>
  <c r="Z123" i="41" s="1"/>
  <c r="AJ123" i="41"/>
  <c r="AH123" i="41"/>
  <c r="AQ122" i="41" s="1"/>
  <c r="AF123" i="41"/>
  <c r="AE123" i="41"/>
  <c r="AD123" i="41"/>
  <c r="AC123" i="41"/>
  <c r="AB123" i="41"/>
  <c r="X123" i="41"/>
  <c r="L123" i="41"/>
  <c r="L122" i="41" s="1"/>
  <c r="J123" i="41"/>
  <c r="AI123" i="41" s="1"/>
  <c r="BU120" i="41"/>
  <c r="BH120" i="41"/>
  <c r="BB120" i="41"/>
  <c r="AN120" i="41"/>
  <c r="BG120" i="41" s="1"/>
  <c r="AA120" i="41" s="1"/>
  <c r="AM120" i="41"/>
  <c r="BF120" i="41" s="1"/>
  <c r="AJ120" i="41"/>
  <c r="AH120" i="41"/>
  <c r="AF120" i="41"/>
  <c r="AE120" i="41"/>
  <c r="AD120" i="41"/>
  <c r="AC120" i="41"/>
  <c r="AB120" i="41"/>
  <c r="Z120" i="41"/>
  <c r="X120" i="41"/>
  <c r="L120" i="41"/>
  <c r="BD120" i="41" s="1"/>
  <c r="J120" i="41"/>
  <c r="I120" i="41"/>
  <c r="BU118" i="41"/>
  <c r="BH118" i="41"/>
  <c r="BD118" i="41"/>
  <c r="BB118" i="41"/>
  <c r="AN118" i="41"/>
  <c r="BG118" i="41" s="1"/>
  <c r="AM118" i="41"/>
  <c r="BF118" i="41" s="1"/>
  <c r="AJ118" i="41"/>
  <c r="AH118" i="41"/>
  <c r="AF118" i="41"/>
  <c r="AE118" i="41"/>
  <c r="AD118" i="41"/>
  <c r="AC118" i="41"/>
  <c r="AB118" i="41"/>
  <c r="AA118" i="41"/>
  <c r="Z118" i="41"/>
  <c r="X118" i="41"/>
  <c r="L118" i="41"/>
  <c r="J118" i="41"/>
  <c r="I118" i="41"/>
  <c r="BU116" i="41"/>
  <c r="BH116" i="41"/>
  <c r="BB116" i="41"/>
  <c r="AN116" i="41"/>
  <c r="BG116" i="41" s="1"/>
  <c r="AA116" i="41" s="1"/>
  <c r="AM116" i="41"/>
  <c r="AJ116" i="41"/>
  <c r="AH116" i="41"/>
  <c r="AF116" i="41"/>
  <c r="AE116" i="41"/>
  <c r="AD116" i="41"/>
  <c r="AC116" i="41"/>
  <c r="AB116" i="41"/>
  <c r="X116" i="41"/>
  <c r="L116" i="41"/>
  <c r="BD116" i="41" s="1"/>
  <c r="J116" i="41"/>
  <c r="AI116" i="41" s="1"/>
  <c r="BU114" i="41"/>
  <c r="BH114" i="41"/>
  <c r="BB114" i="41"/>
  <c r="AU114" i="41"/>
  <c r="AN114" i="41"/>
  <c r="BG114" i="41" s="1"/>
  <c r="AA114" i="41" s="1"/>
  <c r="AM114" i="41"/>
  <c r="BF114" i="41" s="1"/>
  <c r="AJ114" i="41"/>
  <c r="AH114" i="41"/>
  <c r="AF114" i="41"/>
  <c r="AE114" i="41"/>
  <c r="AD114" i="41"/>
  <c r="AC114" i="41"/>
  <c r="AB114" i="41"/>
  <c r="Z114" i="41"/>
  <c r="X114" i="41"/>
  <c r="L114" i="41"/>
  <c r="BD114" i="41" s="1"/>
  <c r="J114" i="41"/>
  <c r="H114" i="41"/>
  <c r="BU112" i="41"/>
  <c r="BH112" i="41"/>
  <c r="BD112" i="41"/>
  <c r="BB112" i="41"/>
  <c r="AN112" i="41"/>
  <c r="BG112" i="41" s="1"/>
  <c r="AA112" i="41" s="1"/>
  <c r="AM112" i="41"/>
  <c r="BF112" i="41" s="1"/>
  <c r="AJ112" i="41"/>
  <c r="AH112" i="41"/>
  <c r="AF112" i="41"/>
  <c r="AE112" i="41"/>
  <c r="AD112" i="41"/>
  <c r="AC112" i="41"/>
  <c r="AB112" i="41"/>
  <c r="Z112" i="41"/>
  <c r="X112" i="41"/>
  <c r="L112" i="41"/>
  <c r="J112" i="41"/>
  <c r="BU110" i="41"/>
  <c r="BH110" i="41"/>
  <c r="BD110" i="41"/>
  <c r="BB110" i="41"/>
  <c r="AN110" i="41"/>
  <c r="BG110" i="41" s="1"/>
  <c r="AM110" i="41"/>
  <c r="AJ110" i="41"/>
  <c r="AH110" i="41"/>
  <c r="AF110" i="41"/>
  <c r="AE110" i="41"/>
  <c r="AD110" i="41"/>
  <c r="AC110" i="41"/>
  <c r="AB110" i="41"/>
  <c r="AA110" i="41"/>
  <c r="X110" i="41"/>
  <c r="L110" i="41"/>
  <c r="J110" i="41"/>
  <c r="BU108" i="41"/>
  <c r="BH108" i="41"/>
  <c r="BB108" i="41"/>
  <c r="AU108" i="41"/>
  <c r="AN108" i="41"/>
  <c r="AM108" i="41"/>
  <c r="BF108" i="41" s="1"/>
  <c r="AJ108" i="41"/>
  <c r="AI108" i="41"/>
  <c r="AH108" i="41"/>
  <c r="AF108" i="41"/>
  <c r="AE108" i="41"/>
  <c r="AD108" i="41"/>
  <c r="AC108" i="41"/>
  <c r="AB108" i="41"/>
  <c r="Z108" i="41"/>
  <c r="X108" i="41"/>
  <c r="L108" i="41"/>
  <c r="BD108" i="41" s="1"/>
  <c r="J108" i="41"/>
  <c r="H108" i="41"/>
  <c r="BU106" i="41"/>
  <c r="BH106" i="41"/>
  <c r="BD106" i="41"/>
  <c r="BB106" i="41"/>
  <c r="AN106" i="41"/>
  <c r="BG106" i="41" s="1"/>
  <c r="AM106" i="41"/>
  <c r="BF106" i="41" s="1"/>
  <c r="Z106" i="41" s="1"/>
  <c r="AJ106" i="41"/>
  <c r="AH106" i="41"/>
  <c r="AF106" i="41"/>
  <c r="AE106" i="41"/>
  <c r="AD106" i="41"/>
  <c r="AC106" i="41"/>
  <c r="AB106" i="41"/>
  <c r="AA106" i="41"/>
  <c r="X106" i="41"/>
  <c r="L106" i="41"/>
  <c r="J106" i="41"/>
  <c r="BU104" i="41"/>
  <c r="BH104" i="41"/>
  <c r="BD104" i="41"/>
  <c r="BB104" i="41"/>
  <c r="AN104" i="41"/>
  <c r="BG104" i="41" s="1"/>
  <c r="AM104" i="41"/>
  <c r="AJ104" i="41"/>
  <c r="AH104" i="41"/>
  <c r="AF104" i="41"/>
  <c r="AE104" i="41"/>
  <c r="AD104" i="41"/>
  <c r="AC104" i="41"/>
  <c r="AB104" i="41"/>
  <c r="AA104" i="41"/>
  <c r="X104" i="41"/>
  <c r="L104" i="41"/>
  <c r="J104" i="41"/>
  <c r="BU102" i="41"/>
  <c r="BH102" i="41"/>
  <c r="BB102" i="41"/>
  <c r="AN102" i="41"/>
  <c r="AM102" i="41"/>
  <c r="BF102" i="41" s="1"/>
  <c r="AJ102" i="41"/>
  <c r="AH102" i="41"/>
  <c r="AF102" i="41"/>
  <c r="AE102" i="41"/>
  <c r="AD102" i="41"/>
  <c r="AC102" i="41"/>
  <c r="AB102" i="41"/>
  <c r="Z102" i="41"/>
  <c r="X102" i="41"/>
  <c r="L102" i="41"/>
  <c r="BD102" i="41" s="1"/>
  <c r="J102" i="41"/>
  <c r="H102" i="41"/>
  <c r="BU100" i="41"/>
  <c r="BH100" i="41"/>
  <c r="BB100" i="41"/>
  <c r="AU100" i="41"/>
  <c r="AN100" i="41"/>
  <c r="BG100" i="41" s="1"/>
  <c r="AM100" i="41"/>
  <c r="BF100" i="41" s="1"/>
  <c r="AJ100" i="41"/>
  <c r="AI100" i="41"/>
  <c r="AH100" i="41"/>
  <c r="AF100" i="41"/>
  <c r="AE100" i="41"/>
  <c r="AD100" i="41"/>
  <c r="AC100" i="41"/>
  <c r="AB100" i="41"/>
  <c r="AA100" i="41"/>
  <c r="Z100" i="41"/>
  <c r="X100" i="41"/>
  <c r="L100" i="41"/>
  <c r="BD100" i="41" s="1"/>
  <c r="J100" i="41"/>
  <c r="I100" i="41"/>
  <c r="L99" i="41"/>
  <c r="BU97" i="41"/>
  <c r="BH97" i="41"/>
  <c r="BB97" i="41"/>
  <c r="AN97" i="41"/>
  <c r="AM97" i="41"/>
  <c r="BF97" i="41" s="1"/>
  <c r="AJ97" i="41"/>
  <c r="AH97" i="41"/>
  <c r="AQ96" i="41" s="1"/>
  <c r="AF97" i="41"/>
  <c r="AE97" i="41"/>
  <c r="AD97" i="41"/>
  <c r="AC97" i="41"/>
  <c r="AB97" i="41"/>
  <c r="Z97" i="41"/>
  <c r="X97" i="41"/>
  <c r="L97" i="41"/>
  <c r="J97" i="41"/>
  <c r="J96" i="41" s="1"/>
  <c r="H97" i="41"/>
  <c r="H96" i="41" s="1"/>
  <c r="AS96" i="41"/>
  <c r="BU94" i="41"/>
  <c r="BH94" i="41"/>
  <c r="BB94" i="41"/>
  <c r="AN94" i="41"/>
  <c r="BG94" i="41" s="1"/>
  <c r="AA94" i="41" s="1"/>
  <c r="AM94" i="41"/>
  <c r="AJ94" i="41"/>
  <c r="AS93" i="41" s="1"/>
  <c r="AH94" i="41"/>
  <c r="AQ93" i="41" s="1"/>
  <c r="AF94" i="41"/>
  <c r="AE94" i="41"/>
  <c r="AD94" i="41"/>
  <c r="AC94" i="41"/>
  <c r="AB94" i="41"/>
  <c r="X94" i="41"/>
  <c r="L94" i="41"/>
  <c r="L93" i="41" s="1"/>
  <c r="J94" i="41"/>
  <c r="AI94" i="41" s="1"/>
  <c r="AR93" i="41" s="1"/>
  <c r="J93" i="41"/>
  <c r="BU91" i="41"/>
  <c r="BH91" i="41"/>
  <c r="BD91" i="41"/>
  <c r="BB91" i="41"/>
  <c r="AN91" i="41"/>
  <c r="BG91" i="41" s="1"/>
  <c r="AA91" i="41" s="1"/>
  <c r="AM91" i="41"/>
  <c r="AJ91" i="41"/>
  <c r="AH91" i="41"/>
  <c r="AF91" i="41"/>
  <c r="AE91" i="41"/>
  <c r="AD91" i="41"/>
  <c r="AC91" i="41"/>
  <c r="AB91" i="41"/>
  <c r="X91" i="41"/>
  <c r="L91" i="41"/>
  <c r="J91" i="41"/>
  <c r="BU89" i="41"/>
  <c r="BH89" i="41"/>
  <c r="BB89" i="41"/>
  <c r="AU89" i="41"/>
  <c r="AN89" i="41"/>
  <c r="AM89" i="41"/>
  <c r="BF89" i="41" s="1"/>
  <c r="AJ89" i="41"/>
  <c r="AH89" i="41"/>
  <c r="AQ88" i="41" s="1"/>
  <c r="AF89" i="41"/>
  <c r="AE89" i="41"/>
  <c r="AD89" i="41"/>
  <c r="AC89" i="41"/>
  <c r="AB89" i="41"/>
  <c r="Z89" i="41"/>
  <c r="X89" i="41"/>
  <c r="L89" i="41"/>
  <c r="J89" i="41"/>
  <c r="H89" i="41"/>
  <c r="AS88" i="41"/>
  <c r="BU86" i="41"/>
  <c r="BH86" i="41"/>
  <c r="BD86" i="41"/>
  <c r="BB86" i="41"/>
  <c r="AN86" i="41"/>
  <c r="BG86" i="41" s="1"/>
  <c r="AA86" i="41" s="1"/>
  <c r="AM86" i="41"/>
  <c r="BF86" i="41" s="1"/>
  <c r="AJ86" i="41"/>
  <c r="AS83" i="41" s="1"/>
  <c r="AH86" i="41"/>
  <c r="AF86" i="41"/>
  <c r="AE86" i="41"/>
  <c r="AD86" i="41"/>
  <c r="AC86" i="41"/>
  <c r="AB86" i="41"/>
  <c r="Z86" i="41"/>
  <c r="X86" i="41"/>
  <c r="L86" i="41"/>
  <c r="J86" i="41"/>
  <c r="BU84" i="41"/>
  <c r="BH84" i="41"/>
  <c r="BD84" i="41"/>
  <c r="BB84" i="41"/>
  <c r="AN84" i="41"/>
  <c r="AM84" i="41"/>
  <c r="AJ84" i="41"/>
  <c r="AH84" i="41"/>
  <c r="AF84" i="41"/>
  <c r="AE84" i="41"/>
  <c r="AD84" i="41"/>
  <c r="AC84" i="41"/>
  <c r="AB84" i="41"/>
  <c r="X84" i="41"/>
  <c r="L84" i="41"/>
  <c r="J84" i="41"/>
  <c r="I84" i="41"/>
  <c r="AQ83" i="41"/>
  <c r="L83" i="41"/>
  <c r="BU81" i="41"/>
  <c r="BH81" i="41"/>
  <c r="BB81" i="41"/>
  <c r="AN81" i="41"/>
  <c r="BG81" i="41" s="1"/>
  <c r="AA81" i="41" s="1"/>
  <c r="AM81" i="41"/>
  <c r="BF81" i="41" s="1"/>
  <c r="Z81" i="41" s="1"/>
  <c r="AJ81" i="41"/>
  <c r="AH81" i="41"/>
  <c r="AF81" i="41"/>
  <c r="AE81" i="41"/>
  <c r="AD81" i="41"/>
  <c r="AC81" i="41"/>
  <c r="AB81" i="41"/>
  <c r="X81" i="41"/>
  <c r="L81" i="41"/>
  <c r="BD81" i="41" s="1"/>
  <c r="J81" i="41"/>
  <c r="J80" i="41" s="1"/>
  <c r="I81" i="41"/>
  <c r="I80" i="41" s="1"/>
  <c r="H81" i="41"/>
  <c r="AS80" i="41"/>
  <c r="AQ80" i="41"/>
  <c r="L80" i="41"/>
  <c r="H80" i="41"/>
  <c r="BU78" i="41"/>
  <c r="BH78" i="41"/>
  <c r="BB78" i="41"/>
  <c r="AU78" i="41"/>
  <c r="AN78" i="41"/>
  <c r="BG78" i="41" s="1"/>
  <c r="AA78" i="41" s="1"/>
  <c r="AM78" i="41"/>
  <c r="BF78" i="41" s="1"/>
  <c r="Z78" i="41" s="1"/>
  <c r="AJ78" i="41"/>
  <c r="AH78" i="41"/>
  <c r="AF78" i="41"/>
  <c r="AE78" i="41"/>
  <c r="AD78" i="41"/>
  <c r="AC78" i="41"/>
  <c r="AB78" i="41"/>
  <c r="X78" i="41"/>
  <c r="L78" i="41"/>
  <c r="BD78" i="41" s="1"/>
  <c r="J78" i="41"/>
  <c r="AI78" i="41" s="1"/>
  <c r="H78" i="41"/>
  <c r="BU76" i="41"/>
  <c r="BH76" i="41"/>
  <c r="BB76" i="41"/>
  <c r="AN76" i="41"/>
  <c r="BG76" i="41" s="1"/>
  <c r="AA76" i="41" s="1"/>
  <c r="AM76" i="41"/>
  <c r="BF76" i="41" s="1"/>
  <c r="Z76" i="41" s="1"/>
  <c r="AJ76" i="41"/>
  <c r="AH76" i="41"/>
  <c r="AF76" i="41"/>
  <c r="AE76" i="41"/>
  <c r="AD76" i="41"/>
  <c r="AC76" i="41"/>
  <c r="AB76" i="41"/>
  <c r="X76" i="41"/>
  <c r="L76" i="41"/>
  <c r="BD76" i="41" s="1"/>
  <c r="J76" i="41"/>
  <c r="I76" i="41"/>
  <c r="H76" i="41"/>
  <c r="BU74" i="41"/>
  <c r="BH74" i="41"/>
  <c r="BB74" i="41"/>
  <c r="AU74" i="41"/>
  <c r="AN74" i="41"/>
  <c r="AM74" i="41"/>
  <c r="BF74" i="41" s="1"/>
  <c r="Z74" i="41" s="1"/>
  <c r="AJ74" i="41"/>
  <c r="AS73" i="41" s="1"/>
  <c r="AH74" i="41"/>
  <c r="AQ73" i="41" s="1"/>
  <c r="AF74" i="41"/>
  <c r="AE74" i="41"/>
  <c r="AD74" i="41"/>
  <c r="AC74" i="41"/>
  <c r="AB74" i="41"/>
  <c r="X74" i="41"/>
  <c r="L74" i="41"/>
  <c r="BD74" i="41" s="1"/>
  <c r="J74" i="41"/>
  <c r="AI74" i="41" s="1"/>
  <c r="BU71" i="41"/>
  <c r="BH71" i="41"/>
  <c r="BB71" i="41"/>
  <c r="AU71" i="41"/>
  <c r="AN71" i="41"/>
  <c r="BG71" i="41" s="1"/>
  <c r="AA71" i="41" s="1"/>
  <c r="AM71" i="41"/>
  <c r="BF71" i="41" s="1"/>
  <c r="AJ71" i="41"/>
  <c r="AI71" i="41"/>
  <c r="AH71" i="41"/>
  <c r="AF71" i="41"/>
  <c r="AE71" i="41"/>
  <c r="AD71" i="41"/>
  <c r="AC71" i="41"/>
  <c r="AB71" i="41"/>
  <c r="Z71" i="41"/>
  <c r="X71" i="41"/>
  <c r="L71" i="41"/>
  <c r="BD71" i="41" s="1"/>
  <c r="J71" i="41"/>
  <c r="H71" i="41"/>
  <c r="BU69" i="41"/>
  <c r="BH69" i="41"/>
  <c r="BB69" i="41"/>
  <c r="AN69" i="41"/>
  <c r="BG69" i="41" s="1"/>
  <c r="AA69" i="41" s="1"/>
  <c r="AM69" i="41"/>
  <c r="BF69" i="41" s="1"/>
  <c r="Z69" i="41" s="1"/>
  <c r="AJ69" i="41"/>
  <c r="AH69" i="41"/>
  <c r="AF69" i="41"/>
  <c r="AE69" i="41"/>
  <c r="AD69" i="41"/>
  <c r="AC69" i="41"/>
  <c r="AB69" i="41"/>
  <c r="X69" i="41"/>
  <c r="L69" i="41"/>
  <c r="BD69" i="41" s="1"/>
  <c r="J69" i="41"/>
  <c r="AI69" i="41" s="1"/>
  <c r="I69" i="41"/>
  <c r="H69" i="41"/>
  <c r="BU67" i="41"/>
  <c r="BH67" i="41"/>
  <c r="BB67" i="41"/>
  <c r="AU67" i="41"/>
  <c r="AN67" i="41"/>
  <c r="BG67" i="41" s="1"/>
  <c r="AA67" i="41" s="1"/>
  <c r="AM67" i="41"/>
  <c r="BF67" i="41" s="1"/>
  <c r="Z67" i="41" s="1"/>
  <c r="AJ67" i="41"/>
  <c r="AH67" i="41"/>
  <c r="AF67" i="41"/>
  <c r="AE67" i="41"/>
  <c r="AD67" i="41"/>
  <c r="AC67" i="41"/>
  <c r="AB67" i="41"/>
  <c r="X67" i="41"/>
  <c r="L67" i="41"/>
  <c r="BD67" i="41" s="1"/>
  <c r="J67" i="41"/>
  <c r="AI67" i="41" s="1"/>
  <c r="I67" i="41"/>
  <c r="H67" i="41"/>
  <c r="BU65" i="41"/>
  <c r="BH65" i="41"/>
  <c r="BB65" i="41"/>
  <c r="AN65" i="41"/>
  <c r="BG65" i="41" s="1"/>
  <c r="AA65" i="41" s="1"/>
  <c r="AM65" i="41"/>
  <c r="BF65" i="41" s="1"/>
  <c r="Z65" i="41" s="1"/>
  <c r="AJ65" i="41"/>
  <c r="AH65" i="41"/>
  <c r="AF65" i="41"/>
  <c r="AE65" i="41"/>
  <c r="AD65" i="41"/>
  <c r="AC65" i="41"/>
  <c r="AB65" i="41"/>
  <c r="X65" i="41"/>
  <c r="L65" i="41"/>
  <c r="BD65" i="41" s="1"/>
  <c r="J65" i="41"/>
  <c r="AI65" i="41" s="1"/>
  <c r="I65" i="41"/>
  <c r="H65" i="41"/>
  <c r="BU63" i="41"/>
  <c r="BH63" i="41"/>
  <c r="BD63" i="41"/>
  <c r="BB63" i="41"/>
  <c r="AN63" i="41"/>
  <c r="BG63" i="41" s="1"/>
  <c r="AA63" i="41" s="1"/>
  <c r="AM63" i="41"/>
  <c r="AJ63" i="41"/>
  <c r="AH63" i="41"/>
  <c r="AF63" i="41"/>
  <c r="AE63" i="41"/>
  <c r="AD63" i="41"/>
  <c r="AC63" i="41"/>
  <c r="AB63" i="41"/>
  <c r="X63" i="41"/>
  <c r="L63" i="41"/>
  <c r="J63" i="41"/>
  <c r="AI63" i="41" s="1"/>
  <c r="I63" i="41"/>
  <c r="H63" i="41"/>
  <c r="BU61" i="41"/>
  <c r="BH61" i="41"/>
  <c r="BB61" i="41"/>
  <c r="AN61" i="41"/>
  <c r="BG61" i="41" s="1"/>
  <c r="AA61" i="41" s="1"/>
  <c r="AM61" i="41"/>
  <c r="BF61" i="41" s="1"/>
  <c r="Z61" i="41" s="1"/>
  <c r="AJ61" i="41"/>
  <c r="AH61" i="41"/>
  <c r="AF61" i="41"/>
  <c r="AE61" i="41"/>
  <c r="AD61" i="41"/>
  <c r="AC61" i="41"/>
  <c r="AB61" i="41"/>
  <c r="X61" i="41"/>
  <c r="L61" i="41"/>
  <c r="BD61" i="41" s="1"/>
  <c r="J61" i="41"/>
  <c r="AI61" i="41" s="1"/>
  <c r="I61" i="41"/>
  <c r="H61" i="41"/>
  <c r="BU59" i="41"/>
  <c r="BH59" i="41"/>
  <c r="BB59" i="41"/>
  <c r="AU59" i="41"/>
  <c r="AN59" i="41"/>
  <c r="BG59" i="41" s="1"/>
  <c r="AA59" i="41" s="1"/>
  <c r="AM59" i="41"/>
  <c r="BF59" i="41" s="1"/>
  <c r="Z59" i="41" s="1"/>
  <c r="AJ59" i="41"/>
  <c r="AH59" i="41"/>
  <c r="AF59" i="41"/>
  <c r="AE59" i="41"/>
  <c r="AD59" i="41"/>
  <c r="AC59" i="41"/>
  <c r="AB59" i="41"/>
  <c r="X59" i="41"/>
  <c r="L59" i="41"/>
  <c r="BD59" i="41" s="1"/>
  <c r="J59" i="41"/>
  <c r="AI59" i="41" s="1"/>
  <c r="I59" i="41"/>
  <c r="H59" i="41"/>
  <c r="BU57" i="41"/>
  <c r="BH57" i="41"/>
  <c r="BB57" i="41"/>
  <c r="AN57" i="41"/>
  <c r="BG57" i="41" s="1"/>
  <c r="AA57" i="41" s="1"/>
  <c r="AM57" i="41"/>
  <c r="BF57" i="41" s="1"/>
  <c r="Z57" i="41" s="1"/>
  <c r="AJ57" i="41"/>
  <c r="AH57" i="41"/>
  <c r="AF57" i="41"/>
  <c r="AE57" i="41"/>
  <c r="AD57" i="41"/>
  <c r="AC57" i="41"/>
  <c r="AB57" i="41"/>
  <c r="X57" i="41"/>
  <c r="L57" i="41"/>
  <c r="BD57" i="41" s="1"/>
  <c r="J57" i="41"/>
  <c r="AI57" i="41" s="1"/>
  <c r="I57" i="41"/>
  <c r="H57" i="41"/>
  <c r="BU55" i="41"/>
  <c r="BH55" i="41"/>
  <c r="BD55" i="41"/>
  <c r="BB55" i="41"/>
  <c r="AN55" i="41"/>
  <c r="BG55" i="41" s="1"/>
  <c r="AA55" i="41" s="1"/>
  <c r="AM55" i="41"/>
  <c r="AJ55" i="41"/>
  <c r="AH55" i="41"/>
  <c r="AF55" i="41"/>
  <c r="AE55" i="41"/>
  <c r="AD55" i="41"/>
  <c r="AC55" i="41"/>
  <c r="AB55" i="41"/>
  <c r="X55" i="41"/>
  <c r="L55" i="41"/>
  <c r="J55" i="41"/>
  <c r="AI55" i="41" s="1"/>
  <c r="BU53" i="41"/>
  <c r="BH53" i="41"/>
  <c r="BD53" i="41"/>
  <c r="BB53" i="41"/>
  <c r="AN53" i="41"/>
  <c r="BG53" i="41" s="1"/>
  <c r="AA53" i="41" s="1"/>
  <c r="AM53" i="41"/>
  <c r="AJ53" i="41"/>
  <c r="AH53" i="41"/>
  <c r="AQ52" i="41" s="1"/>
  <c r="AF53" i="41"/>
  <c r="AE53" i="41"/>
  <c r="AD53" i="41"/>
  <c r="AC53" i="41"/>
  <c r="AB53" i="41"/>
  <c r="X53" i="41"/>
  <c r="L53" i="41"/>
  <c r="J53" i="41"/>
  <c r="I53" i="41"/>
  <c r="BU50" i="41"/>
  <c r="BH50" i="41"/>
  <c r="BB50" i="41"/>
  <c r="AN50" i="41"/>
  <c r="BG50" i="41" s="1"/>
  <c r="AA50" i="41" s="1"/>
  <c r="AM50" i="41"/>
  <c r="BF50" i="41" s="1"/>
  <c r="AJ50" i="41"/>
  <c r="AH50" i="41"/>
  <c r="AF50" i="41"/>
  <c r="AE50" i="41"/>
  <c r="AD50" i="41"/>
  <c r="AC50" i="41"/>
  <c r="AB50" i="41"/>
  <c r="Z50" i="41"/>
  <c r="X50" i="41"/>
  <c r="L50" i="41"/>
  <c r="BD50" i="41" s="1"/>
  <c r="J50" i="41"/>
  <c r="AI50" i="41" s="1"/>
  <c r="I50" i="41"/>
  <c r="H50" i="41"/>
  <c r="BU48" i="41"/>
  <c r="BH48" i="41"/>
  <c r="BB48" i="41"/>
  <c r="AU48" i="41"/>
  <c r="AN48" i="41"/>
  <c r="BG48" i="41" s="1"/>
  <c r="AA48" i="41" s="1"/>
  <c r="AM48" i="41"/>
  <c r="BF48" i="41" s="1"/>
  <c r="AJ48" i="41"/>
  <c r="AH48" i="41"/>
  <c r="AQ47" i="41" s="1"/>
  <c r="AF48" i="41"/>
  <c r="AE48" i="41"/>
  <c r="AD48" i="41"/>
  <c r="AC48" i="41"/>
  <c r="AB48" i="41"/>
  <c r="Z48" i="41"/>
  <c r="X48" i="41"/>
  <c r="L48" i="41"/>
  <c r="J48" i="41"/>
  <c r="AI48" i="41" s="1"/>
  <c r="I48" i="41"/>
  <c r="I47" i="41" s="1"/>
  <c r="H48" i="41"/>
  <c r="J47" i="41"/>
  <c r="BU45" i="41"/>
  <c r="BH45" i="41"/>
  <c r="BD45" i="41"/>
  <c r="BB45" i="41"/>
  <c r="AN45" i="41"/>
  <c r="BG45" i="41" s="1"/>
  <c r="AA45" i="41" s="1"/>
  <c r="AM45" i="41"/>
  <c r="AJ45" i="41"/>
  <c r="AH45" i="41"/>
  <c r="AF45" i="41"/>
  <c r="AE45" i="41"/>
  <c r="AD45" i="41"/>
  <c r="AC45" i="41"/>
  <c r="AB45" i="41"/>
  <c r="X45" i="41"/>
  <c r="L45" i="41"/>
  <c r="J45" i="41"/>
  <c r="AI45" i="41" s="1"/>
  <c r="I45" i="41"/>
  <c r="H45" i="41"/>
  <c r="BU43" i="41"/>
  <c r="BH43" i="41"/>
  <c r="BD43" i="41"/>
  <c r="BB43" i="41"/>
  <c r="AN43" i="41"/>
  <c r="BG43" i="41" s="1"/>
  <c r="AA43" i="41" s="1"/>
  <c r="AM43" i="41"/>
  <c r="BF43" i="41" s="1"/>
  <c r="AJ43" i="41"/>
  <c r="AH43" i="41"/>
  <c r="AF43" i="41"/>
  <c r="AE43" i="41"/>
  <c r="AD43" i="41"/>
  <c r="AC43" i="41"/>
  <c r="AB43" i="41"/>
  <c r="Z43" i="41"/>
  <c r="X43" i="41"/>
  <c r="L43" i="41"/>
  <c r="J43" i="41"/>
  <c r="AI43" i="41" s="1"/>
  <c r="H43" i="41"/>
  <c r="BU41" i="41"/>
  <c r="BH41" i="41"/>
  <c r="BD41" i="41"/>
  <c r="BB41" i="41"/>
  <c r="AN41" i="41"/>
  <c r="BG41" i="41" s="1"/>
  <c r="AA41" i="41" s="1"/>
  <c r="AM41" i="41"/>
  <c r="BF41" i="41" s="1"/>
  <c r="AJ41" i="41"/>
  <c r="AH41" i="41"/>
  <c r="AF41" i="41"/>
  <c r="AE41" i="41"/>
  <c r="AD41" i="41"/>
  <c r="AC41" i="41"/>
  <c r="AB41" i="41"/>
  <c r="Z41" i="41"/>
  <c r="X41" i="41"/>
  <c r="L41" i="41"/>
  <c r="J41" i="41"/>
  <c r="AI41" i="41" s="1"/>
  <c r="I41" i="41"/>
  <c r="BU39" i="41"/>
  <c r="BH39" i="41"/>
  <c r="BD39" i="41"/>
  <c r="BB39" i="41"/>
  <c r="AN39" i="41"/>
  <c r="BG39" i="41" s="1"/>
  <c r="AA39" i="41" s="1"/>
  <c r="AM39" i="41"/>
  <c r="BF39" i="41" s="1"/>
  <c r="AJ39" i="41"/>
  <c r="AH39" i="41"/>
  <c r="AF39" i="41"/>
  <c r="AE39" i="41"/>
  <c r="AD39" i="41"/>
  <c r="AC39" i="41"/>
  <c r="AB39" i="41"/>
  <c r="Z39" i="41"/>
  <c r="X39" i="41"/>
  <c r="L39" i="41"/>
  <c r="J39" i="41"/>
  <c r="AI39" i="41" s="1"/>
  <c r="I39" i="41"/>
  <c r="H39" i="41"/>
  <c r="BU37" i="41"/>
  <c r="BH37" i="41"/>
  <c r="BD37" i="41"/>
  <c r="BB37" i="41"/>
  <c r="AN37" i="41"/>
  <c r="BG37" i="41" s="1"/>
  <c r="AA37" i="41" s="1"/>
  <c r="AM37" i="41"/>
  <c r="BF37" i="41" s="1"/>
  <c r="AJ37" i="41"/>
  <c r="AH37" i="41"/>
  <c r="AF37" i="41"/>
  <c r="AE37" i="41"/>
  <c r="AD37" i="41"/>
  <c r="AC37" i="41"/>
  <c r="AB37" i="41"/>
  <c r="Z37" i="41"/>
  <c r="X37" i="41"/>
  <c r="L37" i="41"/>
  <c r="J37" i="41"/>
  <c r="AI37" i="41" s="1"/>
  <c r="I37" i="41"/>
  <c r="H37" i="41"/>
  <c r="BU35" i="41"/>
  <c r="BH35" i="41"/>
  <c r="BD35" i="41"/>
  <c r="BB35" i="41"/>
  <c r="AN35" i="41"/>
  <c r="BG35" i="41" s="1"/>
  <c r="AA35" i="41" s="1"/>
  <c r="AM35" i="41"/>
  <c r="BF35" i="41" s="1"/>
  <c r="AJ35" i="41"/>
  <c r="AH35" i="41"/>
  <c r="AF35" i="41"/>
  <c r="AE35" i="41"/>
  <c r="AD35" i="41"/>
  <c r="AC35" i="41"/>
  <c r="AB35" i="41"/>
  <c r="Z35" i="41"/>
  <c r="X35" i="41"/>
  <c r="L35" i="41"/>
  <c r="J35" i="41"/>
  <c r="AI35" i="41" s="1"/>
  <c r="H35" i="41"/>
  <c r="L34" i="41"/>
  <c r="J34" i="41"/>
  <c r="BU32" i="41"/>
  <c r="BH32" i="41"/>
  <c r="BB32" i="41"/>
  <c r="AU32" i="41"/>
  <c r="AN32" i="41"/>
  <c r="BG32" i="41" s="1"/>
  <c r="AA32" i="41" s="1"/>
  <c r="AM32" i="41"/>
  <c r="BF32" i="41" s="1"/>
  <c r="AJ32" i="41"/>
  <c r="AH32" i="41"/>
  <c r="AF32" i="41"/>
  <c r="AE32" i="41"/>
  <c r="AD32" i="41"/>
  <c r="AC32" i="41"/>
  <c r="AB32" i="41"/>
  <c r="Z32" i="41"/>
  <c r="X32" i="41"/>
  <c r="L32" i="41"/>
  <c r="BD32" i="41" s="1"/>
  <c r="J32" i="41"/>
  <c r="AI32" i="41" s="1"/>
  <c r="BU30" i="41"/>
  <c r="BH30" i="41"/>
  <c r="BB30" i="41"/>
  <c r="AN30" i="41"/>
  <c r="BG30" i="41" s="1"/>
  <c r="AA30" i="41" s="1"/>
  <c r="AM30" i="41"/>
  <c r="BF30" i="41" s="1"/>
  <c r="AJ30" i="41"/>
  <c r="AS29" i="41" s="1"/>
  <c r="AH30" i="41"/>
  <c r="AF30" i="41"/>
  <c r="AE30" i="41"/>
  <c r="AD30" i="41"/>
  <c r="AC30" i="41"/>
  <c r="AB30" i="41"/>
  <c r="Z30" i="41"/>
  <c r="X30" i="41"/>
  <c r="L30" i="41"/>
  <c r="BD30" i="41" s="1"/>
  <c r="J30" i="41"/>
  <c r="AI30" i="41" s="1"/>
  <c r="AR29" i="41" s="1"/>
  <c r="AQ29" i="41"/>
  <c r="BU27" i="41"/>
  <c r="BH27" i="41"/>
  <c r="BD27" i="41"/>
  <c r="BB27" i="41"/>
  <c r="AN27" i="41"/>
  <c r="BG27" i="41" s="1"/>
  <c r="AA27" i="41" s="1"/>
  <c r="AM27" i="41"/>
  <c r="BF27" i="41" s="1"/>
  <c r="AJ27" i="41"/>
  <c r="AH27" i="41"/>
  <c r="AF27" i="41"/>
  <c r="AE27" i="41"/>
  <c r="AD27" i="41"/>
  <c r="AC27" i="41"/>
  <c r="AB27" i="41"/>
  <c r="Z27" i="41"/>
  <c r="X27" i="41"/>
  <c r="L27" i="41"/>
  <c r="J27" i="41"/>
  <c r="AI27" i="41" s="1"/>
  <c r="I27" i="41"/>
  <c r="H27" i="41"/>
  <c r="BU25" i="41"/>
  <c r="BH25" i="41"/>
  <c r="BD25" i="41"/>
  <c r="BB25" i="41"/>
  <c r="AN25" i="41"/>
  <c r="BG25" i="41" s="1"/>
  <c r="AA25" i="41" s="1"/>
  <c r="AM25" i="41"/>
  <c r="BF25" i="41" s="1"/>
  <c r="AJ25" i="41"/>
  <c r="AH25" i="41"/>
  <c r="AF25" i="41"/>
  <c r="AE25" i="41"/>
  <c r="AD25" i="41"/>
  <c r="AC25" i="41"/>
  <c r="AB25" i="41"/>
  <c r="Z25" i="41"/>
  <c r="X25" i="41"/>
  <c r="L25" i="41"/>
  <c r="J25" i="41"/>
  <c r="AI25" i="41" s="1"/>
  <c r="H25" i="41"/>
  <c r="BU23" i="41"/>
  <c r="BH23" i="41"/>
  <c r="BD23" i="41"/>
  <c r="BB23" i="41"/>
  <c r="AN23" i="41"/>
  <c r="BG23" i="41" s="1"/>
  <c r="AA23" i="41" s="1"/>
  <c r="AM23" i="41"/>
  <c r="BF23" i="41" s="1"/>
  <c r="AJ23" i="41"/>
  <c r="AH23" i="41"/>
  <c r="AF23" i="41"/>
  <c r="AE23" i="41"/>
  <c r="AD23" i="41"/>
  <c r="AC23" i="41"/>
  <c r="AB23" i="41"/>
  <c r="Z23" i="41"/>
  <c r="X23" i="41"/>
  <c r="L23" i="41"/>
  <c r="J23" i="41"/>
  <c r="AI23" i="41" s="1"/>
  <c r="I23" i="41"/>
  <c r="BU21" i="41"/>
  <c r="BH21" i="41"/>
  <c r="BD21" i="41"/>
  <c r="BB21" i="41"/>
  <c r="AN21" i="41"/>
  <c r="BG21" i="41" s="1"/>
  <c r="AA21" i="41" s="1"/>
  <c r="AM21" i="41"/>
  <c r="BF21" i="41" s="1"/>
  <c r="AJ21" i="41"/>
  <c r="AH21" i="41"/>
  <c r="AF21" i="41"/>
  <c r="AE21" i="41"/>
  <c r="AD21" i="41"/>
  <c r="AC21" i="41"/>
  <c r="AB21" i="41"/>
  <c r="Z21" i="41"/>
  <c r="X21" i="41"/>
  <c r="L21" i="41"/>
  <c r="J21" i="41"/>
  <c r="AI21" i="41" s="1"/>
  <c r="I21" i="41"/>
  <c r="H21" i="41"/>
  <c r="BU19" i="41"/>
  <c r="BH19" i="41"/>
  <c r="BD19" i="41"/>
  <c r="BB19" i="41"/>
  <c r="AN19" i="41"/>
  <c r="BG19" i="41" s="1"/>
  <c r="AA19" i="41" s="1"/>
  <c r="AM19" i="41"/>
  <c r="BF19" i="41" s="1"/>
  <c r="AJ19" i="41"/>
  <c r="AH19" i="41"/>
  <c r="AF19" i="41"/>
  <c r="AE19" i="41"/>
  <c r="AD19" i="41"/>
  <c r="AC19" i="41"/>
  <c r="AB19" i="41"/>
  <c r="Z19" i="41"/>
  <c r="X19" i="41"/>
  <c r="L19" i="41"/>
  <c r="J19" i="41"/>
  <c r="AI19" i="41" s="1"/>
  <c r="I19" i="41"/>
  <c r="H19" i="41"/>
  <c r="BU17" i="41"/>
  <c r="BH17" i="41"/>
  <c r="BD17" i="41"/>
  <c r="BB17" i="41"/>
  <c r="AN17" i="41"/>
  <c r="BG17" i="41" s="1"/>
  <c r="AA17" i="41" s="1"/>
  <c r="AM17" i="41"/>
  <c r="BF17" i="41" s="1"/>
  <c r="AJ17" i="41"/>
  <c r="AH17" i="41"/>
  <c r="AF17" i="41"/>
  <c r="AE17" i="41"/>
  <c r="AD17" i="41"/>
  <c r="AC17" i="41"/>
  <c r="AB17" i="41"/>
  <c r="Z17" i="41"/>
  <c r="X17" i="41"/>
  <c r="L17" i="41"/>
  <c r="J17" i="41"/>
  <c r="AI17" i="41" s="1"/>
  <c r="H17" i="41"/>
  <c r="BU15" i="41"/>
  <c r="BH15" i="41"/>
  <c r="BD15" i="41"/>
  <c r="BB15" i="41"/>
  <c r="AN15" i="41"/>
  <c r="BG15" i="41" s="1"/>
  <c r="AA15" i="41" s="1"/>
  <c r="AM15" i="41"/>
  <c r="BF15" i="41" s="1"/>
  <c r="AJ15" i="41"/>
  <c r="AH15" i="41"/>
  <c r="AF15" i="41"/>
  <c r="AE15" i="41"/>
  <c r="AD15" i="41"/>
  <c r="AC15" i="41"/>
  <c r="AB15" i="41"/>
  <c r="Z15" i="41"/>
  <c r="X15" i="41"/>
  <c r="L15" i="41"/>
  <c r="J15" i="41"/>
  <c r="AI15" i="41" s="1"/>
  <c r="I15" i="41"/>
  <c r="BU13" i="41"/>
  <c r="BH13" i="41"/>
  <c r="BD13" i="41"/>
  <c r="BB13" i="41"/>
  <c r="AN13" i="41"/>
  <c r="BG13" i="41" s="1"/>
  <c r="AA13" i="41" s="1"/>
  <c r="AM13" i="41"/>
  <c r="BF13" i="41" s="1"/>
  <c r="AJ13" i="41"/>
  <c r="AS12" i="41" s="1"/>
  <c r="AH13" i="41"/>
  <c r="AF13" i="41"/>
  <c r="AE13" i="41"/>
  <c r="AD13" i="41"/>
  <c r="AC13" i="41"/>
  <c r="AB13" i="41"/>
  <c r="Z13" i="41"/>
  <c r="X13" i="41"/>
  <c r="L13" i="41"/>
  <c r="J13" i="41"/>
  <c r="AI13" i="41" s="1"/>
  <c r="I13" i="41"/>
  <c r="H13" i="41"/>
  <c r="L12" i="41"/>
  <c r="AS1" i="41"/>
  <c r="AR1" i="41"/>
  <c r="AQ1" i="41"/>
  <c r="BU167" i="40"/>
  <c r="BH167" i="40"/>
  <c r="AF167" i="40" s="1"/>
  <c r="BB167" i="40"/>
  <c r="AU167" i="40"/>
  <c r="AN167" i="40"/>
  <c r="BG167" i="40" s="1"/>
  <c r="AM167" i="40"/>
  <c r="BF167" i="40" s="1"/>
  <c r="AJ167" i="40"/>
  <c r="AH167" i="40"/>
  <c r="AE167" i="40"/>
  <c r="AD167" i="40"/>
  <c r="AC167" i="40"/>
  <c r="AB167" i="40"/>
  <c r="AA167" i="40"/>
  <c r="Z167" i="40"/>
  <c r="X167" i="40"/>
  <c r="L167" i="40"/>
  <c r="BD167" i="40" s="1"/>
  <c r="J167" i="40"/>
  <c r="BU165" i="40"/>
  <c r="BH165" i="40"/>
  <c r="AF165" i="40" s="1"/>
  <c r="BB165" i="40"/>
  <c r="AN165" i="40"/>
  <c r="BG165" i="40" s="1"/>
  <c r="AM165" i="40"/>
  <c r="BF165" i="40" s="1"/>
  <c r="AJ165" i="40"/>
  <c r="AH165" i="40"/>
  <c r="AE165" i="40"/>
  <c r="AD165" i="40"/>
  <c r="AC165" i="40"/>
  <c r="AB165" i="40"/>
  <c r="AA165" i="40"/>
  <c r="Z165" i="40"/>
  <c r="X165" i="40"/>
  <c r="L165" i="40"/>
  <c r="BD165" i="40" s="1"/>
  <c r="J165" i="40"/>
  <c r="AI165" i="40" s="1"/>
  <c r="BU163" i="40"/>
  <c r="BH163" i="40"/>
  <c r="AF163" i="40" s="1"/>
  <c r="BB163" i="40"/>
  <c r="AN163" i="40"/>
  <c r="AM163" i="40"/>
  <c r="BF163" i="40" s="1"/>
  <c r="AJ163" i="40"/>
  <c r="AH163" i="40"/>
  <c r="AE163" i="40"/>
  <c r="AD163" i="40"/>
  <c r="AC163" i="40"/>
  <c r="AB163" i="40"/>
  <c r="AA163" i="40"/>
  <c r="Z163" i="40"/>
  <c r="X163" i="40"/>
  <c r="L163" i="40"/>
  <c r="BD163" i="40" s="1"/>
  <c r="J163" i="40"/>
  <c r="H163" i="40"/>
  <c r="BU161" i="40"/>
  <c r="BH161" i="40"/>
  <c r="AF161" i="40" s="1"/>
  <c r="BB161" i="40"/>
  <c r="AV161" i="40"/>
  <c r="AN161" i="40"/>
  <c r="BG161" i="40" s="1"/>
  <c r="AM161" i="40"/>
  <c r="BF161" i="40" s="1"/>
  <c r="AJ161" i="40"/>
  <c r="AI161" i="40"/>
  <c r="AH161" i="40"/>
  <c r="AE161" i="40"/>
  <c r="AD161" i="40"/>
  <c r="AC161" i="40"/>
  <c r="AB161" i="40"/>
  <c r="AA161" i="40"/>
  <c r="Z161" i="40"/>
  <c r="X161" i="40"/>
  <c r="L161" i="40"/>
  <c r="BD161" i="40" s="1"/>
  <c r="J161" i="40"/>
  <c r="H161" i="40"/>
  <c r="BU159" i="40"/>
  <c r="BH159" i="40"/>
  <c r="AF159" i="40" s="1"/>
  <c r="BB159" i="40"/>
  <c r="AV159" i="40"/>
  <c r="AN159" i="40"/>
  <c r="BG159" i="40" s="1"/>
  <c r="AM159" i="40"/>
  <c r="AJ159" i="40"/>
  <c r="AH159" i="40"/>
  <c r="AE159" i="40"/>
  <c r="AD159" i="40"/>
  <c r="AC159" i="40"/>
  <c r="AB159" i="40"/>
  <c r="AA159" i="40"/>
  <c r="Z159" i="40"/>
  <c r="X159" i="40"/>
  <c r="L159" i="40"/>
  <c r="BD159" i="40" s="1"/>
  <c r="J159" i="40"/>
  <c r="BU157" i="40"/>
  <c r="BH157" i="40"/>
  <c r="AF157" i="40" s="1"/>
  <c r="BB157" i="40"/>
  <c r="AN157" i="40"/>
  <c r="AM157" i="40"/>
  <c r="BF157" i="40" s="1"/>
  <c r="AJ157" i="40"/>
  <c r="AH157" i="40"/>
  <c r="AE157" i="40"/>
  <c r="AD157" i="40"/>
  <c r="AC157" i="40"/>
  <c r="AB157" i="40"/>
  <c r="AA157" i="40"/>
  <c r="Z157" i="40"/>
  <c r="X157" i="40"/>
  <c r="L157" i="40"/>
  <c r="BD157" i="40" s="1"/>
  <c r="J157" i="40"/>
  <c r="AI157" i="40" s="1"/>
  <c r="H157" i="40"/>
  <c r="BU155" i="40"/>
  <c r="BH155" i="40"/>
  <c r="AF155" i="40" s="1"/>
  <c r="BB155" i="40"/>
  <c r="AU155" i="40"/>
  <c r="AN155" i="40"/>
  <c r="BG155" i="40" s="1"/>
  <c r="AM155" i="40"/>
  <c r="BF155" i="40" s="1"/>
  <c r="AJ155" i="40"/>
  <c r="AH155" i="40"/>
  <c r="AE155" i="40"/>
  <c r="AD155" i="40"/>
  <c r="AC155" i="40"/>
  <c r="AB155" i="40"/>
  <c r="AA155" i="40"/>
  <c r="Z155" i="40"/>
  <c r="X155" i="40"/>
  <c r="L155" i="40"/>
  <c r="BD155" i="40" s="1"/>
  <c r="J155" i="40"/>
  <c r="H155" i="40"/>
  <c r="BU153" i="40"/>
  <c r="BH153" i="40"/>
  <c r="AF153" i="40" s="1"/>
  <c r="BB153" i="40"/>
  <c r="AN153" i="40"/>
  <c r="AM153" i="40"/>
  <c r="BF153" i="40" s="1"/>
  <c r="AJ153" i="40"/>
  <c r="AH153" i="40"/>
  <c r="AE153" i="40"/>
  <c r="AD153" i="40"/>
  <c r="AC153" i="40"/>
  <c r="AB153" i="40"/>
  <c r="AA153" i="40"/>
  <c r="Z153" i="40"/>
  <c r="X153" i="40"/>
  <c r="L153" i="40"/>
  <c r="J153" i="40"/>
  <c r="AI153" i="40" s="1"/>
  <c r="H153" i="40"/>
  <c r="BU151" i="40"/>
  <c r="BH151" i="40"/>
  <c r="AF151" i="40" s="1"/>
  <c r="BD151" i="40"/>
  <c r="BB151" i="40"/>
  <c r="AV151" i="40"/>
  <c r="AN151" i="40"/>
  <c r="BG151" i="40" s="1"/>
  <c r="AM151" i="40"/>
  <c r="AJ151" i="40"/>
  <c r="AH151" i="40"/>
  <c r="AE151" i="40"/>
  <c r="AD151" i="40"/>
  <c r="AC151" i="40"/>
  <c r="AB151" i="40"/>
  <c r="AA151" i="40"/>
  <c r="Z151" i="40"/>
  <c r="X151" i="40"/>
  <c r="L151" i="40"/>
  <c r="J151" i="40"/>
  <c r="AQ150" i="40"/>
  <c r="BU149" i="40"/>
  <c r="BH149" i="40"/>
  <c r="X149" i="40" s="1"/>
  <c r="BB149" i="40"/>
  <c r="AU149" i="40"/>
  <c r="AN149" i="40"/>
  <c r="AM149" i="40"/>
  <c r="BF149" i="40" s="1"/>
  <c r="AJ149" i="40"/>
  <c r="AH149" i="40"/>
  <c r="AF149" i="40"/>
  <c r="AE149" i="40"/>
  <c r="AD149" i="40"/>
  <c r="AC149" i="40"/>
  <c r="AB149" i="40"/>
  <c r="AA149" i="40"/>
  <c r="Z149" i="40"/>
  <c r="L149" i="40"/>
  <c r="BD149" i="40" s="1"/>
  <c r="J149" i="40"/>
  <c r="H149" i="40"/>
  <c r="BU148" i="40"/>
  <c r="BH148" i="40"/>
  <c r="X148" i="40" s="1"/>
  <c r="BB148" i="40"/>
  <c r="AN148" i="40"/>
  <c r="AM148" i="40"/>
  <c r="BF148" i="40" s="1"/>
  <c r="AJ148" i="40"/>
  <c r="AS146" i="40" s="1"/>
  <c r="AH148" i="40"/>
  <c r="AF148" i="40"/>
  <c r="AE148" i="40"/>
  <c r="AD148" i="40"/>
  <c r="AC148" i="40"/>
  <c r="AB148" i="40"/>
  <c r="AA148" i="40"/>
  <c r="Z148" i="40"/>
  <c r="L148" i="40"/>
  <c r="BD148" i="40" s="1"/>
  <c r="J148" i="40"/>
  <c r="H148" i="40"/>
  <c r="BU147" i="40"/>
  <c r="BH147" i="40"/>
  <c r="X147" i="40" s="1"/>
  <c r="BB147" i="40"/>
  <c r="AN147" i="40"/>
  <c r="AM147" i="40"/>
  <c r="BF147" i="40" s="1"/>
  <c r="AJ147" i="40"/>
  <c r="AH147" i="40"/>
  <c r="AF147" i="40"/>
  <c r="AE147" i="40"/>
  <c r="AD147" i="40"/>
  <c r="AC147" i="40"/>
  <c r="AB147" i="40"/>
  <c r="AA147" i="40"/>
  <c r="Z147" i="40"/>
  <c r="L147" i="40"/>
  <c r="J147" i="40"/>
  <c r="AI147" i="40" s="1"/>
  <c r="H147" i="40"/>
  <c r="H146" i="40" s="1"/>
  <c r="BU145" i="40"/>
  <c r="BH145" i="40"/>
  <c r="X145" i="40" s="1"/>
  <c r="BB145" i="40"/>
  <c r="AN145" i="40"/>
  <c r="BG145" i="40" s="1"/>
  <c r="AM145" i="40"/>
  <c r="BF145" i="40" s="1"/>
  <c r="AJ145" i="40"/>
  <c r="AH145" i="40"/>
  <c r="AF145" i="40"/>
  <c r="AE145" i="40"/>
  <c r="AD145" i="40"/>
  <c r="AC145" i="40"/>
  <c r="AB145" i="40"/>
  <c r="AA145" i="40"/>
  <c r="Z145" i="40"/>
  <c r="L145" i="40"/>
  <c r="BD145" i="40" s="1"/>
  <c r="J145" i="40"/>
  <c r="H145" i="40"/>
  <c r="BU143" i="40"/>
  <c r="BH143" i="40"/>
  <c r="X143" i="40" s="1"/>
  <c r="BB143" i="40"/>
  <c r="AN143" i="40"/>
  <c r="BG143" i="40" s="1"/>
  <c r="AM143" i="40"/>
  <c r="BF143" i="40" s="1"/>
  <c r="AJ143" i="40"/>
  <c r="AH143" i="40"/>
  <c r="AF143" i="40"/>
  <c r="AE143" i="40"/>
  <c r="AD143" i="40"/>
  <c r="AC143" i="40"/>
  <c r="AB143" i="40"/>
  <c r="AA143" i="40"/>
  <c r="Z143" i="40"/>
  <c r="L143" i="40"/>
  <c r="BD143" i="40" s="1"/>
  <c r="J143" i="40"/>
  <c r="AI143" i="40" s="1"/>
  <c r="BU141" i="40"/>
  <c r="BH141" i="40"/>
  <c r="X141" i="40" s="1"/>
  <c r="BD141" i="40"/>
  <c r="BB141" i="40"/>
  <c r="AN141" i="40"/>
  <c r="BG141" i="40" s="1"/>
  <c r="AM141" i="40"/>
  <c r="AJ141" i="40"/>
  <c r="AH141" i="40"/>
  <c r="AF141" i="40"/>
  <c r="AE141" i="40"/>
  <c r="AD141" i="40"/>
  <c r="AC141" i="40"/>
  <c r="AB141" i="40"/>
  <c r="AA141" i="40"/>
  <c r="Z141" i="40"/>
  <c r="L141" i="40"/>
  <c r="J141" i="40"/>
  <c r="I141" i="40"/>
  <c r="BU140" i="40"/>
  <c r="BH140" i="40"/>
  <c r="X140" i="40" s="1"/>
  <c r="BD140" i="40"/>
  <c r="BB140" i="40"/>
  <c r="AN140" i="40"/>
  <c r="BG140" i="40" s="1"/>
  <c r="AM140" i="40"/>
  <c r="AJ140" i="40"/>
  <c r="AH140" i="40"/>
  <c r="AQ139" i="40" s="1"/>
  <c r="AF140" i="40"/>
  <c r="AE140" i="40"/>
  <c r="AD140" i="40"/>
  <c r="AC140" i="40"/>
  <c r="AB140" i="40"/>
  <c r="AA140" i="40"/>
  <c r="Z140" i="40"/>
  <c r="L140" i="40"/>
  <c r="L139" i="40" s="1"/>
  <c r="J140" i="40"/>
  <c r="AI140" i="40" s="1"/>
  <c r="BU137" i="40"/>
  <c r="BH137" i="40"/>
  <c r="BD137" i="40"/>
  <c r="BB137" i="40"/>
  <c r="AN137" i="40"/>
  <c r="BG137" i="40" s="1"/>
  <c r="AA137" i="40" s="1"/>
  <c r="AM137" i="40"/>
  <c r="BF137" i="40" s="1"/>
  <c r="Z137" i="40" s="1"/>
  <c r="AJ137" i="40"/>
  <c r="AS136" i="40" s="1"/>
  <c r="AH137" i="40"/>
  <c r="AF137" i="40"/>
  <c r="AE137" i="40"/>
  <c r="AD137" i="40"/>
  <c r="AC137" i="40"/>
  <c r="AB137" i="40"/>
  <c r="X137" i="40"/>
  <c r="L137" i="40"/>
  <c r="J137" i="40"/>
  <c r="J136" i="40" s="1"/>
  <c r="AQ136" i="40"/>
  <c r="L136" i="40"/>
  <c r="BU134" i="40"/>
  <c r="BH134" i="40"/>
  <c r="BD134" i="40"/>
  <c r="BB134" i="40"/>
  <c r="AN134" i="40"/>
  <c r="BG134" i="40" s="1"/>
  <c r="AA134" i="40" s="1"/>
  <c r="AM134" i="40"/>
  <c r="BF134" i="40" s="1"/>
  <c r="Z134" i="40" s="1"/>
  <c r="AJ134" i="40"/>
  <c r="AH134" i="40"/>
  <c r="AF134" i="40"/>
  <c r="AE134" i="40"/>
  <c r="AD134" i="40"/>
  <c r="AC134" i="40"/>
  <c r="AB134" i="40"/>
  <c r="X134" i="40"/>
  <c r="L134" i="40"/>
  <c r="J134" i="40"/>
  <c r="I134" i="40"/>
  <c r="I133" i="40" s="1"/>
  <c r="H134" i="40"/>
  <c r="H133" i="40" s="1"/>
  <c r="AS133" i="40"/>
  <c r="AQ133" i="40"/>
  <c r="L133" i="40"/>
  <c r="BU131" i="40"/>
  <c r="BH131" i="40"/>
  <c r="BD131" i="40"/>
  <c r="BB131" i="40"/>
  <c r="AN131" i="40"/>
  <c r="BG131" i="40" s="1"/>
  <c r="AA131" i="40" s="1"/>
  <c r="AM131" i="40"/>
  <c r="BF131" i="40" s="1"/>
  <c r="Z131" i="40" s="1"/>
  <c r="AJ131" i="40"/>
  <c r="AI131" i="40"/>
  <c r="AH131" i="40"/>
  <c r="AF131" i="40"/>
  <c r="AE131" i="40"/>
  <c r="AD131" i="40"/>
  <c r="AC131" i="40"/>
  <c r="AB131" i="40"/>
  <c r="X131" i="40"/>
  <c r="L131" i="40"/>
  <c r="J131" i="40"/>
  <c r="I131" i="40"/>
  <c r="BU129" i="40"/>
  <c r="BH129" i="40"/>
  <c r="BB129" i="40"/>
  <c r="AU129" i="40"/>
  <c r="AN129" i="40"/>
  <c r="BG129" i="40" s="1"/>
  <c r="AA129" i="40" s="1"/>
  <c r="AM129" i="40"/>
  <c r="BF129" i="40" s="1"/>
  <c r="AJ129" i="40"/>
  <c r="AH129" i="40"/>
  <c r="AF129" i="40"/>
  <c r="AE129" i="40"/>
  <c r="AD129" i="40"/>
  <c r="AC129" i="40"/>
  <c r="AB129" i="40"/>
  <c r="Z129" i="40"/>
  <c r="X129" i="40"/>
  <c r="L129" i="40"/>
  <c r="BD129" i="40" s="1"/>
  <c r="J129" i="40"/>
  <c r="H129" i="40"/>
  <c r="BU127" i="40"/>
  <c r="BH127" i="40"/>
  <c r="BB127" i="40"/>
  <c r="AN127" i="40"/>
  <c r="BG127" i="40" s="1"/>
  <c r="AA127" i="40" s="1"/>
  <c r="AM127" i="40"/>
  <c r="BF127" i="40" s="1"/>
  <c r="Z127" i="40" s="1"/>
  <c r="AJ127" i="40"/>
  <c r="AH127" i="40"/>
  <c r="AF127" i="40"/>
  <c r="AE127" i="40"/>
  <c r="AD127" i="40"/>
  <c r="AC127" i="40"/>
  <c r="AB127" i="40"/>
  <c r="X127" i="40"/>
  <c r="L127" i="40"/>
  <c r="BD127" i="40" s="1"/>
  <c r="J127" i="40"/>
  <c r="AI127" i="40" s="1"/>
  <c r="BU125" i="40"/>
  <c r="BH125" i="40"/>
  <c r="BB125" i="40"/>
  <c r="AN125" i="40"/>
  <c r="BG125" i="40" s="1"/>
  <c r="AA125" i="40" s="1"/>
  <c r="AM125" i="40"/>
  <c r="BF125" i="40" s="1"/>
  <c r="AJ125" i="40"/>
  <c r="AH125" i="40"/>
  <c r="AF125" i="40"/>
  <c r="AE125" i="40"/>
  <c r="AD125" i="40"/>
  <c r="AC125" i="40"/>
  <c r="AB125" i="40"/>
  <c r="Z125" i="40"/>
  <c r="X125" i="40"/>
  <c r="L125" i="40"/>
  <c r="BD125" i="40" s="1"/>
  <c r="J125" i="40"/>
  <c r="H125" i="40"/>
  <c r="BU123" i="40"/>
  <c r="BH123" i="40"/>
  <c r="BB123" i="40"/>
  <c r="AN123" i="40"/>
  <c r="BG123" i="40" s="1"/>
  <c r="AA123" i="40" s="1"/>
  <c r="AM123" i="40"/>
  <c r="BF123" i="40" s="1"/>
  <c r="Z123" i="40" s="1"/>
  <c r="AJ123" i="40"/>
  <c r="AH123" i="40"/>
  <c r="AF123" i="40"/>
  <c r="AE123" i="40"/>
  <c r="AD123" i="40"/>
  <c r="AC123" i="40"/>
  <c r="AB123" i="40"/>
  <c r="X123" i="40"/>
  <c r="L123" i="40"/>
  <c r="BD123" i="40" s="1"/>
  <c r="J123" i="40"/>
  <c r="AI123" i="40" s="1"/>
  <c r="H123" i="40"/>
  <c r="BU121" i="40"/>
  <c r="BH121" i="40"/>
  <c r="BD121" i="40"/>
  <c r="BB121" i="40"/>
  <c r="AN121" i="40"/>
  <c r="BG121" i="40" s="1"/>
  <c r="AA121" i="40" s="1"/>
  <c r="AM121" i="40"/>
  <c r="BF121" i="40" s="1"/>
  <c r="AJ121" i="40"/>
  <c r="AH121" i="40"/>
  <c r="AQ120" i="40" s="1"/>
  <c r="AF121" i="40"/>
  <c r="AE121" i="40"/>
  <c r="AD121" i="40"/>
  <c r="AC121" i="40"/>
  <c r="AB121" i="40"/>
  <c r="Z121" i="40"/>
  <c r="X121" i="40"/>
  <c r="L121" i="40"/>
  <c r="J121" i="40"/>
  <c r="H121" i="40"/>
  <c r="L120" i="40"/>
  <c r="BU118" i="40"/>
  <c r="BH118" i="40"/>
  <c r="BD118" i="40"/>
  <c r="BB118" i="40"/>
  <c r="AN118" i="40"/>
  <c r="BG118" i="40" s="1"/>
  <c r="AA118" i="40" s="1"/>
  <c r="AM118" i="40"/>
  <c r="AJ118" i="40"/>
  <c r="AH118" i="40"/>
  <c r="AF118" i="40"/>
  <c r="AE118" i="40"/>
  <c r="AD118" i="40"/>
  <c r="AC118" i="40"/>
  <c r="AB118" i="40"/>
  <c r="X118" i="40"/>
  <c r="L118" i="40"/>
  <c r="J118" i="40"/>
  <c r="I118" i="40"/>
  <c r="H118" i="40"/>
  <c r="BU116" i="40"/>
  <c r="BH116" i="40"/>
  <c r="BB116" i="40"/>
  <c r="AN116" i="40"/>
  <c r="BG116" i="40" s="1"/>
  <c r="AA116" i="40" s="1"/>
  <c r="AM116" i="40"/>
  <c r="BF116" i="40" s="1"/>
  <c r="AJ116" i="40"/>
  <c r="AS115" i="40" s="1"/>
  <c r="AH116" i="40"/>
  <c r="AF116" i="40"/>
  <c r="AE116" i="40"/>
  <c r="AD116" i="40"/>
  <c r="AC116" i="40"/>
  <c r="AB116" i="40"/>
  <c r="Z116" i="40"/>
  <c r="X116" i="40"/>
  <c r="L116" i="40"/>
  <c r="BD116" i="40" s="1"/>
  <c r="J116" i="40"/>
  <c r="AI116" i="40" s="1"/>
  <c r="L115" i="40"/>
  <c r="BU113" i="40"/>
  <c r="BH113" i="40"/>
  <c r="BB113" i="40"/>
  <c r="AU113" i="40"/>
  <c r="AN113" i="40"/>
  <c r="AM113" i="40"/>
  <c r="BF113" i="40" s="1"/>
  <c r="AJ113" i="40"/>
  <c r="AS112" i="40" s="1"/>
  <c r="AH113" i="40"/>
  <c r="AQ112" i="40" s="1"/>
  <c r="AF113" i="40"/>
  <c r="AE113" i="40"/>
  <c r="AD113" i="40"/>
  <c r="AC113" i="40"/>
  <c r="AB113" i="40"/>
  <c r="Z113" i="40"/>
  <c r="X113" i="40"/>
  <c r="L113" i="40"/>
  <c r="BD113" i="40" s="1"/>
  <c r="J113" i="40"/>
  <c r="H113" i="40"/>
  <c r="H112" i="40" s="1"/>
  <c r="BU110" i="40"/>
  <c r="BH110" i="40"/>
  <c r="BD110" i="40"/>
  <c r="BB110" i="40"/>
  <c r="AU110" i="40"/>
  <c r="AN110" i="40"/>
  <c r="BG110" i="40" s="1"/>
  <c r="AA110" i="40" s="1"/>
  <c r="AM110" i="40"/>
  <c r="BF110" i="40" s="1"/>
  <c r="Z110" i="40" s="1"/>
  <c r="AJ110" i="40"/>
  <c r="AH110" i="40"/>
  <c r="AF110" i="40"/>
  <c r="AE110" i="40"/>
  <c r="AD110" i="40"/>
  <c r="AC110" i="40"/>
  <c r="AB110" i="40"/>
  <c r="X110" i="40"/>
  <c r="L110" i="40"/>
  <c r="J110" i="40"/>
  <c r="I110" i="40"/>
  <c r="H110" i="40"/>
  <c r="BU108" i="40"/>
  <c r="BH108" i="40"/>
  <c r="BB108" i="40"/>
  <c r="AN108" i="40"/>
  <c r="AM108" i="40"/>
  <c r="BF108" i="40" s="1"/>
  <c r="AJ108" i="40"/>
  <c r="AH108" i="40"/>
  <c r="AF108" i="40"/>
  <c r="AE108" i="40"/>
  <c r="AD108" i="40"/>
  <c r="AC108" i="40"/>
  <c r="AB108" i="40"/>
  <c r="Z108" i="40"/>
  <c r="X108" i="40"/>
  <c r="L108" i="40"/>
  <c r="BD108" i="40" s="1"/>
  <c r="J108" i="40"/>
  <c r="AI108" i="40" s="1"/>
  <c r="H108" i="40"/>
  <c r="BU106" i="40"/>
  <c r="BH106" i="40"/>
  <c r="BD106" i="40"/>
  <c r="BB106" i="40"/>
  <c r="AU106" i="40"/>
  <c r="AN106" i="40"/>
  <c r="BG106" i="40" s="1"/>
  <c r="AA106" i="40" s="1"/>
  <c r="AM106" i="40"/>
  <c r="BF106" i="40" s="1"/>
  <c r="Z106" i="40" s="1"/>
  <c r="AJ106" i="40"/>
  <c r="AS97" i="40" s="1"/>
  <c r="AH106" i="40"/>
  <c r="AF106" i="40"/>
  <c r="AE106" i="40"/>
  <c r="AD106" i="40"/>
  <c r="AC106" i="40"/>
  <c r="AB106" i="40"/>
  <c r="X106" i="40"/>
  <c r="L106" i="40"/>
  <c r="J106" i="40"/>
  <c r="I106" i="40"/>
  <c r="H106" i="40"/>
  <c r="BU104" i="40"/>
  <c r="BH104" i="40"/>
  <c r="BB104" i="40"/>
  <c r="AN104" i="40"/>
  <c r="AM104" i="40"/>
  <c r="BF104" i="40" s="1"/>
  <c r="AJ104" i="40"/>
  <c r="AH104" i="40"/>
  <c r="AF104" i="40"/>
  <c r="AE104" i="40"/>
  <c r="AD104" i="40"/>
  <c r="AC104" i="40"/>
  <c r="AB104" i="40"/>
  <c r="Z104" i="40"/>
  <c r="X104" i="40"/>
  <c r="L104" i="40"/>
  <c r="BD104" i="40" s="1"/>
  <c r="J104" i="40"/>
  <c r="AI104" i="40" s="1"/>
  <c r="H104" i="40"/>
  <c r="BU102" i="40"/>
  <c r="BH102" i="40"/>
  <c r="BD102" i="40"/>
  <c r="BB102" i="40"/>
  <c r="AN102" i="40"/>
  <c r="BG102" i="40" s="1"/>
  <c r="AA102" i="40" s="1"/>
  <c r="AM102" i="40"/>
  <c r="BF102" i="40" s="1"/>
  <c r="Z102" i="40" s="1"/>
  <c r="AJ102" i="40"/>
  <c r="AH102" i="40"/>
  <c r="AF102" i="40"/>
  <c r="AE102" i="40"/>
  <c r="AD102" i="40"/>
  <c r="AC102" i="40"/>
  <c r="AB102" i="40"/>
  <c r="X102" i="40"/>
  <c r="L102" i="40"/>
  <c r="J102" i="40"/>
  <c r="I102" i="40"/>
  <c r="H102" i="40"/>
  <c r="BU100" i="40"/>
  <c r="BH100" i="40"/>
  <c r="BB100" i="40"/>
  <c r="AU100" i="40"/>
  <c r="AN100" i="40"/>
  <c r="AM100" i="40"/>
  <c r="BF100" i="40" s="1"/>
  <c r="AJ100" i="40"/>
  <c r="AH100" i="40"/>
  <c r="AF100" i="40"/>
  <c r="AE100" i="40"/>
  <c r="AD100" i="40"/>
  <c r="AC100" i="40"/>
  <c r="AB100" i="40"/>
  <c r="Z100" i="40"/>
  <c r="X100" i="40"/>
  <c r="L100" i="40"/>
  <c r="BD100" i="40" s="1"/>
  <c r="J100" i="40"/>
  <c r="AI100" i="40" s="1"/>
  <c r="H100" i="40"/>
  <c r="BU98" i="40"/>
  <c r="BH98" i="40"/>
  <c r="BB98" i="40"/>
  <c r="AN98" i="40"/>
  <c r="BG98" i="40" s="1"/>
  <c r="AM98" i="40"/>
  <c r="BF98" i="40" s="1"/>
  <c r="Z98" i="40" s="1"/>
  <c r="AJ98" i="40"/>
  <c r="AH98" i="40"/>
  <c r="AF98" i="40"/>
  <c r="AE98" i="40"/>
  <c r="AD98" i="40"/>
  <c r="AC98" i="40"/>
  <c r="AB98" i="40"/>
  <c r="AA98" i="40"/>
  <c r="X98" i="40"/>
  <c r="L98" i="40"/>
  <c r="J98" i="40"/>
  <c r="I98" i="40"/>
  <c r="BU95" i="40"/>
  <c r="BH95" i="40"/>
  <c r="BB95" i="40"/>
  <c r="AN95" i="40"/>
  <c r="BG95" i="40" s="1"/>
  <c r="AA95" i="40" s="1"/>
  <c r="AM95" i="40"/>
  <c r="BF95" i="40" s="1"/>
  <c r="Z95" i="40" s="1"/>
  <c r="AJ95" i="40"/>
  <c r="AS94" i="40" s="1"/>
  <c r="AH95" i="40"/>
  <c r="AQ94" i="40" s="1"/>
  <c r="AF95" i="40"/>
  <c r="AE95" i="40"/>
  <c r="AD95" i="40"/>
  <c r="AC95" i="40"/>
  <c r="AB95" i="40"/>
  <c r="X95" i="40"/>
  <c r="L95" i="40"/>
  <c r="BD95" i="40" s="1"/>
  <c r="J95" i="40"/>
  <c r="AI95" i="40" s="1"/>
  <c r="AR94" i="40" s="1"/>
  <c r="H95" i="40"/>
  <c r="H94" i="40" s="1"/>
  <c r="L94" i="40"/>
  <c r="J94" i="40"/>
  <c r="BU92" i="40"/>
  <c r="BH92" i="40"/>
  <c r="BB92" i="40"/>
  <c r="AU92" i="40"/>
  <c r="AN92" i="40"/>
  <c r="AM92" i="40"/>
  <c r="BF92" i="40" s="1"/>
  <c r="Z92" i="40" s="1"/>
  <c r="AJ92" i="40"/>
  <c r="AS91" i="40" s="1"/>
  <c r="AH92" i="40"/>
  <c r="AQ91" i="40" s="1"/>
  <c r="AF92" i="40"/>
  <c r="AE92" i="40"/>
  <c r="AD92" i="40"/>
  <c r="AC92" i="40"/>
  <c r="AB92" i="40"/>
  <c r="X92" i="40"/>
  <c r="L92" i="40"/>
  <c r="BD92" i="40" s="1"/>
  <c r="J92" i="40"/>
  <c r="H92" i="40"/>
  <c r="L91" i="40"/>
  <c r="H91" i="40"/>
  <c r="BU90" i="40"/>
  <c r="BH90" i="40"/>
  <c r="X90" i="40" s="1"/>
  <c r="BB90" i="40"/>
  <c r="AU90" i="40"/>
  <c r="AN90" i="40"/>
  <c r="BG90" i="40" s="1"/>
  <c r="AM90" i="40"/>
  <c r="BF90" i="40" s="1"/>
  <c r="AJ90" i="40"/>
  <c r="AH90" i="40"/>
  <c r="AF90" i="40"/>
  <c r="AE90" i="40"/>
  <c r="AD90" i="40"/>
  <c r="AC90" i="40"/>
  <c r="AB90" i="40"/>
  <c r="AA90" i="40"/>
  <c r="Z90" i="40"/>
  <c r="L90" i="40"/>
  <c r="BD90" i="40" s="1"/>
  <c r="J90" i="40"/>
  <c r="AI90" i="40" s="1"/>
  <c r="H90" i="40"/>
  <c r="BU88" i="40"/>
  <c r="BH88" i="40"/>
  <c r="BB88" i="40"/>
  <c r="AN88" i="40"/>
  <c r="I88" i="40" s="1"/>
  <c r="AM88" i="40"/>
  <c r="BF88" i="40" s="1"/>
  <c r="AJ88" i="40"/>
  <c r="AS85" i="40" s="1"/>
  <c r="AH88" i="40"/>
  <c r="AF88" i="40"/>
  <c r="AE88" i="40"/>
  <c r="AD88" i="40"/>
  <c r="AC88" i="40"/>
  <c r="AB88" i="40"/>
  <c r="Z88" i="40"/>
  <c r="X88" i="40"/>
  <c r="L88" i="40"/>
  <c r="BD88" i="40" s="1"/>
  <c r="J88" i="40"/>
  <c r="AI88" i="40" s="1"/>
  <c r="H88" i="40"/>
  <c r="BU86" i="40"/>
  <c r="BH86" i="40"/>
  <c r="BB86" i="40"/>
  <c r="AU86" i="40"/>
  <c r="AN86" i="40"/>
  <c r="BG86" i="40" s="1"/>
  <c r="AA86" i="40" s="1"/>
  <c r="AM86" i="40"/>
  <c r="BF86" i="40" s="1"/>
  <c r="Z86" i="40" s="1"/>
  <c r="AJ86" i="40"/>
  <c r="AH86" i="40"/>
  <c r="AQ85" i="40" s="1"/>
  <c r="AF86" i="40"/>
  <c r="AE86" i="40"/>
  <c r="AD86" i="40"/>
  <c r="AC86" i="40"/>
  <c r="AB86" i="40"/>
  <c r="X86" i="40"/>
  <c r="L86" i="40"/>
  <c r="J86" i="40"/>
  <c r="AI86" i="40" s="1"/>
  <c r="I86" i="40"/>
  <c r="H86" i="40"/>
  <c r="BU83" i="40"/>
  <c r="BH83" i="40"/>
  <c r="BD83" i="40"/>
  <c r="BB83" i="40"/>
  <c r="AN83" i="40"/>
  <c r="BG83" i="40" s="1"/>
  <c r="AA83" i="40" s="1"/>
  <c r="AM83" i="40"/>
  <c r="AJ83" i="40"/>
  <c r="AH83" i="40"/>
  <c r="AF83" i="40"/>
  <c r="AE83" i="40"/>
  <c r="AD83" i="40"/>
  <c r="AC83" i="40"/>
  <c r="AB83" i="40"/>
  <c r="X83" i="40"/>
  <c r="L83" i="40"/>
  <c r="J83" i="40"/>
  <c r="AI83" i="40" s="1"/>
  <c r="I83" i="40"/>
  <c r="H83" i="40"/>
  <c r="BU81" i="40"/>
  <c r="BH81" i="40"/>
  <c r="BB81" i="40"/>
  <c r="AN81" i="40"/>
  <c r="BG81" i="40" s="1"/>
  <c r="AA81" i="40" s="1"/>
  <c r="AM81" i="40"/>
  <c r="BF81" i="40" s="1"/>
  <c r="Z81" i="40" s="1"/>
  <c r="AJ81" i="40"/>
  <c r="AH81" i="40"/>
  <c r="AQ80" i="40" s="1"/>
  <c r="AF81" i="40"/>
  <c r="AE81" i="40"/>
  <c r="AD81" i="40"/>
  <c r="AC81" i="40"/>
  <c r="AB81" i="40"/>
  <c r="X81" i="40"/>
  <c r="L81" i="40"/>
  <c r="BD81" i="40" s="1"/>
  <c r="J81" i="40"/>
  <c r="AI81" i="40" s="1"/>
  <c r="AR80" i="40" s="1"/>
  <c r="H81" i="40"/>
  <c r="H80" i="40" s="1"/>
  <c r="L80" i="40"/>
  <c r="J80" i="40"/>
  <c r="BU78" i="40"/>
  <c r="BH78" i="40"/>
  <c r="BB78" i="40"/>
  <c r="AU78" i="40"/>
  <c r="AN78" i="40"/>
  <c r="AM78" i="40"/>
  <c r="BF78" i="40" s="1"/>
  <c r="Z78" i="40" s="1"/>
  <c r="AJ78" i="40"/>
  <c r="AS77" i="40" s="1"/>
  <c r="AH78" i="40"/>
  <c r="AQ77" i="40" s="1"/>
  <c r="AF78" i="40"/>
  <c r="AE78" i="40"/>
  <c r="AD78" i="40"/>
  <c r="AC78" i="40"/>
  <c r="AB78" i="40"/>
  <c r="X78" i="40"/>
  <c r="L78" i="40"/>
  <c r="BD78" i="40" s="1"/>
  <c r="J78" i="40"/>
  <c r="H78" i="40"/>
  <c r="L77" i="40"/>
  <c r="H77" i="40"/>
  <c r="BU75" i="40"/>
  <c r="BH75" i="40"/>
  <c r="BB75" i="40"/>
  <c r="AN75" i="40"/>
  <c r="BG75" i="40" s="1"/>
  <c r="AA75" i="40" s="1"/>
  <c r="AM75" i="40"/>
  <c r="BF75" i="40" s="1"/>
  <c r="Z75" i="40" s="1"/>
  <c r="AJ75" i="40"/>
  <c r="AH75" i="40"/>
  <c r="AF75" i="40"/>
  <c r="AE75" i="40"/>
  <c r="AD75" i="40"/>
  <c r="AC75" i="40"/>
  <c r="AB75" i="40"/>
  <c r="X75" i="40"/>
  <c r="L75" i="40"/>
  <c r="BD75" i="40" s="1"/>
  <c r="J75" i="40"/>
  <c r="AI75" i="40" s="1"/>
  <c r="H75" i="40"/>
  <c r="BU74" i="40"/>
  <c r="BH74" i="40"/>
  <c r="BB74" i="40"/>
  <c r="AN74" i="40"/>
  <c r="BG74" i="40" s="1"/>
  <c r="AA74" i="40" s="1"/>
  <c r="AM74" i="40"/>
  <c r="BF74" i="40" s="1"/>
  <c r="Z74" i="40" s="1"/>
  <c r="AJ74" i="40"/>
  <c r="AH74" i="40"/>
  <c r="AF74" i="40"/>
  <c r="AE74" i="40"/>
  <c r="AD74" i="40"/>
  <c r="AC74" i="40"/>
  <c r="AB74" i="40"/>
  <c r="X74" i="40"/>
  <c r="L74" i="40"/>
  <c r="BD74" i="40" s="1"/>
  <c r="J74" i="40"/>
  <c r="AI74" i="40" s="1"/>
  <c r="I74" i="40"/>
  <c r="H74" i="40"/>
  <c r="BU72" i="40"/>
  <c r="BH72" i="40"/>
  <c r="BB72" i="40"/>
  <c r="AU72" i="40"/>
  <c r="AN72" i="40"/>
  <c r="BG72" i="40" s="1"/>
  <c r="AA72" i="40" s="1"/>
  <c r="AM72" i="40"/>
  <c r="BF72" i="40" s="1"/>
  <c r="Z72" i="40" s="1"/>
  <c r="AJ72" i="40"/>
  <c r="AH72" i="40"/>
  <c r="AQ71" i="40" s="1"/>
  <c r="AF72" i="40"/>
  <c r="AE72" i="40"/>
  <c r="AD72" i="40"/>
  <c r="AC72" i="40"/>
  <c r="AB72" i="40"/>
  <c r="X72" i="40"/>
  <c r="L72" i="40"/>
  <c r="J72" i="40"/>
  <c r="AI72" i="40" s="1"/>
  <c r="J71" i="40"/>
  <c r="BU69" i="40"/>
  <c r="BH69" i="40"/>
  <c r="BB69" i="40"/>
  <c r="AN69" i="40"/>
  <c r="AM69" i="40"/>
  <c r="BF69" i="40" s="1"/>
  <c r="Z69" i="40" s="1"/>
  <c r="AJ69" i="40"/>
  <c r="AH69" i="40"/>
  <c r="AF69" i="40"/>
  <c r="AE69" i="40"/>
  <c r="AD69" i="40"/>
  <c r="AC69" i="40"/>
  <c r="AB69" i="40"/>
  <c r="X69" i="40"/>
  <c r="L69" i="40"/>
  <c r="BD69" i="40" s="1"/>
  <c r="J69" i="40"/>
  <c r="AI69" i="40" s="1"/>
  <c r="H69" i="40"/>
  <c r="BU67" i="40"/>
  <c r="BH67" i="40"/>
  <c r="BB67" i="40"/>
  <c r="AN67" i="40"/>
  <c r="BG67" i="40" s="1"/>
  <c r="AA67" i="40" s="1"/>
  <c r="AM67" i="40"/>
  <c r="BF67" i="40" s="1"/>
  <c r="Z67" i="40" s="1"/>
  <c r="AJ67" i="40"/>
  <c r="AH67" i="40"/>
  <c r="AF67" i="40"/>
  <c r="AE67" i="40"/>
  <c r="AD67" i="40"/>
  <c r="AC67" i="40"/>
  <c r="AB67" i="40"/>
  <c r="X67" i="40"/>
  <c r="L67" i="40"/>
  <c r="BD67" i="40" s="1"/>
  <c r="J67" i="40"/>
  <c r="AI67" i="40" s="1"/>
  <c r="I67" i="40"/>
  <c r="H67" i="40"/>
  <c r="BU65" i="40"/>
  <c r="BH65" i="40"/>
  <c r="BB65" i="40"/>
  <c r="AU65" i="40"/>
  <c r="AN65" i="40"/>
  <c r="BG65" i="40" s="1"/>
  <c r="AA65" i="40" s="1"/>
  <c r="AM65" i="40"/>
  <c r="AJ65" i="40"/>
  <c r="AH65" i="40"/>
  <c r="AF65" i="40"/>
  <c r="AE65" i="40"/>
  <c r="AD65" i="40"/>
  <c r="AC65" i="40"/>
  <c r="AB65" i="40"/>
  <c r="X65" i="40"/>
  <c r="L65" i="40"/>
  <c r="BD65" i="40" s="1"/>
  <c r="J65" i="40"/>
  <c r="AI65" i="40" s="1"/>
  <c r="BU63" i="40"/>
  <c r="BH63" i="40"/>
  <c r="BD63" i="40"/>
  <c r="BB63" i="40"/>
  <c r="AU63" i="40"/>
  <c r="AN63" i="40"/>
  <c r="BG63" i="40" s="1"/>
  <c r="AA63" i="40" s="1"/>
  <c r="AM63" i="40"/>
  <c r="BF63" i="40" s="1"/>
  <c r="Z63" i="40" s="1"/>
  <c r="AJ63" i="40"/>
  <c r="AH63" i="40"/>
  <c r="AF63" i="40"/>
  <c r="AE63" i="40"/>
  <c r="AD63" i="40"/>
  <c r="AC63" i="40"/>
  <c r="AB63" i="40"/>
  <c r="X63" i="40"/>
  <c r="L63" i="40"/>
  <c r="J63" i="40"/>
  <c r="AI63" i="40" s="1"/>
  <c r="I63" i="40"/>
  <c r="H63" i="40"/>
  <c r="BU61" i="40"/>
  <c r="BH61" i="40"/>
  <c r="BB61" i="40"/>
  <c r="AN61" i="40"/>
  <c r="AM61" i="40"/>
  <c r="BF61" i="40" s="1"/>
  <c r="Z61" i="40" s="1"/>
  <c r="AJ61" i="40"/>
  <c r="AH61" i="40"/>
  <c r="AF61" i="40"/>
  <c r="AE61" i="40"/>
  <c r="AD61" i="40"/>
  <c r="AC61" i="40"/>
  <c r="AB61" i="40"/>
  <c r="X61" i="40"/>
  <c r="L61" i="40"/>
  <c r="BD61" i="40" s="1"/>
  <c r="J61" i="40"/>
  <c r="AI61" i="40" s="1"/>
  <c r="BU59" i="40"/>
  <c r="BH59" i="40"/>
  <c r="BB59" i="40"/>
  <c r="AN59" i="40"/>
  <c r="BG59" i="40" s="1"/>
  <c r="AA59" i="40" s="1"/>
  <c r="AM59" i="40"/>
  <c r="BF59" i="40" s="1"/>
  <c r="Z59" i="40" s="1"/>
  <c r="AJ59" i="40"/>
  <c r="AH59" i="40"/>
  <c r="AF59" i="40"/>
  <c r="AE59" i="40"/>
  <c r="AD59" i="40"/>
  <c r="AC59" i="40"/>
  <c r="AB59" i="40"/>
  <c r="X59" i="40"/>
  <c r="L59" i="40"/>
  <c r="BD59" i="40" s="1"/>
  <c r="J59" i="40"/>
  <c r="AI59" i="40" s="1"/>
  <c r="I59" i="40"/>
  <c r="H59" i="40"/>
  <c r="BU57" i="40"/>
  <c r="BH57" i="40"/>
  <c r="BB57" i="40"/>
  <c r="AU57" i="40"/>
  <c r="AN57" i="40"/>
  <c r="BG57" i="40" s="1"/>
  <c r="AA57" i="40" s="1"/>
  <c r="AM57" i="40"/>
  <c r="AJ57" i="40"/>
  <c r="AH57" i="40"/>
  <c r="AF57" i="40"/>
  <c r="AE57" i="40"/>
  <c r="AD57" i="40"/>
  <c r="AC57" i="40"/>
  <c r="AB57" i="40"/>
  <c r="X57" i="40"/>
  <c r="L57" i="40"/>
  <c r="BD57" i="40" s="1"/>
  <c r="J57" i="40"/>
  <c r="AI57" i="40" s="1"/>
  <c r="BU55" i="40"/>
  <c r="BH55" i="40"/>
  <c r="BD55" i="40"/>
  <c r="BB55" i="40"/>
  <c r="AN55" i="40"/>
  <c r="BG55" i="40" s="1"/>
  <c r="AA55" i="40" s="1"/>
  <c r="AM55" i="40"/>
  <c r="BF55" i="40" s="1"/>
  <c r="Z55" i="40" s="1"/>
  <c r="AJ55" i="40"/>
  <c r="AS50" i="40" s="1"/>
  <c r="AH55" i="40"/>
  <c r="AF55" i="40"/>
  <c r="AE55" i="40"/>
  <c r="AD55" i="40"/>
  <c r="AC55" i="40"/>
  <c r="AB55" i="40"/>
  <c r="X55" i="40"/>
  <c r="L55" i="40"/>
  <c r="J55" i="40"/>
  <c r="AI55" i="40" s="1"/>
  <c r="I55" i="40"/>
  <c r="H55" i="40"/>
  <c r="BU53" i="40"/>
  <c r="BH53" i="40"/>
  <c r="BB53" i="40"/>
  <c r="AN53" i="40"/>
  <c r="AM53" i="40"/>
  <c r="BF53" i="40" s="1"/>
  <c r="Z53" i="40" s="1"/>
  <c r="AJ53" i="40"/>
  <c r="AH53" i="40"/>
  <c r="AF53" i="40"/>
  <c r="AE53" i="40"/>
  <c r="AD53" i="40"/>
  <c r="AC53" i="40"/>
  <c r="AB53" i="40"/>
  <c r="X53" i="40"/>
  <c r="L53" i="40"/>
  <c r="BD53" i="40" s="1"/>
  <c r="J53" i="40"/>
  <c r="H53" i="40"/>
  <c r="BU51" i="40"/>
  <c r="BH51" i="40"/>
  <c r="BB51" i="40"/>
  <c r="AN51" i="40"/>
  <c r="BG51" i="40" s="1"/>
  <c r="AA51" i="40" s="1"/>
  <c r="AM51" i="40"/>
  <c r="BF51" i="40" s="1"/>
  <c r="Z51" i="40" s="1"/>
  <c r="AJ51" i="40"/>
  <c r="AH51" i="40"/>
  <c r="AF51" i="40"/>
  <c r="AE51" i="40"/>
  <c r="AD51" i="40"/>
  <c r="AC51" i="40"/>
  <c r="AB51" i="40"/>
  <c r="X51" i="40"/>
  <c r="L51" i="40"/>
  <c r="BD51" i="40" s="1"/>
  <c r="J51" i="40"/>
  <c r="AI51" i="40" s="1"/>
  <c r="I51" i="40"/>
  <c r="H51" i="40"/>
  <c r="BU48" i="40"/>
  <c r="BH48" i="40"/>
  <c r="BD48" i="40"/>
  <c r="BB48" i="40"/>
  <c r="AN48" i="40"/>
  <c r="BG48" i="40" s="1"/>
  <c r="AA48" i="40" s="1"/>
  <c r="AM48" i="40"/>
  <c r="AU48" i="40" s="1"/>
  <c r="AJ48" i="40"/>
  <c r="AH48" i="40"/>
  <c r="AF48" i="40"/>
  <c r="AE48" i="40"/>
  <c r="AD48" i="40"/>
  <c r="AC48" i="40"/>
  <c r="AB48" i="40"/>
  <c r="X48" i="40"/>
  <c r="L48" i="40"/>
  <c r="J48" i="40"/>
  <c r="I48" i="40"/>
  <c r="BU46" i="40"/>
  <c r="BH46" i="40"/>
  <c r="BD46" i="40"/>
  <c r="BB46" i="40"/>
  <c r="AN46" i="40"/>
  <c r="BG46" i="40" s="1"/>
  <c r="AA46" i="40" s="1"/>
  <c r="AM46" i="40"/>
  <c r="AU46" i="40" s="1"/>
  <c r="AJ46" i="40"/>
  <c r="AH46" i="40"/>
  <c r="AQ45" i="40" s="1"/>
  <c r="AF46" i="40"/>
  <c r="AE46" i="40"/>
  <c r="AD46" i="40"/>
  <c r="AC46" i="40"/>
  <c r="AB46" i="40"/>
  <c r="X46" i="40"/>
  <c r="L46" i="40"/>
  <c r="J46" i="40"/>
  <c r="J45" i="40" s="1"/>
  <c r="I46" i="40"/>
  <c r="AS45" i="40"/>
  <c r="L45" i="40"/>
  <c r="BU43" i="40"/>
  <c r="BH43" i="40"/>
  <c r="BB43" i="40"/>
  <c r="AN43" i="40"/>
  <c r="BG43" i="40" s="1"/>
  <c r="AA43" i="40" s="1"/>
  <c r="AM43" i="40"/>
  <c r="AU43" i="40" s="1"/>
  <c r="AJ43" i="40"/>
  <c r="AH43" i="40"/>
  <c r="AF43" i="40"/>
  <c r="AE43" i="40"/>
  <c r="AD43" i="40"/>
  <c r="AC43" i="40"/>
  <c r="AB43" i="40"/>
  <c r="X43" i="40"/>
  <c r="L43" i="40"/>
  <c r="BD43" i="40" s="1"/>
  <c r="J43" i="40"/>
  <c r="AI43" i="40" s="1"/>
  <c r="I43" i="40"/>
  <c r="BU41" i="40"/>
  <c r="BH41" i="40"/>
  <c r="BD41" i="40"/>
  <c r="BB41" i="40"/>
  <c r="AN41" i="40"/>
  <c r="BG41" i="40" s="1"/>
  <c r="AA41" i="40" s="1"/>
  <c r="AM41" i="40"/>
  <c r="AU41" i="40" s="1"/>
  <c r="AJ41" i="40"/>
  <c r="AH41" i="40"/>
  <c r="AF41" i="40"/>
  <c r="AE41" i="40"/>
  <c r="AD41" i="40"/>
  <c r="AC41" i="40"/>
  <c r="AB41" i="40"/>
  <c r="X41" i="40"/>
  <c r="L41" i="40"/>
  <c r="J41" i="40"/>
  <c r="I41" i="40"/>
  <c r="BU39" i="40"/>
  <c r="BH39" i="40"/>
  <c r="BD39" i="40"/>
  <c r="BB39" i="40"/>
  <c r="AN39" i="40"/>
  <c r="AM39" i="40"/>
  <c r="AJ39" i="40"/>
  <c r="AH39" i="40"/>
  <c r="AF39" i="40"/>
  <c r="AE39" i="40"/>
  <c r="AD39" i="40"/>
  <c r="AC39" i="40"/>
  <c r="AB39" i="40"/>
  <c r="X39" i="40"/>
  <c r="L39" i="40"/>
  <c r="J39" i="40"/>
  <c r="AI39" i="40" s="1"/>
  <c r="I39" i="40"/>
  <c r="BU37" i="40"/>
  <c r="BH37" i="40"/>
  <c r="BB37" i="40"/>
  <c r="AN37" i="40"/>
  <c r="AV37" i="40" s="1"/>
  <c r="AM37" i="40"/>
  <c r="BF37" i="40" s="1"/>
  <c r="AJ37" i="40"/>
  <c r="AH37" i="40"/>
  <c r="AF37" i="40"/>
  <c r="AE37" i="40"/>
  <c r="AD37" i="40"/>
  <c r="AC37" i="40"/>
  <c r="AB37" i="40"/>
  <c r="Z37" i="40"/>
  <c r="X37" i="40"/>
  <c r="L37" i="40"/>
  <c r="BD37" i="40" s="1"/>
  <c r="J37" i="40"/>
  <c r="AI37" i="40" s="1"/>
  <c r="I37" i="40"/>
  <c r="BU35" i="40"/>
  <c r="BH35" i="40"/>
  <c r="BD35" i="40"/>
  <c r="BB35" i="40"/>
  <c r="AN35" i="40"/>
  <c r="AV35" i="40" s="1"/>
  <c r="AM35" i="40"/>
  <c r="BF35" i="40" s="1"/>
  <c r="Z35" i="40" s="1"/>
  <c r="AJ35" i="40"/>
  <c r="AH35" i="40"/>
  <c r="AF35" i="40"/>
  <c r="AE35" i="40"/>
  <c r="AD35" i="40"/>
  <c r="AC35" i="40"/>
  <c r="AB35" i="40"/>
  <c r="X35" i="40"/>
  <c r="L35" i="40"/>
  <c r="J35" i="40"/>
  <c r="AI35" i="40" s="1"/>
  <c r="I35" i="40"/>
  <c r="BU33" i="40"/>
  <c r="BH33" i="40"/>
  <c r="BB33" i="40"/>
  <c r="AN33" i="40"/>
  <c r="AV33" i="40" s="1"/>
  <c r="AM33" i="40"/>
  <c r="BF33" i="40" s="1"/>
  <c r="Z33" i="40" s="1"/>
  <c r="AJ33" i="40"/>
  <c r="AH33" i="40"/>
  <c r="AF33" i="40"/>
  <c r="AE33" i="40"/>
  <c r="AD33" i="40"/>
  <c r="AC33" i="40"/>
  <c r="AB33" i="40"/>
  <c r="X33" i="40"/>
  <c r="L33" i="40"/>
  <c r="BD33" i="40" s="1"/>
  <c r="J33" i="40"/>
  <c r="AI33" i="40" s="1"/>
  <c r="I33" i="40"/>
  <c r="H33" i="40"/>
  <c r="BU31" i="40"/>
  <c r="BH31" i="40"/>
  <c r="BB31" i="40"/>
  <c r="AN31" i="40"/>
  <c r="AV31" i="40" s="1"/>
  <c r="AM31" i="40"/>
  <c r="BF31" i="40" s="1"/>
  <c r="Z31" i="40" s="1"/>
  <c r="AJ31" i="40"/>
  <c r="AH31" i="40"/>
  <c r="AF31" i="40"/>
  <c r="AE31" i="40"/>
  <c r="AD31" i="40"/>
  <c r="AC31" i="40"/>
  <c r="AB31" i="40"/>
  <c r="X31" i="40"/>
  <c r="L31" i="40"/>
  <c r="BD31" i="40" s="1"/>
  <c r="J31" i="40"/>
  <c r="AI31" i="40" s="1"/>
  <c r="I31" i="40"/>
  <c r="I28" i="40" s="1"/>
  <c r="H31" i="40"/>
  <c r="BU29" i="40"/>
  <c r="BH29" i="40"/>
  <c r="BD29" i="40"/>
  <c r="BB29" i="40"/>
  <c r="AN29" i="40"/>
  <c r="AV29" i="40" s="1"/>
  <c r="AM29" i="40"/>
  <c r="BF29" i="40" s="1"/>
  <c r="Z29" i="40" s="1"/>
  <c r="AJ29" i="40"/>
  <c r="AH29" i="40"/>
  <c r="AF29" i="40"/>
  <c r="AE29" i="40"/>
  <c r="AD29" i="40"/>
  <c r="AC29" i="40"/>
  <c r="AB29" i="40"/>
  <c r="X29" i="40"/>
  <c r="L29" i="40"/>
  <c r="J29" i="40"/>
  <c r="AI29" i="40" s="1"/>
  <c r="I29" i="40"/>
  <c r="H29" i="40"/>
  <c r="L28" i="40"/>
  <c r="BU26" i="40"/>
  <c r="BH26" i="40"/>
  <c r="BB26" i="40"/>
  <c r="AN26" i="40"/>
  <c r="AV26" i="40" s="1"/>
  <c r="AM26" i="40"/>
  <c r="BF26" i="40" s="1"/>
  <c r="Z26" i="40" s="1"/>
  <c r="AJ26" i="40"/>
  <c r="AH26" i="40"/>
  <c r="AQ23" i="40" s="1"/>
  <c r="AF26" i="40"/>
  <c r="AE26" i="40"/>
  <c r="AD26" i="40"/>
  <c r="AC26" i="40"/>
  <c r="AB26" i="40"/>
  <c r="X26" i="40"/>
  <c r="L26" i="40"/>
  <c r="BD26" i="40" s="1"/>
  <c r="J26" i="40"/>
  <c r="AI26" i="40" s="1"/>
  <c r="I26" i="40"/>
  <c r="H26" i="40"/>
  <c r="BU24" i="40"/>
  <c r="BH24" i="40"/>
  <c r="BD24" i="40"/>
  <c r="BB24" i="40"/>
  <c r="AN24" i="40"/>
  <c r="AV24" i="40" s="1"/>
  <c r="AM24" i="40"/>
  <c r="BF24" i="40" s="1"/>
  <c r="Z24" i="40" s="1"/>
  <c r="AJ24" i="40"/>
  <c r="AH24" i="40"/>
  <c r="AF24" i="40"/>
  <c r="AE24" i="40"/>
  <c r="AD24" i="40"/>
  <c r="AC24" i="40"/>
  <c r="AB24" i="40"/>
  <c r="X24" i="40"/>
  <c r="L24" i="40"/>
  <c r="L23" i="40" s="1"/>
  <c r="J24" i="40"/>
  <c r="AI24" i="40" s="1"/>
  <c r="I24" i="40"/>
  <c r="H24" i="40"/>
  <c r="H23" i="40" s="1"/>
  <c r="BU21" i="40"/>
  <c r="BH21" i="40"/>
  <c r="BB21" i="40"/>
  <c r="AN21" i="40"/>
  <c r="AV21" i="40" s="1"/>
  <c r="AM21" i="40"/>
  <c r="BF21" i="40" s="1"/>
  <c r="Z21" i="40" s="1"/>
  <c r="AJ21" i="40"/>
  <c r="AH21" i="40"/>
  <c r="AF21" i="40"/>
  <c r="AE21" i="40"/>
  <c r="AD21" i="40"/>
  <c r="AC21" i="40"/>
  <c r="AB21" i="40"/>
  <c r="X21" i="40"/>
  <c r="L21" i="40"/>
  <c r="BD21" i="40" s="1"/>
  <c r="J21" i="40"/>
  <c r="AI21" i="40" s="1"/>
  <c r="I21" i="40"/>
  <c r="H21" i="40"/>
  <c r="BU19" i="40"/>
  <c r="BH19" i="40"/>
  <c r="BD19" i="40"/>
  <c r="BB19" i="40"/>
  <c r="AN19" i="40"/>
  <c r="AV19" i="40" s="1"/>
  <c r="AM19" i="40"/>
  <c r="BF19" i="40" s="1"/>
  <c r="Z19" i="40" s="1"/>
  <c r="AJ19" i="40"/>
  <c r="AH19" i="40"/>
  <c r="AF19" i="40"/>
  <c r="AE19" i="40"/>
  <c r="AD19" i="40"/>
  <c r="AC19" i="40"/>
  <c r="AB19" i="40"/>
  <c r="X19" i="40"/>
  <c r="L19" i="40"/>
  <c r="J19" i="40"/>
  <c r="AI19" i="40" s="1"/>
  <c r="I19" i="40"/>
  <c r="H19" i="40"/>
  <c r="BU17" i="40"/>
  <c r="BH17" i="40"/>
  <c r="BB17" i="40"/>
  <c r="AU17" i="40"/>
  <c r="AN17" i="40"/>
  <c r="AV17" i="40" s="1"/>
  <c r="AM17" i="40"/>
  <c r="BF17" i="40" s="1"/>
  <c r="Z17" i="40" s="1"/>
  <c r="AJ17" i="40"/>
  <c r="AH17" i="40"/>
  <c r="AF17" i="40"/>
  <c r="AE17" i="40"/>
  <c r="AD17" i="40"/>
  <c r="AC17" i="40"/>
  <c r="AB17" i="40"/>
  <c r="X17" i="40"/>
  <c r="L17" i="40"/>
  <c r="BD17" i="40" s="1"/>
  <c r="J17" i="40"/>
  <c r="AI17" i="40" s="1"/>
  <c r="I17" i="40"/>
  <c r="H17" i="40"/>
  <c r="BU15" i="40"/>
  <c r="BH15" i="40"/>
  <c r="BD15" i="40"/>
  <c r="BB15" i="40"/>
  <c r="AU15" i="40"/>
  <c r="AT15" i="40" s="1"/>
  <c r="AN15" i="40"/>
  <c r="AV15" i="40" s="1"/>
  <c r="AM15" i="40"/>
  <c r="BF15" i="40" s="1"/>
  <c r="Z15" i="40" s="1"/>
  <c r="AJ15" i="40"/>
  <c r="AH15" i="40"/>
  <c r="AF15" i="40"/>
  <c r="AE15" i="40"/>
  <c r="AD15" i="40"/>
  <c r="AC15" i="40"/>
  <c r="AB15" i="40"/>
  <c r="X15" i="40"/>
  <c r="L15" i="40"/>
  <c r="J15" i="40"/>
  <c r="AI15" i="40" s="1"/>
  <c r="I15" i="40"/>
  <c r="H15" i="40"/>
  <c r="BU13" i="40"/>
  <c r="BH13" i="40"/>
  <c r="BB13" i="40"/>
  <c r="AN13" i="40"/>
  <c r="AV13" i="40" s="1"/>
  <c r="AM13" i="40"/>
  <c r="BF13" i="40" s="1"/>
  <c r="Z13" i="40" s="1"/>
  <c r="AJ13" i="40"/>
  <c r="AH13" i="40"/>
  <c r="AF13" i="40"/>
  <c r="AE13" i="40"/>
  <c r="AD13" i="40"/>
  <c r="AC13" i="40"/>
  <c r="AB13" i="40"/>
  <c r="X13" i="40"/>
  <c r="L13" i="40"/>
  <c r="BD13" i="40" s="1"/>
  <c r="J13" i="40"/>
  <c r="AI13" i="40" s="1"/>
  <c r="I13" i="40"/>
  <c r="H13" i="40"/>
  <c r="L12" i="40"/>
  <c r="AS1" i="40"/>
  <c r="AR1" i="40"/>
  <c r="AQ1" i="40"/>
  <c r="BU178" i="39"/>
  <c r="BH178" i="39"/>
  <c r="AF178" i="39" s="1"/>
  <c r="BB178" i="39"/>
  <c r="AU178" i="39"/>
  <c r="AN178" i="39"/>
  <c r="BG178" i="39" s="1"/>
  <c r="AM178" i="39"/>
  <c r="BF178" i="39" s="1"/>
  <c r="AJ178" i="39"/>
  <c r="AH178" i="39"/>
  <c r="AE178" i="39"/>
  <c r="AD178" i="39"/>
  <c r="AC178" i="39"/>
  <c r="AB178" i="39"/>
  <c r="AA178" i="39"/>
  <c r="Z178" i="39"/>
  <c r="X178" i="39"/>
  <c r="L178" i="39"/>
  <c r="BD178" i="39" s="1"/>
  <c r="J178" i="39"/>
  <c r="H178" i="39"/>
  <c r="BU176" i="39"/>
  <c r="BH176" i="39"/>
  <c r="AF176" i="39" s="1"/>
  <c r="BB176" i="39"/>
  <c r="AU176" i="39"/>
  <c r="AN176" i="39"/>
  <c r="BG176" i="39" s="1"/>
  <c r="AM176" i="39"/>
  <c r="BF176" i="39" s="1"/>
  <c r="AJ176" i="39"/>
  <c r="AH176" i="39"/>
  <c r="AE176" i="39"/>
  <c r="AD176" i="39"/>
  <c r="AC176" i="39"/>
  <c r="AB176" i="39"/>
  <c r="AA176" i="39"/>
  <c r="Z176" i="39"/>
  <c r="X176" i="39"/>
  <c r="L176" i="39"/>
  <c r="BD176" i="39" s="1"/>
  <c r="J176" i="39"/>
  <c r="AI176" i="39" s="1"/>
  <c r="H176" i="39"/>
  <c r="BU174" i="39"/>
  <c r="BH174" i="39"/>
  <c r="AF174" i="39" s="1"/>
  <c r="BD174" i="39"/>
  <c r="BB174" i="39"/>
  <c r="AV174" i="39"/>
  <c r="AN174" i="39"/>
  <c r="BG174" i="39" s="1"/>
  <c r="AM174" i="39"/>
  <c r="BF174" i="39" s="1"/>
  <c r="AJ174" i="39"/>
  <c r="AH174" i="39"/>
  <c r="AE174" i="39"/>
  <c r="AD174" i="39"/>
  <c r="AC174" i="39"/>
  <c r="AB174" i="39"/>
  <c r="AA174" i="39"/>
  <c r="Z174" i="39"/>
  <c r="X174" i="39"/>
  <c r="L174" i="39"/>
  <c r="J174" i="39"/>
  <c r="AI174" i="39" s="1"/>
  <c r="I174" i="39"/>
  <c r="BU172" i="39"/>
  <c r="BH172" i="39"/>
  <c r="AF172" i="39" s="1"/>
  <c r="BB172" i="39"/>
  <c r="AU172" i="39"/>
  <c r="AN172" i="39"/>
  <c r="BG172" i="39" s="1"/>
  <c r="AM172" i="39"/>
  <c r="BF172" i="39" s="1"/>
  <c r="AJ172" i="39"/>
  <c r="AH172" i="39"/>
  <c r="AE172" i="39"/>
  <c r="AD172" i="39"/>
  <c r="AC172" i="39"/>
  <c r="AB172" i="39"/>
  <c r="AA172" i="39"/>
  <c r="Z172" i="39"/>
  <c r="X172" i="39"/>
  <c r="L172" i="39"/>
  <c r="BD172" i="39" s="1"/>
  <c r="J172" i="39"/>
  <c r="AI172" i="39" s="1"/>
  <c r="I172" i="39"/>
  <c r="H172" i="39"/>
  <c r="BU170" i="39"/>
  <c r="BH170" i="39"/>
  <c r="AF170" i="39" s="1"/>
  <c r="BB170" i="39"/>
  <c r="AV170" i="39"/>
  <c r="AN170" i="39"/>
  <c r="BG170" i="39" s="1"/>
  <c r="AM170" i="39"/>
  <c r="BF170" i="39" s="1"/>
  <c r="AJ170" i="39"/>
  <c r="AH170" i="39"/>
  <c r="AQ159" i="39" s="1"/>
  <c r="AE170" i="39"/>
  <c r="AD170" i="39"/>
  <c r="AC170" i="39"/>
  <c r="AB170" i="39"/>
  <c r="AA170" i="39"/>
  <c r="Z170" i="39"/>
  <c r="X170" i="39"/>
  <c r="L170" i="39"/>
  <c r="BD170" i="39" s="1"/>
  <c r="J170" i="39"/>
  <c r="I170" i="39"/>
  <c r="H170" i="39"/>
  <c r="BU168" i="39"/>
  <c r="BH168" i="39"/>
  <c r="AF168" i="39" s="1"/>
  <c r="BB168" i="39"/>
  <c r="AV168" i="39"/>
  <c r="AN168" i="39"/>
  <c r="BG168" i="39" s="1"/>
  <c r="AM168" i="39"/>
  <c r="BF168" i="39" s="1"/>
  <c r="AJ168" i="39"/>
  <c r="AH168" i="39"/>
  <c r="AE168" i="39"/>
  <c r="AD168" i="39"/>
  <c r="AC168" i="39"/>
  <c r="AB168" i="39"/>
  <c r="AA168" i="39"/>
  <c r="Z168" i="39"/>
  <c r="X168" i="39"/>
  <c r="L168" i="39"/>
  <c r="BD168" i="39" s="1"/>
  <c r="J168" i="39"/>
  <c r="AI168" i="39" s="1"/>
  <c r="I168" i="39"/>
  <c r="BU166" i="39"/>
  <c r="BH166" i="39"/>
  <c r="AF166" i="39" s="1"/>
  <c r="BB166" i="39"/>
  <c r="AU166" i="39"/>
  <c r="AN166" i="39"/>
  <c r="BG166" i="39" s="1"/>
  <c r="AM166" i="39"/>
  <c r="BF166" i="39" s="1"/>
  <c r="AJ166" i="39"/>
  <c r="AH166" i="39"/>
  <c r="AE166" i="39"/>
  <c r="AD166" i="39"/>
  <c r="AC166" i="39"/>
  <c r="AB166" i="39"/>
  <c r="AA166" i="39"/>
  <c r="Z166" i="39"/>
  <c r="X166" i="39"/>
  <c r="L166" i="39"/>
  <c r="BD166" i="39" s="1"/>
  <c r="J166" i="39"/>
  <c r="AI166" i="39" s="1"/>
  <c r="I166" i="39"/>
  <c r="H166" i="39"/>
  <c r="BU164" i="39"/>
  <c r="BH164" i="39"/>
  <c r="AF164" i="39" s="1"/>
  <c r="BD164" i="39"/>
  <c r="BB164" i="39"/>
  <c r="AV164" i="39"/>
  <c r="AU164" i="39"/>
  <c r="BA164" i="39" s="1"/>
  <c r="AT164" i="39"/>
  <c r="AN164" i="39"/>
  <c r="BG164" i="39" s="1"/>
  <c r="AM164" i="39"/>
  <c r="BF164" i="39" s="1"/>
  <c r="AJ164" i="39"/>
  <c r="AI164" i="39"/>
  <c r="AH164" i="39"/>
  <c r="AE164" i="39"/>
  <c r="AD164" i="39"/>
  <c r="AC164" i="39"/>
  <c r="AB164" i="39"/>
  <c r="AA164" i="39"/>
  <c r="Z164" i="39"/>
  <c r="X164" i="39"/>
  <c r="L164" i="39"/>
  <c r="J164" i="39"/>
  <c r="I164" i="39"/>
  <c r="H164" i="39"/>
  <c r="BU162" i="39"/>
  <c r="BH162" i="39"/>
  <c r="AF162" i="39" s="1"/>
  <c r="BB162" i="39"/>
  <c r="AU162" i="39"/>
  <c r="AN162" i="39"/>
  <c r="BG162" i="39" s="1"/>
  <c r="AM162" i="39"/>
  <c r="BF162" i="39" s="1"/>
  <c r="AJ162" i="39"/>
  <c r="AH162" i="39"/>
  <c r="AE162" i="39"/>
  <c r="AD162" i="39"/>
  <c r="AC162" i="39"/>
  <c r="AB162" i="39"/>
  <c r="AA162" i="39"/>
  <c r="Z162" i="39"/>
  <c r="X162" i="39"/>
  <c r="L162" i="39"/>
  <c r="BD162" i="39" s="1"/>
  <c r="J162" i="39"/>
  <c r="H162" i="39"/>
  <c r="BU160" i="39"/>
  <c r="BH160" i="39"/>
  <c r="AF160" i="39" s="1"/>
  <c r="BB160" i="39"/>
  <c r="AU160" i="39"/>
  <c r="AN160" i="39"/>
  <c r="BG160" i="39" s="1"/>
  <c r="AM160" i="39"/>
  <c r="BF160" i="39" s="1"/>
  <c r="AJ160" i="39"/>
  <c r="AS159" i="39" s="1"/>
  <c r="AH160" i="39"/>
  <c r="AE160" i="39"/>
  <c r="AD160" i="39"/>
  <c r="AC160" i="39"/>
  <c r="AB160" i="39"/>
  <c r="AA160" i="39"/>
  <c r="Z160" i="39"/>
  <c r="X160" i="39"/>
  <c r="L160" i="39"/>
  <c r="BD160" i="39" s="1"/>
  <c r="J160" i="39"/>
  <c r="I160" i="39"/>
  <c r="H160" i="39"/>
  <c r="BU158" i="39"/>
  <c r="BH158" i="39"/>
  <c r="X158" i="39" s="1"/>
  <c r="BD158" i="39"/>
  <c r="BB158" i="39"/>
  <c r="AV158" i="39"/>
  <c r="AU158" i="39"/>
  <c r="BA158" i="39" s="1"/>
  <c r="AT158" i="39"/>
  <c r="AN158" i="39"/>
  <c r="BG158" i="39" s="1"/>
  <c r="AM158" i="39"/>
  <c r="BF158" i="39" s="1"/>
  <c r="AJ158" i="39"/>
  <c r="AI158" i="39"/>
  <c r="AH158" i="39"/>
  <c r="AF158" i="39"/>
  <c r="AE158" i="39"/>
  <c r="AD158" i="39"/>
  <c r="AC158" i="39"/>
  <c r="AB158" i="39"/>
  <c r="AA158" i="39"/>
  <c r="Z158" i="39"/>
  <c r="L158" i="39"/>
  <c r="J158" i="39"/>
  <c r="I158" i="39"/>
  <c r="H158" i="39"/>
  <c r="BU157" i="39"/>
  <c r="BH157" i="39"/>
  <c r="X157" i="39" s="1"/>
  <c r="BB157" i="39"/>
  <c r="AN157" i="39"/>
  <c r="BG157" i="39" s="1"/>
  <c r="AM157" i="39"/>
  <c r="BF157" i="39" s="1"/>
  <c r="AJ157" i="39"/>
  <c r="AH157" i="39"/>
  <c r="AF157" i="39"/>
  <c r="AE157" i="39"/>
  <c r="AD157" i="39"/>
  <c r="AC157" i="39"/>
  <c r="AB157" i="39"/>
  <c r="AA157" i="39"/>
  <c r="Z157" i="39"/>
  <c r="L157" i="39"/>
  <c r="BD157" i="39" s="1"/>
  <c r="J157" i="39"/>
  <c r="I157" i="39"/>
  <c r="H157" i="39"/>
  <c r="H155" i="39" s="1"/>
  <c r="BU156" i="39"/>
  <c r="BH156" i="39"/>
  <c r="X156" i="39" s="1"/>
  <c r="BB156" i="39"/>
  <c r="AN156" i="39"/>
  <c r="BG156" i="39" s="1"/>
  <c r="AM156" i="39"/>
  <c r="BF156" i="39" s="1"/>
  <c r="AJ156" i="39"/>
  <c r="AS155" i="39" s="1"/>
  <c r="AH156" i="39"/>
  <c r="AF156" i="39"/>
  <c r="AE156" i="39"/>
  <c r="AD156" i="39"/>
  <c r="AC156" i="39"/>
  <c r="AB156" i="39"/>
  <c r="AA156" i="39"/>
  <c r="Z156" i="39"/>
  <c r="L156" i="39"/>
  <c r="BD156" i="39" s="1"/>
  <c r="J156" i="39"/>
  <c r="AI156" i="39" s="1"/>
  <c r="I156" i="39"/>
  <c r="I155" i="39" s="1"/>
  <c r="H156" i="39"/>
  <c r="AQ155" i="39"/>
  <c r="L155" i="39"/>
  <c r="BU154" i="39"/>
  <c r="BH154" i="39"/>
  <c r="X154" i="39" s="1"/>
  <c r="BB154" i="39"/>
  <c r="AU154" i="39"/>
  <c r="AN154" i="39"/>
  <c r="BG154" i="39" s="1"/>
  <c r="AM154" i="39"/>
  <c r="BF154" i="39" s="1"/>
  <c r="AJ154" i="39"/>
  <c r="AI154" i="39"/>
  <c r="AH154" i="39"/>
  <c r="AF154" i="39"/>
  <c r="AE154" i="39"/>
  <c r="AD154" i="39"/>
  <c r="AC154" i="39"/>
  <c r="AB154" i="39"/>
  <c r="AA154" i="39"/>
  <c r="Z154" i="39"/>
  <c r="L154" i="39"/>
  <c r="BD154" i="39" s="1"/>
  <c r="J154" i="39"/>
  <c r="I154" i="39"/>
  <c r="H154" i="39"/>
  <c r="BU152" i="39"/>
  <c r="BH152" i="39"/>
  <c r="X152" i="39" s="1"/>
  <c r="BB152" i="39"/>
  <c r="AN152" i="39"/>
  <c r="BG152" i="39" s="1"/>
  <c r="AM152" i="39"/>
  <c r="BF152" i="39" s="1"/>
  <c r="AJ152" i="39"/>
  <c r="AH152" i="39"/>
  <c r="AF152" i="39"/>
  <c r="AE152" i="39"/>
  <c r="AD152" i="39"/>
  <c r="AC152" i="39"/>
  <c r="AB152" i="39"/>
  <c r="AA152" i="39"/>
  <c r="Z152" i="39"/>
  <c r="L152" i="39"/>
  <c r="BD152" i="39" s="1"/>
  <c r="J152" i="39"/>
  <c r="I152" i="39"/>
  <c r="H152" i="39"/>
  <c r="BU150" i="39"/>
  <c r="BH150" i="39"/>
  <c r="X150" i="39" s="1"/>
  <c r="BB150" i="39"/>
  <c r="AN150" i="39"/>
  <c r="BG150" i="39" s="1"/>
  <c r="AM150" i="39"/>
  <c r="BF150" i="39" s="1"/>
  <c r="AJ150" i="39"/>
  <c r="AS148" i="39" s="1"/>
  <c r="AH150" i="39"/>
  <c r="AF150" i="39"/>
  <c r="AE150" i="39"/>
  <c r="AD150" i="39"/>
  <c r="AC150" i="39"/>
  <c r="AB150" i="39"/>
  <c r="AA150" i="39"/>
  <c r="Z150" i="39"/>
  <c r="L150" i="39"/>
  <c r="BD150" i="39" s="1"/>
  <c r="J150" i="39"/>
  <c r="AI150" i="39" s="1"/>
  <c r="I150" i="39"/>
  <c r="I148" i="39" s="1"/>
  <c r="H150" i="39"/>
  <c r="BU149" i="39"/>
  <c r="BH149" i="39"/>
  <c r="X149" i="39" s="1"/>
  <c r="BD149" i="39"/>
  <c r="BB149" i="39"/>
  <c r="AN149" i="39"/>
  <c r="BG149" i="39" s="1"/>
  <c r="AM149" i="39"/>
  <c r="BF149" i="39" s="1"/>
  <c r="AJ149" i="39"/>
  <c r="AH149" i="39"/>
  <c r="AF149" i="39"/>
  <c r="AE149" i="39"/>
  <c r="AD149" i="39"/>
  <c r="AC149" i="39"/>
  <c r="AB149" i="39"/>
  <c r="AA149" i="39"/>
  <c r="Z149" i="39"/>
  <c r="L149" i="39"/>
  <c r="L148" i="39" s="1"/>
  <c r="J149" i="39"/>
  <c r="AI149" i="39" s="1"/>
  <c r="I149" i="39"/>
  <c r="AQ148" i="39"/>
  <c r="BU146" i="39"/>
  <c r="BH146" i="39"/>
  <c r="BB146" i="39"/>
  <c r="AU146" i="39"/>
  <c r="AN146" i="39"/>
  <c r="BG146" i="39" s="1"/>
  <c r="AM146" i="39"/>
  <c r="BF146" i="39" s="1"/>
  <c r="Z146" i="39" s="1"/>
  <c r="AJ146" i="39"/>
  <c r="AH146" i="39"/>
  <c r="AQ145" i="39" s="1"/>
  <c r="AF146" i="39"/>
  <c r="AE146" i="39"/>
  <c r="AD146" i="39"/>
  <c r="AC146" i="39"/>
  <c r="AB146" i="39"/>
  <c r="AA146" i="39"/>
  <c r="X146" i="39"/>
  <c r="L146" i="39"/>
  <c r="BD146" i="39" s="1"/>
  <c r="J146" i="39"/>
  <c r="AI146" i="39" s="1"/>
  <c r="AR145" i="39" s="1"/>
  <c r="I146" i="39"/>
  <c r="H146" i="39"/>
  <c r="AS145" i="39"/>
  <c r="J145" i="39"/>
  <c r="I145" i="39"/>
  <c r="H145" i="39"/>
  <c r="BU143" i="39"/>
  <c r="BH143" i="39"/>
  <c r="BD143" i="39"/>
  <c r="BB143" i="39"/>
  <c r="AN143" i="39"/>
  <c r="BG143" i="39" s="1"/>
  <c r="AM143" i="39"/>
  <c r="BF143" i="39" s="1"/>
  <c r="Z143" i="39" s="1"/>
  <c r="AJ143" i="39"/>
  <c r="AH143" i="39"/>
  <c r="AF143" i="39"/>
  <c r="AE143" i="39"/>
  <c r="AD143" i="39"/>
  <c r="AC143" i="39"/>
  <c r="AB143" i="39"/>
  <c r="AA143" i="39"/>
  <c r="X143" i="39"/>
  <c r="L143" i="39"/>
  <c r="J143" i="39"/>
  <c r="AI143" i="39" s="1"/>
  <c r="AR142" i="39" s="1"/>
  <c r="I143" i="39"/>
  <c r="I142" i="39" s="1"/>
  <c r="AS142" i="39"/>
  <c r="AQ142" i="39"/>
  <c r="L142" i="39"/>
  <c r="J142" i="39"/>
  <c r="BU140" i="39"/>
  <c r="BH140" i="39"/>
  <c r="BB140" i="39"/>
  <c r="AU140" i="39"/>
  <c r="AN140" i="39"/>
  <c r="BG140" i="39" s="1"/>
  <c r="AM140" i="39"/>
  <c r="BF140" i="39" s="1"/>
  <c r="Z140" i="39" s="1"/>
  <c r="AJ140" i="39"/>
  <c r="AH140" i="39"/>
  <c r="AF140" i="39"/>
  <c r="AE140" i="39"/>
  <c r="AD140" i="39"/>
  <c r="AC140" i="39"/>
  <c r="AB140" i="39"/>
  <c r="AA140" i="39"/>
  <c r="X140" i="39"/>
  <c r="L140" i="39"/>
  <c r="BD140" i="39" s="1"/>
  <c r="J140" i="39"/>
  <c r="AI140" i="39" s="1"/>
  <c r="I140" i="39"/>
  <c r="H140" i="39"/>
  <c r="BU138" i="39"/>
  <c r="BH138" i="39"/>
  <c r="BB138" i="39"/>
  <c r="AU138" i="39"/>
  <c r="AN138" i="39"/>
  <c r="BG138" i="39" s="1"/>
  <c r="AM138" i="39"/>
  <c r="BF138" i="39" s="1"/>
  <c r="Z138" i="39" s="1"/>
  <c r="AJ138" i="39"/>
  <c r="AH138" i="39"/>
  <c r="AF138" i="39"/>
  <c r="AE138" i="39"/>
  <c r="AD138" i="39"/>
  <c r="AC138" i="39"/>
  <c r="AB138" i="39"/>
  <c r="AA138" i="39"/>
  <c r="X138" i="39"/>
  <c r="L138" i="39"/>
  <c r="BD138" i="39" s="1"/>
  <c r="J138" i="39"/>
  <c r="AI138" i="39" s="1"/>
  <c r="I138" i="39"/>
  <c r="H138" i="39"/>
  <c r="BU136" i="39"/>
  <c r="BH136" i="39"/>
  <c r="BB136" i="39"/>
  <c r="AU136" i="39"/>
  <c r="AN136" i="39"/>
  <c r="BG136" i="39" s="1"/>
  <c r="AM136" i="39"/>
  <c r="BF136" i="39" s="1"/>
  <c r="Z136" i="39" s="1"/>
  <c r="AJ136" i="39"/>
  <c r="AH136" i="39"/>
  <c r="AF136" i="39"/>
  <c r="AE136" i="39"/>
  <c r="AD136" i="39"/>
  <c r="AC136" i="39"/>
  <c r="AB136" i="39"/>
  <c r="AA136" i="39"/>
  <c r="X136" i="39"/>
  <c r="L136" i="39"/>
  <c r="BD136" i="39" s="1"/>
  <c r="J136" i="39"/>
  <c r="AI136" i="39" s="1"/>
  <c r="I136" i="39"/>
  <c r="H136" i="39"/>
  <c r="BU134" i="39"/>
  <c r="BH134" i="39"/>
  <c r="BB134" i="39"/>
  <c r="AU134" i="39"/>
  <c r="AN134" i="39"/>
  <c r="BG134" i="39" s="1"/>
  <c r="AM134" i="39"/>
  <c r="BF134" i="39" s="1"/>
  <c r="Z134" i="39" s="1"/>
  <c r="AJ134" i="39"/>
  <c r="AH134" i="39"/>
  <c r="AF134" i="39"/>
  <c r="AE134" i="39"/>
  <c r="AD134" i="39"/>
  <c r="AC134" i="39"/>
  <c r="AB134" i="39"/>
  <c r="AA134" i="39"/>
  <c r="X134" i="39"/>
  <c r="L134" i="39"/>
  <c r="BD134" i="39" s="1"/>
  <c r="J134" i="39"/>
  <c r="AI134" i="39" s="1"/>
  <c r="I134" i="39"/>
  <c r="H134" i="39"/>
  <c r="BU132" i="39"/>
  <c r="BH132" i="39"/>
  <c r="BB132" i="39"/>
  <c r="AU132" i="39"/>
  <c r="AN132" i="39"/>
  <c r="BG132" i="39" s="1"/>
  <c r="AM132" i="39"/>
  <c r="BF132" i="39" s="1"/>
  <c r="Z132" i="39" s="1"/>
  <c r="AJ132" i="39"/>
  <c r="AH132" i="39"/>
  <c r="AF132" i="39"/>
  <c r="AE132" i="39"/>
  <c r="AD132" i="39"/>
  <c r="AC132" i="39"/>
  <c r="AB132" i="39"/>
  <c r="AA132" i="39"/>
  <c r="X132" i="39"/>
  <c r="L132" i="39"/>
  <c r="BD132" i="39" s="1"/>
  <c r="J132" i="39"/>
  <c r="AI132" i="39" s="1"/>
  <c r="I132" i="39"/>
  <c r="H132" i="39"/>
  <c r="BU130" i="39"/>
  <c r="BH130" i="39"/>
  <c r="BB130" i="39"/>
  <c r="AU130" i="39"/>
  <c r="AN130" i="39"/>
  <c r="BG130" i="39" s="1"/>
  <c r="AM130" i="39"/>
  <c r="BF130" i="39" s="1"/>
  <c r="Z130" i="39" s="1"/>
  <c r="AJ130" i="39"/>
  <c r="AH130" i="39"/>
  <c r="AQ129" i="39" s="1"/>
  <c r="AF130" i="39"/>
  <c r="AE130" i="39"/>
  <c r="AD130" i="39"/>
  <c r="AC130" i="39"/>
  <c r="AB130" i="39"/>
  <c r="AA130" i="39"/>
  <c r="X130" i="39"/>
  <c r="L130" i="39"/>
  <c r="BD130" i="39" s="1"/>
  <c r="J130" i="39"/>
  <c r="AI130" i="39" s="1"/>
  <c r="I130" i="39"/>
  <c r="H130" i="39"/>
  <c r="AS129" i="39"/>
  <c r="J129" i="39"/>
  <c r="I129" i="39"/>
  <c r="H129" i="39"/>
  <c r="BU127" i="39"/>
  <c r="BH127" i="39"/>
  <c r="BD127" i="39"/>
  <c r="BB127" i="39"/>
  <c r="AN127" i="39"/>
  <c r="BG127" i="39" s="1"/>
  <c r="AM127" i="39"/>
  <c r="BF127" i="39" s="1"/>
  <c r="Z127" i="39" s="1"/>
  <c r="AJ127" i="39"/>
  <c r="AH127" i="39"/>
  <c r="AF127" i="39"/>
  <c r="AE127" i="39"/>
  <c r="AD127" i="39"/>
  <c r="AC127" i="39"/>
  <c r="AB127" i="39"/>
  <c r="AA127" i="39"/>
  <c r="X127" i="39"/>
  <c r="L127" i="39"/>
  <c r="J127" i="39"/>
  <c r="AI127" i="39" s="1"/>
  <c r="I127" i="39"/>
  <c r="BU125" i="39"/>
  <c r="BH125" i="39"/>
  <c r="BD125" i="39"/>
  <c r="BB125" i="39"/>
  <c r="AN125" i="39"/>
  <c r="BG125" i="39" s="1"/>
  <c r="AM125" i="39"/>
  <c r="BF125" i="39" s="1"/>
  <c r="Z125" i="39" s="1"/>
  <c r="AJ125" i="39"/>
  <c r="AH125" i="39"/>
  <c r="AF125" i="39"/>
  <c r="AE125" i="39"/>
  <c r="AD125" i="39"/>
  <c r="AC125" i="39"/>
  <c r="AB125" i="39"/>
  <c r="AA125" i="39"/>
  <c r="X125" i="39"/>
  <c r="L125" i="39"/>
  <c r="J125" i="39"/>
  <c r="AI125" i="39" s="1"/>
  <c r="I125" i="39"/>
  <c r="BU123" i="39"/>
  <c r="BH123" i="39"/>
  <c r="BD123" i="39"/>
  <c r="BB123" i="39"/>
  <c r="AN123" i="39"/>
  <c r="BG123" i="39" s="1"/>
  <c r="AM123" i="39"/>
  <c r="BF123" i="39" s="1"/>
  <c r="Z123" i="39" s="1"/>
  <c r="AJ123" i="39"/>
  <c r="AH123" i="39"/>
  <c r="AF123" i="39"/>
  <c r="AE123" i="39"/>
  <c r="AD123" i="39"/>
  <c r="AC123" i="39"/>
  <c r="AB123" i="39"/>
  <c r="AA123" i="39"/>
  <c r="X123" i="39"/>
  <c r="L123" i="39"/>
  <c r="J123" i="39"/>
  <c r="AI123" i="39" s="1"/>
  <c r="I123" i="39"/>
  <c r="I122" i="39" s="1"/>
  <c r="AS122" i="39"/>
  <c r="AQ122" i="39"/>
  <c r="L122" i="39"/>
  <c r="J122" i="39"/>
  <c r="BU120" i="39"/>
  <c r="BH120" i="39"/>
  <c r="BB120" i="39"/>
  <c r="AU120" i="39"/>
  <c r="AN120" i="39"/>
  <c r="BG120" i="39" s="1"/>
  <c r="AM120" i="39"/>
  <c r="BF120" i="39" s="1"/>
  <c r="Z120" i="39" s="1"/>
  <c r="AJ120" i="39"/>
  <c r="AH120" i="39"/>
  <c r="AQ119" i="39" s="1"/>
  <c r="AF120" i="39"/>
  <c r="AE120" i="39"/>
  <c r="AD120" i="39"/>
  <c r="AC120" i="39"/>
  <c r="AB120" i="39"/>
  <c r="AA120" i="39"/>
  <c r="X120" i="39"/>
  <c r="L120" i="39"/>
  <c r="BD120" i="39" s="1"/>
  <c r="J120" i="39"/>
  <c r="AI120" i="39" s="1"/>
  <c r="AR119" i="39" s="1"/>
  <c r="I120" i="39"/>
  <c r="H120" i="39"/>
  <c r="AS119" i="39"/>
  <c r="J119" i="39"/>
  <c r="I119" i="39"/>
  <c r="H119" i="39"/>
  <c r="BU117" i="39"/>
  <c r="BH117" i="39"/>
  <c r="BD117" i="39"/>
  <c r="BB117" i="39"/>
  <c r="AN117" i="39"/>
  <c r="BG117" i="39" s="1"/>
  <c r="AM117" i="39"/>
  <c r="BF117" i="39" s="1"/>
  <c r="Z117" i="39" s="1"/>
  <c r="AJ117" i="39"/>
  <c r="AH117" i="39"/>
  <c r="AF117" i="39"/>
  <c r="AE117" i="39"/>
  <c r="AD117" i="39"/>
  <c r="AC117" i="39"/>
  <c r="AB117" i="39"/>
  <c r="AA117" i="39"/>
  <c r="X117" i="39"/>
  <c r="L117" i="39"/>
  <c r="J117" i="39"/>
  <c r="AI117" i="39" s="1"/>
  <c r="AR116" i="39" s="1"/>
  <c r="I117" i="39"/>
  <c r="I116" i="39" s="1"/>
  <c r="AS116" i="39"/>
  <c r="AQ116" i="39"/>
  <c r="L116" i="39"/>
  <c r="J116" i="39"/>
  <c r="BU114" i="39"/>
  <c r="BH114" i="39"/>
  <c r="BB114" i="39"/>
  <c r="AU114" i="39"/>
  <c r="AN114" i="39"/>
  <c r="BG114" i="39" s="1"/>
  <c r="AM114" i="39"/>
  <c r="BF114" i="39" s="1"/>
  <c r="Z114" i="39" s="1"/>
  <c r="AJ114" i="39"/>
  <c r="AH114" i="39"/>
  <c r="AF114" i="39"/>
  <c r="AE114" i="39"/>
  <c r="AD114" i="39"/>
  <c r="AC114" i="39"/>
  <c r="AB114" i="39"/>
  <c r="AA114" i="39"/>
  <c r="X114" i="39"/>
  <c r="L114" i="39"/>
  <c r="BD114" i="39" s="1"/>
  <c r="J114" i="39"/>
  <c r="AI114" i="39" s="1"/>
  <c r="I114" i="39"/>
  <c r="H114" i="39"/>
  <c r="BU112" i="39"/>
  <c r="BH112" i="39"/>
  <c r="BB112" i="39"/>
  <c r="AU112" i="39"/>
  <c r="AN112" i="39"/>
  <c r="BG112" i="39" s="1"/>
  <c r="AM112" i="39"/>
  <c r="BF112" i="39" s="1"/>
  <c r="Z112" i="39" s="1"/>
  <c r="AJ112" i="39"/>
  <c r="AH112" i="39"/>
  <c r="AF112" i="39"/>
  <c r="AE112" i="39"/>
  <c r="AD112" i="39"/>
  <c r="AC112" i="39"/>
  <c r="AB112" i="39"/>
  <c r="AA112" i="39"/>
  <c r="X112" i="39"/>
  <c r="L112" i="39"/>
  <c r="BD112" i="39" s="1"/>
  <c r="J112" i="39"/>
  <c r="AI112" i="39" s="1"/>
  <c r="I112" i="39"/>
  <c r="H112" i="39"/>
  <c r="BU110" i="39"/>
  <c r="BH110" i="39"/>
  <c r="BB110" i="39"/>
  <c r="AU110" i="39"/>
  <c r="AN110" i="39"/>
  <c r="BG110" i="39" s="1"/>
  <c r="AM110" i="39"/>
  <c r="BF110" i="39" s="1"/>
  <c r="Z110" i="39" s="1"/>
  <c r="AJ110" i="39"/>
  <c r="AH110" i="39"/>
  <c r="AF110" i="39"/>
  <c r="AE110" i="39"/>
  <c r="AD110" i="39"/>
  <c r="AC110" i="39"/>
  <c r="AB110" i="39"/>
  <c r="AA110" i="39"/>
  <c r="X110" i="39"/>
  <c r="L110" i="39"/>
  <c r="BD110" i="39" s="1"/>
  <c r="J110" i="39"/>
  <c r="AI110" i="39" s="1"/>
  <c r="I110" i="39"/>
  <c r="H110" i="39"/>
  <c r="BU108" i="39"/>
  <c r="BH108" i="39"/>
  <c r="BB108" i="39"/>
  <c r="AU108" i="39"/>
  <c r="AN108" i="39"/>
  <c r="BG108" i="39" s="1"/>
  <c r="AM108" i="39"/>
  <c r="BF108" i="39" s="1"/>
  <c r="Z108" i="39" s="1"/>
  <c r="AJ108" i="39"/>
  <c r="AH108" i="39"/>
  <c r="AF108" i="39"/>
  <c r="AE108" i="39"/>
  <c r="AD108" i="39"/>
  <c r="AC108" i="39"/>
  <c r="AB108" i="39"/>
  <c r="AA108" i="39"/>
  <c r="X108" i="39"/>
  <c r="L108" i="39"/>
  <c r="BD108" i="39" s="1"/>
  <c r="J108" i="39"/>
  <c r="AI108" i="39" s="1"/>
  <c r="I108" i="39"/>
  <c r="H108" i="39"/>
  <c r="BU106" i="39"/>
  <c r="BH106" i="39"/>
  <c r="BB106" i="39"/>
  <c r="AU106" i="39"/>
  <c r="AN106" i="39"/>
  <c r="BG106" i="39" s="1"/>
  <c r="AM106" i="39"/>
  <c r="BF106" i="39" s="1"/>
  <c r="Z106" i="39" s="1"/>
  <c r="AJ106" i="39"/>
  <c r="AH106" i="39"/>
  <c r="AF106" i="39"/>
  <c r="AE106" i="39"/>
  <c r="AD106" i="39"/>
  <c r="AC106" i="39"/>
  <c r="AB106" i="39"/>
  <c r="AA106" i="39"/>
  <c r="X106" i="39"/>
  <c r="L106" i="39"/>
  <c r="BD106" i="39" s="1"/>
  <c r="J106" i="39"/>
  <c r="AI106" i="39" s="1"/>
  <c r="I106" i="39"/>
  <c r="H106" i="39"/>
  <c r="BU104" i="39"/>
  <c r="BH104" i="39"/>
  <c r="BB104" i="39"/>
  <c r="AU104" i="39"/>
  <c r="AN104" i="39"/>
  <c r="BG104" i="39" s="1"/>
  <c r="AM104" i="39"/>
  <c r="BF104" i="39" s="1"/>
  <c r="Z104" i="39" s="1"/>
  <c r="AJ104" i="39"/>
  <c r="AH104" i="39"/>
  <c r="AF104" i="39"/>
  <c r="AE104" i="39"/>
  <c r="AD104" i="39"/>
  <c r="AC104" i="39"/>
  <c r="AB104" i="39"/>
  <c r="AA104" i="39"/>
  <c r="X104" i="39"/>
  <c r="L104" i="39"/>
  <c r="BD104" i="39" s="1"/>
  <c r="J104" i="39"/>
  <c r="AI104" i="39" s="1"/>
  <c r="I104" i="39"/>
  <c r="H104" i="39"/>
  <c r="BU102" i="39"/>
  <c r="BH102" i="39"/>
  <c r="BB102" i="39"/>
  <c r="AU102" i="39"/>
  <c r="AN102" i="39"/>
  <c r="BG102" i="39" s="1"/>
  <c r="AM102" i="39"/>
  <c r="BF102" i="39" s="1"/>
  <c r="Z102" i="39" s="1"/>
  <c r="AJ102" i="39"/>
  <c r="AH102" i="39"/>
  <c r="AQ101" i="39" s="1"/>
  <c r="AF102" i="39"/>
  <c r="AE102" i="39"/>
  <c r="AD102" i="39"/>
  <c r="AC102" i="39"/>
  <c r="AB102" i="39"/>
  <c r="AA102" i="39"/>
  <c r="X102" i="39"/>
  <c r="L102" i="39"/>
  <c r="BD102" i="39" s="1"/>
  <c r="J102" i="39"/>
  <c r="AI102" i="39" s="1"/>
  <c r="I102" i="39"/>
  <c r="H102" i="39"/>
  <c r="AS101" i="39"/>
  <c r="I101" i="39"/>
  <c r="H101" i="39"/>
  <c r="BU99" i="39"/>
  <c r="BH99" i="39"/>
  <c r="BD99" i="39"/>
  <c r="BB99" i="39"/>
  <c r="AN99" i="39"/>
  <c r="BG99" i="39" s="1"/>
  <c r="AM99" i="39"/>
  <c r="BF99" i="39" s="1"/>
  <c r="Z99" i="39" s="1"/>
  <c r="AJ99" i="39"/>
  <c r="AH99" i="39"/>
  <c r="AF99" i="39"/>
  <c r="AE99" i="39"/>
  <c r="AD99" i="39"/>
  <c r="AC99" i="39"/>
  <c r="AB99" i="39"/>
  <c r="AA99" i="39"/>
  <c r="X99" i="39"/>
  <c r="L99" i="39"/>
  <c r="J99" i="39"/>
  <c r="AI99" i="39" s="1"/>
  <c r="AR98" i="39" s="1"/>
  <c r="I99" i="39"/>
  <c r="I98" i="39" s="1"/>
  <c r="AS98" i="39"/>
  <c r="AQ98" i="39"/>
  <c r="L98" i="39"/>
  <c r="J98" i="39"/>
  <c r="BU96" i="39"/>
  <c r="BH96" i="39"/>
  <c r="BB96" i="39"/>
  <c r="AN96" i="39"/>
  <c r="AM96" i="39"/>
  <c r="BF96" i="39" s="1"/>
  <c r="Z96" i="39" s="1"/>
  <c r="AJ96" i="39"/>
  <c r="AH96" i="39"/>
  <c r="AF96" i="39"/>
  <c r="AE96" i="39"/>
  <c r="AD96" i="39"/>
  <c r="AC96" i="39"/>
  <c r="AB96" i="39"/>
  <c r="X96" i="39"/>
  <c r="L96" i="39"/>
  <c r="BD96" i="39" s="1"/>
  <c r="J96" i="39"/>
  <c r="AI96" i="39" s="1"/>
  <c r="AR95" i="39" s="1"/>
  <c r="H96" i="39"/>
  <c r="H95" i="39" s="1"/>
  <c r="AS95" i="39"/>
  <c r="AQ95" i="39"/>
  <c r="L95" i="39"/>
  <c r="J95" i="39"/>
  <c r="BU94" i="39"/>
  <c r="BH94" i="39"/>
  <c r="BG94" i="39"/>
  <c r="BB94" i="39"/>
  <c r="AV94" i="39"/>
  <c r="AU94" i="39"/>
  <c r="AN94" i="39"/>
  <c r="AM94" i="39"/>
  <c r="H94" i="39" s="1"/>
  <c r="AJ94" i="39"/>
  <c r="AS89" i="39" s="1"/>
  <c r="AH94" i="39"/>
  <c r="AF94" i="39"/>
  <c r="AE94" i="39"/>
  <c r="AD94" i="39"/>
  <c r="AC94" i="39"/>
  <c r="AB94" i="39"/>
  <c r="AA94" i="39"/>
  <c r="Z94" i="39"/>
  <c r="X94" i="39"/>
  <c r="L94" i="39"/>
  <c r="BD94" i="39" s="1"/>
  <c r="J94" i="39"/>
  <c r="AI94" i="39" s="1"/>
  <c r="I94" i="39"/>
  <c r="BU92" i="39"/>
  <c r="BH92" i="39"/>
  <c r="BB92" i="39"/>
  <c r="AN92" i="39"/>
  <c r="BG92" i="39" s="1"/>
  <c r="AA92" i="39" s="1"/>
  <c r="AM92" i="39"/>
  <c r="BF92" i="39" s="1"/>
  <c r="Z92" i="39" s="1"/>
  <c r="AJ92" i="39"/>
  <c r="AH92" i="39"/>
  <c r="AF92" i="39"/>
  <c r="AE92" i="39"/>
  <c r="AD92" i="39"/>
  <c r="AC92" i="39"/>
  <c r="AB92" i="39"/>
  <c r="X92" i="39"/>
  <c r="L92" i="39"/>
  <c r="BD92" i="39" s="1"/>
  <c r="J92" i="39"/>
  <c r="AI92" i="39" s="1"/>
  <c r="H92" i="39"/>
  <c r="BU90" i="39"/>
  <c r="BH90" i="39"/>
  <c r="BB90" i="39"/>
  <c r="AV90" i="39"/>
  <c r="AN90" i="39"/>
  <c r="BG90" i="39" s="1"/>
  <c r="AA90" i="39" s="1"/>
  <c r="AM90" i="39"/>
  <c r="AU90" i="39" s="1"/>
  <c r="AT90" i="39" s="1"/>
  <c r="AJ90" i="39"/>
  <c r="AH90" i="39"/>
  <c r="AQ89" i="39" s="1"/>
  <c r="AF90" i="39"/>
  <c r="AE90" i="39"/>
  <c r="AD90" i="39"/>
  <c r="AC90" i="39"/>
  <c r="AB90" i="39"/>
  <c r="X90" i="39"/>
  <c r="L90" i="39"/>
  <c r="BD90" i="39" s="1"/>
  <c r="J90" i="39"/>
  <c r="AI90" i="39" s="1"/>
  <c r="I90" i="39"/>
  <c r="H90" i="39"/>
  <c r="H89" i="39" s="1"/>
  <c r="J89" i="39"/>
  <c r="BU87" i="39"/>
  <c r="BH87" i="39"/>
  <c r="BF87" i="39"/>
  <c r="Z87" i="39" s="1"/>
  <c r="BB87" i="39"/>
  <c r="AN87" i="39"/>
  <c r="BG87" i="39" s="1"/>
  <c r="AA87" i="39" s="1"/>
  <c r="AM87" i="39"/>
  <c r="AU87" i="39" s="1"/>
  <c r="AJ87" i="39"/>
  <c r="AH87" i="39"/>
  <c r="AF87" i="39"/>
  <c r="AE87" i="39"/>
  <c r="AD87" i="39"/>
  <c r="AC87" i="39"/>
  <c r="AB87" i="39"/>
  <c r="X87" i="39"/>
  <c r="L87" i="39"/>
  <c r="BD87" i="39" s="1"/>
  <c r="J87" i="39"/>
  <c r="AI87" i="39" s="1"/>
  <c r="I87" i="39"/>
  <c r="H87" i="39"/>
  <c r="BU85" i="39"/>
  <c r="BH85" i="39"/>
  <c r="BB85" i="39"/>
  <c r="AN85" i="39"/>
  <c r="I85" i="39" s="1"/>
  <c r="I84" i="39" s="1"/>
  <c r="AM85" i="39"/>
  <c r="AU85" i="39" s="1"/>
  <c r="AJ85" i="39"/>
  <c r="AS84" i="39" s="1"/>
  <c r="AH85" i="39"/>
  <c r="AF85" i="39"/>
  <c r="AE85" i="39"/>
  <c r="AD85" i="39"/>
  <c r="AC85" i="39"/>
  <c r="AB85" i="39"/>
  <c r="X85" i="39"/>
  <c r="L85" i="39"/>
  <c r="BD85" i="39" s="1"/>
  <c r="J85" i="39"/>
  <c r="AI85" i="39" s="1"/>
  <c r="AR84" i="39" s="1"/>
  <c r="H85" i="39"/>
  <c r="H84" i="39" s="1"/>
  <c r="L84" i="39"/>
  <c r="J84" i="39"/>
  <c r="BU82" i="39"/>
  <c r="BH82" i="39"/>
  <c r="BB82" i="39"/>
  <c r="AN82" i="39"/>
  <c r="I82" i="39" s="1"/>
  <c r="I81" i="39" s="1"/>
  <c r="AM82" i="39"/>
  <c r="AU82" i="39" s="1"/>
  <c r="AJ82" i="39"/>
  <c r="AS81" i="39" s="1"/>
  <c r="AH82" i="39"/>
  <c r="AF82" i="39"/>
  <c r="AE82" i="39"/>
  <c r="AD82" i="39"/>
  <c r="AC82" i="39"/>
  <c r="AB82" i="39"/>
  <c r="X82" i="39"/>
  <c r="L82" i="39"/>
  <c r="BD82" i="39" s="1"/>
  <c r="J82" i="39"/>
  <c r="AI82" i="39" s="1"/>
  <c r="AR81" i="39" s="1"/>
  <c r="H82" i="39"/>
  <c r="H81" i="39" s="1"/>
  <c r="AQ81" i="39"/>
  <c r="L81" i="39"/>
  <c r="BU79" i="39"/>
  <c r="BH79" i="39"/>
  <c r="BB79" i="39"/>
  <c r="AV79" i="39"/>
  <c r="AN79" i="39"/>
  <c r="BG79" i="39" s="1"/>
  <c r="AA79" i="39" s="1"/>
  <c r="AM79" i="39"/>
  <c r="AU79" i="39" s="1"/>
  <c r="AJ79" i="39"/>
  <c r="AH79" i="39"/>
  <c r="AF79" i="39"/>
  <c r="AE79" i="39"/>
  <c r="AD79" i="39"/>
  <c r="AC79" i="39"/>
  <c r="AB79" i="39"/>
  <c r="X79" i="39"/>
  <c r="L79" i="39"/>
  <c r="BD79" i="39" s="1"/>
  <c r="J79" i="39"/>
  <c r="AI79" i="39" s="1"/>
  <c r="I79" i="39"/>
  <c r="H79" i="39"/>
  <c r="BU78" i="39"/>
  <c r="BH78" i="39"/>
  <c r="BB78" i="39"/>
  <c r="AN78" i="39"/>
  <c r="AV78" i="39" s="1"/>
  <c r="AM78" i="39"/>
  <c r="BF78" i="39" s="1"/>
  <c r="Z78" i="39" s="1"/>
  <c r="AJ78" i="39"/>
  <c r="AH78" i="39"/>
  <c r="AF78" i="39"/>
  <c r="AE78" i="39"/>
  <c r="AD78" i="39"/>
  <c r="AC78" i="39"/>
  <c r="AB78" i="39"/>
  <c r="X78" i="39"/>
  <c r="L78" i="39"/>
  <c r="BD78" i="39" s="1"/>
  <c r="J78" i="39"/>
  <c r="AI78" i="39" s="1"/>
  <c r="BU76" i="39"/>
  <c r="BH76" i="39"/>
  <c r="BB76" i="39"/>
  <c r="AU76" i="39"/>
  <c r="AN76" i="39"/>
  <c r="BG76" i="39" s="1"/>
  <c r="AA76" i="39" s="1"/>
  <c r="AM76" i="39"/>
  <c r="BF76" i="39" s="1"/>
  <c r="Z76" i="39" s="1"/>
  <c r="AJ76" i="39"/>
  <c r="AS75" i="39" s="1"/>
  <c r="AH76" i="39"/>
  <c r="AF76" i="39"/>
  <c r="AE76" i="39"/>
  <c r="AD76" i="39"/>
  <c r="AC76" i="39"/>
  <c r="AB76" i="39"/>
  <c r="X76" i="39"/>
  <c r="L76" i="39"/>
  <c r="L75" i="39" s="1"/>
  <c r="J76" i="39"/>
  <c r="AI76" i="39" s="1"/>
  <c r="H76" i="39"/>
  <c r="J75" i="39"/>
  <c r="BU73" i="39"/>
  <c r="BH73" i="39"/>
  <c r="BB73" i="39"/>
  <c r="AU73" i="39"/>
  <c r="AN73" i="39"/>
  <c r="BG73" i="39" s="1"/>
  <c r="AA73" i="39" s="1"/>
  <c r="AM73" i="39"/>
  <c r="BF73" i="39" s="1"/>
  <c r="Z73" i="39" s="1"/>
  <c r="AJ73" i="39"/>
  <c r="AH73" i="39"/>
  <c r="AQ54" i="39" s="1"/>
  <c r="AF73" i="39"/>
  <c r="AE73" i="39"/>
  <c r="AD73" i="39"/>
  <c r="AC73" i="39"/>
  <c r="AB73" i="39"/>
  <c r="X73" i="39"/>
  <c r="L73" i="39"/>
  <c r="BD73" i="39" s="1"/>
  <c r="J73" i="39"/>
  <c r="AI73" i="39" s="1"/>
  <c r="H73" i="39"/>
  <c r="BU71" i="39"/>
  <c r="BH71" i="39"/>
  <c r="BD71" i="39"/>
  <c r="BB71" i="39"/>
  <c r="AN71" i="39"/>
  <c r="BG71" i="39" s="1"/>
  <c r="AA71" i="39" s="1"/>
  <c r="AM71" i="39"/>
  <c r="BF71" i="39" s="1"/>
  <c r="Z71" i="39" s="1"/>
  <c r="AJ71" i="39"/>
  <c r="AH71" i="39"/>
  <c r="AF71" i="39"/>
  <c r="AE71" i="39"/>
  <c r="AD71" i="39"/>
  <c r="AC71" i="39"/>
  <c r="AB71" i="39"/>
  <c r="X71" i="39"/>
  <c r="L71" i="39"/>
  <c r="J71" i="39"/>
  <c r="AI71" i="39" s="1"/>
  <c r="I71" i="39"/>
  <c r="H71" i="39"/>
  <c r="BU69" i="39"/>
  <c r="BH69" i="39"/>
  <c r="BD69" i="39"/>
  <c r="BB69" i="39"/>
  <c r="AN69" i="39"/>
  <c r="BG69" i="39" s="1"/>
  <c r="AA69" i="39" s="1"/>
  <c r="AM69" i="39"/>
  <c r="BF69" i="39" s="1"/>
  <c r="Z69" i="39" s="1"/>
  <c r="AJ69" i="39"/>
  <c r="AH69" i="39"/>
  <c r="AF69" i="39"/>
  <c r="AE69" i="39"/>
  <c r="AD69" i="39"/>
  <c r="AC69" i="39"/>
  <c r="AB69" i="39"/>
  <c r="X69" i="39"/>
  <c r="L69" i="39"/>
  <c r="J69" i="39"/>
  <c r="AI69" i="39" s="1"/>
  <c r="I69" i="39"/>
  <c r="H69" i="39"/>
  <c r="BU67" i="39"/>
  <c r="BH67" i="39"/>
  <c r="BD67" i="39"/>
  <c r="BB67" i="39"/>
  <c r="AN67" i="39"/>
  <c r="BG67" i="39" s="1"/>
  <c r="AA67" i="39" s="1"/>
  <c r="AM67" i="39"/>
  <c r="BF67" i="39" s="1"/>
  <c r="Z67" i="39" s="1"/>
  <c r="AJ67" i="39"/>
  <c r="AH67" i="39"/>
  <c r="AF67" i="39"/>
  <c r="AE67" i="39"/>
  <c r="AD67" i="39"/>
  <c r="AC67" i="39"/>
  <c r="AB67" i="39"/>
  <c r="X67" i="39"/>
  <c r="L67" i="39"/>
  <c r="J67" i="39"/>
  <c r="AI67" i="39" s="1"/>
  <c r="I67" i="39"/>
  <c r="H67" i="39"/>
  <c r="BU65" i="39"/>
  <c r="BH65" i="39"/>
  <c r="BD65" i="39"/>
  <c r="BB65" i="39"/>
  <c r="AN65" i="39"/>
  <c r="BG65" i="39" s="1"/>
  <c r="AA65" i="39" s="1"/>
  <c r="AM65" i="39"/>
  <c r="BF65" i="39" s="1"/>
  <c r="Z65" i="39" s="1"/>
  <c r="AJ65" i="39"/>
  <c r="AH65" i="39"/>
  <c r="AF65" i="39"/>
  <c r="AE65" i="39"/>
  <c r="AD65" i="39"/>
  <c r="AC65" i="39"/>
  <c r="AB65" i="39"/>
  <c r="X65" i="39"/>
  <c r="L65" i="39"/>
  <c r="J65" i="39"/>
  <c r="AI65" i="39" s="1"/>
  <c r="I65" i="39"/>
  <c r="H65" i="39"/>
  <c r="BU63" i="39"/>
  <c r="BH63" i="39"/>
  <c r="BD63" i="39"/>
  <c r="BB63" i="39"/>
  <c r="AN63" i="39"/>
  <c r="BG63" i="39" s="1"/>
  <c r="AA63" i="39" s="1"/>
  <c r="AM63" i="39"/>
  <c r="BF63" i="39" s="1"/>
  <c r="Z63" i="39" s="1"/>
  <c r="AJ63" i="39"/>
  <c r="AH63" i="39"/>
  <c r="AF63" i="39"/>
  <c r="AE63" i="39"/>
  <c r="AD63" i="39"/>
  <c r="AC63" i="39"/>
  <c r="AB63" i="39"/>
  <c r="X63" i="39"/>
  <c r="L63" i="39"/>
  <c r="J63" i="39"/>
  <c r="AI63" i="39" s="1"/>
  <c r="I63" i="39"/>
  <c r="H63" i="39"/>
  <c r="BU61" i="39"/>
  <c r="BH61" i="39"/>
  <c r="BD61" i="39"/>
  <c r="BB61" i="39"/>
  <c r="AN61" i="39"/>
  <c r="BG61" i="39" s="1"/>
  <c r="AA61" i="39" s="1"/>
  <c r="AM61" i="39"/>
  <c r="BF61" i="39" s="1"/>
  <c r="Z61" i="39" s="1"/>
  <c r="AJ61" i="39"/>
  <c r="AH61" i="39"/>
  <c r="AF61" i="39"/>
  <c r="AE61" i="39"/>
  <c r="AD61" i="39"/>
  <c r="AC61" i="39"/>
  <c r="AB61" i="39"/>
  <c r="X61" i="39"/>
  <c r="L61" i="39"/>
  <c r="J61" i="39"/>
  <c r="AI61" i="39" s="1"/>
  <c r="I61" i="39"/>
  <c r="H61" i="39"/>
  <c r="BU59" i="39"/>
  <c r="BH59" i="39"/>
  <c r="BD59" i="39"/>
  <c r="BB59" i="39"/>
  <c r="AN59" i="39"/>
  <c r="BG59" i="39" s="1"/>
  <c r="AA59" i="39" s="1"/>
  <c r="AM59" i="39"/>
  <c r="BF59" i="39" s="1"/>
  <c r="Z59" i="39" s="1"/>
  <c r="AJ59" i="39"/>
  <c r="AH59" i="39"/>
  <c r="AF59" i="39"/>
  <c r="AE59" i="39"/>
  <c r="AD59" i="39"/>
  <c r="AC59" i="39"/>
  <c r="AB59" i="39"/>
  <c r="X59" i="39"/>
  <c r="L59" i="39"/>
  <c r="J59" i="39"/>
  <c r="AI59" i="39" s="1"/>
  <c r="I59" i="39"/>
  <c r="H59" i="39"/>
  <c r="BU57" i="39"/>
  <c r="BH57" i="39"/>
  <c r="BD57" i="39"/>
  <c r="BB57" i="39"/>
  <c r="AN57" i="39"/>
  <c r="BG57" i="39" s="1"/>
  <c r="AA57" i="39" s="1"/>
  <c r="AM57" i="39"/>
  <c r="BF57" i="39" s="1"/>
  <c r="Z57" i="39" s="1"/>
  <c r="AJ57" i="39"/>
  <c r="AH57" i="39"/>
  <c r="AF57" i="39"/>
  <c r="AE57" i="39"/>
  <c r="AD57" i="39"/>
  <c r="AC57" i="39"/>
  <c r="AB57" i="39"/>
  <c r="X57" i="39"/>
  <c r="L57" i="39"/>
  <c r="J57" i="39"/>
  <c r="AI57" i="39" s="1"/>
  <c r="I57" i="39"/>
  <c r="H57" i="39"/>
  <c r="BU55" i="39"/>
  <c r="BH55" i="39"/>
  <c r="BD55" i="39"/>
  <c r="BB55" i="39"/>
  <c r="AN55" i="39"/>
  <c r="BG55" i="39" s="1"/>
  <c r="AA55" i="39" s="1"/>
  <c r="AM55" i="39"/>
  <c r="BF55" i="39" s="1"/>
  <c r="Z55" i="39" s="1"/>
  <c r="AJ55" i="39"/>
  <c r="AH55" i="39"/>
  <c r="AF55" i="39"/>
  <c r="AE55" i="39"/>
  <c r="AD55" i="39"/>
  <c r="AC55" i="39"/>
  <c r="AB55" i="39"/>
  <c r="X55" i="39"/>
  <c r="L55" i="39"/>
  <c r="J55" i="39"/>
  <c r="AI55" i="39" s="1"/>
  <c r="I55" i="39"/>
  <c r="H55" i="39"/>
  <c r="H54" i="39" s="1"/>
  <c r="AS54" i="39"/>
  <c r="L54" i="39"/>
  <c r="BU52" i="39"/>
  <c r="BH52" i="39"/>
  <c r="BB52" i="39"/>
  <c r="AU52" i="39"/>
  <c r="AN52" i="39"/>
  <c r="BG52" i="39" s="1"/>
  <c r="AA52" i="39" s="1"/>
  <c r="AM52" i="39"/>
  <c r="BF52" i="39" s="1"/>
  <c r="Z52" i="39" s="1"/>
  <c r="AJ52" i="39"/>
  <c r="AH52" i="39"/>
  <c r="AF52" i="39"/>
  <c r="AE52" i="39"/>
  <c r="AD52" i="39"/>
  <c r="AC52" i="39"/>
  <c r="AB52" i="39"/>
  <c r="X52" i="39"/>
  <c r="L52" i="39"/>
  <c r="BD52" i="39" s="1"/>
  <c r="J52" i="39"/>
  <c r="AI52" i="39" s="1"/>
  <c r="I52" i="39"/>
  <c r="H52" i="39"/>
  <c r="BU50" i="39"/>
  <c r="BH50" i="39"/>
  <c r="BB50" i="39"/>
  <c r="AU50" i="39"/>
  <c r="AN50" i="39"/>
  <c r="BG50" i="39" s="1"/>
  <c r="AA50" i="39" s="1"/>
  <c r="AM50" i="39"/>
  <c r="BF50" i="39" s="1"/>
  <c r="Z50" i="39" s="1"/>
  <c r="AJ50" i="39"/>
  <c r="AH50" i="39"/>
  <c r="AF50" i="39"/>
  <c r="AE50" i="39"/>
  <c r="AD50" i="39"/>
  <c r="AC50" i="39"/>
  <c r="AB50" i="39"/>
  <c r="X50" i="39"/>
  <c r="L50" i="39"/>
  <c r="BD50" i="39" s="1"/>
  <c r="J50" i="39"/>
  <c r="AI50" i="39" s="1"/>
  <c r="AR49" i="39" s="1"/>
  <c r="I50" i="39"/>
  <c r="I49" i="39" s="1"/>
  <c r="H50" i="39"/>
  <c r="AS49" i="39"/>
  <c r="AQ49" i="39"/>
  <c r="L49" i="39"/>
  <c r="H49" i="39"/>
  <c r="BU47" i="39"/>
  <c r="BH47" i="39"/>
  <c r="BB47" i="39"/>
  <c r="AV47" i="39"/>
  <c r="AN47" i="39"/>
  <c r="BG47" i="39" s="1"/>
  <c r="AA47" i="39" s="1"/>
  <c r="AM47" i="39"/>
  <c r="BF47" i="39" s="1"/>
  <c r="Z47" i="39" s="1"/>
  <c r="AJ47" i="39"/>
  <c r="AH47" i="39"/>
  <c r="AF47" i="39"/>
  <c r="AE47" i="39"/>
  <c r="AD47" i="39"/>
  <c r="AC47" i="39"/>
  <c r="AB47" i="39"/>
  <c r="X47" i="39"/>
  <c r="L47" i="39"/>
  <c r="BD47" i="39" s="1"/>
  <c r="J47" i="39"/>
  <c r="AI47" i="39" s="1"/>
  <c r="I47" i="39"/>
  <c r="H47" i="39"/>
  <c r="BU45" i="39"/>
  <c r="BH45" i="39"/>
  <c r="BB45" i="39"/>
  <c r="AN45" i="39"/>
  <c r="BG45" i="39" s="1"/>
  <c r="AA45" i="39" s="1"/>
  <c r="AM45" i="39"/>
  <c r="BF45" i="39" s="1"/>
  <c r="Z45" i="39" s="1"/>
  <c r="AJ45" i="39"/>
  <c r="AH45" i="39"/>
  <c r="AF45" i="39"/>
  <c r="AE45" i="39"/>
  <c r="AD45" i="39"/>
  <c r="AC45" i="39"/>
  <c r="AB45" i="39"/>
  <c r="X45" i="39"/>
  <c r="L45" i="39"/>
  <c r="BD45" i="39" s="1"/>
  <c r="J45" i="39"/>
  <c r="AI45" i="39" s="1"/>
  <c r="I45" i="39"/>
  <c r="H45" i="39"/>
  <c r="BU43" i="39"/>
  <c r="BH43" i="39"/>
  <c r="BB43" i="39"/>
  <c r="AN43" i="39"/>
  <c r="BG43" i="39" s="1"/>
  <c r="AA43" i="39" s="1"/>
  <c r="AM43" i="39"/>
  <c r="BF43" i="39" s="1"/>
  <c r="Z43" i="39" s="1"/>
  <c r="AJ43" i="39"/>
  <c r="AH43" i="39"/>
  <c r="AF43" i="39"/>
  <c r="AE43" i="39"/>
  <c r="AD43" i="39"/>
  <c r="AC43" i="39"/>
  <c r="AB43" i="39"/>
  <c r="X43" i="39"/>
  <c r="L43" i="39"/>
  <c r="BD43" i="39" s="1"/>
  <c r="J43" i="39"/>
  <c r="AI43" i="39" s="1"/>
  <c r="I43" i="39"/>
  <c r="H43" i="39"/>
  <c r="BU41" i="39"/>
  <c r="BH41" i="39"/>
  <c r="BB41" i="39"/>
  <c r="AN41" i="39"/>
  <c r="BG41" i="39" s="1"/>
  <c r="AA41" i="39" s="1"/>
  <c r="AM41" i="39"/>
  <c r="BF41" i="39" s="1"/>
  <c r="Z41" i="39" s="1"/>
  <c r="AJ41" i="39"/>
  <c r="AH41" i="39"/>
  <c r="AQ32" i="39" s="1"/>
  <c r="AF41" i="39"/>
  <c r="AE41" i="39"/>
  <c r="AD41" i="39"/>
  <c r="AC41" i="39"/>
  <c r="AB41" i="39"/>
  <c r="X41" i="39"/>
  <c r="L41" i="39"/>
  <c r="BD41" i="39" s="1"/>
  <c r="J41" i="39"/>
  <c r="AI41" i="39" s="1"/>
  <c r="I41" i="39"/>
  <c r="H41" i="39"/>
  <c r="BU39" i="39"/>
  <c r="BH39" i="39"/>
  <c r="BB39" i="39"/>
  <c r="AN39" i="39"/>
  <c r="BG39" i="39" s="1"/>
  <c r="AA39" i="39" s="1"/>
  <c r="AM39" i="39"/>
  <c r="BF39" i="39" s="1"/>
  <c r="Z39" i="39" s="1"/>
  <c r="AJ39" i="39"/>
  <c r="AH39" i="39"/>
  <c r="AF39" i="39"/>
  <c r="AE39" i="39"/>
  <c r="AD39" i="39"/>
  <c r="AC39" i="39"/>
  <c r="AB39" i="39"/>
  <c r="X39" i="39"/>
  <c r="L39" i="39"/>
  <c r="BD39" i="39" s="1"/>
  <c r="J39" i="39"/>
  <c r="AI39" i="39" s="1"/>
  <c r="I39" i="39"/>
  <c r="H39" i="39"/>
  <c r="BU37" i="39"/>
  <c r="BH37" i="39"/>
  <c r="BD37" i="39"/>
  <c r="BB37" i="39"/>
  <c r="AN37" i="39"/>
  <c r="BG37" i="39" s="1"/>
  <c r="AA37" i="39" s="1"/>
  <c r="AM37" i="39"/>
  <c r="BF37" i="39" s="1"/>
  <c r="Z37" i="39" s="1"/>
  <c r="AJ37" i="39"/>
  <c r="AH37" i="39"/>
  <c r="AF37" i="39"/>
  <c r="AE37" i="39"/>
  <c r="AD37" i="39"/>
  <c r="AC37" i="39"/>
  <c r="AB37" i="39"/>
  <c r="X37" i="39"/>
  <c r="L37" i="39"/>
  <c r="J37" i="39"/>
  <c r="AI37" i="39" s="1"/>
  <c r="I37" i="39"/>
  <c r="H37" i="39"/>
  <c r="BU35" i="39"/>
  <c r="BH35" i="39"/>
  <c r="BD35" i="39"/>
  <c r="BB35" i="39"/>
  <c r="AN35" i="39"/>
  <c r="BG35" i="39" s="1"/>
  <c r="AA35" i="39" s="1"/>
  <c r="AM35" i="39"/>
  <c r="BF35" i="39" s="1"/>
  <c r="Z35" i="39" s="1"/>
  <c r="AJ35" i="39"/>
  <c r="AS32" i="39" s="1"/>
  <c r="AH35" i="39"/>
  <c r="AF35" i="39"/>
  <c r="AE35" i="39"/>
  <c r="AD35" i="39"/>
  <c r="AC35" i="39"/>
  <c r="AB35" i="39"/>
  <c r="X35" i="39"/>
  <c r="L35" i="39"/>
  <c r="J35" i="39"/>
  <c r="AI35" i="39" s="1"/>
  <c r="I35" i="39"/>
  <c r="H35" i="39"/>
  <c r="BU33" i="39"/>
  <c r="BH33" i="39"/>
  <c r="BD33" i="39"/>
  <c r="BB33" i="39"/>
  <c r="AN33" i="39"/>
  <c r="BG33" i="39" s="1"/>
  <c r="AA33" i="39" s="1"/>
  <c r="AM33" i="39"/>
  <c r="BF33" i="39" s="1"/>
  <c r="Z33" i="39" s="1"/>
  <c r="AJ33" i="39"/>
  <c r="AH33" i="39"/>
  <c r="AF33" i="39"/>
  <c r="AE33" i="39"/>
  <c r="AD33" i="39"/>
  <c r="AC33" i="39"/>
  <c r="AB33" i="39"/>
  <c r="X33" i="39"/>
  <c r="L33" i="39"/>
  <c r="J33" i="39"/>
  <c r="AI33" i="39" s="1"/>
  <c r="I33" i="39"/>
  <c r="I32" i="39" s="1"/>
  <c r="H33" i="39"/>
  <c r="L32" i="39"/>
  <c r="BU30" i="39"/>
  <c r="BH30" i="39"/>
  <c r="BB30" i="39"/>
  <c r="AV30" i="39"/>
  <c r="AN30" i="39"/>
  <c r="BG30" i="39" s="1"/>
  <c r="AA30" i="39" s="1"/>
  <c r="AM30" i="39"/>
  <c r="BF30" i="39" s="1"/>
  <c r="Z30" i="39" s="1"/>
  <c r="AJ30" i="39"/>
  <c r="AH30" i="39"/>
  <c r="AF30" i="39"/>
  <c r="AE30" i="39"/>
  <c r="AD30" i="39"/>
  <c r="AC30" i="39"/>
  <c r="AB30" i="39"/>
  <c r="X30" i="39"/>
  <c r="L30" i="39"/>
  <c r="BD30" i="39" s="1"/>
  <c r="J30" i="39"/>
  <c r="AI30" i="39" s="1"/>
  <c r="I30" i="39"/>
  <c r="H30" i="39"/>
  <c r="H27" i="39" s="1"/>
  <c r="BU28" i="39"/>
  <c r="BH28" i="39"/>
  <c r="BB28" i="39"/>
  <c r="AV28" i="39"/>
  <c r="AU28" i="39"/>
  <c r="AN28" i="39"/>
  <c r="BG28" i="39" s="1"/>
  <c r="AA28" i="39" s="1"/>
  <c r="AM28" i="39"/>
  <c r="BF28" i="39" s="1"/>
  <c r="Z28" i="39" s="1"/>
  <c r="AJ28" i="39"/>
  <c r="AH28" i="39"/>
  <c r="AF28" i="39"/>
  <c r="AE28" i="39"/>
  <c r="AD28" i="39"/>
  <c r="AC28" i="39"/>
  <c r="AB28" i="39"/>
  <c r="X28" i="39"/>
  <c r="L28" i="39"/>
  <c r="BD28" i="39" s="1"/>
  <c r="J28" i="39"/>
  <c r="AI28" i="39" s="1"/>
  <c r="AR27" i="39" s="1"/>
  <c r="I28" i="39"/>
  <c r="H28" i="39"/>
  <c r="AS27" i="39"/>
  <c r="AQ27" i="39"/>
  <c r="I27" i="39"/>
  <c r="BU25" i="39"/>
  <c r="BH25" i="39"/>
  <c r="BB25" i="39"/>
  <c r="AN25" i="39"/>
  <c r="BG25" i="39" s="1"/>
  <c r="AA25" i="39" s="1"/>
  <c r="AM25" i="39"/>
  <c r="BF25" i="39" s="1"/>
  <c r="Z25" i="39" s="1"/>
  <c r="AJ25" i="39"/>
  <c r="AH25" i="39"/>
  <c r="AF25" i="39"/>
  <c r="AE25" i="39"/>
  <c r="AD25" i="39"/>
  <c r="AC25" i="39"/>
  <c r="AB25" i="39"/>
  <c r="X25" i="39"/>
  <c r="L25" i="39"/>
  <c r="BD25" i="39" s="1"/>
  <c r="J25" i="39"/>
  <c r="AI25" i="39" s="1"/>
  <c r="I25" i="39"/>
  <c r="H25" i="39"/>
  <c r="BU23" i="39"/>
  <c r="BH23" i="39"/>
  <c r="BB23" i="39"/>
  <c r="AN23" i="39"/>
  <c r="BG23" i="39" s="1"/>
  <c r="AA23" i="39" s="1"/>
  <c r="AM23" i="39"/>
  <c r="BF23" i="39" s="1"/>
  <c r="Z23" i="39" s="1"/>
  <c r="AJ23" i="39"/>
  <c r="AH23" i="39"/>
  <c r="AF23" i="39"/>
  <c r="AE23" i="39"/>
  <c r="AD23" i="39"/>
  <c r="AC23" i="39"/>
  <c r="AB23" i="39"/>
  <c r="X23" i="39"/>
  <c r="L23" i="39"/>
  <c r="BD23" i="39" s="1"/>
  <c r="J23" i="39"/>
  <c r="AI23" i="39" s="1"/>
  <c r="I23" i="39"/>
  <c r="H23" i="39"/>
  <c r="BU21" i="39"/>
  <c r="BH21" i="39"/>
  <c r="BB21" i="39"/>
  <c r="AN21" i="39"/>
  <c r="BG21" i="39" s="1"/>
  <c r="AA21" i="39" s="1"/>
  <c r="AM21" i="39"/>
  <c r="BF21" i="39" s="1"/>
  <c r="Z21" i="39" s="1"/>
  <c r="AJ21" i="39"/>
  <c r="AH21" i="39"/>
  <c r="AF21" i="39"/>
  <c r="AE21" i="39"/>
  <c r="AD21" i="39"/>
  <c r="AC21" i="39"/>
  <c r="AB21" i="39"/>
  <c r="X21" i="39"/>
  <c r="L21" i="39"/>
  <c r="BD21" i="39" s="1"/>
  <c r="J21" i="39"/>
  <c r="AI21" i="39" s="1"/>
  <c r="I21" i="39"/>
  <c r="H21" i="39"/>
  <c r="BU19" i="39"/>
  <c r="BH19" i="39"/>
  <c r="BB19" i="39"/>
  <c r="AN19" i="39"/>
  <c r="BG19" i="39" s="1"/>
  <c r="AA19" i="39" s="1"/>
  <c r="AM19" i="39"/>
  <c r="BF19" i="39" s="1"/>
  <c r="Z19" i="39" s="1"/>
  <c r="AJ19" i="39"/>
  <c r="AH19" i="39"/>
  <c r="AF19" i="39"/>
  <c r="AE19" i="39"/>
  <c r="AD19" i="39"/>
  <c r="AC19" i="39"/>
  <c r="AB19" i="39"/>
  <c r="X19" i="39"/>
  <c r="L19" i="39"/>
  <c r="BD19" i="39" s="1"/>
  <c r="J19" i="39"/>
  <c r="AI19" i="39" s="1"/>
  <c r="I19" i="39"/>
  <c r="H19" i="39"/>
  <c r="BU17" i="39"/>
  <c r="BH17" i="39"/>
  <c r="BB17" i="39"/>
  <c r="AN17" i="39"/>
  <c r="BG17" i="39" s="1"/>
  <c r="AA17" i="39" s="1"/>
  <c r="AM17" i="39"/>
  <c r="BF17" i="39" s="1"/>
  <c r="Z17" i="39" s="1"/>
  <c r="AJ17" i="39"/>
  <c r="AH17" i="39"/>
  <c r="AF17" i="39"/>
  <c r="AE17" i="39"/>
  <c r="AD17" i="39"/>
  <c r="AC17" i="39"/>
  <c r="AB17" i="39"/>
  <c r="X17" i="39"/>
  <c r="L17" i="39"/>
  <c r="BD17" i="39" s="1"/>
  <c r="J17" i="39"/>
  <c r="AI17" i="39" s="1"/>
  <c r="I17" i="39"/>
  <c r="H17" i="39"/>
  <c r="BU15" i="39"/>
  <c r="BH15" i="39"/>
  <c r="BB15" i="39"/>
  <c r="AN15" i="39"/>
  <c r="BG15" i="39" s="1"/>
  <c r="AA15" i="39" s="1"/>
  <c r="AM15" i="39"/>
  <c r="BF15" i="39" s="1"/>
  <c r="Z15" i="39" s="1"/>
  <c r="AJ15" i="39"/>
  <c r="AH15" i="39"/>
  <c r="AF15" i="39"/>
  <c r="AE15" i="39"/>
  <c r="AD15" i="39"/>
  <c r="AC15" i="39"/>
  <c r="AB15" i="39"/>
  <c r="X15" i="39"/>
  <c r="L15" i="39"/>
  <c r="L12" i="39" s="1"/>
  <c r="J15" i="39"/>
  <c r="AI15" i="39" s="1"/>
  <c r="I15" i="39"/>
  <c r="H15" i="39"/>
  <c r="BU13" i="39"/>
  <c r="BH13" i="39"/>
  <c r="BB13" i="39"/>
  <c r="AN13" i="39"/>
  <c r="BG13" i="39" s="1"/>
  <c r="AA13" i="39" s="1"/>
  <c r="AM13" i="39"/>
  <c r="BF13" i="39" s="1"/>
  <c r="Z13" i="39" s="1"/>
  <c r="AJ13" i="39"/>
  <c r="AH13" i="39"/>
  <c r="AQ12" i="39" s="1"/>
  <c r="AF13" i="39"/>
  <c r="AE13" i="39"/>
  <c r="AD13" i="39"/>
  <c r="AC13" i="39"/>
  <c r="AB13" i="39"/>
  <c r="X13" i="39"/>
  <c r="L13" i="39"/>
  <c r="BD13" i="39" s="1"/>
  <c r="J13" i="39"/>
  <c r="AI13" i="39" s="1"/>
  <c r="I13" i="39"/>
  <c r="H13" i="39"/>
  <c r="AS1" i="39"/>
  <c r="AR1" i="39"/>
  <c r="AQ1" i="39"/>
  <c r="BU181" i="38"/>
  <c r="BH181" i="38"/>
  <c r="AF181" i="38" s="1"/>
  <c r="BB181" i="38"/>
  <c r="AN181" i="38"/>
  <c r="AM181" i="38"/>
  <c r="BF181" i="38" s="1"/>
  <c r="AI181" i="38"/>
  <c r="AH181" i="38"/>
  <c r="AE181" i="38"/>
  <c r="AD181" i="38"/>
  <c r="AC181" i="38"/>
  <c r="AB181" i="38"/>
  <c r="AA181" i="38"/>
  <c r="Z181" i="38"/>
  <c r="X181" i="38"/>
  <c r="L181" i="38"/>
  <c r="BD181" i="38" s="1"/>
  <c r="J181" i="38"/>
  <c r="H181" i="38"/>
  <c r="BU179" i="38"/>
  <c r="BH179" i="38"/>
  <c r="AF179" i="38" s="1"/>
  <c r="BB179" i="38"/>
  <c r="AU179" i="38"/>
  <c r="AN179" i="38"/>
  <c r="BG179" i="38" s="1"/>
  <c r="AM179" i="38"/>
  <c r="BF179" i="38" s="1"/>
  <c r="AI179" i="38"/>
  <c r="AH179" i="38"/>
  <c r="AE179" i="38"/>
  <c r="AD179" i="38"/>
  <c r="AC179" i="38"/>
  <c r="AB179" i="38"/>
  <c r="AA179" i="38"/>
  <c r="Z179" i="38"/>
  <c r="X179" i="38"/>
  <c r="L179" i="38"/>
  <c r="BD179" i="38" s="1"/>
  <c r="J179" i="38"/>
  <c r="H179" i="38"/>
  <c r="BU178" i="38"/>
  <c r="BH178" i="38"/>
  <c r="AF178" i="38" s="1"/>
  <c r="BB178" i="38"/>
  <c r="AN178" i="38"/>
  <c r="AM178" i="38"/>
  <c r="BF178" i="38" s="1"/>
  <c r="AI178" i="38"/>
  <c r="AH178" i="38"/>
  <c r="AE178" i="38"/>
  <c r="AD178" i="38"/>
  <c r="AC178" i="38"/>
  <c r="AB178" i="38"/>
  <c r="AA178" i="38"/>
  <c r="Z178" i="38"/>
  <c r="X178" i="38"/>
  <c r="L178" i="38"/>
  <c r="BD178" i="38" s="1"/>
  <c r="J178" i="38"/>
  <c r="H178" i="38"/>
  <c r="BU177" i="38"/>
  <c r="BH177" i="38"/>
  <c r="AF177" i="38" s="1"/>
  <c r="BB177" i="38"/>
  <c r="AU177" i="38"/>
  <c r="AN177" i="38"/>
  <c r="BG177" i="38" s="1"/>
  <c r="AM177" i="38"/>
  <c r="BF177" i="38" s="1"/>
  <c r="AI177" i="38"/>
  <c r="AH177" i="38"/>
  <c r="AE177" i="38"/>
  <c r="AD177" i="38"/>
  <c r="AC177" i="38"/>
  <c r="AB177" i="38"/>
  <c r="AA177" i="38"/>
  <c r="Z177" i="38"/>
  <c r="X177" i="38"/>
  <c r="L177" i="38"/>
  <c r="BD177" i="38" s="1"/>
  <c r="J177" i="38"/>
  <c r="H177" i="38"/>
  <c r="BU176" i="38"/>
  <c r="BH176" i="38"/>
  <c r="AF176" i="38" s="1"/>
  <c r="BB176" i="38"/>
  <c r="AN176" i="38"/>
  <c r="AM176" i="38"/>
  <c r="BF176" i="38" s="1"/>
  <c r="AI176" i="38"/>
  <c r="AH176" i="38"/>
  <c r="AE176" i="38"/>
  <c r="AD176" i="38"/>
  <c r="AC176" i="38"/>
  <c r="AB176" i="38"/>
  <c r="AA176" i="38"/>
  <c r="Z176" i="38"/>
  <c r="X176" i="38"/>
  <c r="L176" i="38"/>
  <c r="BD176" i="38" s="1"/>
  <c r="J176" i="38"/>
  <c r="H176" i="38"/>
  <c r="BU175" i="38"/>
  <c r="BH175" i="38"/>
  <c r="AF175" i="38" s="1"/>
  <c r="BB175" i="38"/>
  <c r="AU175" i="38"/>
  <c r="AN175" i="38"/>
  <c r="BG175" i="38" s="1"/>
  <c r="AM175" i="38"/>
  <c r="BF175" i="38" s="1"/>
  <c r="AI175" i="38"/>
  <c r="AH175" i="38"/>
  <c r="AE175" i="38"/>
  <c r="AD175" i="38"/>
  <c r="AC175" i="38"/>
  <c r="AB175" i="38"/>
  <c r="AA175" i="38"/>
  <c r="Z175" i="38"/>
  <c r="X175" i="38"/>
  <c r="L175" i="38"/>
  <c r="BD175" i="38" s="1"/>
  <c r="J175" i="38"/>
  <c r="H175" i="38"/>
  <c r="BU174" i="38"/>
  <c r="BH174" i="38"/>
  <c r="AF174" i="38" s="1"/>
  <c r="BB174" i="38"/>
  <c r="AN174" i="38"/>
  <c r="AM174" i="38"/>
  <c r="BF174" i="38" s="1"/>
  <c r="AI174" i="38"/>
  <c r="AH174" i="38"/>
  <c r="AE174" i="38"/>
  <c r="AD174" i="38"/>
  <c r="AC174" i="38"/>
  <c r="AB174" i="38"/>
  <c r="AA174" i="38"/>
  <c r="Z174" i="38"/>
  <c r="X174" i="38"/>
  <c r="L174" i="38"/>
  <c r="BD174" i="38" s="1"/>
  <c r="J174" i="38"/>
  <c r="H174" i="38"/>
  <c r="BU173" i="38"/>
  <c r="BH173" i="38"/>
  <c r="AF173" i="38" s="1"/>
  <c r="BB173" i="38"/>
  <c r="AU173" i="38"/>
  <c r="AN173" i="38"/>
  <c r="BG173" i="38" s="1"/>
  <c r="AM173" i="38"/>
  <c r="BF173" i="38" s="1"/>
  <c r="AI173" i="38"/>
  <c r="AH173" i="38"/>
  <c r="AE173" i="38"/>
  <c r="AD173" i="38"/>
  <c r="AC173" i="38"/>
  <c r="AB173" i="38"/>
  <c r="AA173" i="38"/>
  <c r="Z173" i="38"/>
  <c r="X173" i="38"/>
  <c r="L173" i="38"/>
  <c r="BD173" i="38" s="1"/>
  <c r="J173" i="38"/>
  <c r="H173" i="38"/>
  <c r="BU172" i="38"/>
  <c r="BH172" i="38"/>
  <c r="AF172" i="38" s="1"/>
  <c r="BB172" i="38"/>
  <c r="AN172" i="38"/>
  <c r="AM172" i="38"/>
  <c r="BF172" i="38" s="1"/>
  <c r="AI172" i="38"/>
  <c r="AH172" i="38"/>
  <c r="AE172" i="38"/>
  <c r="AD172" i="38"/>
  <c r="AC172" i="38"/>
  <c r="AB172" i="38"/>
  <c r="AA172" i="38"/>
  <c r="Z172" i="38"/>
  <c r="X172" i="38"/>
  <c r="L172" i="38"/>
  <c r="BD172" i="38" s="1"/>
  <c r="J172" i="38"/>
  <c r="H172" i="38"/>
  <c r="BU171" i="38"/>
  <c r="BH171" i="38"/>
  <c r="AF171" i="38" s="1"/>
  <c r="BB171" i="38"/>
  <c r="AU171" i="38"/>
  <c r="AN171" i="38"/>
  <c r="BG171" i="38" s="1"/>
  <c r="AM171" i="38"/>
  <c r="BF171" i="38" s="1"/>
  <c r="AI171" i="38"/>
  <c r="AH171" i="38"/>
  <c r="AE171" i="38"/>
  <c r="AD171" i="38"/>
  <c r="AC171" i="38"/>
  <c r="AB171" i="38"/>
  <c r="AA171" i="38"/>
  <c r="Z171" i="38"/>
  <c r="X171" i="38"/>
  <c r="L171" i="38"/>
  <c r="BD171" i="38" s="1"/>
  <c r="J171" i="38"/>
  <c r="H171" i="38"/>
  <c r="BU169" i="38"/>
  <c r="BH169" i="38"/>
  <c r="AF169" i="38" s="1"/>
  <c r="BB169" i="38"/>
  <c r="AN169" i="38"/>
  <c r="AM169" i="38"/>
  <c r="BF169" i="38" s="1"/>
  <c r="AI169" i="38"/>
  <c r="AH169" i="38"/>
  <c r="AE169" i="38"/>
  <c r="AD169" i="38"/>
  <c r="AC169" i="38"/>
  <c r="AB169" i="38"/>
  <c r="AA169" i="38"/>
  <c r="Z169" i="38"/>
  <c r="X169" i="38"/>
  <c r="L169" i="38"/>
  <c r="BD169" i="38" s="1"/>
  <c r="J169" i="38"/>
  <c r="H169" i="38"/>
  <c r="BU167" i="38"/>
  <c r="BH167" i="38"/>
  <c r="AF167" i="38" s="1"/>
  <c r="BB167" i="38"/>
  <c r="AU167" i="38"/>
  <c r="AN167" i="38"/>
  <c r="BG167" i="38" s="1"/>
  <c r="AM167" i="38"/>
  <c r="BF167" i="38" s="1"/>
  <c r="AI167" i="38"/>
  <c r="AH167" i="38"/>
  <c r="AE167" i="38"/>
  <c r="AD167" i="38"/>
  <c r="AC167" i="38"/>
  <c r="AB167" i="38"/>
  <c r="AA167" i="38"/>
  <c r="Z167" i="38"/>
  <c r="X167" i="38"/>
  <c r="L167" i="38"/>
  <c r="BD167" i="38" s="1"/>
  <c r="J167" i="38"/>
  <c r="H167" i="38"/>
  <c r="BU165" i="38"/>
  <c r="BH165" i="38"/>
  <c r="AF165" i="38" s="1"/>
  <c r="BB165" i="38"/>
  <c r="AN165" i="38"/>
  <c r="AM165" i="38"/>
  <c r="BF165" i="38" s="1"/>
  <c r="AI165" i="38"/>
  <c r="AH165" i="38"/>
  <c r="AE165" i="38"/>
  <c r="AD165" i="38"/>
  <c r="AC165" i="38"/>
  <c r="AB165" i="38"/>
  <c r="AA165" i="38"/>
  <c r="Z165" i="38"/>
  <c r="X165" i="38"/>
  <c r="L165" i="38"/>
  <c r="BD165" i="38" s="1"/>
  <c r="J165" i="38"/>
  <c r="H165" i="38"/>
  <c r="BU163" i="38"/>
  <c r="BH163" i="38"/>
  <c r="AF163" i="38" s="1"/>
  <c r="BB163" i="38"/>
  <c r="AU163" i="38"/>
  <c r="AN163" i="38"/>
  <c r="BG163" i="38" s="1"/>
  <c r="AM163" i="38"/>
  <c r="BF163" i="38" s="1"/>
  <c r="AI163" i="38"/>
  <c r="AH163" i="38"/>
  <c r="AE163" i="38"/>
  <c r="AD163" i="38"/>
  <c r="AC163" i="38"/>
  <c r="AB163" i="38"/>
  <c r="AA163" i="38"/>
  <c r="Z163" i="38"/>
  <c r="X163" i="38"/>
  <c r="L163" i="38"/>
  <c r="BD163" i="38" s="1"/>
  <c r="J163" i="38"/>
  <c r="H163" i="38"/>
  <c r="BU161" i="38"/>
  <c r="BH161" i="38"/>
  <c r="AF161" i="38" s="1"/>
  <c r="BB161" i="38"/>
  <c r="AN161" i="38"/>
  <c r="AM161" i="38"/>
  <c r="BF161" i="38" s="1"/>
  <c r="AI161" i="38"/>
  <c r="AH161" i="38"/>
  <c r="AE161" i="38"/>
  <c r="AD161" i="38"/>
  <c r="AC161" i="38"/>
  <c r="AB161" i="38"/>
  <c r="AA161" i="38"/>
  <c r="Z161" i="38"/>
  <c r="X161" i="38"/>
  <c r="L161" i="38"/>
  <c r="BD161" i="38" s="1"/>
  <c r="J161" i="38"/>
  <c r="H161" i="38"/>
  <c r="BU159" i="38"/>
  <c r="BH159" i="38"/>
  <c r="AF159" i="38" s="1"/>
  <c r="BB159" i="38"/>
  <c r="AU159" i="38"/>
  <c r="AN159" i="38"/>
  <c r="BG159" i="38" s="1"/>
  <c r="AM159" i="38"/>
  <c r="BF159" i="38" s="1"/>
  <c r="AI159" i="38"/>
  <c r="AH159" i="38"/>
  <c r="AE159" i="38"/>
  <c r="AD159" i="38"/>
  <c r="AC159" i="38"/>
  <c r="AB159" i="38"/>
  <c r="AA159" i="38"/>
  <c r="Z159" i="38"/>
  <c r="X159" i="38"/>
  <c r="L159" i="38"/>
  <c r="BD159" i="38" s="1"/>
  <c r="J159" i="38"/>
  <c r="H159" i="38"/>
  <c r="BU157" i="38"/>
  <c r="BH157" i="38"/>
  <c r="AF157" i="38" s="1"/>
  <c r="BB157" i="38"/>
  <c r="AN157" i="38"/>
  <c r="AM157" i="38"/>
  <c r="BF157" i="38" s="1"/>
  <c r="AI157" i="38"/>
  <c r="AH157" i="38"/>
  <c r="AQ156" i="38" s="1"/>
  <c r="AE157" i="38"/>
  <c r="AD157" i="38"/>
  <c r="AC157" i="38"/>
  <c r="AB157" i="38"/>
  <c r="AA157" i="38"/>
  <c r="Z157" i="38"/>
  <c r="X157" i="38"/>
  <c r="L157" i="38"/>
  <c r="BD157" i="38" s="1"/>
  <c r="J157" i="38"/>
  <c r="H157" i="38"/>
  <c r="L156" i="38"/>
  <c r="BU155" i="38"/>
  <c r="BH155" i="38"/>
  <c r="X155" i="38" s="1"/>
  <c r="BB155" i="38"/>
  <c r="AV155" i="38"/>
  <c r="AN155" i="38"/>
  <c r="BG155" i="38" s="1"/>
  <c r="AM155" i="38"/>
  <c r="AI155" i="38"/>
  <c r="AH155" i="38"/>
  <c r="AF155" i="38"/>
  <c r="AE155" i="38"/>
  <c r="AD155" i="38"/>
  <c r="AC155" i="38"/>
  <c r="AB155" i="38"/>
  <c r="AA155" i="38"/>
  <c r="Z155" i="38"/>
  <c r="L155" i="38"/>
  <c r="BD155" i="38" s="1"/>
  <c r="J155" i="38"/>
  <c r="I155" i="38"/>
  <c r="BU154" i="38"/>
  <c r="BH154" i="38"/>
  <c r="X154" i="38" s="1"/>
  <c r="BD154" i="38"/>
  <c r="BB154" i="38"/>
  <c r="AN154" i="38"/>
  <c r="AM154" i="38"/>
  <c r="BF154" i="38" s="1"/>
  <c r="AI154" i="38"/>
  <c r="AH154" i="38"/>
  <c r="AF154" i="38"/>
  <c r="AE154" i="38"/>
  <c r="AD154" i="38"/>
  <c r="AC154" i="38"/>
  <c r="AB154" i="38"/>
  <c r="AA154" i="38"/>
  <c r="Z154" i="38"/>
  <c r="L154" i="38"/>
  <c r="J154" i="38"/>
  <c r="J152" i="38" s="1"/>
  <c r="H154" i="38"/>
  <c r="BU153" i="38"/>
  <c r="BH153" i="38"/>
  <c r="X153" i="38" s="1"/>
  <c r="BB153" i="38"/>
  <c r="AN153" i="38"/>
  <c r="BG153" i="38" s="1"/>
  <c r="AM153" i="38"/>
  <c r="BF153" i="38" s="1"/>
  <c r="AI153" i="38"/>
  <c r="AH153" i="38"/>
  <c r="AF153" i="38"/>
  <c r="AE153" i="38"/>
  <c r="AD153" i="38"/>
  <c r="AC153" i="38"/>
  <c r="AB153" i="38"/>
  <c r="AA153" i="38"/>
  <c r="Z153" i="38"/>
  <c r="L153" i="38"/>
  <c r="J153" i="38"/>
  <c r="I153" i="38"/>
  <c r="AR152" i="38"/>
  <c r="BU151" i="38"/>
  <c r="BH151" i="38"/>
  <c r="X151" i="38" s="1"/>
  <c r="BD151" i="38"/>
  <c r="BB151" i="38"/>
  <c r="AN151" i="38"/>
  <c r="AM151" i="38"/>
  <c r="BF151" i="38" s="1"/>
  <c r="AI151" i="38"/>
  <c r="AH151" i="38"/>
  <c r="AF151" i="38"/>
  <c r="AE151" i="38"/>
  <c r="AD151" i="38"/>
  <c r="AC151" i="38"/>
  <c r="AB151" i="38"/>
  <c r="AA151" i="38"/>
  <c r="Z151" i="38"/>
  <c r="L151" i="38"/>
  <c r="J151" i="38"/>
  <c r="H151" i="38"/>
  <c r="BU149" i="38"/>
  <c r="BH149" i="38"/>
  <c r="X149" i="38" s="1"/>
  <c r="BB149" i="38"/>
  <c r="AV149" i="38"/>
  <c r="AU149" i="38"/>
  <c r="AN149" i="38"/>
  <c r="BG149" i="38" s="1"/>
  <c r="AM149" i="38"/>
  <c r="BF149" i="38" s="1"/>
  <c r="AI149" i="38"/>
  <c r="AH149" i="38"/>
  <c r="AF149" i="38"/>
  <c r="AE149" i="38"/>
  <c r="AD149" i="38"/>
  <c r="AC149" i="38"/>
  <c r="AB149" i="38"/>
  <c r="AA149" i="38"/>
  <c r="Z149" i="38"/>
  <c r="L149" i="38"/>
  <c r="BD149" i="38" s="1"/>
  <c r="J149" i="38"/>
  <c r="BU147" i="38"/>
  <c r="BH147" i="38"/>
  <c r="X147" i="38" s="1"/>
  <c r="BD147" i="38"/>
  <c r="BB147" i="38"/>
  <c r="AV147" i="38"/>
  <c r="AN147" i="38"/>
  <c r="BG147" i="38" s="1"/>
  <c r="AM147" i="38"/>
  <c r="BF147" i="38" s="1"/>
  <c r="AI147" i="38"/>
  <c r="AH147" i="38"/>
  <c r="AF147" i="38"/>
  <c r="AE147" i="38"/>
  <c r="AD147" i="38"/>
  <c r="AC147" i="38"/>
  <c r="AB147" i="38"/>
  <c r="AA147" i="38"/>
  <c r="Z147" i="38"/>
  <c r="L147" i="38"/>
  <c r="J147" i="38"/>
  <c r="H147" i="38"/>
  <c r="BU146" i="38"/>
  <c r="BH146" i="38"/>
  <c r="X146" i="38" s="1"/>
  <c r="BB146" i="38"/>
  <c r="AN146" i="38"/>
  <c r="BG146" i="38" s="1"/>
  <c r="AM146" i="38"/>
  <c r="AI146" i="38"/>
  <c r="AH146" i="38"/>
  <c r="AF146" i="38"/>
  <c r="AE146" i="38"/>
  <c r="AD146" i="38"/>
  <c r="AC146" i="38"/>
  <c r="AB146" i="38"/>
  <c r="AA146" i="38"/>
  <c r="Z146" i="38"/>
  <c r="L146" i="38"/>
  <c r="BD146" i="38" s="1"/>
  <c r="J146" i="38"/>
  <c r="L145" i="38"/>
  <c r="BU143" i="38"/>
  <c r="BH143" i="38"/>
  <c r="BB143" i="38"/>
  <c r="AV143" i="38"/>
  <c r="AN143" i="38"/>
  <c r="BG143" i="38" s="1"/>
  <c r="AA143" i="38" s="1"/>
  <c r="AM143" i="38"/>
  <c r="BF143" i="38" s="1"/>
  <c r="Z143" i="38" s="1"/>
  <c r="AI143" i="38"/>
  <c r="AR142" i="38" s="1"/>
  <c r="AH143" i="38"/>
  <c r="AF143" i="38"/>
  <c r="AE143" i="38"/>
  <c r="AD143" i="38"/>
  <c r="AC143" i="38"/>
  <c r="AB143" i="38"/>
  <c r="X143" i="38"/>
  <c r="L143" i="38"/>
  <c r="L142" i="38" s="1"/>
  <c r="J143" i="38"/>
  <c r="AJ143" i="38" s="1"/>
  <c r="AS142" i="38" s="1"/>
  <c r="H143" i="38"/>
  <c r="AQ142" i="38"/>
  <c r="H142" i="38"/>
  <c r="BU140" i="38"/>
  <c r="BH140" i="38"/>
  <c r="BB140" i="38"/>
  <c r="AU140" i="38"/>
  <c r="AN140" i="38"/>
  <c r="AM140" i="38"/>
  <c r="BF140" i="38" s="1"/>
  <c r="AI140" i="38"/>
  <c r="AR139" i="38" s="1"/>
  <c r="AH140" i="38"/>
  <c r="AQ139" i="38" s="1"/>
  <c r="AF140" i="38"/>
  <c r="AE140" i="38"/>
  <c r="AD140" i="38"/>
  <c r="AC140" i="38"/>
  <c r="AB140" i="38"/>
  <c r="Z140" i="38"/>
  <c r="X140" i="38"/>
  <c r="L140" i="38"/>
  <c r="J140" i="38"/>
  <c r="H140" i="38"/>
  <c r="H139" i="38"/>
  <c r="BU137" i="38"/>
  <c r="BH137" i="38"/>
  <c r="BB137" i="38"/>
  <c r="AV137" i="38"/>
  <c r="AU137" i="38"/>
  <c r="AN137" i="38"/>
  <c r="BG137" i="38" s="1"/>
  <c r="AM137" i="38"/>
  <c r="BF137" i="38" s="1"/>
  <c r="Z137" i="38" s="1"/>
  <c r="AJ137" i="38"/>
  <c r="AI137" i="38"/>
  <c r="AH137" i="38"/>
  <c r="AF137" i="38"/>
  <c r="AE137" i="38"/>
  <c r="AD137" i="38"/>
  <c r="AC137" i="38"/>
  <c r="AB137" i="38"/>
  <c r="AA137" i="38"/>
  <c r="X137" i="38"/>
  <c r="L137" i="38"/>
  <c r="BD137" i="38" s="1"/>
  <c r="J137" i="38"/>
  <c r="I137" i="38"/>
  <c r="H137" i="38"/>
  <c r="BU135" i="38"/>
  <c r="BH135" i="38"/>
  <c r="BD135" i="38"/>
  <c r="BB135" i="38"/>
  <c r="AV135" i="38"/>
  <c r="AN135" i="38"/>
  <c r="BG135" i="38" s="1"/>
  <c r="AA135" i="38" s="1"/>
  <c r="AM135" i="38"/>
  <c r="BF135" i="38" s="1"/>
  <c r="Z135" i="38" s="1"/>
  <c r="AI135" i="38"/>
  <c r="AH135" i="38"/>
  <c r="AF135" i="38"/>
  <c r="AE135" i="38"/>
  <c r="AD135" i="38"/>
  <c r="AC135" i="38"/>
  <c r="AB135" i="38"/>
  <c r="X135" i="38"/>
  <c r="L135" i="38"/>
  <c r="J135" i="38"/>
  <c r="AJ135" i="38" s="1"/>
  <c r="I135" i="38"/>
  <c r="H135" i="38"/>
  <c r="BU133" i="38"/>
  <c r="BH133" i="38"/>
  <c r="BB133" i="38"/>
  <c r="AU133" i="38"/>
  <c r="AN133" i="38"/>
  <c r="BG133" i="38" s="1"/>
  <c r="AA133" i="38" s="1"/>
  <c r="AM133" i="38"/>
  <c r="BF133" i="38" s="1"/>
  <c r="Z133" i="38" s="1"/>
  <c r="AI133" i="38"/>
  <c r="AH133" i="38"/>
  <c r="AF133" i="38"/>
  <c r="AE133" i="38"/>
  <c r="AD133" i="38"/>
  <c r="AC133" i="38"/>
  <c r="AB133" i="38"/>
  <c r="X133" i="38"/>
  <c r="L133" i="38"/>
  <c r="BD133" i="38" s="1"/>
  <c r="J133" i="38"/>
  <c r="AJ133" i="38" s="1"/>
  <c r="I133" i="38"/>
  <c r="H133" i="38"/>
  <c r="BU131" i="38"/>
  <c r="BH131" i="38"/>
  <c r="BB131" i="38"/>
  <c r="AN131" i="38"/>
  <c r="AM131" i="38"/>
  <c r="BF131" i="38" s="1"/>
  <c r="AI131" i="38"/>
  <c r="AH131" i="38"/>
  <c r="AF131" i="38"/>
  <c r="AE131" i="38"/>
  <c r="AD131" i="38"/>
  <c r="AC131" i="38"/>
  <c r="AB131" i="38"/>
  <c r="Z131" i="38"/>
  <c r="X131" i="38"/>
  <c r="L131" i="38"/>
  <c r="BD131" i="38" s="1"/>
  <c r="J131" i="38"/>
  <c r="H131" i="38"/>
  <c r="BU129" i="38"/>
  <c r="BH129" i="38"/>
  <c r="BB129" i="38"/>
  <c r="AV129" i="38"/>
  <c r="AN129" i="38"/>
  <c r="BG129" i="38" s="1"/>
  <c r="AA129" i="38" s="1"/>
  <c r="AM129" i="38"/>
  <c r="BF129" i="38" s="1"/>
  <c r="Z129" i="38" s="1"/>
  <c r="AI129" i="38"/>
  <c r="AH129" i="38"/>
  <c r="AF129" i="38"/>
  <c r="AE129" i="38"/>
  <c r="AD129" i="38"/>
  <c r="AC129" i="38"/>
  <c r="AB129" i="38"/>
  <c r="X129" i="38"/>
  <c r="L129" i="38"/>
  <c r="BD129" i="38" s="1"/>
  <c r="J129" i="38"/>
  <c r="AJ129" i="38" s="1"/>
  <c r="H129" i="38"/>
  <c r="BU127" i="38"/>
  <c r="BH127" i="38"/>
  <c r="BD127" i="38"/>
  <c r="BB127" i="38"/>
  <c r="AN127" i="38"/>
  <c r="BG127" i="38" s="1"/>
  <c r="AA127" i="38" s="1"/>
  <c r="AM127" i="38"/>
  <c r="BF127" i="38" s="1"/>
  <c r="Z127" i="38" s="1"/>
  <c r="AI127" i="38"/>
  <c r="AH127" i="38"/>
  <c r="AF127" i="38"/>
  <c r="AE127" i="38"/>
  <c r="AD127" i="38"/>
  <c r="AC127" i="38"/>
  <c r="AB127" i="38"/>
  <c r="X127" i="38"/>
  <c r="L127" i="38"/>
  <c r="J127" i="38"/>
  <c r="AJ127" i="38" s="1"/>
  <c r="I127" i="38"/>
  <c r="H127" i="38"/>
  <c r="BU125" i="38"/>
  <c r="BH125" i="38"/>
  <c r="BB125" i="38"/>
  <c r="AN125" i="38"/>
  <c r="AM125" i="38"/>
  <c r="BF125" i="38" s="1"/>
  <c r="AI125" i="38"/>
  <c r="AH125" i="38"/>
  <c r="AF125" i="38"/>
  <c r="AE125" i="38"/>
  <c r="AD125" i="38"/>
  <c r="AC125" i="38"/>
  <c r="AB125" i="38"/>
  <c r="Z125" i="38"/>
  <c r="X125" i="38"/>
  <c r="L125" i="38"/>
  <c r="BD125" i="38" s="1"/>
  <c r="J125" i="38"/>
  <c r="H125" i="38"/>
  <c r="BU123" i="38"/>
  <c r="BH123" i="38"/>
  <c r="BB123" i="38"/>
  <c r="AN123" i="38"/>
  <c r="AM123" i="38"/>
  <c r="AI123" i="38"/>
  <c r="AH123" i="38"/>
  <c r="AF123" i="38"/>
  <c r="AE123" i="38"/>
  <c r="AD123" i="38"/>
  <c r="AC123" i="38"/>
  <c r="AB123" i="38"/>
  <c r="X123" i="38"/>
  <c r="L123" i="38"/>
  <c r="BD123" i="38" s="1"/>
  <c r="J123" i="38"/>
  <c r="AJ123" i="38" s="1"/>
  <c r="I123" i="38"/>
  <c r="H123" i="38"/>
  <c r="BU121" i="38"/>
  <c r="BH121" i="38"/>
  <c r="BD121" i="38"/>
  <c r="BB121" i="38"/>
  <c r="AV121" i="38"/>
  <c r="AN121" i="38"/>
  <c r="BG121" i="38" s="1"/>
  <c r="AM121" i="38"/>
  <c r="AI121" i="38"/>
  <c r="AH121" i="38"/>
  <c r="AF121" i="38"/>
  <c r="AE121" i="38"/>
  <c r="AD121" i="38"/>
  <c r="AC121" i="38"/>
  <c r="AB121" i="38"/>
  <c r="AA121" i="38"/>
  <c r="X121" i="38"/>
  <c r="L121" i="38"/>
  <c r="J121" i="38"/>
  <c r="I121" i="38"/>
  <c r="BU119" i="38"/>
  <c r="BH119" i="38"/>
  <c r="BB119" i="38"/>
  <c r="AV119" i="38"/>
  <c r="AN119" i="38"/>
  <c r="BG119" i="38" s="1"/>
  <c r="AA119" i="38" s="1"/>
  <c r="AM119" i="38"/>
  <c r="AI119" i="38"/>
  <c r="AH119" i="38"/>
  <c r="AQ118" i="38" s="1"/>
  <c r="AF119" i="38"/>
  <c r="AE119" i="38"/>
  <c r="AD119" i="38"/>
  <c r="AC119" i="38"/>
  <c r="AB119" i="38"/>
  <c r="X119" i="38"/>
  <c r="L119" i="38"/>
  <c r="BD119" i="38" s="1"/>
  <c r="J119" i="38"/>
  <c r="AJ119" i="38" s="1"/>
  <c r="I119" i="38"/>
  <c r="H119" i="38"/>
  <c r="BU116" i="38"/>
  <c r="BH116" i="38"/>
  <c r="BD116" i="38"/>
  <c r="BB116" i="38"/>
  <c r="AN116" i="38"/>
  <c r="BG116" i="38" s="1"/>
  <c r="AA116" i="38" s="1"/>
  <c r="AM116" i="38"/>
  <c r="BF116" i="38" s="1"/>
  <c r="Z116" i="38" s="1"/>
  <c r="AI116" i="38"/>
  <c r="AH116" i="38"/>
  <c r="AF116" i="38"/>
  <c r="AE116" i="38"/>
  <c r="AD116" i="38"/>
  <c r="AC116" i="38"/>
  <c r="AB116" i="38"/>
  <c r="X116" i="38"/>
  <c r="L116" i="38"/>
  <c r="J116" i="38"/>
  <c r="H116" i="38"/>
  <c r="BU114" i="38"/>
  <c r="BH114" i="38"/>
  <c r="BB114" i="38"/>
  <c r="AV114" i="38"/>
  <c r="AN114" i="38"/>
  <c r="BG114" i="38" s="1"/>
  <c r="AA114" i="38" s="1"/>
  <c r="AM114" i="38"/>
  <c r="AI114" i="38"/>
  <c r="AH114" i="38"/>
  <c r="AQ111" i="38" s="1"/>
  <c r="AF114" i="38"/>
  <c r="AE114" i="38"/>
  <c r="AD114" i="38"/>
  <c r="AC114" i="38"/>
  <c r="AB114" i="38"/>
  <c r="X114" i="38"/>
  <c r="L114" i="38"/>
  <c r="J114" i="38"/>
  <c r="AJ114" i="38" s="1"/>
  <c r="I114" i="38"/>
  <c r="H114" i="38"/>
  <c r="BU112" i="38"/>
  <c r="BH112" i="38"/>
  <c r="BB112" i="38"/>
  <c r="AU112" i="38"/>
  <c r="AN112" i="38"/>
  <c r="AM112" i="38"/>
  <c r="BF112" i="38" s="1"/>
  <c r="Z112" i="38" s="1"/>
  <c r="AI112" i="38"/>
  <c r="AH112" i="38"/>
  <c r="AF112" i="38"/>
  <c r="AE112" i="38"/>
  <c r="AD112" i="38"/>
  <c r="AC112" i="38"/>
  <c r="AB112" i="38"/>
  <c r="X112" i="38"/>
  <c r="L112" i="38"/>
  <c r="BD112" i="38" s="1"/>
  <c r="J112" i="38"/>
  <c r="AJ112" i="38" s="1"/>
  <c r="H112" i="38"/>
  <c r="BU109" i="38"/>
  <c r="BH109" i="38"/>
  <c r="BD109" i="38"/>
  <c r="BB109" i="38"/>
  <c r="AN109" i="38"/>
  <c r="BG109" i="38" s="1"/>
  <c r="AM109" i="38"/>
  <c r="AI109" i="38"/>
  <c r="AH109" i="38"/>
  <c r="AF109" i="38"/>
  <c r="AE109" i="38"/>
  <c r="AD109" i="38"/>
  <c r="AC109" i="38"/>
  <c r="AB109" i="38"/>
  <c r="AA109" i="38"/>
  <c r="X109" i="38"/>
  <c r="L109" i="38"/>
  <c r="J109" i="38"/>
  <c r="I109" i="38"/>
  <c r="AR108" i="38"/>
  <c r="AQ108" i="38"/>
  <c r="L108" i="38"/>
  <c r="I108" i="38"/>
  <c r="BU106" i="38"/>
  <c r="BH106" i="38"/>
  <c r="BD106" i="38"/>
  <c r="BB106" i="38"/>
  <c r="AN106" i="38"/>
  <c r="BG106" i="38" s="1"/>
  <c r="AM106" i="38"/>
  <c r="AI106" i="38"/>
  <c r="AH106" i="38"/>
  <c r="AF106" i="38"/>
  <c r="AE106" i="38"/>
  <c r="AD106" i="38"/>
  <c r="AC106" i="38"/>
  <c r="AB106" i="38"/>
  <c r="AA106" i="38"/>
  <c r="X106" i="38"/>
  <c r="L106" i="38"/>
  <c r="J106" i="38"/>
  <c r="AJ106" i="38" s="1"/>
  <c r="I106" i="38"/>
  <c r="BU104" i="38"/>
  <c r="BH104" i="38"/>
  <c r="BB104" i="38"/>
  <c r="AN104" i="38"/>
  <c r="AM104" i="38"/>
  <c r="BF104" i="38" s="1"/>
  <c r="Z104" i="38" s="1"/>
  <c r="AI104" i="38"/>
  <c r="AH104" i="38"/>
  <c r="AF104" i="38"/>
  <c r="AE104" i="38"/>
  <c r="AD104" i="38"/>
  <c r="AC104" i="38"/>
  <c r="AB104" i="38"/>
  <c r="X104" i="38"/>
  <c r="L104" i="38"/>
  <c r="BD104" i="38" s="1"/>
  <c r="J104" i="38"/>
  <c r="AJ104" i="38" s="1"/>
  <c r="H104" i="38"/>
  <c r="BU102" i="38"/>
  <c r="BH102" i="38"/>
  <c r="BB102" i="38"/>
  <c r="AN102" i="38"/>
  <c r="BG102" i="38" s="1"/>
  <c r="AM102" i="38"/>
  <c r="BF102" i="38" s="1"/>
  <c r="Z102" i="38" s="1"/>
  <c r="AI102" i="38"/>
  <c r="AH102" i="38"/>
  <c r="AF102" i="38"/>
  <c r="AE102" i="38"/>
  <c r="AD102" i="38"/>
  <c r="AC102" i="38"/>
  <c r="AB102" i="38"/>
  <c r="AA102" i="38"/>
  <c r="X102" i="38"/>
  <c r="L102" i="38"/>
  <c r="BD102" i="38" s="1"/>
  <c r="J102" i="38"/>
  <c r="AJ102" i="38" s="1"/>
  <c r="I102" i="38"/>
  <c r="BU100" i="38"/>
  <c r="BH100" i="38"/>
  <c r="BB100" i="38"/>
  <c r="AU100" i="38"/>
  <c r="AN100" i="38"/>
  <c r="BG100" i="38" s="1"/>
  <c r="AM100" i="38"/>
  <c r="BF100" i="38" s="1"/>
  <c r="Z100" i="38" s="1"/>
  <c r="AJ100" i="38"/>
  <c r="AI100" i="38"/>
  <c r="AH100" i="38"/>
  <c r="AF100" i="38"/>
  <c r="AE100" i="38"/>
  <c r="AD100" i="38"/>
  <c r="AC100" i="38"/>
  <c r="AB100" i="38"/>
  <c r="AA100" i="38"/>
  <c r="X100" i="38"/>
  <c r="L100" i="38"/>
  <c r="BD100" i="38" s="1"/>
  <c r="J100" i="38"/>
  <c r="I100" i="38"/>
  <c r="H100" i="38"/>
  <c r="BU98" i="38"/>
  <c r="BH98" i="38"/>
  <c r="BD98" i="38"/>
  <c r="BB98" i="38"/>
  <c r="AN98" i="38"/>
  <c r="BG98" i="38" s="1"/>
  <c r="AA98" i="38" s="1"/>
  <c r="AM98" i="38"/>
  <c r="AI98" i="38"/>
  <c r="AH98" i="38"/>
  <c r="AF98" i="38"/>
  <c r="AE98" i="38"/>
  <c r="AD98" i="38"/>
  <c r="AC98" i="38"/>
  <c r="AB98" i="38"/>
  <c r="X98" i="38"/>
  <c r="L98" i="38"/>
  <c r="J98" i="38"/>
  <c r="AJ98" i="38" s="1"/>
  <c r="BU96" i="38"/>
  <c r="BH96" i="38"/>
  <c r="BB96" i="38"/>
  <c r="AN96" i="38"/>
  <c r="AM96" i="38"/>
  <c r="BF96" i="38" s="1"/>
  <c r="Z96" i="38" s="1"/>
  <c r="AI96" i="38"/>
  <c r="AH96" i="38"/>
  <c r="AF96" i="38"/>
  <c r="AE96" i="38"/>
  <c r="AD96" i="38"/>
  <c r="AC96" i="38"/>
  <c r="AB96" i="38"/>
  <c r="X96" i="38"/>
  <c r="L96" i="38"/>
  <c r="BD96" i="38" s="1"/>
  <c r="J96" i="38"/>
  <c r="AJ96" i="38" s="1"/>
  <c r="BU94" i="38"/>
  <c r="BH94" i="38"/>
  <c r="BB94" i="38"/>
  <c r="AN94" i="38"/>
  <c r="BG94" i="38" s="1"/>
  <c r="AA94" i="38" s="1"/>
  <c r="AM94" i="38"/>
  <c r="BF94" i="38" s="1"/>
  <c r="Z94" i="38" s="1"/>
  <c r="AI94" i="38"/>
  <c r="AH94" i="38"/>
  <c r="AF94" i="38"/>
  <c r="AE94" i="38"/>
  <c r="AD94" i="38"/>
  <c r="AC94" i="38"/>
  <c r="AB94" i="38"/>
  <c r="X94" i="38"/>
  <c r="L94" i="38"/>
  <c r="BD94" i="38" s="1"/>
  <c r="J94" i="38"/>
  <c r="H94" i="38"/>
  <c r="BU91" i="38"/>
  <c r="BH91" i="38"/>
  <c r="BB91" i="38"/>
  <c r="AN91" i="38"/>
  <c r="BG91" i="38" s="1"/>
  <c r="AM91" i="38"/>
  <c r="BF91" i="38" s="1"/>
  <c r="Z91" i="38" s="1"/>
  <c r="AI91" i="38"/>
  <c r="AR90" i="38" s="1"/>
  <c r="AH91" i="38"/>
  <c r="AF91" i="38"/>
  <c r="AE91" i="38"/>
  <c r="AD91" i="38"/>
  <c r="AC91" i="38"/>
  <c r="AB91" i="38"/>
  <c r="AA91" i="38"/>
  <c r="X91" i="38"/>
  <c r="L91" i="38"/>
  <c r="BD91" i="38" s="1"/>
  <c r="J91" i="38"/>
  <c r="J90" i="38" s="1"/>
  <c r="I91" i="38"/>
  <c r="AQ90" i="38"/>
  <c r="L90" i="38"/>
  <c r="I90" i="38"/>
  <c r="BU88" i="38"/>
  <c r="BH88" i="38"/>
  <c r="BB88" i="38"/>
  <c r="AU88" i="38"/>
  <c r="AN88" i="38"/>
  <c r="BG88" i="38" s="1"/>
  <c r="AM88" i="38"/>
  <c r="BF88" i="38" s="1"/>
  <c r="Z88" i="38" s="1"/>
  <c r="AI88" i="38"/>
  <c r="AR87" i="38" s="1"/>
  <c r="AH88" i="38"/>
  <c r="AF88" i="38"/>
  <c r="AE88" i="38"/>
  <c r="AD88" i="38"/>
  <c r="AC88" i="38"/>
  <c r="AB88" i="38"/>
  <c r="AA88" i="38"/>
  <c r="X88" i="38"/>
  <c r="L88" i="38"/>
  <c r="BD88" i="38" s="1"/>
  <c r="J88" i="38"/>
  <c r="J87" i="38" s="1"/>
  <c r="I88" i="38"/>
  <c r="AQ87" i="38"/>
  <c r="L87" i="38"/>
  <c r="I87" i="38"/>
  <c r="BU86" i="38"/>
  <c r="BH86" i="38"/>
  <c r="X86" i="38" s="1"/>
  <c r="BB86" i="38"/>
  <c r="AN86" i="38"/>
  <c r="BG86" i="38" s="1"/>
  <c r="AM86" i="38"/>
  <c r="BF86" i="38" s="1"/>
  <c r="AI86" i="38"/>
  <c r="AH86" i="38"/>
  <c r="AF86" i="38"/>
  <c r="AE86" i="38"/>
  <c r="AD86" i="38"/>
  <c r="AC86" i="38"/>
  <c r="AB86" i="38"/>
  <c r="AA86" i="38"/>
  <c r="Z86" i="38"/>
  <c r="L86" i="38"/>
  <c r="BD86" i="38" s="1"/>
  <c r="J86" i="38"/>
  <c r="AJ86" i="38" s="1"/>
  <c r="I86" i="38"/>
  <c r="BU84" i="38"/>
  <c r="BH84" i="38"/>
  <c r="BD84" i="38"/>
  <c r="BB84" i="38"/>
  <c r="AN84" i="38"/>
  <c r="BG84" i="38" s="1"/>
  <c r="AA84" i="38" s="1"/>
  <c r="AM84" i="38"/>
  <c r="AI84" i="38"/>
  <c r="AH84" i="38"/>
  <c r="AF84" i="38"/>
  <c r="AE84" i="38"/>
  <c r="AD84" i="38"/>
  <c r="AC84" i="38"/>
  <c r="AB84" i="38"/>
  <c r="X84" i="38"/>
  <c r="L84" i="38"/>
  <c r="J84" i="38"/>
  <c r="AJ84" i="38" s="1"/>
  <c r="I84" i="38"/>
  <c r="BU82" i="38"/>
  <c r="BH82" i="38"/>
  <c r="BD82" i="38"/>
  <c r="BB82" i="38"/>
  <c r="AN82" i="38"/>
  <c r="BG82" i="38" s="1"/>
  <c r="AA82" i="38" s="1"/>
  <c r="AM82" i="38"/>
  <c r="AI82" i="38"/>
  <c r="AH82" i="38"/>
  <c r="AF82" i="38"/>
  <c r="AE82" i="38"/>
  <c r="AD82" i="38"/>
  <c r="AC82" i="38"/>
  <c r="AB82" i="38"/>
  <c r="X82" i="38"/>
  <c r="L82" i="38"/>
  <c r="L81" i="38" s="1"/>
  <c r="J82" i="38"/>
  <c r="AQ81" i="38"/>
  <c r="BU79" i="38"/>
  <c r="BH79" i="38"/>
  <c r="BB79" i="38"/>
  <c r="AN79" i="38"/>
  <c r="BG79" i="38" s="1"/>
  <c r="AA79" i="38" s="1"/>
  <c r="AM79" i="38"/>
  <c r="BF79" i="38" s="1"/>
  <c r="Z79" i="38" s="1"/>
  <c r="AJ79" i="38"/>
  <c r="AI79" i="38"/>
  <c r="AH79" i="38"/>
  <c r="AF79" i="38"/>
  <c r="AE79" i="38"/>
  <c r="AD79" i="38"/>
  <c r="AC79" i="38"/>
  <c r="AB79" i="38"/>
  <c r="X79" i="38"/>
  <c r="L79" i="38"/>
  <c r="BD79" i="38" s="1"/>
  <c r="J79" i="38"/>
  <c r="H79" i="38"/>
  <c r="BU77" i="38"/>
  <c r="BH77" i="38"/>
  <c r="BB77" i="38"/>
  <c r="AN77" i="38"/>
  <c r="BG77" i="38" s="1"/>
  <c r="AA77" i="38" s="1"/>
  <c r="AM77" i="38"/>
  <c r="BF77" i="38" s="1"/>
  <c r="Z77" i="38" s="1"/>
  <c r="AJ77" i="38"/>
  <c r="AI77" i="38"/>
  <c r="AH77" i="38"/>
  <c r="AQ76" i="38" s="1"/>
  <c r="AF77" i="38"/>
  <c r="AE77" i="38"/>
  <c r="AD77" i="38"/>
  <c r="AC77" i="38"/>
  <c r="AB77" i="38"/>
  <c r="X77" i="38"/>
  <c r="L77" i="38"/>
  <c r="BD77" i="38" s="1"/>
  <c r="J77" i="38"/>
  <c r="AR76" i="38"/>
  <c r="L76" i="38"/>
  <c r="BU74" i="38"/>
  <c r="BH74" i="38"/>
  <c r="BB74" i="38"/>
  <c r="AN74" i="38"/>
  <c r="BG74" i="38" s="1"/>
  <c r="AA74" i="38" s="1"/>
  <c r="AM74" i="38"/>
  <c r="BF74" i="38" s="1"/>
  <c r="Z74" i="38" s="1"/>
  <c r="AI74" i="38"/>
  <c r="AH74" i="38"/>
  <c r="AF74" i="38"/>
  <c r="AE74" i="38"/>
  <c r="AD74" i="38"/>
  <c r="AC74" i="38"/>
  <c r="AB74" i="38"/>
  <c r="X74" i="38"/>
  <c r="L74" i="38"/>
  <c r="J74" i="38"/>
  <c r="AJ74" i="38" s="1"/>
  <c r="I74" i="38"/>
  <c r="H74" i="38"/>
  <c r="BU73" i="38"/>
  <c r="BH73" i="38"/>
  <c r="BB73" i="38"/>
  <c r="AU73" i="38"/>
  <c r="AN73" i="38"/>
  <c r="BG73" i="38" s="1"/>
  <c r="AM73" i="38"/>
  <c r="BF73" i="38" s="1"/>
  <c r="Z73" i="38" s="1"/>
  <c r="AI73" i="38"/>
  <c r="AH73" i="38"/>
  <c r="AF73" i="38"/>
  <c r="AE73" i="38"/>
  <c r="AD73" i="38"/>
  <c r="AC73" i="38"/>
  <c r="AB73" i="38"/>
  <c r="AA73" i="38"/>
  <c r="X73" i="38"/>
  <c r="L73" i="38"/>
  <c r="BD73" i="38" s="1"/>
  <c r="J73" i="38"/>
  <c r="AJ73" i="38" s="1"/>
  <c r="I73" i="38"/>
  <c r="BU71" i="38"/>
  <c r="BH71" i="38"/>
  <c r="BD71" i="38"/>
  <c r="BB71" i="38"/>
  <c r="AN71" i="38"/>
  <c r="BG71" i="38" s="1"/>
  <c r="AA71" i="38" s="1"/>
  <c r="AM71" i="38"/>
  <c r="BF71" i="38" s="1"/>
  <c r="Z71" i="38" s="1"/>
  <c r="AI71" i="38"/>
  <c r="AH71" i="38"/>
  <c r="AQ70" i="38" s="1"/>
  <c r="AF71" i="38"/>
  <c r="AE71" i="38"/>
  <c r="AD71" i="38"/>
  <c r="AC71" i="38"/>
  <c r="AB71" i="38"/>
  <c r="X71" i="38"/>
  <c r="L71" i="38"/>
  <c r="J71" i="38"/>
  <c r="AJ71" i="38" s="1"/>
  <c r="H71" i="38"/>
  <c r="J70" i="38"/>
  <c r="BU68" i="38"/>
  <c r="BH68" i="38"/>
  <c r="BB68" i="38"/>
  <c r="AU68" i="38"/>
  <c r="AN68" i="38"/>
  <c r="AM68" i="38"/>
  <c r="BF68" i="38" s="1"/>
  <c r="Z68" i="38" s="1"/>
  <c r="AI68" i="38"/>
  <c r="AH68" i="38"/>
  <c r="AF68" i="38"/>
  <c r="AE68" i="38"/>
  <c r="AD68" i="38"/>
  <c r="AC68" i="38"/>
  <c r="AB68" i="38"/>
  <c r="X68" i="38"/>
  <c r="L68" i="38"/>
  <c r="BD68" i="38" s="1"/>
  <c r="J68" i="38"/>
  <c r="AJ68" i="38" s="1"/>
  <c r="H68" i="38"/>
  <c r="BU66" i="38"/>
  <c r="BH66" i="38"/>
  <c r="BB66" i="38"/>
  <c r="AN66" i="38"/>
  <c r="BG66" i="38" s="1"/>
  <c r="AA66" i="38" s="1"/>
  <c r="AM66" i="38"/>
  <c r="BF66" i="38" s="1"/>
  <c r="Z66" i="38" s="1"/>
  <c r="AI66" i="38"/>
  <c r="AH66" i="38"/>
  <c r="AF66" i="38"/>
  <c r="AE66" i="38"/>
  <c r="AD66" i="38"/>
  <c r="AC66" i="38"/>
  <c r="AB66" i="38"/>
  <c r="X66" i="38"/>
  <c r="L66" i="38"/>
  <c r="BD66" i="38" s="1"/>
  <c r="J66" i="38"/>
  <c r="AJ66" i="38" s="1"/>
  <c r="I66" i="38"/>
  <c r="H66" i="38"/>
  <c r="BU64" i="38"/>
  <c r="BH64" i="38"/>
  <c r="BD64" i="38"/>
  <c r="BB64" i="38"/>
  <c r="AN64" i="38"/>
  <c r="BG64" i="38" s="1"/>
  <c r="AA64" i="38" s="1"/>
  <c r="AM64" i="38"/>
  <c r="BF64" i="38" s="1"/>
  <c r="Z64" i="38" s="1"/>
  <c r="AI64" i="38"/>
  <c r="AH64" i="38"/>
  <c r="AF64" i="38"/>
  <c r="AE64" i="38"/>
  <c r="AD64" i="38"/>
  <c r="AC64" i="38"/>
  <c r="AB64" i="38"/>
  <c r="X64" i="38"/>
  <c r="L64" i="38"/>
  <c r="J64" i="38"/>
  <c r="AJ64" i="38" s="1"/>
  <c r="BU62" i="38"/>
  <c r="BH62" i="38"/>
  <c r="BD62" i="38"/>
  <c r="BB62" i="38"/>
  <c r="AN62" i="38"/>
  <c r="BG62" i="38" s="1"/>
  <c r="AA62" i="38" s="1"/>
  <c r="AM62" i="38"/>
  <c r="BF62" i="38" s="1"/>
  <c r="Z62" i="38" s="1"/>
  <c r="AI62" i="38"/>
  <c r="AH62" i="38"/>
  <c r="AF62" i="38"/>
  <c r="AE62" i="38"/>
  <c r="AD62" i="38"/>
  <c r="AC62" i="38"/>
  <c r="AB62" i="38"/>
  <c r="X62" i="38"/>
  <c r="L62" i="38"/>
  <c r="J62" i="38"/>
  <c r="AJ62" i="38" s="1"/>
  <c r="BU60" i="38"/>
  <c r="BH60" i="38"/>
  <c r="BD60" i="38"/>
  <c r="BB60" i="38"/>
  <c r="AN60" i="38"/>
  <c r="I60" i="38" s="1"/>
  <c r="AM60" i="38"/>
  <c r="BF60" i="38" s="1"/>
  <c r="Z60" i="38" s="1"/>
  <c r="AI60" i="38"/>
  <c r="AH60" i="38"/>
  <c r="AF60" i="38"/>
  <c r="AE60" i="38"/>
  <c r="AD60" i="38"/>
  <c r="AC60" i="38"/>
  <c r="AB60" i="38"/>
  <c r="X60" i="38"/>
  <c r="L60" i="38"/>
  <c r="J60" i="38"/>
  <c r="BU58" i="38"/>
  <c r="BH58" i="38"/>
  <c r="BB58" i="38"/>
  <c r="AU58" i="38"/>
  <c r="AN58" i="38"/>
  <c r="AV58" i="38" s="1"/>
  <c r="AM58" i="38"/>
  <c r="BF58" i="38" s="1"/>
  <c r="Z58" i="38" s="1"/>
  <c r="AI58" i="38"/>
  <c r="AH58" i="38"/>
  <c r="AF58" i="38"/>
  <c r="AE58" i="38"/>
  <c r="AD58" i="38"/>
  <c r="AC58" i="38"/>
  <c r="AB58" i="38"/>
  <c r="X58" i="38"/>
  <c r="L58" i="38"/>
  <c r="BD58" i="38" s="1"/>
  <c r="J58" i="38"/>
  <c r="AJ58" i="38" s="1"/>
  <c r="BU56" i="38"/>
  <c r="BH56" i="38"/>
  <c r="BB56" i="38"/>
  <c r="AU56" i="38"/>
  <c r="AN56" i="38"/>
  <c r="AV56" i="38" s="1"/>
  <c r="AM56" i="38"/>
  <c r="BF56" i="38" s="1"/>
  <c r="Z56" i="38" s="1"/>
  <c r="AJ56" i="38"/>
  <c r="AI56" i="38"/>
  <c r="AH56" i="38"/>
  <c r="AF56" i="38"/>
  <c r="AE56" i="38"/>
  <c r="AD56" i="38"/>
  <c r="AC56" i="38"/>
  <c r="AB56" i="38"/>
  <c r="X56" i="38"/>
  <c r="L56" i="38"/>
  <c r="BD56" i="38" s="1"/>
  <c r="J56" i="38"/>
  <c r="H56" i="38"/>
  <c r="BU54" i="38"/>
  <c r="BH54" i="38"/>
  <c r="BB54" i="38"/>
  <c r="AN54" i="38"/>
  <c r="AV54" i="38" s="1"/>
  <c r="AM54" i="38"/>
  <c r="BF54" i="38" s="1"/>
  <c r="Z54" i="38" s="1"/>
  <c r="AI54" i="38"/>
  <c r="AH54" i="38"/>
  <c r="AQ53" i="38" s="1"/>
  <c r="AF54" i="38"/>
  <c r="AE54" i="38"/>
  <c r="AD54" i="38"/>
  <c r="AC54" i="38"/>
  <c r="AB54" i="38"/>
  <c r="X54" i="38"/>
  <c r="L54" i="38"/>
  <c r="BD54" i="38" s="1"/>
  <c r="J54" i="38"/>
  <c r="AJ54" i="38" s="1"/>
  <c r="H54" i="38"/>
  <c r="L53" i="38"/>
  <c r="BU51" i="38"/>
  <c r="BH51" i="38"/>
  <c r="BB51" i="38"/>
  <c r="AN51" i="38"/>
  <c r="BG51" i="38" s="1"/>
  <c r="AA51" i="38" s="1"/>
  <c r="AM51" i="38"/>
  <c r="H51" i="38" s="1"/>
  <c r="AI51" i="38"/>
  <c r="AH51" i="38"/>
  <c r="AF51" i="38"/>
  <c r="AE51" i="38"/>
  <c r="AD51" i="38"/>
  <c r="AC51" i="38"/>
  <c r="AB51" i="38"/>
  <c r="X51" i="38"/>
  <c r="L51" i="38"/>
  <c r="BD51" i="38" s="1"/>
  <c r="J51" i="38"/>
  <c r="AJ51" i="38" s="1"/>
  <c r="BU49" i="38"/>
  <c r="BH49" i="38"/>
  <c r="BD49" i="38"/>
  <c r="BB49" i="38"/>
  <c r="AN49" i="38"/>
  <c r="AV49" i="38" s="1"/>
  <c r="AM49" i="38"/>
  <c r="BF49" i="38" s="1"/>
  <c r="Z49" i="38" s="1"/>
  <c r="AJ49" i="38"/>
  <c r="AS48" i="38" s="1"/>
  <c r="AI49" i="38"/>
  <c r="AH49" i="38"/>
  <c r="AQ48" i="38" s="1"/>
  <c r="AF49" i="38"/>
  <c r="AE49" i="38"/>
  <c r="AD49" i="38"/>
  <c r="AC49" i="38"/>
  <c r="AB49" i="38"/>
  <c r="X49" i="38"/>
  <c r="L49" i="38"/>
  <c r="L48" i="38" s="1"/>
  <c r="J49" i="38"/>
  <c r="AR48" i="38"/>
  <c r="BU46" i="38"/>
  <c r="BH46" i="38"/>
  <c r="BD46" i="38"/>
  <c r="BB46" i="38"/>
  <c r="AN46" i="38"/>
  <c r="I46" i="38" s="1"/>
  <c r="AM46" i="38"/>
  <c r="H46" i="38" s="1"/>
  <c r="AI46" i="38"/>
  <c r="AH46" i="38"/>
  <c r="AF46" i="38"/>
  <c r="AE46" i="38"/>
  <c r="AD46" i="38"/>
  <c r="AC46" i="38"/>
  <c r="AB46" i="38"/>
  <c r="X46" i="38"/>
  <c r="L46" i="38"/>
  <c r="J46" i="38"/>
  <c r="AJ46" i="38" s="1"/>
  <c r="BU44" i="38"/>
  <c r="BH44" i="38"/>
  <c r="BD44" i="38"/>
  <c r="BB44" i="38"/>
  <c r="AN44" i="38"/>
  <c r="AV44" i="38" s="1"/>
  <c r="AM44" i="38"/>
  <c r="BF44" i="38" s="1"/>
  <c r="Z44" i="38" s="1"/>
  <c r="AI44" i="38"/>
  <c r="AH44" i="38"/>
  <c r="AF44" i="38"/>
  <c r="AE44" i="38"/>
  <c r="AD44" i="38"/>
  <c r="AC44" i="38"/>
  <c r="AB44" i="38"/>
  <c r="X44" i="38"/>
  <c r="L44" i="38"/>
  <c r="J44" i="38"/>
  <c r="AJ44" i="38" s="1"/>
  <c r="BU42" i="38"/>
  <c r="BH42" i="38"/>
  <c r="BD42" i="38"/>
  <c r="BB42" i="38"/>
  <c r="AN42" i="38"/>
  <c r="I42" i="38" s="1"/>
  <c r="AM42" i="38"/>
  <c r="H42" i="38" s="1"/>
  <c r="AI42" i="38"/>
  <c r="AH42" i="38"/>
  <c r="AF42" i="38"/>
  <c r="AE42" i="38"/>
  <c r="AD42" i="38"/>
  <c r="AC42" i="38"/>
  <c r="AB42" i="38"/>
  <c r="X42" i="38"/>
  <c r="L42" i="38"/>
  <c r="J42" i="38"/>
  <c r="AJ42" i="38" s="1"/>
  <c r="BU40" i="38"/>
  <c r="BH40" i="38"/>
  <c r="BG40" i="38"/>
  <c r="AA40" i="38" s="1"/>
  <c r="BD40" i="38"/>
  <c r="BB40" i="38"/>
  <c r="AN40" i="38"/>
  <c r="AV40" i="38" s="1"/>
  <c r="AM40" i="38"/>
  <c r="BF40" i="38" s="1"/>
  <c r="Z40" i="38" s="1"/>
  <c r="AJ40" i="38"/>
  <c r="AI40" i="38"/>
  <c r="AH40" i="38"/>
  <c r="AF40" i="38"/>
  <c r="AE40" i="38"/>
  <c r="AD40" i="38"/>
  <c r="AC40" i="38"/>
  <c r="AB40" i="38"/>
  <c r="X40" i="38"/>
  <c r="L40" i="38"/>
  <c r="J40" i="38"/>
  <c r="I40" i="38"/>
  <c r="BU38" i="38"/>
  <c r="BH38" i="38"/>
  <c r="BD38" i="38"/>
  <c r="BB38" i="38"/>
  <c r="AN38" i="38"/>
  <c r="I38" i="38" s="1"/>
  <c r="AM38" i="38"/>
  <c r="H38" i="38" s="1"/>
  <c r="AI38" i="38"/>
  <c r="AH38" i="38"/>
  <c r="AF38" i="38"/>
  <c r="AE38" i="38"/>
  <c r="AD38" i="38"/>
  <c r="AC38" i="38"/>
  <c r="AB38" i="38"/>
  <c r="X38" i="38"/>
  <c r="L38" i="38"/>
  <c r="J38" i="38"/>
  <c r="AJ38" i="38" s="1"/>
  <c r="BU36" i="38"/>
  <c r="BH36" i="38"/>
  <c r="BD36" i="38"/>
  <c r="BB36" i="38"/>
  <c r="AN36" i="38"/>
  <c r="AV36" i="38" s="1"/>
  <c r="AM36" i="38"/>
  <c r="BF36" i="38" s="1"/>
  <c r="Z36" i="38" s="1"/>
  <c r="AJ36" i="38"/>
  <c r="AI36" i="38"/>
  <c r="AH36" i="38"/>
  <c r="AF36" i="38"/>
  <c r="AE36" i="38"/>
  <c r="AD36" i="38"/>
  <c r="AC36" i="38"/>
  <c r="AB36" i="38"/>
  <c r="X36" i="38"/>
  <c r="L36" i="38"/>
  <c r="J36" i="38"/>
  <c r="BU34" i="38"/>
  <c r="BH34" i="38"/>
  <c r="BD34" i="38"/>
  <c r="BB34" i="38"/>
  <c r="AN34" i="38"/>
  <c r="I34" i="38" s="1"/>
  <c r="AM34" i="38"/>
  <c r="H34" i="38" s="1"/>
  <c r="AI34" i="38"/>
  <c r="AH34" i="38"/>
  <c r="AF34" i="38"/>
  <c r="AE34" i="38"/>
  <c r="AD34" i="38"/>
  <c r="AC34" i="38"/>
  <c r="AB34" i="38"/>
  <c r="X34" i="38"/>
  <c r="L34" i="38"/>
  <c r="J34" i="38"/>
  <c r="BU32" i="38"/>
  <c r="BH32" i="38"/>
  <c r="BG32" i="38"/>
  <c r="AA32" i="38" s="1"/>
  <c r="BD32" i="38"/>
  <c r="BB32" i="38"/>
  <c r="AN32" i="38"/>
  <c r="AV32" i="38" s="1"/>
  <c r="AM32" i="38"/>
  <c r="BF32" i="38" s="1"/>
  <c r="Z32" i="38" s="1"/>
  <c r="AI32" i="38"/>
  <c r="AR31" i="38" s="1"/>
  <c r="AH32" i="38"/>
  <c r="AF32" i="38"/>
  <c r="AE32" i="38"/>
  <c r="AD32" i="38"/>
  <c r="AC32" i="38"/>
  <c r="AB32" i="38"/>
  <c r="X32" i="38"/>
  <c r="L32" i="38"/>
  <c r="J32" i="38"/>
  <c r="AJ32" i="38" s="1"/>
  <c r="I32" i="38"/>
  <c r="L31" i="38"/>
  <c r="BU29" i="38"/>
  <c r="BH29" i="38"/>
  <c r="BB29" i="38"/>
  <c r="AU29" i="38"/>
  <c r="AN29" i="38"/>
  <c r="I29" i="38" s="1"/>
  <c r="I28" i="38" s="1"/>
  <c r="AM29" i="38"/>
  <c r="H29" i="38" s="1"/>
  <c r="H28" i="38" s="1"/>
  <c r="AI29" i="38"/>
  <c r="AR28" i="38" s="1"/>
  <c r="AH29" i="38"/>
  <c r="AQ28" i="38" s="1"/>
  <c r="AF29" i="38"/>
  <c r="AE29" i="38"/>
  <c r="AD29" i="38"/>
  <c r="AC29" i="38"/>
  <c r="AB29" i="38"/>
  <c r="X29" i="38"/>
  <c r="L29" i="38"/>
  <c r="BD29" i="38" s="1"/>
  <c r="J29" i="38"/>
  <c r="AJ29" i="38" s="1"/>
  <c r="AS28" i="38" s="1"/>
  <c r="BU26" i="38"/>
  <c r="BH26" i="38"/>
  <c r="BD26" i="38"/>
  <c r="BB26" i="38"/>
  <c r="AN26" i="38"/>
  <c r="AV26" i="38" s="1"/>
  <c r="AM26" i="38"/>
  <c r="BF26" i="38" s="1"/>
  <c r="Z26" i="38" s="1"/>
  <c r="AI26" i="38"/>
  <c r="AH26" i="38"/>
  <c r="AF26" i="38"/>
  <c r="AE26" i="38"/>
  <c r="AD26" i="38"/>
  <c r="AC26" i="38"/>
  <c r="AB26" i="38"/>
  <c r="X26" i="38"/>
  <c r="L26" i="38"/>
  <c r="J26" i="38"/>
  <c r="AJ26" i="38" s="1"/>
  <c r="BU24" i="38"/>
  <c r="BH24" i="38"/>
  <c r="BB24" i="38"/>
  <c r="AN24" i="38"/>
  <c r="AV24" i="38" s="1"/>
  <c r="AM24" i="38"/>
  <c r="H24" i="38" s="1"/>
  <c r="AJ24" i="38"/>
  <c r="AI24" i="38"/>
  <c r="AH24" i="38"/>
  <c r="AF24" i="38"/>
  <c r="AE24" i="38"/>
  <c r="AD24" i="38"/>
  <c r="AC24" i="38"/>
  <c r="AB24" i="38"/>
  <c r="X24" i="38"/>
  <c r="L24" i="38"/>
  <c r="BD24" i="38" s="1"/>
  <c r="J24" i="38"/>
  <c r="BU22" i="38"/>
  <c r="BH22" i="38"/>
  <c r="BD22" i="38"/>
  <c r="BB22" i="38"/>
  <c r="AN22" i="38"/>
  <c r="AV22" i="38" s="1"/>
  <c r="AM22" i="38"/>
  <c r="BF22" i="38" s="1"/>
  <c r="Z22" i="38" s="1"/>
  <c r="AI22" i="38"/>
  <c r="AH22" i="38"/>
  <c r="AF22" i="38"/>
  <c r="AE22" i="38"/>
  <c r="AD22" i="38"/>
  <c r="AC22" i="38"/>
  <c r="AB22" i="38"/>
  <c r="X22" i="38"/>
  <c r="L22" i="38"/>
  <c r="J22" i="38"/>
  <c r="AJ22" i="38" s="1"/>
  <c r="BU20" i="38"/>
  <c r="BH20" i="38"/>
  <c r="BB20" i="38"/>
  <c r="AN20" i="38"/>
  <c r="AV20" i="38" s="1"/>
  <c r="AM20" i="38"/>
  <c r="H20" i="38" s="1"/>
  <c r="AJ20" i="38"/>
  <c r="AI20" i="38"/>
  <c r="AH20" i="38"/>
  <c r="AF20" i="38"/>
  <c r="AE20" i="38"/>
  <c r="AD20" i="38"/>
  <c r="AC20" i="38"/>
  <c r="AB20" i="38"/>
  <c r="X20" i="38"/>
  <c r="L20" i="38"/>
  <c r="BD20" i="38" s="1"/>
  <c r="J20" i="38"/>
  <c r="BU18" i="38"/>
  <c r="BH18" i="38"/>
  <c r="BD18" i="38"/>
  <c r="BB18" i="38"/>
  <c r="AN18" i="38"/>
  <c r="AV18" i="38" s="1"/>
  <c r="AM18" i="38"/>
  <c r="BF18" i="38" s="1"/>
  <c r="Z18" i="38" s="1"/>
  <c r="AI18" i="38"/>
  <c r="AH18" i="38"/>
  <c r="AQ15" i="38" s="1"/>
  <c r="AF18" i="38"/>
  <c r="AE18" i="38"/>
  <c r="AD18" i="38"/>
  <c r="AC18" i="38"/>
  <c r="AB18" i="38"/>
  <c r="X18" i="38"/>
  <c r="L18" i="38"/>
  <c r="L15" i="38" s="1"/>
  <c r="J18" i="38"/>
  <c r="AJ18" i="38" s="1"/>
  <c r="AS15" i="38" s="1"/>
  <c r="BU16" i="38"/>
  <c r="BH16" i="38"/>
  <c r="BB16" i="38"/>
  <c r="AN16" i="38"/>
  <c r="AV16" i="38" s="1"/>
  <c r="AM16" i="38"/>
  <c r="H16" i="38" s="1"/>
  <c r="AJ16" i="38"/>
  <c r="AI16" i="38"/>
  <c r="AH16" i="38"/>
  <c r="AF16" i="38"/>
  <c r="AE16" i="38"/>
  <c r="AD16" i="38"/>
  <c r="AC16" i="38"/>
  <c r="AB16" i="38"/>
  <c r="X16" i="38"/>
  <c r="L16" i="38"/>
  <c r="BD16" i="38" s="1"/>
  <c r="J16" i="38"/>
  <c r="J15" i="38"/>
  <c r="BU13" i="38"/>
  <c r="BH13" i="38"/>
  <c r="BD13" i="38"/>
  <c r="BB13" i="38"/>
  <c r="AN13" i="38"/>
  <c r="AV13" i="38" s="1"/>
  <c r="AM13" i="38"/>
  <c r="BF13" i="38" s="1"/>
  <c r="Z13" i="38" s="1"/>
  <c r="AI13" i="38"/>
  <c r="AH13" i="38"/>
  <c r="AQ12" i="38" s="1"/>
  <c r="AF13" i="38"/>
  <c r="AE13" i="38"/>
  <c r="AD13" i="38"/>
  <c r="AC13" i="38"/>
  <c r="AB13" i="38"/>
  <c r="X13" i="38"/>
  <c r="L13" i="38"/>
  <c r="J13" i="38"/>
  <c r="AJ13" i="38" s="1"/>
  <c r="AS12" i="38" s="1"/>
  <c r="I13" i="38"/>
  <c r="I12" i="38" s="1"/>
  <c r="AR12" i="38"/>
  <c r="L12" i="38"/>
  <c r="AS1" i="38"/>
  <c r="AR1" i="38"/>
  <c r="AQ1" i="38"/>
  <c r="BU206" i="37"/>
  <c r="BH206" i="37"/>
  <c r="AF206" i="37" s="1"/>
  <c r="BB206" i="37"/>
  <c r="AN206" i="37"/>
  <c r="BG206" i="37" s="1"/>
  <c r="AM206" i="37"/>
  <c r="BF206" i="37" s="1"/>
  <c r="AJ206" i="37"/>
  <c r="AH206" i="37"/>
  <c r="AE206" i="37"/>
  <c r="AD206" i="37"/>
  <c r="AC206" i="37"/>
  <c r="AB206" i="37"/>
  <c r="AA206" i="37"/>
  <c r="Z206" i="37"/>
  <c r="X206" i="37"/>
  <c r="L206" i="37"/>
  <c r="BD206" i="37" s="1"/>
  <c r="J206" i="37"/>
  <c r="I206" i="37"/>
  <c r="BU204" i="37"/>
  <c r="BH204" i="37"/>
  <c r="AF204" i="37" s="1"/>
  <c r="BB204" i="37"/>
  <c r="AU204" i="37"/>
  <c r="AN204" i="37"/>
  <c r="BG204" i="37" s="1"/>
  <c r="AM204" i="37"/>
  <c r="BF204" i="37" s="1"/>
  <c r="AJ204" i="37"/>
  <c r="AI204" i="37"/>
  <c r="AH204" i="37"/>
  <c r="AE204" i="37"/>
  <c r="AD204" i="37"/>
  <c r="AC204" i="37"/>
  <c r="AB204" i="37"/>
  <c r="AA204" i="37"/>
  <c r="Z204" i="37"/>
  <c r="X204" i="37"/>
  <c r="L204" i="37"/>
  <c r="BD204" i="37" s="1"/>
  <c r="J204" i="37"/>
  <c r="H204" i="37"/>
  <c r="BU202" i="37"/>
  <c r="BH202" i="37"/>
  <c r="AF202" i="37" s="1"/>
  <c r="BB202" i="37"/>
  <c r="AU202" i="37"/>
  <c r="AN202" i="37"/>
  <c r="BG202" i="37" s="1"/>
  <c r="AM202" i="37"/>
  <c r="BF202" i="37" s="1"/>
  <c r="AJ202" i="37"/>
  <c r="AH202" i="37"/>
  <c r="AE202" i="37"/>
  <c r="AD202" i="37"/>
  <c r="AC202" i="37"/>
  <c r="AB202" i="37"/>
  <c r="AA202" i="37"/>
  <c r="Z202" i="37"/>
  <c r="X202" i="37"/>
  <c r="L202" i="37"/>
  <c r="BD202" i="37" s="1"/>
  <c r="J202" i="37"/>
  <c r="H202" i="37"/>
  <c r="BU201" i="37"/>
  <c r="BH201" i="37"/>
  <c r="AF201" i="37" s="1"/>
  <c r="BB201" i="37"/>
  <c r="AV201" i="37"/>
  <c r="AN201" i="37"/>
  <c r="BG201" i="37" s="1"/>
  <c r="AM201" i="37"/>
  <c r="BF201" i="37" s="1"/>
  <c r="AJ201" i="37"/>
  <c r="AH201" i="37"/>
  <c r="AE201" i="37"/>
  <c r="AD201" i="37"/>
  <c r="AC201" i="37"/>
  <c r="AB201" i="37"/>
  <c r="AA201" i="37"/>
  <c r="Z201" i="37"/>
  <c r="X201" i="37"/>
  <c r="L201" i="37"/>
  <c r="BD201" i="37" s="1"/>
  <c r="J201" i="37"/>
  <c r="AI201" i="37" s="1"/>
  <c r="I201" i="37"/>
  <c r="BU200" i="37"/>
  <c r="BH200" i="37"/>
  <c r="AF200" i="37" s="1"/>
  <c r="BB200" i="37"/>
  <c r="AV200" i="37"/>
  <c r="AN200" i="37"/>
  <c r="BG200" i="37" s="1"/>
  <c r="AM200" i="37"/>
  <c r="BF200" i="37" s="1"/>
  <c r="AJ200" i="37"/>
  <c r="AH200" i="37"/>
  <c r="AE200" i="37"/>
  <c r="AD200" i="37"/>
  <c r="AC200" i="37"/>
  <c r="AB200" i="37"/>
  <c r="AA200" i="37"/>
  <c r="Z200" i="37"/>
  <c r="X200" i="37"/>
  <c r="L200" i="37"/>
  <c r="BD200" i="37" s="1"/>
  <c r="J200" i="37"/>
  <c r="I200" i="37"/>
  <c r="BU199" i="37"/>
  <c r="BH199" i="37"/>
  <c r="AF199" i="37" s="1"/>
  <c r="BB199" i="37"/>
  <c r="AU199" i="37"/>
  <c r="AN199" i="37"/>
  <c r="BG199" i="37" s="1"/>
  <c r="AM199" i="37"/>
  <c r="BF199" i="37" s="1"/>
  <c r="AJ199" i="37"/>
  <c r="AH199" i="37"/>
  <c r="AE199" i="37"/>
  <c r="AD199" i="37"/>
  <c r="AC199" i="37"/>
  <c r="AB199" i="37"/>
  <c r="AA199" i="37"/>
  <c r="Z199" i="37"/>
  <c r="X199" i="37"/>
  <c r="L199" i="37"/>
  <c r="BD199" i="37" s="1"/>
  <c r="J199" i="37"/>
  <c r="AI199" i="37" s="1"/>
  <c r="H199" i="37"/>
  <c r="BU198" i="37"/>
  <c r="BH198" i="37"/>
  <c r="AF198" i="37" s="1"/>
  <c r="BB198" i="37"/>
  <c r="AN198" i="37"/>
  <c r="BG198" i="37" s="1"/>
  <c r="AM198" i="37"/>
  <c r="BF198" i="37" s="1"/>
  <c r="AJ198" i="37"/>
  <c r="AH198" i="37"/>
  <c r="AE198" i="37"/>
  <c r="AD198" i="37"/>
  <c r="AC198" i="37"/>
  <c r="AB198" i="37"/>
  <c r="AA198" i="37"/>
  <c r="Z198" i="37"/>
  <c r="X198" i="37"/>
  <c r="L198" i="37"/>
  <c r="BD198" i="37" s="1"/>
  <c r="J198" i="37"/>
  <c r="H198" i="37"/>
  <c r="BU197" i="37"/>
  <c r="BH197" i="37"/>
  <c r="AF197" i="37" s="1"/>
  <c r="BB197" i="37"/>
  <c r="AN197" i="37"/>
  <c r="BG197" i="37" s="1"/>
  <c r="AM197" i="37"/>
  <c r="BF197" i="37" s="1"/>
  <c r="AJ197" i="37"/>
  <c r="AH197" i="37"/>
  <c r="AE197" i="37"/>
  <c r="AD197" i="37"/>
  <c r="AC197" i="37"/>
  <c r="AB197" i="37"/>
  <c r="AA197" i="37"/>
  <c r="Z197" i="37"/>
  <c r="X197" i="37"/>
  <c r="L197" i="37"/>
  <c r="BD197" i="37" s="1"/>
  <c r="J197" i="37"/>
  <c r="AI197" i="37" s="1"/>
  <c r="BU196" i="37"/>
  <c r="BH196" i="37"/>
  <c r="AF196" i="37" s="1"/>
  <c r="BB196" i="37"/>
  <c r="AV196" i="37"/>
  <c r="AN196" i="37"/>
  <c r="BG196" i="37" s="1"/>
  <c r="AM196" i="37"/>
  <c r="BF196" i="37" s="1"/>
  <c r="AJ196" i="37"/>
  <c r="AH196" i="37"/>
  <c r="AE196" i="37"/>
  <c r="AD196" i="37"/>
  <c r="AC196" i="37"/>
  <c r="AB196" i="37"/>
  <c r="AA196" i="37"/>
  <c r="Z196" i="37"/>
  <c r="X196" i="37"/>
  <c r="L196" i="37"/>
  <c r="BD196" i="37" s="1"/>
  <c r="J196" i="37"/>
  <c r="I196" i="37"/>
  <c r="BU195" i="37"/>
  <c r="BH195" i="37"/>
  <c r="AF195" i="37" s="1"/>
  <c r="BB195" i="37"/>
  <c r="AU195" i="37"/>
  <c r="AN195" i="37"/>
  <c r="BG195" i="37" s="1"/>
  <c r="AM195" i="37"/>
  <c r="BF195" i="37" s="1"/>
  <c r="AJ195" i="37"/>
  <c r="AH195" i="37"/>
  <c r="AE195" i="37"/>
  <c r="AD195" i="37"/>
  <c r="AC195" i="37"/>
  <c r="AB195" i="37"/>
  <c r="AA195" i="37"/>
  <c r="Z195" i="37"/>
  <c r="X195" i="37"/>
  <c r="L195" i="37"/>
  <c r="BD195" i="37" s="1"/>
  <c r="J195" i="37"/>
  <c r="AI195" i="37" s="1"/>
  <c r="BU194" i="37"/>
  <c r="BH194" i="37"/>
  <c r="AF194" i="37" s="1"/>
  <c r="BB194" i="37"/>
  <c r="AN194" i="37"/>
  <c r="BG194" i="37" s="1"/>
  <c r="AM194" i="37"/>
  <c r="BF194" i="37" s="1"/>
  <c r="AJ194" i="37"/>
  <c r="AH194" i="37"/>
  <c r="AE194" i="37"/>
  <c r="AD194" i="37"/>
  <c r="AC194" i="37"/>
  <c r="AB194" i="37"/>
  <c r="AA194" i="37"/>
  <c r="Z194" i="37"/>
  <c r="X194" i="37"/>
  <c r="L194" i="37"/>
  <c r="BD194" i="37" s="1"/>
  <c r="J194" i="37"/>
  <c r="I194" i="37"/>
  <c r="BU193" i="37"/>
  <c r="BH193" i="37"/>
  <c r="AF193" i="37" s="1"/>
  <c r="BB193" i="37"/>
  <c r="AV193" i="37"/>
  <c r="AN193" i="37"/>
  <c r="BG193" i="37" s="1"/>
  <c r="AM193" i="37"/>
  <c r="BF193" i="37" s="1"/>
  <c r="AJ193" i="37"/>
  <c r="AH193" i="37"/>
  <c r="AE193" i="37"/>
  <c r="AD193" i="37"/>
  <c r="AC193" i="37"/>
  <c r="AB193" i="37"/>
  <c r="AA193" i="37"/>
  <c r="Z193" i="37"/>
  <c r="X193" i="37"/>
  <c r="L193" i="37"/>
  <c r="BD193" i="37" s="1"/>
  <c r="J193" i="37"/>
  <c r="BU192" i="37"/>
  <c r="BH192" i="37"/>
  <c r="AF192" i="37" s="1"/>
  <c r="BD192" i="37"/>
  <c r="BB192" i="37"/>
  <c r="AN192" i="37"/>
  <c r="BG192" i="37" s="1"/>
  <c r="AM192" i="37"/>
  <c r="BF192" i="37" s="1"/>
  <c r="AJ192" i="37"/>
  <c r="AI192" i="37"/>
  <c r="AH192" i="37"/>
  <c r="AE192" i="37"/>
  <c r="AD192" i="37"/>
  <c r="AC192" i="37"/>
  <c r="AB192" i="37"/>
  <c r="AA192" i="37"/>
  <c r="Z192" i="37"/>
  <c r="X192" i="37"/>
  <c r="L192" i="37"/>
  <c r="J192" i="37"/>
  <c r="H192" i="37"/>
  <c r="BU191" i="37"/>
  <c r="BH191" i="37"/>
  <c r="AF191" i="37" s="1"/>
  <c r="BB191" i="37"/>
  <c r="AU191" i="37"/>
  <c r="AN191" i="37"/>
  <c r="BG191" i="37" s="1"/>
  <c r="AM191" i="37"/>
  <c r="BF191" i="37" s="1"/>
  <c r="AJ191" i="37"/>
  <c r="AH191" i="37"/>
  <c r="AE191" i="37"/>
  <c r="AD191" i="37"/>
  <c r="AC191" i="37"/>
  <c r="AB191" i="37"/>
  <c r="AA191" i="37"/>
  <c r="Z191" i="37"/>
  <c r="X191" i="37"/>
  <c r="L191" i="37"/>
  <c r="BD191" i="37" s="1"/>
  <c r="J191" i="37"/>
  <c r="AI191" i="37" s="1"/>
  <c r="H191" i="37"/>
  <c r="BU189" i="37"/>
  <c r="BH189" i="37"/>
  <c r="AF189" i="37" s="1"/>
  <c r="BB189" i="37"/>
  <c r="AV189" i="37"/>
  <c r="AN189" i="37"/>
  <c r="BG189" i="37" s="1"/>
  <c r="AM189" i="37"/>
  <c r="BF189" i="37" s="1"/>
  <c r="AJ189" i="37"/>
  <c r="AH189" i="37"/>
  <c r="AE189" i="37"/>
  <c r="AD189" i="37"/>
  <c r="AC189" i="37"/>
  <c r="AB189" i="37"/>
  <c r="AA189" i="37"/>
  <c r="Z189" i="37"/>
  <c r="X189" i="37"/>
  <c r="L189" i="37"/>
  <c r="BD189" i="37" s="1"/>
  <c r="J189" i="37"/>
  <c r="I189" i="37"/>
  <c r="BU187" i="37"/>
  <c r="BH187" i="37"/>
  <c r="AF187" i="37" s="1"/>
  <c r="BB187" i="37"/>
  <c r="AN187" i="37"/>
  <c r="BG187" i="37" s="1"/>
  <c r="AM187" i="37"/>
  <c r="BF187" i="37" s="1"/>
  <c r="AJ187" i="37"/>
  <c r="AH187" i="37"/>
  <c r="AE187" i="37"/>
  <c r="AD187" i="37"/>
  <c r="AC187" i="37"/>
  <c r="AB187" i="37"/>
  <c r="AA187" i="37"/>
  <c r="Z187" i="37"/>
  <c r="X187" i="37"/>
  <c r="L187" i="37"/>
  <c r="BD187" i="37" s="1"/>
  <c r="J187" i="37"/>
  <c r="BU185" i="37"/>
  <c r="BH185" i="37"/>
  <c r="AF185" i="37" s="1"/>
  <c r="BD185" i="37"/>
  <c r="BB185" i="37"/>
  <c r="AN185" i="37"/>
  <c r="BG185" i="37" s="1"/>
  <c r="AM185" i="37"/>
  <c r="BF185" i="37" s="1"/>
  <c r="AJ185" i="37"/>
  <c r="AH185" i="37"/>
  <c r="AE185" i="37"/>
  <c r="AD185" i="37"/>
  <c r="AC185" i="37"/>
  <c r="AB185" i="37"/>
  <c r="AA185" i="37"/>
  <c r="Z185" i="37"/>
  <c r="X185" i="37"/>
  <c r="L185" i="37"/>
  <c r="J185" i="37"/>
  <c r="AI185" i="37" s="1"/>
  <c r="I185" i="37"/>
  <c r="BU183" i="37"/>
  <c r="BH183" i="37"/>
  <c r="AF183" i="37" s="1"/>
  <c r="BB183" i="37"/>
  <c r="AU183" i="37"/>
  <c r="AN183" i="37"/>
  <c r="BG183" i="37" s="1"/>
  <c r="AM183" i="37"/>
  <c r="BF183" i="37" s="1"/>
  <c r="AJ183" i="37"/>
  <c r="AH183" i="37"/>
  <c r="AE183" i="37"/>
  <c r="AD183" i="37"/>
  <c r="AC183" i="37"/>
  <c r="AB183" i="37"/>
  <c r="AA183" i="37"/>
  <c r="Z183" i="37"/>
  <c r="X183" i="37"/>
  <c r="L183" i="37"/>
  <c r="BD183" i="37" s="1"/>
  <c r="J183" i="37"/>
  <c r="AI183" i="37" s="1"/>
  <c r="H183" i="37"/>
  <c r="BU181" i="37"/>
  <c r="BH181" i="37"/>
  <c r="AF181" i="37" s="1"/>
  <c r="BB181" i="37"/>
  <c r="AN181" i="37"/>
  <c r="BG181" i="37" s="1"/>
  <c r="AM181" i="37"/>
  <c r="BF181" i="37" s="1"/>
  <c r="AJ181" i="37"/>
  <c r="AH181" i="37"/>
  <c r="AE181" i="37"/>
  <c r="AD181" i="37"/>
  <c r="AC181" i="37"/>
  <c r="AB181" i="37"/>
  <c r="AA181" i="37"/>
  <c r="Z181" i="37"/>
  <c r="X181" i="37"/>
  <c r="L181" i="37"/>
  <c r="BD181" i="37" s="1"/>
  <c r="J181" i="37"/>
  <c r="BU179" i="37"/>
  <c r="BH179" i="37"/>
  <c r="AF179" i="37" s="1"/>
  <c r="BB179" i="37"/>
  <c r="AV179" i="37"/>
  <c r="AN179" i="37"/>
  <c r="BG179" i="37" s="1"/>
  <c r="AM179" i="37"/>
  <c r="BF179" i="37" s="1"/>
  <c r="AJ179" i="37"/>
  <c r="AH179" i="37"/>
  <c r="AE179" i="37"/>
  <c r="AD179" i="37"/>
  <c r="AC179" i="37"/>
  <c r="AB179" i="37"/>
  <c r="AA179" i="37"/>
  <c r="Z179" i="37"/>
  <c r="X179" i="37"/>
  <c r="L179" i="37"/>
  <c r="BD179" i="37" s="1"/>
  <c r="J179" i="37"/>
  <c r="I179" i="37"/>
  <c r="BU177" i="37"/>
  <c r="BH177" i="37"/>
  <c r="AF177" i="37" s="1"/>
  <c r="BD177" i="37"/>
  <c r="BB177" i="37"/>
  <c r="AV177" i="37"/>
  <c r="AN177" i="37"/>
  <c r="BG177" i="37" s="1"/>
  <c r="AM177" i="37"/>
  <c r="BF177" i="37" s="1"/>
  <c r="AJ177" i="37"/>
  <c r="AI177" i="37"/>
  <c r="AH177" i="37"/>
  <c r="AE177" i="37"/>
  <c r="AD177" i="37"/>
  <c r="AC177" i="37"/>
  <c r="AB177" i="37"/>
  <c r="AA177" i="37"/>
  <c r="Z177" i="37"/>
  <c r="X177" i="37"/>
  <c r="L177" i="37"/>
  <c r="J177" i="37"/>
  <c r="I177" i="37"/>
  <c r="H177" i="37"/>
  <c r="BU175" i="37"/>
  <c r="BH175" i="37"/>
  <c r="X175" i="37" s="1"/>
  <c r="BD175" i="37"/>
  <c r="BB175" i="37"/>
  <c r="AN175" i="37"/>
  <c r="BG175" i="37" s="1"/>
  <c r="AM175" i="37"/>
  <c r="BF175" i="37" s="1"/>
  <c r="AJ175" i="37"/>
  <c r="AH175" i="37"/>
  <c r="AF175" i="37"/>
  <c r="AE175" i="37"/>
  <c r="AD175" i="37"/>
  <c r="AC175" i="37"/>
  <c r="AB175" i="37"/>
  <c r="AA175" i="37"/>
  <c r="Z175" i="37"/>
  <c r="L175" i="37"/>
  <c r="J175" i="37"/>
  <c r="AI175" i="37" s="1"/>
  <c r="H175" i="37"/>
  <c r="BU174" i="37"/>
  <c r="BH174" i="37"/>
  <c r="X174" i="37" s="1"/>
  <c r="BB174" i="37"/>
  <c r="AN174" i="37"/>
  <c r="BG174" i="37" s="1"/>
  <c r="AM174" i="37"/>
  <c r="BF174" i="37" s="1"/>
  <c r="AJ174" i="37"/>
  <c r="AH174" i="37"/>
  <c r="AF174" i="37"/>
  <c r="AE174" i="37"/>
  <c r="AD174" i="37"/>
  <c r="AC174" i="37"/>
  <c r="AB174" i="37"/>
  <c r="AA174" i="37"/>
  <c r="Z174" i="37"/>
  <c r="L174" i="37"/>
  <c r="BD174" i="37" s="1"/>
  <c r="J174" i="37"/>
  <c r="AI174" i="37" s="1"/>
  <c r="I174" i="37"/>
  <c r="BU173" i="37"/>
  <c r="BH173" i="37"/>
  <c r="X173" i="37" s="1"/>
  <c r="BB173" i="37"/>
  <c r="AV173" i="37"/>
  <c r="AN173" i="37"/>
  <c r="BG173" i="37" s="1"/>
  <c r="AM173" i="37"/>
  <c r="BF173" i="37" s="1"/>
  <c r="AJ173" i="37"/>
  <c r="AS172" i="37" s="1"/>
  <c r="AH173" i="37"/>
  <c r="AF173" i="37"/>
  <c r="AE173" i="37"/>
  <c r="AD173" i="37"/>
  <c r="AC173" i="37"/>
  <c r="AB173" i="37"/>
  <c r="AA173" i="37"/>
  <c r="Z173" i="37"/>
  <c r="L173" i="37"/>
  <c r="BD173" i="37" s="1"/>
  <c r="J173" i="37"/>
  <c r="AI173" i="37" s="1"/>
  <c r="H173" i="37"/>
  <c r="J172" i="37"/>
  <c r="BU171" i="37"/>
  <c r="BH171" i="37"/>
  <c r="X171" i="37" s="1"/>
  <c r="BB171" i="37"/>
  <c r="AU171" i="37"/>
  <c r="AN171" i="37"/>
  <c r="BG171" i="37" s="1"/>
  <c r="AM171" i="37"/>
  <c r="BF171" i="37" s="1"/>
  <c r="AJ171" i="37"/>
  <c r="AH171" i="37"/>
  <c r="AQ165" i="37" s="1"/>
  <c r="AF171" i="37"/>
  <c r="AE171" i="37"/>
  <c r="AD171" i="37"/>
  <c r="AC171" i="37"/>
  <c r="AB171" i="37"/>
  <c r="AA171" i="37"/>
  <c r="Z171" i="37"/>
  <c r="L171" i="37"/>
  <c r="BD171" i="37" s="1"/>
  <c r="J171" i="37"/>
  <c r="AI171" i="37" s="1"/>
  <c r="BU169" i="37"/>
  <c r="BH169" i="37"/>
  <c r="X169" i="37" s="1"/>
  <c r="BB169" i="37"/>
  <c r="AU169" i="37"/>
  <c r="AN169" i="37"/>
  <c r="BG169" i="37" s="1"/>
  <c r="AM169" i="37"/>
  <c r="BF169" i="37" s="1"/>
  <c r="AJ169" i="37"/>
  <c r="AH169" i="37"/>
  <c r="AF169" i="37"/>
  <c r="AE169" i="37"/>
  <c r="AD169" i="37"/>
  <c r="AC169" i="37"/>
  <c r="AB169" i="37"/>
  <c r="AA169" i="37"/>
  <c r="Z169" i="37"/>
  <c r="L169" i="37"/>
  <c r="BD169" i="37" s="1"/>
  <c r="J169" i="37"/>
  <c r="AI169" i="37" s="1"/>
  <c r="H169" i="37"/>
  <c r="BU167" i="37"/>
  <c r="BH167" i="37"/>
  <c r="X167" i="37" s="1"/>
  <c r="BB167" i="37"/>
  <c r="AV167" i="37"/>
  <c r="AN167" i="37"/>
  <c r="BG167" i="37" s="1"/>
  <c r="AM167" i="37"/>
  <c r="BF167" i="37" s="1"/>
  <c r="AJ167" i="37"/>
  <c r="AH167" i="37"/>
  <c r="AF167" i="37"/>
  <c r="AE167" i="37"/>
  <c r="AD167" i="37"/>
  <c r="AC167" i="37"/>
  <c r="AB167" i="37"/>
  <c r="AA167" i="37"/>
  <c r="Z167" i="37"/>
  <c r="L167" i="37"/>
  <c r="BD167" i="37" s="1"/>
  <c r="J167" i="37"/>
  <c r="AI167" i="37" s="1"/>
  <c r="I167" i="37"/>
  <c r="BU166" i="37"/>
  <c r="BH166" i="37"/>
  <c r="X166" i="37" s="1"/>
  <c r="BD166" i="37"/>
  <c r="BB166" i="37"/>
  <c r="AN166" i="37"/>
  <c r="BG166" i="37" s="1"/>
  <c r="AM166" i="37"/>
  <c r="BF166" i="37" s="1"/>
  <c r="AJ166" i="37"/>
  <c r="AH166" i="37"/>
  <c r="AF166" i="37"/>
  <c r="AE166" i="37"/>
  <c r="AD166" i="37"/>
  <c r="AC166" i="37"/>
  <c r="AB166" i="37"/>
  <c r="AA166" i="37"/>
  <c r="Z166" i="37"/>
  <c r="L166" i="37"/>
  <c r="L165" i="37" s="1"/>
  <c r="J166" i="37"/>
  <c r="J165" i="37" s="1"/>
  <c r="BU163" i="37"/>
  <c r="BH163" i="37"/>
  <c r="BB163" i="37"/>
  <c r="AN163" i="37"/>
  <c r="BG163" i="37" s="1"/>
  <c r="AA163" i="37" s="1"/>
  <c r="AM163" i="37"/>
  <c r="BF163" i="37" s="1"/>
  <c r="AJ163" i="37"/>
  <c r="AH163" i="37"/>
  <c r="AQ162" i="37" s="1"/>
  <c r="AF163" i="37"/>
  <c r="AE163" i="37"/>
  <c r="AD163" i="37"/>
  <c r="AC163" i="37"/>
  <c r="AB163" i="37"/>
  <c r="Z163" i="37"/>
  <c r="X163" i="37"/>
  <c r="L163" i="37"/>
  <c r="BD163" i="37" s="1"/>
  <c r="J163" i="37"/>
  <c r="AI163" i="37" s="1"/>
  <c r="AR162" i="37" s="1"/>
  <c r="H163" i="37"/>
  <c r="H162" i="37" s="1"/>
  <c r="AS162" i="37"/>
  <c r="BU160" i="37"/>
  <c r="BH160" i="37"/>
  <c r="BB160" i="37"/>
  <c r="AN160" i="37"/>
  <c r="BG160" i="37" s="1"/>
  <c r="AA160" i="37" s="1"/>
  <c r="AM160" i="37"/>
  <c r="BF160" i="37" s="1"/>
  <c r="AJ160" i="37"/>
  <c r="AS159" i="37" s="1"/>
  <c r="AH160" i="37"/>
  <c r="AF160" i="37"/>
  <c r="AE160" i="37"/>
  <c r="AD160" i="37"/>
  <c r="AC160" i="37"/>
  <c r="AB160" i="37"/>
  <c r="Z160" i="37"/>
  <c r="X160" i="37"/>
  <c r="L160" i="37"/>
  <c r="BD160" i="37" s="1"/>
  <c r="J160" i="37"/>
  <c r="AI160" i="37" s="1"/>
  <c r="AR159" i="37" s="1"/>
  <c r="H160" i="37"/>
  <c r="AQ159" i="37"/>
  <c r="L159" i="37"/>
  <c r="H159" i="37"/>
  <c r="BU157" i="37"/>
  <c r="BH157" i="37"/>
  <c r="BB157" i="37"/>
  <c r="AU157" i="37"/>
  <c r="AN157" i="37"/>
  <c r="BG157" i="37" s="1"/>
  <c r="AA157" i="37" s="1"/>
  <c r="AM157" i="37"/>
  <c r="BF157" i="37" s="1"/>
  <c r="AJ157" i="37"/>
  <c r="AH157" i="37"/>
  <c r="AF157" i="37"/>
  <c r="AE157" i="37"/>
  <c r="AD157" i="37"/>
  <c r="AC157" i="37"/>
  <c r="AB157" i="37"/>
  <c r="Z157" i="37"/>
  <c r="X157" i="37"/>
  <c r="L157" i="37"/>
  <c r="BD157" i="37" s="1"/>
  <c r="J157" i="37"/>
  <c r="BU155" i="37"/>
  <c r="BH155" i="37"/>
  <c r="BB155" i="37"/>
  <c r="AN155" i="37"/>
  <c r="BG155" i="37" s="1"/>
  <c r="AM155" i="37"/>
  <c r="BF155" i="37" s="1"/>
  <c r="Z155" i="37" s="1"/>
  <c r="AJ155" i="37"/>
  <c r="AH155" i="37"/>
  <c r="AF155" i="37"/>
  <c r="AE155" i="37"/>
  <c r="AD155" i="37"/>
  <c r="AC155" i="37"/>
  <c r="AB155" i="37"/>
  <c r="AA155" i="37"/>
  <c r="X155" i="37"/>
  <c r="L155" i="37"/>
  <c r="BD155" i="37" s="1"/>
  <c r="J155" i="37"/>
  <c r="AI155" i="37" s="1"/>
  <c r="I155" i="37"/>
  <c r="BU153" i="37"/>
  <c r="BH153" i="37"/>
  <c r="BD153" i="37"/>
  <c r="BB153" i="37"/>
  <c r="AN153" i="37"/>
  <c r="BG153" i="37" s="1"/>
  <c r="AA153" i="37" s="1"/>
  <c r="AM153" i="37"/>
  <c r="BF153" i="37" s="1"/>
  <c r="Z153" i="37" s="1"/>
  <c r="AJ153" i="37"/>
  <c r="AH153" i="37"/>
  <c r="AF153" i="37"/>
  <c r="AE153" i="37"/>
  <c r="AD153" i="37"/>
  <c r="AC153" i="37"/>
  <c r="AB153" i="37"/>
  <c r="X153" i="37"/>
  <c r="L153" i="37"/>
  <c r="J153" i="37"/>
  <c r="AI153" i="37" s="1"/>
  <c r="BU151" i="37"/>
  <c r="BH151" i="37"/>
  <c r="BB151" i="37"/>
  <c r="AN151" i="37"/>
  <c r="BG151" i="37" s="1"/>
  <c r="AA151" i="37" s="1"/>
  <c r="AM151" i="37"/>
  <c r="BF151" i="37" s="1"/>
  <c r="AJ151" i="37"/>
  <c r="AH151" i="37"/>
  <c r="AF151" i="37"/>
  <c r="AE151" i="37"/>
  <c r="AD151" i="37"/>
  <c r="AC151" i="37"/>
  <c r="AB151" i="37"/>
  <c r="Z151" i="37"/>
  <c r="X151" i="37"/>
  <c r="L151" i="37"/>
  <c r="BD151" i="37" s="1"/>
  <c r="J151" i="37"/>
  <c r="AI151" i="37" s="1"/>
  <c r="H151" i="37"/>
  <c r="BU149" i="37"/>
  <c r="BH149" i="37"/>
  <c r="BD149" i="37"/>
  <c r="BB149" i="37"/>
  <c r="AU149" i="37"/>
  <c r="AN149" i="37"/>
  <c r="BG149" i="37" s="1"/>
  <c r="AA149" i="37" s="1"/>
  <c r="AM149" i="37"/>
  <c r="BF149" i="37" s="1"/>
  <c r="Z149" i="37" s="1"/>
  <c r="AJ149" i="37"/>
  <c r="AH149" i="37"/>
  <c r="AF149" i="37"/>
  <c r="AE149" i="37"/>
  <c r="AD149" i="37"/>
  <c r="AC149" i="37"/>
  <c r="AB149" i="37"/>
  <c r="X149" i="37"/>
  <c r="L149" i="37"/>
  <c r="J149" i="37"/>
  <c r="AI149" i="37" s="1"/>
  <c r="H149" i="37"/>
  <c r="BU147" i="37"/>
  <c r="BH147" i="37"/>
  <c r="BB147" i="37"/>
  <c r="AN147" i="37"/>
  <c r="BG147" i="37" s="1"/>
  <c r="AA147" i="37" s="1"/>
  <c r="AM147" i="37"/>
  <c r="BF147" i="37" s="1"/>
  <c r="AJ147" i="37"/>
  <c r="AH147" i="37"/>
  <c r="AF147" i="37"/>
  <c r="AE147" i="37"/>
  <c r="AD147" i="37"/>
  <c r="AC147" i="37"/>
  <c r="AB147" i="37"/>
  <c r="Z147" i="37"/>
  <c r="X147" i="37"/>
  <c r="L147" i="37"/>
  <c r="BD147" i="37" s="1"/>
  <c r="J147" i="37"/>
  <c r="AI147" i="37" s="1"/>
  <c r="I147" i="37"/>
  <c r="BU145" i="37"/>
  <c r="BH145" i="37"/>
  <c r="BD145" i="37"/>
  <c r="BB145" i="37"/>
  <c r="AN145" i="37"/>
  <c r="BG145" i="37" s="1"/>
  <c r="AM145" i="37"/>
  <c r="BF145" i="37" s="1"/>
  <c r="Z145" i="37" s="1"/>
  <c r="AJ145" i="37"/>
  <c r="AH145" i="37"/>
  <c r="AF145" i="37"/>
  <c r="AE145" i="37"/>
  <c r="AD145" i="37"/>
  <c r="AC145" i="37"/>
  <c r="AB145" i="37"/>
  <c r="AA145" i="37"/>
  <c r="X145" i="37"/>
  <c r="L145" i="37"/>
  <c r="J145" i="37"/>
  <c r="AI145" i="37" s="1"/>
  <c r="I145" i="37"/>
  <c r="BU143" i="37"/>
  <c r="BH143" i="37"/>
  <c r="BB143" i="37"/>
  <c r="AN143" i="37"/>
  <c r="BG143" i="37" s="1"/>
  <c r="AA143" i="37" s="1"/>
  <c r="AM143" i="37"/>
  <c r="BF143" i="37" s="1"/>
  <c r="AJ143" i="37"/>
  <c r="AH143" i="37"/>
  <c r="AF143" i="37"/>
  <c r="AE143" i="37"/>
  <c r="AD143" i="37"/>
  <c r="AC143" i="37"/>
  <c r="AB143" i="37"/>
  <c r="Z143" i="37"/>
  <c r="X143" i="37"/>
  <c r="L143" i="37"/>
  <c r="BD143" i="37" s="1"/>
  <c r="J143" i="37"/>
  <c r="AI143" i="37" s="1"/>
  <c r="H143" i="37"/>
  <c r="BU141" i="37"/>
  <c r="BH141" i="37"/>
  <c r="BB141" i="37"/>
  <c r="AN141" i="37"/>
  <c r="AM141" i="37"/>
  <c r="BF141" i="37" s="1"/>
  <c r="Z141" i="37" s="1"/>
  <c r="AJ141" i="37"/>
  <c r="AH141" i="37"/>
  <c r="AF141" i="37"/>
  <c r="AE141" i="37"/>
  <c r="AD141" i="37"/>
  <c r="AC141" i="37"/>
  <c r="AB141" i="37"/>
  <c r="X141" i="37"/>
  <c r="L141" i="37"/>
  <c r="BD141" i="37" s="1"/>
  <c r="J141" i="37"/>
  <c r="AI141" i="37" s="1"/>
  <c r="I141" i="37"/>
  <c r="H141" i="37"/>
  <c r="BU139" i="37"/>
  <c r="BH139" i="37"/>
  <c r="BB139" i="37"/>
  <c r="AN139" i="37"/>
  <c r="BG139" i="37" s="1"/>
  <c r="AA139" i="37" s="1"/>
  <c r="AM139" i="37"/>
  <c r="AU139" i="37" s="1"/>
  <c r="AJ139" i="37"/>
  <c r="AH139" i="37"/>
  <c r="AF139" i="37"/>
  <c r="AE139" i="37"/>
  <c r="AD139" i="37"/>
  <c r="AC139" i="37"/>
  <c r="AB139" i="37"/>
  <c r="X139" i="37"/>
  <c r="L139" i="37"/>
  <c r="BD139" i="37" s="1"/>
  <c r="J139" i="37"/>
  <c r="AI139" i="37" s="1"/>
  <c r="I139" i="37"/>
  <c r="H139" i="37"/>
  <c r="BU137" i="37"/>
  <c r="BH137" i="37"/>
  <c r="BB137" i="37"/>
  <c r="AN137" i="37"/>
  <c r="BG137" i="37" s="1"/>
  <c r="AA137" i="37" s="1"/>
  <c r="AM137" i="37"/>
  <c r="AU137" i="37" s="1"/>
  <c r="AJ137" i="37"/>
  <c r="AH137" i="37"/>
  <c r="AF137" i="37"/>
  <c r="AE137" i="37"/>
  <c r="AD137" i="37"/>
  <c r="AC137" i="37"/>
  <c r="AB137" i="37"/>
  <c r="X137" i="37"/>
  <c r="L137" i="37"/>
  <c r="J137" i="37"/>
  <c r="AI137" i="37" s="1"/>
  <c r="I137" i="37"/>
  <c r="H137" i="37"/>
  <c r="BU134" i="37"/>
  <c r="BH134" i="37"/>
  <c r="BB134" i="37"/>
  <c r="AN134" i="37"/>
  <c r="BG134" i="37" s="1"/>
  <c r="AA134" i="37" s="1"/>
  <c r="AM134" i="37"/>
  <c r="AU134" i="37" s="1"/>
  <c r="AJ134" i="37"/>
  <c r="AH134" i="37"/>
  <c r="AF134" i="37"/>
  <c r="AE134" i="37"/>
  <c r="AD134" i="37"/>
  <c r="AC134" i="37"/>
  <c r="AB134" i="37"/>
  <c r="X134" i="37"/>
  <c r="L134" i="37"/>
  <c r="BD134" i="37" s="1"/>
  <c r="J134" i="37"/>
  <c r="AI134" i="37" s="1"/>
  <c r="I134" i="37"/>
  <c r="H134" i="37"/>
  <c r="BU132" i="37"/>
  <c r="BH132" i="37"/>
  <c r="BB132" i="37"/>
  <c r="AN132" i="37"/>
  <c r="BG132" i="37" s="1"/>
  <c r="AA132" i="37" s="1"/>
  <c r="AM132" i="37"/>
  <c r="AU132" i="37" s="1"/>
  <c r="AJ132" i="37"/>
  <c r="AH132" i="37"/>
  <c r="AF132" i="37"/>
  <c r="AE132" i="37"/>
  <c r="AD132" i="37"/>
  <c r="AC132" i="37"/>
  <c r="AB132" i="37"/>
  <c r="X132" i="37"/>
  <c r="L132" i="37"/>
  <c r="BD132" i="37" s="1"/>
  <c r="J132" i="37"/>
  <c r="AI132" i="37" s="1"/>
  <c r="I132" i="37"/>
  <c r="H132" i="37"/>
  <c r="BU130" i="37"/>
  <c r="BH130" i="37"/>
  <c r="BB130" i="37"/>
  <c r="AN130" i="37"/>
  <c r="BG130" i="37" s="1"/>
  <c r="AA130" i="37" s="1"/>
  <c r="AM130" i="37"/>
  <c r="AU130" i="37" s="1"/>
  <c r="AJ130" i="37"/>
  <c r="AH130" i="37"/>
  <c r="AQ125" i="37" s="1"/>
  <c r="AF130" i="37"/>
  <c r="AE130" i="37"/>
  <c r="AD130" i="37"/>
  <c r="AC130" i="37"/>
  <c r="AB130" i="37"/>
  <c r="X130" i="37"/>
  <c r="L130" i="37"/>
  <c r="BD130" i="37" s="1"/>
  <c r="J130" i="37"/>
  <c r="AI130" i="37" s="1"/>
  <c r="I130" i="37"/>
  <c r="H130" i="37"/>
  <c r="BU128" i="37"/>
  <c r="BH128" i="37"/>
  <c r="BB128" i="37"/>
  <c r="AN128" i="37"/>
  <c r="BG128" i="37" s="1"/>
  <c r="AA128" i="37" s="1"/>
  <c r="AM128" i="37"/>
  <c r="AU128" i="37" s="1"/>
  <c r="AJ128" i="37"/>
  <c r="AS125" i="37" s="1"/>
  <c r="AH128" i="37"/>
  <c r="AF128" i="37"/>
  <c r="AE128" i="37"/>
  <c r="AD128" i="37"/>
  <c r="AC128" i="37"/>
  <c r="AB128" i="37"/>
  <c r="X128" i="37"/>
  <c r="L128" i="37"/>
  <c r="BD128" i="37" s="1"/>
  <c r="J128" i="37"/>
  <c r="AI128" i="37" s="1"/>
  <c r="I128" i="37"/>
  <c r="H128" i="37"/>
  <c r="BU126" i="37"/>
  <c r="BH126" i="37"/>
  <c r="BB126" i="37"/>
  <c r="AN126" i="37"/>
  <c r="BG126" i="37" s="1"/>
  <c r="AA126" i="37" s="1"/>
  <c r="AM126" i="37"/>
  <c r="AU126" i="37" s="1"/>
  <c r="AJ126" i="37"/>
  <c r="AH126" i="37"/>
  <c r="AF126" i="37"/>
  <c r="AE126" i="37"/>
  <c r="AD126" i="37"/>
  <c r="AC126" i="37"/>
  <c r="AB126" i="37"/>
  <c r="X126" i="37"/>
  <c r="L126" i="37"/>
  <c r="J126" i="37"/>
  <c r="AI126" i="37" s="1"/>
  <c r="I126" i="37"/>
  <c r="H126" i="37"/>
  <c r="BU123" i="37"/>
  <c r="BH123" i="37"/>
  <c r="BB123" i="37"/>
  <c r="AN123" i="37"/>
  <c r="BG123" i="37" s="1"/>
  <c r="AA123" i="37" s="1"/>
  <c r="AM123" i="37"/>
  <c r="AU123" i="37" s="1"/>
  <c r="AJ123" i="37"/>
  <c r="AH123" i="37"/>
  <c r="AF123" i="37"/>
  <c r="AE123" i="37"/>
  <c r="AD123" i="37"/>
  <c r="AC123" i="37"/>
  <c r="AB123" i="37"/>
  <c r="X123" i="37"/>
  <c r="L123" i="37"/>
  <c r="BD123" i="37" s="1"/>
  <c r="J123" i="37"/>
  <c r="AI123" i="37" s="1"/>
  <c r="I123" i="37"/>
  <c r="BU121" i="37"/>
  <c r="BH121" i="37"/>
  <c r="BB121" i="37"/>
  <c r="AN121" i="37"/>
  <c r="BG121" i="37" s="1"/>
  <c r="AA121" i="37" s="1"/>
  <c r="AM121" i="37"/>
  <c r="AU121" i="37" s="1"/>
  <c r="AJ121" i="37"/>
  <c r="AH121" i="37"/>
  <c r="AF121" i="37"/>
  <c r="AE121" i="37"/>
  <c r="AD121" i="37"/>
  <c r="AC121" i="37"/>
  <c r="AB121" i="37"/>
  <c r="X121" i="37"/>
  <c r="L121" i="37"/>
  <c r="BD121" i="37" s="1"/>
  <c r="J121" i="37"/>
  <c r="AI121" i="37" s="1"/>
  <c r="I121" i="37"/>
  <c r="I120" i="37" s="1"/>
  <c r="AS120" i="37"/>
  <c r="BU118" i="37"/>
  <c r="BH118" i="37"/>
  <c r="BB118" i="37"/>
  <c r="AV118" i="37"/>
  <c r="AN118" i="37"/>
  <c r="BG118" i="37" s="1"/>
  <c r="AA118" i="37" s="1"/>
  <c r="AM118" i="37"/>
  <c r="AU118" i="37" s="1"/>
  <c r="AJ118" i="37"/>
  <c r="AH118" i="37"/>
  <c r="AF118" i="37"/>
  <c r="AE118" i="37"/>
  <c r="AD118" i="37"/>
  <c r="AC118" i="37"/>
  <c r="AB118" i="37"/>
  <c r="X118" i="37"/>
  <c r="L118" i="37"/>
  <c r="BD118" i="37" s="1"/>
  <c r="J118" i="37"/>
  <c r="AI118" i="37" s="1"/>
  <c r="I118" i="37"/>
  <c r="H118" i="37"/>
  <c r="BU116" i="37"/>
  <c r="BH116" i="37"/>
  <c r="BB116" i="37"/>
  <c r="AN116" i="37"/>
  <c r="BG116" i="37" s="1"/>
  <c r="AA116" i="37" s="1"/>
  <c r="AM116" i="37"/>
  <c r="AU116" i="37" s="1"/>
  <c r="AJ116" i="37"/>
  <c r="AH116" i="37"/>
  <c r="AF116" i="37"/>
  <c r="AE116" i="37"/>
  <c r="AD116" i="37"/>
  <c r="AC116" i="37"/>
  <c r="AB116" i="37"/>
  <c r="X116" i="37"/>
  <c r="L116" i="37"/>
  <c r="BD116" i="37" s="1"/>
  <c r="J116" i="37"/>
  <c r="AI116" i="37" s="1"/>
  <c r="I116" i="37"/>
  <c r="H116" i="37"/>
  <c r="BU114" i="37"/>
  <c r="BH114" i="37"/>
  <c r="BB114" i="37"/>
  <c r="AV114" i="37"/>
  <c r="AN114" i="37"/>
  <c r="BG114" i="37" s="1"/>
  <c r="AA114" i="37" s="1"/>
  <c r="AM114" i="37"/>
  <c r="AU114" i="37" s="1"/>
  <c r="AJ114" i="37"/>
  <c r="AH114" i="37"/>
  <c r="AF114" i="37"/>
  <c r="AE114" i="37"/>
  <c r="AD114" i="37"/>
  <c r="AC114" i="37"/>
  <c r="AB114" i="37"/>
  <c r="X114" i="37"/>
  <c r="L114" i="37"/>
  <c r="BD114" i="37" s="1"/>
  <c r="J114" i="37"/>
  <c r="AI114" i="37" s="1"/>
  <c r="I114" i="37"/>
  <c r="H114" i="37"/>
  <c r="BU112" i="37"/>
  <c r="BH112" i="37"/>
  <c r="BB112" i="37"/>
  <c r="AN112" i="37"/>
  <c r="BG112" i="37" s="1"/>
  <c r="AA112" i="37" s="1"/>
  <c r="AM112" i="37"/>
  <c r="AU112" i="37" s="1"/>
  <c r="AJ112" i="37"/>
  <c r="AH112" i="37"/>
  <c r="AF112" i="37"/>
  <c r="AE112" i="37"/>
  <c r="AD112" i="37"/>
  <c r="AC112" i="37"/>
  <c r="AB112" i="37"/>
  <c r="X112" i="37"/>
  <c r="L112" i="37"/>
  <c r="BD112" i="37" s="1"/>
  <c r="J112" i="37"/>
  <c r="AI112" i="37" s="1"/>
  <c r="I112" i="37"/>
  <c r="H112" i="37"/>
  <c r="BU110" i="37"/>
  <c r="BH110" i="37"/>
  <c r="BB110" i="37"/>
  <c r="AV110" i="37"/>
  <c r="AN110" i="37"/>
  <c r="BG110" i="37" s="1"/>
  <c r="AA110" i="37" s="1"/>
  <c r="AM110" i="37"/>
  <c r="AU110" i="37" s="1"/>
  <c r="AJ110" i="37"/>
  <c r="AH110" i="37"/>
  <c r="AF110" i="37"/>
  <c r="AE110" i="37"/>
  <c r="AD110" i="37"/>
  <c r="AC110" i="37"/>
  <c r="AB110" i="37"/>
  <c r="X110" i="37"/>
  <c r="L110" i="37"/>
  <c r="BD110" i="37" s="1"/>
  <c r="J110" i="37"/>
  <c r="AI110" i="37" s="1"/>
  <c r="I110" i="37"/>
  <c r="H110" i="37"/>
  <c r="BU108" i="37"/>
  <c r="BH108" i="37"/>
  <c r="BB108" i="37"/>
  <c r="AN108" i="37"/>
  <c r="BG108" i="37" s="1"/>
  <c r="AA108" i="37" s="1"/>
  <c r="AM108" i="37"/>
  <c r="AU108" i="37" s="1"/>
  <c r="AJ108" i="37"/>
  <c r="AH108" i="37"/>
  <c r="AF108" i="37"/>
  <c r="AE108" i="37"/>
  <c r="AD108" i="37"/>
  <c r="AC108" i="37"/>
  <c r="AB108" i="37"/>
  <c r="X108" i="37"/>
  <c r="L108" i="37"/>
  <c r="BD108" i="37" s="1"/>
  <c r="J108" i="37"/>
  <c r="AI108" i="37" s="1"/>
  <c r="I108" i="37"/>
  <c r="BU106" i="37"/>
  <c r="BH106" i="37"/>
  <c r="BB106" i="37"/>
  <c r="AN106" i="37"/>
  <c r="BG106" i="37" s="1"/>
  <c r="AA106" i="37" s="1"/>
  <c r="AM106" i="37"/>
  <c r="AJ106" i="37"/>
  <c r="AH106" i="37"/>
  <c r="AF106" i="37"/>
  <c r="AE106" i="37"/>
  <c r="AD106" i="37"/>
  <c r="AC106" i="37"/>
  <c r="AB106" i="37"/>
  <c r="X106" i="37"/>
  <c r="L106" i="37"/>
  <c r="BD106" i="37" s="1"/>
  <c r="J106" i="37"/>
  <c r="AI106" i="37" s="1"/>
  <c r="BU104" i="37"/>
  <c r="BH104" i="37"/>
  <c r="BB104" i="37"/>
  <c r="AU104" i="37"/>
  <c r="AN104" i="37"/>
  <c r="BG104" i="37" s="1"/>
  <c r="AA104" i="37" s="1"/>
  <c r="AM104" i="37"/>
  <c r="BF104" i="37" s="1"/>
  <c r="Z104" i="37" s="1"/>
  <c r="AJ104" i="37"/>
  <c r="AH104" i="37"/>
  <c r="AF104" i="37"/>
  <c r="AE104" i="37"/>
  <c r="AD104" i="37"/>
  <c r="AC104" i="37"/>
  <c r="AB104" i="37"/>
  <c r="X104" i="37"/>
  <c r="L104" i="37"/>
  <c r="BD104" i="37" s="1"/>
  <c r="J104" i="37"/>
  <c r="AI104" i="37" s="1"/>
  <c r="I104" i="37"/>
  <c r="H104" i="37"/>
  <c r="BU102" i="37"/>
  <c r="BH102" i="37"/>
  <c r="BB102" i="37"/>
  <c r="AN102" i="37"/>
  <c r="BG102" i="37" s="1"/>
  <c r="AM102" i="37"/>
  <c r="BF102" i="37" s="1"/>
  <c r="Z102" i="37" s="1"/>
  <c r="AJ102" i="37"/>
  <c r="AH102" i="37"/>
  <c r="AF102" i="37"/>
  <c r="AE102" i="37"/>
  <c r="AD102" i="37"/>
  <c r="AC102" i="37"/>
  <c r="AB102" i="37"/>
  <c r="AA102" i="37"/>
  <c r="X102" i="37"/>
  <c r="L102" i="37"/>
  <c r="J102" i="37"/>
  <c r="AI102" i="37" s="1"/>
  <c r="I102" i="37"/>
  <c r="BU100" i="37"/>
  <c r="BH100" i="37"/>
  <c r="BD100" i="37"/>
  <c r="BB100" i="37"/>
  <c r="AV100" i="37"/>
  <c r="AN100" i="37"/>
  <c r="BG100" i="37" s="1"/>
  <c r="AA100" i="37" s="1"/>
  <c r="AM100" i="37"/>
  <c r="BF100" i="37" s="1"/>
  <c r="Z100" i="37" s="1"/>
  <c r="AJ100" i="37"/>
  <c r="AH100" i="37"/>
  <c r="AF100" i="37"/>
  <c r="AE100" i="37"/>
  <c r="AD100" i="37"/>
  <c r="AC100" i="37"/>
  <c r="AB100" i="37"/>
  <c r="X100" i="37"/>
  <c r="L100" i="37"/>
  <c r="J100" i="37"/>
  <c r="AI100" i="37" s="1"/>
  <c r="I100" i="37"/>
  <c r="BU98" i="37"/>
  <c r="BH98" i="37"/>
  <c r="BB98" i="37"/>
  <c r="AN98" i="37"/>
  <c r="BG98" i="37" s="1"/>
  <c r="AA98" i="37" s="1"/>
  <c r="AM98" i="37"/>
  <c r="AJ98" i="37"/>
  <c r="AS97" i="37" s="1"/>
  <c r="AH98" i="37"/>
  <c r="AQ97" i="37" s="1"/>
  <c r="AF98" i="37"/>
  <c r="AE98" i="37"/>
  <c r="AD98" i="37"/>
  <c r="AC98" i="37"/>
  <c r="AB98" i="37"/>
  <c r="X98" i="37"/>
  <c r="L98" i="37"/>
  <c r="BD98" i="37" s="1"/>
  <c r="J98" i="37"/>
  <c r="BU95" i="37"/>
  <c r="BH95" i="37"/>
  <c r="BB95" i="37"/>
  <c r="AN95" i="37"/>
  <c r="BG95" i="37" s="1"/>
  <c r="AA95" i="37" s="1"/>
  <c r="AM95" i="37"/>
  <c r="BF95" i="37" s="1"/>
  <c r="Z95" i="37" s="1"/>
  <c r="AJ95" i="37"/>
  <c r="AH95" i="37"/>
  <c r="AF95" i="37"/>
  <c r="AE95" i="37"/>
  <c r="AD95" i="37"/>
  <c r="AC95" i="37"/>
  <c r="AB95" i="37"/>
  <c r="X95" i="37"/>
  <c r="L95" i="37"/>
  <c r="BD95" i="37" s="1"/>
  <c r="J95" i="37"/>
  <c r="AI95" i="37" s="1"/>
  <c r="AR94" i="37" s="1"/>
  <c r="I95" i="37"/>
  <c r="I94" i="37" s="1"/>
  <c r="AS94" i="37"/>
  <c r="AQ94" i="37"/>
  <c r="L94" i="37"/>
  <c r="BU92" i="37"/>
  <c r="BH92" i="37"/>
  <c r="BB92" i="37"/>
  <c r="AN92" i="37"/>
  <c r="BG92" i="37" s="1"/>
  <c r="AA92" i="37" s="1"/>
  <c r="AM92" i="37"/>
  <c r="BF92" i="37" s="1"/>
  <c r="Z92" i="37" s="1"/>
  <c r="AJ92" i="37"/>
  <c r="AS91" i="37" s="1"/>
  <c r="AH92" i="37"/>
  <c r="AF92" i="37"/>
  <c r="AE92" i="37"/>
  <c r="AD92" i="37"/>
  <c r="AC92" i="37"/>
  <c r="AB92" i="37"/>
  <c r="X92" i="37"/>
  <c r="L92" i="37"/>
  <c r="BD92" i="37" s="1"/>
  <c r="J92" i="37"/>
  <c r="AI92" i="37" s="1"/>
  <c r="AR91" i="37" s="1"/>
  <c r="I92" i="37"/>
  <c r="I91" i="37" s="1"/>
  <c r="AQ91" i="37"/>
  <c r="J91" i="37"/>
  <c r="BU90" i="37"/>
  <c r="BH90" i="37"/>
  <c r="X90" i="37" s="1"/>
  <c r="BB90" i="37"/>
  <c r="AV90" i="37"/>
  <c r="AN90" i="37"/>
  <c r="BG90" i="37" s="1"/>
  <c r="AM90" i="37"/>
  <c r="BF90" i="37" s="1"/>
  <c r="AJ90" i="37"/>
  <c r="AS85" i="37" s="1"/>
  <c r="AH90" i="37"/>
  <c r="AF90" i="37"/>
  <c r="AE90" i="37"/>
  <c r="AD90" i="37"/>
  <c r="AC90" i="37"/>
  <c r="AB90" i="37"/>
  <c r="AA90" i="37"/>
  <c r="Z90" i="37"/>
  <c r="L90" i="37"/>
  <c r="BD90" i="37" s="1"/>
  <c r="J90" i="37"/>
  <c r="AI90" i="37" s="1"/>
  <c r="I90" i="37"/>
  <c r="BU88" i="37"/>
  <c r="BH88" i="37"/>
  <c r="BB88" i="37"/>
  <c r="AN88" i="37"/>
  <c r="BG88" i="37" s="1"/>
  <c r="AA88" i="37" s="1"/>
  <c r="AM88" i="37"/>
  <c r="BF88" i="37" s="1"/>
  <c r="AJ88" i="37"/>
  <c r="AH88" i="37"/>
  <c r="AF88" i="37"/>
  <c r="AE88" i="37"/>
  <c r="AD88" i="37"/>
  <c r="AC88" i="37"/>
  <c r="AB88" i="37"/>
  <c r="Z88" i="37"/>
  <c r="X88" i="37"/>
  <c r="L88" i="37"/>
  <c r="BD88" i="37" s="1"/>
  <c r="J88" i="37"/>
  <c r="BU86" i="37"/>
  <c r="BH86" i="37"/>
  <c r="BB86" i="37"/>
  <c r="AN86" i="37"/>
  <c r="BG86" i="37" s="1"/>
  <c r="AA86" i="37" s="1"/>
  <c r="AM86" i="37"/>
  <c r="BF86" i="37" s="1"/>
  <c r="Z86" i="37" s="1"/>
  <c r="AJ86" i="37"/>
  <c r="AH86" i="37"/>
  <c r="AF86" i="37"/>
  <c r="AE86" i="37"/>
  <c r="AD86" i="37"/>
  <c r="AC86" i="37"/>
  <c r="AB86" i="37"/>
  <c r="X86" i="37"/>
  <c r="L86" i="37"/>
  <c r="BD86" i="37" s="1"/>
  <c r="J86" i="37"/>
  <c r="I86" i="37"/>
  <c r="H86" i="37"/>
  <c r="BU83" i="37"/>
  <c r="BH83" i="37"/>
  <c r="BB83" i="37"/>
  <c r="AN83" i="37"/>
  <c r="BG83" i="37" s="1"/>
  <c r="AA83" i="37" s="1"/>
  <c r="AM83" i="37"/>
  <c r="BF83" i="37" s="1"/>
  <c r="Z83" i="37" s="1"/>
  <c r="AJ83" i="37"/>
  <c r="AH83" i="37"/>
  <c r="AQ80" i="37" s="1"/>
  <c r="AF83" i="37"/>
  <c r="AE83" i="37"/>
  <c r="AD83" i="37"/>
  <c r="AC83" i="37"/>
  <c r="AB83" i="37"/>
  <c r="X83" i="37"/>
  <c r="L83" i="37"/>
  <c r="BD83" i="37" s="1"/>
  <c r="J83" i="37"/>
  <c r="I83" i="37"/>
  <c r="H83" i="37"/>
  <c r="BU81" i="37"/>
  <c r="BH81" i="37"/>
  <c r="BB81" i="37"/>
  <c r="AV81" i="37"/>
  <c r="AN81" i="37"/>
  <c r="BG81" i="37" s="1"/>
  <c r="AA81" i="37" s="1"/>
  <c r="AM81" i="37"/>
  <c r="BF81" i="37" s="1"/>
  <c r="Z81" i="37" s="1"/>
  <c r="AJ81" i="37"/>
  <c r="AI81" i="37"/>
  <c r="AH81" i="37"/>
  <c r="AF81" i="37"/>
  <c r="AE81" i="37"/>
  <c r="AD81" i="37"/>
  <c r="AC81" i="37"/>
  <c r="AB81" i="37"/>
  <c r="X81" i="37"/>
  <c r="L81" i="37"/>
  <c r="BD81" i="37" s="1"/>
  <c r="J81" i="37"/>
  <c r="I81" i="37"/>
  <c r="AS80" i="37"/>
  <c r="L80" i="37"/>
  <c r="BU78" i="37"/>
  <c r="BH78" i="37"/>
  <c r="BB78" i="37"/>
  <c r="AN78" i="37"/>
  <c r="BG78" i="37" s="1"/>
  <c r="AA78" i="37" s="1"/>
  <c r="AM78" i="37"/>
  <c r="BF78" i="37" s="1"/>
  <c r="Z78" i="37" s="1"/>
  <c r="AJ78" i="37"/>
  <c r="AH78" i="37"/>
  <c r="AF78" i="37"/>
  <c r="AE78" i="37"/>
  <c r="AD78" i="37"/>
  <c r="AC78" i="37"/>
  <c r="AB78" i="37"/>
  <c r="X78" i="37"/>
  <c r="L78" i="37"/>
  <c r="BD78" i="37" s="1"/>
  <c r="J78" i="37"/>
  <c r="AI78" i="37" s="1"/>
  <c r="H78" i="37"/>
  <c r="BU77" i="37"/>
  <c r="BH77" i="37"/>
  <c r="BB77" i="37"/>
  <c r="AV77" i="37"/>
  <c r="AN77" i="37"/>
  <c r="BG77" i="37" s="1"/>
  <c r="AA77" i="37" s="1"/>
  <c r="AM77" i="37"/>
  <c r="BF77" i="37" s="1"/>
  <c r="Z77" i="37" s="1"/>
  <c r="AJ77" i="37"/>
  <c r="AS74" i="37" s="1"/>
  <c r="AH77" i="37"/>
  <c r="AF77" i="37"/>
  <c r="AE77" i="37"/>
  <c r="AD77" i="37"/>
  <c r="AC77" i="37"/>
  <c r="AB77" i="37"/>
  <c r="X77" i="37"/>
  <c r="L77" i="37"/>
  <c r="BD77" i="37" s="1"/>
  <c r="J77" i="37"/>
  <c r="AI77" i="37" s="1"/>
  <c r="I77" i="37"/>
  <c r="BU75" i="37"/>
  <c r="BH75" i="37"/>
  <c r="BB75" i="37"/>
  <c r="AN75" i="37"/>
  <c r="BG75" i="37" s="1"/>
  <c r="AA75" i="37" s="1"/>
  <c r="AM75" i="37"/>
  <c r="BF75" i="37" s="1"/>
  <c r="AJ75" i="37"/>
  <c r="AH75" i="37"/>
  <c r="AF75" i="37"/>
  <c r="AE75" i="37"/>
  <c r="AD75" i="37"/>
  <c r="AC75" i="37"/>
  <c r="AB75" i="37"/>
  <c r="Z75" i="37"/>
  <c r="X75" i="37"/>
  <c r="L75" i="37"/>
  <c r="BD75" i="37" s="1"/>
  <c r="J75" i="37"/>
  <c r="I75" i="37"/>
  <c r="L74" i="37"/>
  <c r="BU72" i="37"/>
  <c r="BH72" i="37"/>
  <c r="BB72" i="37"/>
  <c r="AN72" i="37"/>
  <c r="BG72" i="37" s="1"/>
  <c r="AA72" i="37" s="1"/>
  <c r="AM72" i="37"/>
  <c r="AU72" i="37" s="1"/>
  <c r="AJ72" i="37"/>
  <c r="AH72" i="37"/>
  <c r="AF72" i="37"/>
  <c r="AE72" i="37"/>
  <c r="AD72" i="37"/>
  <c r="AC72" i="37"/>
  <c r="AB72" i="37"/>
  <c r="X72" i="37"/>
  <c r="L72" i="37"/>
  <c r="BD72" i="37" s="1"/>
  <c r="J72" i="37"/>
  <c r="I72" i="37"/>
  <c r="BU70" i="37"/>
  <c r="BH70" i="37"/>
  <c r="BB70" i="37"/>
  <c r="AV70" i="37"/>
  <c r="AN70" i="37"/>
  <c r="BG70" i="37" s="1"/>
  <c r="AA70" i="37" s="1"/>
  <c r="AM70" i="37"/>
  <c r="AU70" i="37" s="1"/>
  <c r="AJ70" i="37"/>
  <c r="AH70" i="37"/>
  <c r="AF70" i="37"/>
  <c r="AE70" i="37"/>
  <c r="AD70" i="37"/>
  <c r="AC70" i="37"/>
  <c r="AB70" i="37"/>
  <c r="X70" i="37"/>
  <c r="L70" i="37"/>
  <c r="BD70" i="37" s="1"/>
  <c r="J70" i="37"/>
  <c r="AI70" i="37" s="1"/>
  <c r="H70" i="37"/>
  <c r="BU68" i="37"/>
  <c r="BH68" i="37"/>
  <c r="BB68" i="37"/>
  <c r="AN68" i="37"/>
  <c r="BG68" i="37" s="1"/>
  <c r="AA68" i="37" s="1"/>
  <c r="AM68" i="37"/>
  <c r="AU68" i="37" s="1"/>
  <c r="AJ68" i="37"/>
  <c r="AH68" i="37"/>
  <c r="AF68" i="37"/>
  <c r="AE68" i="37"/>
  <c r="AD68" i="37"/>
  <c r="AC68" i="37"/>
  <c r="AB68" i="37"/>
  <c r="X68" i="37"/>
  <c r="L68" i="37"/>
  <c r="BD68" i="37" s="1"/>
  <c r="J68" i="37"/>
  <c r="I68" i="37"/>
  <c r="BU66" i="37"/>
  <c r="BH66" i="37"/>
  <c r="BB66" i="37"/>
  <c r="AN66" i="37"/>
  <c r="BG66" i="37" s="1"/>
  <c r="AA66" i="37" s="1"/>
  <c r="AM66" i="37"/>
  <c r="BF66" i="37" s="1"/>
  <c r="Z66" i="37" s="1"/>
  <c r="AJ66" i="37"/>
  <c r="AH66" i="37"/>
  <c r="AF66" i="37"/>
  <c r="AE66" i="37"/>
  <c r="AD66" i="37"/>
  <c r="AC66" i="37"/>
  <c r="AB66" i="37"/>
  <c r="X66" i="37"/>
  <c r="L66" i="37"/>
  <c r="BD66" i="37" s="1"/>
  <c r="J66" i="37"/>
  <c r="AI66" i="37" s="1"/>
  <c r="I66" i="37"/>
  <c r="H66" i="37"/>
  <c r="BU64" i="37"/>
  <c r="BH64" i="37"/>
  <c r="BB64" i="37"/>
  <c r="AV64" i="37"/>
  <c r="AN64" i="37"/>
  <c r="BG64" i="37" s="1"/>
  <c r="AA64" i="37" s="1"/>
  <c r="AM64" i="37"/>
  <c r="AU64" i="37" s="1"/>
  <c r="AJ64" i="37"/>
  <c r="AH64" i="37"/>
  <c r="AF64" i="37"/>
  <c r="AE64" i="37"/>
  <c r="AD64" i="37"/>
  <c r="AC64" i="37"/>
  <c r="AB64" i="37"/>
  <c r="X64" i="37"/>
  <c r="L64" i="37"/>
  <c r="BD64" i="37" s="1"/>
  <c r="J64" i="37"/>
  <c r="AI64" i="37" s="1"/>
  <c r="I64" i="37"/>
  <c r="H64" i="37"/>
  <c r="BU62" i="37"/>
  <c r="BH62" i="37"/>
  <c r="BB62" i="37"/>
  <c r="AN62" i="37"/>
  <c r="BG62" i="37" s="1"/>
  <c r="AA62" i="37" s="1"/>
  <c r="AM62" i="37"/>
  <c r="AU62" i="37" s="1"/>
  <c r="AJ62" i="37"/>
  <c r="AH62" i="37"/>
  <c r="AF62" i="37"/>
  <c r="AE62" i="37"/>
  <c r="AD62" i="37"/>
  <c r="AC62" i="37"/>
  <c r="AB62" i="37"/>
  <c r="X62" i="37"/>
  <c r="L62" i="37"/>
  <c r="BD62" i="37" s="1"/>
  <c r="J62" i="37"/>
  <c r="AI62" i="37" s="1"/>
  <c r="I62" i="37"/>
  <c r="H62" i="37"/>
  <c r="BU60" i="37"/>
  <c r="BH60" i="37"/>
  <c r="BB60" i="37"/>
  <c r="AV60" i="37"/>
  <c r="AN60" i="37"/>
  <c r="BG60" i="37" s="1"/>
  <c r="AA60" i="37" s="1"/>
  <c r="AM60" i="37"/>
  <c r="AU60" i="37" s="1"/>
  <c r="AJ60" i="37"/>
  <c r="AH60" i="37"/>
  <c r="AF60" i="37"/>
  <c r="AE60" i="37"/>
  <c r="AD60" i="37"/>
  <c r="AC60" i="37"/>
  <c r="AB60" i="37"/>
  <c r="X60" i="37"/>
  <c r="L60" i="37"/>
  <c r="BD60" i="37" s="1"/>
  <c r="J60" i="37"/>
  <c r="AI60" i="37" s="1"/>
  <c r="I60" i="37"/>
  <c r="H60" i="37"/>
  <c r="BU58" i="37"/>
  <c r="BH58" i="37"/>
  <c r="BB58" i="37"/>
  <c r="AN58" i="37"/>
  <c r="BG58" i="37" s="1"/>
  <c r="AA58" i="37" s="1"/>
  <c r="AM58" i="37"/>
  <c r="AU58" i="37" s="1"/>
  <c r="AJ58" i="37"/>
  <c r="AH58" i="37"/>
  <c r="AF58" i="37"/>
  <c r="AE58" i="37"/>
  <c r="AD58" i="37"/>
  <c r="AC58" i="37"/>
  <c r="AB58" i="37"/>
  <c r="X58" i="37"/>
  <c r="L58" i="37"/>
  <c r="BD58" i="37" s="1"/>
  <c r="J58" i="37"/>
  <c r="AI58" i="37" s="1"/>
  <c r="I58" i="37"/>
  <c r="H58" i="37"/>
  <c r="BU55" i="37"/>
  <c r="BH55" i="37"/>
  <c r="BB55" i="37"/>
  <c r="AN55" i="37"/>
  <c r="BG55" i="37" s="1"/>
  <c r="AA55" i="37" s="1"/>
  <c r="AM55" i="37"/>
  <c r="AU55" i="37" s="1"/>
  <c r="AJ55" i="37"/>
  <c r="AH55" i="37"/>
  <c r="AF55" i="37"/>
  <c r="AE55" i="37"/>
  <c r="AD55" i="37"/>
  <c r="AC55" i="37"/>
  <c r="AB55" i="37"/>
  <c r="X55" i="37"/>
  <c r="L55" i="37"/>
  <c r="BD55" i="37" s="1"/>
  <c r="J55" i="37"/>
  <c r="AI55" i="37" s="1"/>
  <c r="I55" i="37"/>
  <c r="H55" i="37"/>
  <c r="BU53" i="37"/>
  <c r="BH53" i="37"/>
  <c r="BB53" i="37"/>
  <c r="AV53" i="37"/>
  <c r="AN53" i="37"/>
  <c r="BG53" i="37" s="1"/>
  <c r="AA53" i="37" s="1"/>
  <c r="AM53" i="37"/>
  <c r="AU53" i="37" s="1"/>
  <c r="AJ53" i="37"/>
  <c r="AH53" i="37"/>
  <c r="AF53" i="37"/>
  <c r="AE53" i="37"/>
  <c r="AD53" i="37"/>
  <c r="AC53" i="37"/>
  <c r="AB53" i="37"/>
  <c r="X53" i="37"/>
  <c r="L53" i="37"/>
  <c r="BD53" i="37" s="1"/>
  <c r="J53" i="37"/>
  <c r="AI53" i="37" s="1"/>
  <c r="I53" i="37"/>
  <c r="H53" i="37"/>
  <c r="AS52" i="37"/>
  <c r="L52" i="37"/>
  <c r="BU50" i="37"/>
  <c r="BH50" i="37"/>
  <c r="BB50" i="37"/>
  <c r="AV50" i="37"/>
  <c r="AN50" i="37"/>
  <c r="BG50" i="37" s="1"/>
  <c r="AA50" i="37" s="1"/>
  <c r="AM50" i="37"/>
  <c r="AU50" i="37" s="1"/>
  <c r="AJ50" i="37"/>
  <c r="AH50" i="37"/>
  <c r="AF50" i="37"/>
  <c r="AE50" i="37"/>
  <c r="AD50" i="37"/>
  <c r="AC50" i="37"/>
  <c r="AB50" i="37"/>
  <c r="X50" i="37"/>
  <c r="L50" i="37"/>
  <c r="BD50" i="37" s="1"/>
  <c r="J50" i="37"/>
  <c r="AI50" i="37" s="1"/>
  <c r="I50" i="37"/>
  <c r="H50" i="37"/>
  <c r="BU48" i="37"/>
  <c r="BH48" i="37"/>
  <c r="BB48" i="37"/>
  <c r="AN48" i="37"/>
  <c r="BG48" i="37" s="1"/>
  <c r="AA48" i="37" s="1"/>
  <c r="AM48" i="37"/>
  <c r="AU48" i="37" s="1"/>
  <c r="AJ48" i="37"/>
  <c r="AH48" i="37"/>
  <c r="AF48" i="37"/>
  <c r="AE48" i="37"/>
  <c r="AD48" i="37"/>
  <c r="AC48" i="37"/>
  <c r="AB48" i="37"/>
  <c r="X48" i="37"/>
  <c r="L48" i="37"/>
  <c r="BD48" i="37" s="1"/>
  <c r="J48" i="37"/>
  <c r="AI48" i="37" s="1"/>
  <c r="I48" i="37"/>
  <c r="H48" i="37"/>
  <c r="BU46" i="37"/>
  <c r="BH46" i="37"/>
  <c r="BB46" i="37"/>
  <c r="AV46" i="37"/>
  <c r="AN46" i="37"/>
  <c r="BG46" i="37" s="1"/>
  <c r="AA46" i="37" s="1"/>
  <c r="AM46" i="37"/>
  <c r="AU46" i="37" s="1"/>
  <c r="AJ46" i="37"/>
  <c r="AH46" i="37"/>
  <c r="AF46" i="37"/>
  <c r="AE46" i="37"/>
  <c r="AD46" i="37"/>
  <c r="AC46" i="37"/>
  <c r="AB46" i="37"/>
  <c r="X46" i="37"/>
  <c r="L46" i="37"/>
  <c r="BD46" i="37" s="1"/>
  <c r="J46" i="37"/>
  <c r="AI46" i="37" s="1"/>
  <c r="I46" i="37"/>
  <c r="H46" i="37"/>
  <c r="BU44" i="37"/>
  <c r="BH44" i="37"/>
  <c r="BB44" i="37"/>
  <c r="AN44" i="37"/>
  <c r="BG44" i="37" s="1"/>
  <c r="AA44" i="37" s="1"/>
  <c r="AM44" i="37"/>
  <c r="AU44" i="37" s="1"/>
  <c r="AJ44" i="37"/>
  <c r="AH44" i="37"/>
  <c r="AF44" i="37"/>
  <c r="AE44" i="37"/>
  <c r="AD44" i="37"/>
  <c r="AC44" i="37"/>
  <c r="AB44" i="37"/>
  <c r="X44" i="37"/>
  <c r="L44" i="37"/>
  <c r="BD44" i="37" s="1"/>
  <c r="J44" i="37"/>
  <c r="AI44" i="37" s="1"/>
  <c r="I44" i="37"/>
  <c r="H44" i="37"/>
  <c r="BU42" i="37"/>
  <c r="BH42" i="37"/>
  <c r="BB42" i="37"/>
  <c r="AV42" i="37"/>
  <c r="AN42" i="37"/>
  <c r="BG42" i="37" s="1"/>
  <c r="AA42" i="37" s="1"/>
  <c r="AM42" i="37"/>
  <c r="AU42" i="37" s="1"/>
  <c r="AJ42" i="37"/>
  <c r="AH42" i="37"/>
  <c r="AF42" i="37"/>
  <c r="AE42" i="37"/>
  <c r="AD42" i="37"/>
  <c r="AC42" i="37"/>
  <c r="AB42" i="37"/>
  <c r="X42" i="37"/>
  <c r="L42" i="37"/>
  <c r="BD42" i="37" s="1"/>
  <c r="J42" i="37"/>
  <c r="AI42" i="37" s="1"/>
  <c r="I42" i="37"/>
  <c r="H42" i="37"/>
  <c r="BU40" i="37"/>
  <c r="BH40" i="37"/>
  <c r="BB40" i="37"/>
  <c r="AN40" i="37"/>
  <c r="BG40" i="37" s="1"/>
  <c r="AA40" i="37" s="1"/>
  <c r="AM40" i="37"/>
  <c r="AU40" i="37" s="1"/>
  <c r="AJ40" i="37"/>
  <c r="AH40" i="37"/>
  <c r="AF40" i="37"/>
  <c r="AE40" i="37"/>
  <c r="AD40" i="37"/>
  <c r="AC40" i="37"/>
  <c r="AB40" i="37"/>
  <c r="X40" i="37"/>
  <c r="L40" i="37"/>
  <c r="BD40" i="37" s="1"/>
  <c r="J40" i="37"/>
  <c r="AI40" i="37" s="1"/>
  <c r="I40" i="37"/>
  <c r="H40" i="37"/>
  <c r="BU38" i="37"/>
  <c r="BH38" i="37"/>
  <c r="BB38" i="37"/>
  <c r="AV38" i="37"/>
  <c r="AN38" i="37"/>
  <c r="BG38" i="37" s="1"/>
  <c r="AA38" i="37" s="1"/>
  <c r="AM38" i="37"/>
  <c r="AU38" i="37" s="1"/>
  <c r="AJ38" i="37"/>
  <c r="AS35" i="37" s="1"/>
  <c r="AH38" i="37"/>
  <c r="AF38" i="37"/>
  <c r="AE38" i="37"/>
  <c r="AD38" i="37"/>
  <c r="AC38" i="37"/>
  <c r="AB38" i="37"/>
  <c r="X38" i="37"/>
  <c r="L38" i="37"/>
  <c r="BD38" i="37" s="1"/>
  <c r="J38" i="37"/>
  <c r="AI38" i="37" s="1"/>
  <c r="I38" i="37"/>
  <c r="H38" i="37"/>
  <c r="BU36" i="37"/>
  <c r="BH36" i="37"/>
  <c r="BB36" i="37"/>
  <c r="AN36" i="37"/>
  <c r="BG36" i="37" s="1"/>
  <c r="AA36" i="37" s="1"/>
  <c r="AM36" i="37"/>
  <c r="AU36" i="37" s="1"/>
  <c r="AJ36" i="37"/>
  <c r="AH36" i="37"/>
  <c r="AF36" i="37"/>
  <c r="AE36" i="37"/>
  <c r="AD36" i="37"/>
  <c r="AC36" i="37"/>
  <c r="AB36" i="37"/>
  <c r="X36" i="37"/>
  <c r="L36" i="37"/>
  <c r="BD36" i="37" s="1"/>
  <c r="J36" i="37"/>
  <c r="AI36" i="37" s="1"/>
  <c r="AR35" i="37" s="1"/>
  <c r="I36" i="37"/>
  <c r="I35" i="37" s="1"/>
  <c r="H36" i="37"/>
  <c r="H35" i="37" s="1"/>
  <c r="AQ35" i="37"/>
  <c r="L35" i="37"/>
  <c r="BU33" i="37"/>
  <c r="BH33" i="37"/>
  <c r="BB33" i="37"/>
  <c r="AN33" i="37"/>
  <c r="BG33" i="37" s="1"/>
  <c r="AA33" i="37" s="1"/>
  <c r="AM33" i="37"/>
  <c r="AU33" i="37" s="1"/>
  <c r="AJ33" i="37"/>
  <c r="AH33" i="37"/>
  <c r="AF33" i="37"/>
  <c r="AE33" i="37"/>
  <c r="AD33" i="37"/>
  <c r="AC33" i="37"/>
  <c r="AB33" i="37"/>
  <c r="X33" i="37"/>
  <c r="L33" i="37"/>
  <c r="BD33" i="37" s="1"/>
  <c r="J33" i="37"/>
  <c r="AI33" i="37" s="1"/>
  <c r="AR32" i="37" s="1"/>
  <c r="I33" i="37"/>
  <c r="I32" i="37" s="1"/>
  <c r="H33" i="37"/>
  <c r="H32" i="37" s="1"/>
  <c r="AS32" i="37"/>
  <c r="AQ32" i="37"/>
  <c r="L32" i="37"/>
  <c r="BU30" i="37"/>
  <c r="BH30" i="37"/>
  <c r="BB30" i="37"/>
  <c r="AV30" i="37"/>
  <c r="AN30" i="37"/>
  <c r="BG30" i="37" s="1"/>
  <c r="AA30" i="37" s="1"/>
  <c r="AM30" i="37"/>
  <c r="AU30" i="37" s="1"/>
  <c r="AJ30" i="37"/>
  <c r="AH30" i="37"/>
  <c r="AF30" i="37"/>
  <c r="AE30" i="37"/>
  <c r="AD30" i="37"/>
  <c r="AC30" i="37"/>
  <c r="AB30" i="37"/>
  <c r="X30" i="37"/>
  <c r="L30" i="37"/>
  <c r="BD30" i="37" s="1"/>
  <c r="J30" i="37"/>
  <c r="AI30" i="37" s="1"/>
  <c r="I30" i="37"/>
  <c r="H30" i="37"/>
  <c r="BU28" i="37"/>
  <c r="BH28" i="37"/>
  <c r="BB28" i="37"/>
  <c r="AN28" i="37"/>
  <c r="BG28" i="37" s="1"/>
  <c r="AA28" i="37" s="1"/>
  <c r="AM28" i="37"/>
  <c r="AU28" i="37" s="1"/>
  <c r="AJ28" i="37"/>
  <c r="AH28" i="37"/>
  <c r="AF28" i="37"/>
  <c r="AE28" i="37"/>
  <c r="AD28" i="37"/>
  <c r="AC28" i="37"/>
  <c r="AB28" i="37"/>
  <c r="X28" i="37"/>
  <c r="L28" i="37"/>
  <c r="BD28" i="37" s="1"/>
  <c r="J28" i="37"/>
  <c r="AI28" i="37" s="1"/>
  <c r="I28" i="37"/>
  <c r="H28" i="37"/>
  <c r="BU26" i="37"/>
  <c r="BH26" i="37"/>
  <c r="BB26" i="37"/>
  <c r="AV26" i="37"/>
  <c r="AN26" i="37"/>
  <c r="BG26" i="37" s="1"/>
  <c r="AA26" i="37" s="1"/>
  <c r="AM26" i="37"/>
  <c r="AU26" i="37" s="1"/>
  <c r="AJ26" i="37"/>
  <c r="AH26" i="37"/>
  <c r="AF26" i="37"/>
  <c r="AE26" i="37"/>
  <c r="AD26" i="37"/>
  <c r="AC26" i="37"/>
  <c r="AB26" i="37"/>
  <c r="X26" i="37"/>
  <c r="L26" i="37"/>
  <c r="BD26" i="37" s="1"/>
  <c r="J26" i="37"/>
  <c r="AI26" i="37" s="1"/>
  <c r="I26" i="37"/>
  <c r="H26" i="37"/>
  <c r="BU24" i="37"/>
  <c r="BH24" i="37"/>
  <c r="BB24" i="37"/>
  <c r="AN24" i="37"/>
  <c r="BG24" i="37" s="1"/>
  <c r="AA24" i="37" s="1"/>
  <c r="AM24" i="37"/>
  <c r="AU24" i="37" s="1"/>
  <c r="AJ24" i="37"/>
  <c r="AH24" i="37"/>
  <c r="AF24" i="37"/>
  <c r="AE24" i="37"/>
  <c r="AD24" i="37"/>
  <c r="AC24" i="37"/>
  <c r="AB24" i="37"/>
  <c r="X24" i="37"/>
  <c r="L24" i="37"/>
  <c r="BD24" i="37" s="1"/>
  <c r="J24" i="37"/>
  <c r="AI24" i="37" s="1"/>
  <c r="I24" i="37"/>
  <c r="H24" i="37"/>
  <c r="BU22" i="37"/>
  <c r="BH22" i="37"/>
  <c r="BB22" i="37"/>
  <c r="AV22" i="37"/>
  <c r="AN22" i="37"/>
  <c r="BG22" i="37" s="1"/>
  <c r="AA22" i="37" s="1"/>
  <c r="AM22" i="37"/>
  <c r="AU22" i="37" s="1"/>
  <c r="AJ22" i="37"/>
  <c r="AH22" i="37"/>
  <c r="AF22" i="37"/>
  <c r="AE22" i="37"/>
  <c r="AD22" i="37"/>
  <c r="AC22" i="37"/>
  <c r="AB22" i="37"/>
  <c r="X22" i="37"/>
  <c r="L22" i="37"/>
  <c r="BD22" i="37" s="1"/>
  <c r="J22" i="37"/>
  <c r="AI22" i="37" s="1"/>
  <c r="I22" i="37"/>
  <c r="H22" i="37"/>
  <c r="BU20" i="37"/>
  <c r="BH20" i="37"/>
  <c r="BB20" i="37"/>
  <c r="AN20" i="37"/>
  <c r="BG20" i="37" s="1"/>
  <c r="AA20" i="37" s="1"/>
  <c r="AM20" i="37"/>
  <c r="AU20" i="37" s="1"/>
  <c r="AJ20" i="37"/>
  <c r="AS15" i="37" s="1"/>
  <c r="AH20" i="37"/>
  <c r="AF20" i="37"/>
  <c r="AE20" i="37"/>
  <c r="AD20" i="37"/>
  <c r="AC20" i="37"/>
  <c r="AB20" i="37"/>
  <c r="X20" i="37"/>
  <c r="L20" i="37"/>
  <c r="BD20" i="37" s="1"/>
  <c r="J20" i="37"/>
  <c r="AI20" i="37" s="1"/>
  <c r="I20" i="37"/>
  <c r="H20" i="37"/>
  <c r="BU18" i="37"/>
  <c r="BH18" i="37"/>
  <c r="BB18" i="37"/>
  <c r="AN18" i="37"/>
  <c r="BG18" i="37" s="1"/>
  <c r="AA18" i="37" s="1"/>
  <c r="AM18" i="37"/>
  <c r="AU18" i="37" s="1"/>
  <c r="AJ18" i="37"/>
  <c r="AH18" i="37"/>
  <c r="AF18" i="37"/>
  <c r="AE18" i="37"/>
  <c r="AD18" i="37"/>
  <c r="AC18" i="37"/>
  <c r="AB18" i="37"/>
  <c r="X18" i="37"/>
  <c r="L18" i="37"/>
  <c r="BD18" i="37" s="1"/>
  <c r="J18" i="37"/>
  <c r="AI18" i="37" s="1"/>
  <c r="I18" i="37"/>
  <c r="H18" i="37"/>
  <c r="BU16" i="37"/>
  <c r="BH16" i="37"/>
  <c r="BB16" i="37"/>
  <c r="AN16" i="37"/>
  <c r="BG16" i="37" s="1"/>
  <c r="AA16" i="37" s="1"/>
  <c r="AM16" i="37"/>
  <c r="AU16" i="37" s="1"/>
  <c r="AJ16" i="37"/>
  <c r="AH16" i="37"/>
  <c r="AF16" i="37"/>
  <c r="AE16" i="37"/>
  <c r="AD16" i="37"/>
  <c r="AC16" i="37"/>
  <c r="AB16" i="37"/>
  <c r="X16" i="37"/>
  <c r="L16" i="37"/>
  <c r="BD16" i="37" s="1"/>
  <c r="J16" i="37"/>
  <c r="AI16" i="37" s="1"/>
  <c r="I16" i="37"/>
  <c r="I15" i="37" s="1"/>
  <c r="H16" i="37"/>
  <c r="L15" i="37"/>
  <c r="BU13" i="37"/>
  <c r="BH13" i="37"/>
  <c r="BB13" i="37"/>
  <c r="AN13" i="37"/>
  <c r="BG13" i="37" s="1"/>
  <c r="AA13" i="37" s="1"/>
  <c r="AM13" i="37"/>
  <c r="AU13" i="37" s="1"/>
  <c r="AJ13" i="37"/>
  <c r="AH13" i="37"/>
  <c r="AF13" i="37"/>
  <c r="AE13" i="37"/>
  <c r="AD13" i="37"/>
  <c r="AC13" i="37"/>
  <c r="AB13" i="37"/>
  <c r="X13" i="37"/>
  <c r="L13" i="37"/>
  <c r="BD13" i="37" s="1"/>
  <c r="J13" i="37"/>
  <c r="AI13" i="37" s="1"/>
  <c r="AR12" i="37" s="1"/>
  <c r="I13" i="37"/>
  <c r="I12" i="37" s="1"/>
  <c r="H13" i="37"/>
  <c r="AS12" i="37"/>
  <c r="AQ12" i="37"/>
  <c r="H12" i="37"/>
  <c r="AS1" i="37"/>
  <c r="AR1" i="37"/>
  <c r="AQ1" i="37"/>
  <c r="BU162" i="36"/>
  <c r="BH162" i="36"/>
  <c r="AF162" i="36" s="1"/>
  <c r="BG162" i="36"/>
  <c r="BD162" i="36"/>
  <c r="BB162" i="36"/>
  <c r="AU162" i="36"/>
  <c r="BA162" i="36" s="1"/>
  <c r="AN162" i="36"/>
  <c r="AV162" i="36" s="1"/>
  <c r="AM162" i="36"/>
  <c r="BF162" i="36" s="1"/>
  <c r="AJ162" i="36"/>
  <c r="AS161" i="36" s="1"/>
  <c r="AI162" i="36"/>
  <c r="AR161" i="36" s="1"/>
  <c r="AH162" i="36"/>
  <c r="AE162" i="36"/>
  <c r="AD162" i="36"/>
  <c r="AC162" i="36"/>
  <c r="AB162" i="36"/>
  <c r="AA162" i="36"/>
  <c r="Z162" i="36"/>
  <c r="X162" i="36"/>
  <c r="L162" i="36"/>
  <c r="J162" i="36"/>
  <c r="J161" i="36" s="1"/>
  <c r="I162" i="36"/>
  <c r="H162" i="36"/>
  <c r="H161" i="36" s="1"/>
  <c r="AQ161" i="36"/>
  <c r="L161" i="36"/>
  <c r="I161" i="36"/>
  <c r="BU160" i="36"/>
  <c r="BH160" i="36"/>
  <c r="BB160" i="36"/>
  <c r="AN160" i="36"/>
  <c r="AM160" i="36"/>
  <c r="AJ160" i="36"/>
  <c r="AH160" i="36"/>
  <c r="AQ159" i="36" s="1"/>
  <c r="AF160" i="36"/>
  <c r="AE160" i="36"/>
  <c r="AD160" i="36"/>
  <c r="AC160" i="36"/>
  <c r="AB160" i="36"/>
  <c r="AA160" i="36"/>
  <c r="Z160" i="36"/>
  <c r="X160" i="36"/>
  <c r="L160" i="36"/>
  <c r="BD160" i="36" s="1"/>
  <c r="J160" i="36"/>
  <c r="AS159" i="36"/>
  <c r="L159" i="36"/>
  <c r="BU158" i="36"/>
  <c r="BH158" i="36"/>
  <c r="BD158" i="36"/>
  <c r="BB158" i="36"/>
  <c r="AU158" i="36"/>
  <c r="AN158" i="36"/>
  <c r="AM158" i="36"/>
  <c r="BF158" i="36" s="1"/>
  <c r="AJ158" i="36"/>
  <c r="AS157" i="36" s="1"/>
  <c r="AI158" i="36"/>
  <c r="AR157" i="36" s="1"/>
  <c r="AH158" i="36"/>
  <c r="AQ157" i="36" s="1"/>
  <c r="AF158" i="36"/>
  <c r="AE158" i="36"/>
  <c r="AD158" i="36"/>
  <c r="AC158" i="36"/>
  <c r="AB158" i="36"/>
  <c r="AA158" i="36"/>
  <c r="Z158" i="36"/>
  <c r="X158" i="36"/>
  <c r="L158" i="36"/>
  <c r="J158" i="36"/>
  <c r="J157" i="36" s="1"/>
  <c r="H158" i="36"/>
  <c r="H157" i="36" s="1"/>
  <c r="L157" i="36"/>
  <c r="BU156" i="36"/>
  <c r="BH156" i="36"/>
  <c r="BB156" i="36"/>
  <c r="BA156" i="36"/>
  <c r="AV156" i="36"/>
  <c r="AN156" i="36"/>
  <c r="I156" i="36" s="1"/>
  <c r="AM156" i="36"/>
  <c r="AU156" i="36" s="1"/>
  <c r="AJ156" i="36"/>
  <c r="AH156" i="36"/>
  <c r="AF156" i="36"/>
  <c r="AE156" i="36"/>
  <c r="AD156" i="36"/>
  <c r="AC156" i="36"/>
  <c r="AB156" i="36"/>
  <c r="AA156" i="36"/>
  <c r="Z156" i="36"/>
  <c r="X156" i="36"/>
  <c r="L156" i="36"/>
  <c r="BD156" i="36" s="1"/>
  <c r="J156" i="36"/>
  <c r="AI156" i="36" s="1"/>
  <c r="H156" i="36"/>
  <c r="BU155" i="36"/>
  <c r="BH155" i="36"/>
  <c r="X155" i="36" s="1"/>
  <c r="BF155" i="36"/>
  <c r="BD155" i="36"/>
  <c r="BB155" i="36"/>
  <c r="AU155" i="36"/>
  <c r="AN155" i="36"/>
  <c r="BG155" i="36" s="1"/>
  <c r="AM155" i="36"/>
  <c r="H155" i="36" s="1"/>
  <c r="AJ155" i="36"/>
  <c r="AI155" i="36"/>
  <c r="AR154" i="36" s="1"/>
  <c r="AH155" i="36"/>
  <c r="AF155" i="36"/>
  <c r="AE155" i="36"/>
  <c r="AD155" i="36"/>
  <c r="AC155" i="36"/>
  <c r="AB155" i="36"/>
  <c r="AA155" i="36"/>
  <c r="Z155" i="36"/>
  <c r="L155" i="36"/>
  <c r="J155" i="36"/>
  <c r="AS154" i="36"/>
  <c r="AQ154" i="36"/>
  <c r="BU153" i="36"/>
  <c r="BH153" i="36"/>
  <c r="X153" i="36" s="1"/>
  <c r="BB153" i="36"/>
  <c r="AN153" i="36"/>
  <c r="I153" i="36" s="1"/>
  <c r="AM153" i="36"/>
  <c r="AJ153" i="36"/>
  <c r="AH153" i="36"/>
  <c r="AF153" i="36"/>
  <c r="AE153" i="36"/>
  <c r="AD153" i="36"/>
  <c r="AC153" i="36"/>
  <c r="AB153" i="36"/>
  <c r="AA153" i="36"/>
  <c r="Z153" i="36"/>
  <c r="L153" i="36"/>
  <c r="BD153" i="36" s="1"/>
  <c r="J153" i="36"/>
  <c r="AI153" i="36" s="1"/>
  <c r="BU151" i="36"/>
  <c r="BH151" i="36"/>
  <c r="BF151" i="36"/>
  <c r="BD151" i="36"/>
  <c r="BB151" i="36"/>
  <c r="AN151" i="36"/>
  <c r="AM151" i="36"/>
  <c r="AU151" i="36" s="1"/>
  <c r="AJ151" i="36"/>
  <c r="AH151" i="36"/>
  <c r="AF151" i="36"/>
  <c r="AE151" i="36"/>
  <c r="AD151" i="36"/>
  <c r="AC151" i="36"/>
  <c r="AB151" i="36"/>
  <c r="AA151" i="36"/>
  <c r="Z151" i="36"/>
  <c r="X151" i="36"/>
  <c r="L151" i="36"/>
  <c r="J151" i="36"/>
  <c r="AI151" i="36" s="1"/>
  <c r="BU150" i="36"/>
  <c r="BH150" i="36"/>
  <c r="X150" i="36" s="1"/>
  <c r="BB150" i="36"/>
  <c r="AN150" i="36"/>
  <c r="BG150" i="36" s="1"/>
  <c r="AM150" i="36"/>
  <c r="AJ150" i="36"/>
  <c r="AH150" i="36"/>
  <c r="AF150" i="36"/>
  <c r="AE150" i="36"/>
  <c r="AD150" i="36"/>
  <c r="AC150" i="36"/>
  <c r="AB150" i="36"/>
  <c r="AA150" i="36"/>
  <c r="Z150" i="36"/>
  <c r="L150" i="36"/>
  <c r="BD150" i="36" s="1"/>
  <c r="J150" i="36"/>
  <c r="AI150" i="36" s="1"/>
  <c r="I150" i="36"/>
  <c r="BU148" i="36"/>
  <c r="BH148" i="36"/>
  <c r="X148" i="36" s="1"/>
  <c r="BD148" i="36"/>
  <c r="BB148" i="36"/>
  <c r="AN148" i="36"/>
  <c r="AV148" i="36" s="1"/>
  <c r="AM148" i="36"/>
  <c r="BF148" i="36" s="1"/>
  <c r="AJ148" i="36"/>
  <c r="AH148" i="36"/>
  <c r="AF148" i="36"/>
  <c r="AE148" i="36"/>
  <c r="AD148" i="36"/>
  <c r="AC148" i="36"/>
  <c r="AB148" i="36"/>
  <c r="AA148" i="36"/>
  <c r="Z148" i="36"/>
  <c r="L148" i="36"/>
  <c r="J148" i="36"/>
  <c r="AI148" i="36" s="1"/>
  <c r="H148" i="36"/>
  <c r="BU146" i="36"/>
  <c r="BH146" i="36"/>
  <c r="BB146" i="36"/>
  <c r="AN146" i="36"/>
  <c r="AM146" i="36"/>
  <c r="AJ146" i="36"/>
  <c r="AI146" i="36"/>
  <c r="AH146" i="36"/>
  <c r="AF146" i="36"/>
  <c r="AE146" i="36"/>
  <c r="AD146" i="36"/>
  <c r="AC146" i="36"/>
  <c r="AB146" i="36"/>
  <c r="AA146" i="36"/>
  <c r="Z146" i="36"/>
  <c r="X146" i="36"/>
  <c r="L146" i="36"/>
  <c r="J146" i="36"/>
  <c r="H146" i="36"/>
  <c r="BU145" i="36"/>
  <c r="BH145" i="36"/>
  <c r="BF145" i="36"/>
  <c r="BD145" i="36"/>
  <c r="BB145" i="36"/>
  <c r="AU145" i="36"/>
  <c r="AN145" i="36"/>
  <c r="I145" i="36" s="1"/>
  <c r="AM145" i="36"/>
  <c r="AJ145" i="36"/>
  <c r="AH145" i="36"/>
  <c r="AF145" i="36"/>
  <c r="AE145" i="36"/>
  <c r="AD145" i="36"/>
  <c r="AC145" i="36"/>
  <c r="AB145" i="36"/>
  <c r="AA145" i="36"/>
  <c r="Z145" i="36"/>
  <c r="X145" i="36"/>
  <c r="L145" i="36"/>
  <c r="J145" i="36"/>
  <c r="AI145" i="36" s="1"/>
  <c r="H145" i="36"/>
  <c r="J144" i="36"/>
  <c r="BU142" i="36"/>
  <c r="BH142" i="36"/>
  <c r="BD142" i="36"/>
  <c r="BB142" i="36"/>
  <c r="AN142" i="36"/>
  <c r="AV142" i="36" s="1"/>
  <c r="AM142" i="36"/>
  <c r="BF142" i="36" s="1"/>
  <c r="Z142" i="36" s="1"/>
  <c r="AJ142" i="36"/>
  <c r="AS141" i="36" s="1"/>
  <c r="AH142" i="36"/>
  <c r="AF142" i="36"/>
  <c r="AE142" i="36"/>
  <c r="AD142" i="36"/>
  <c r="AC142" i="36"/>
  <c r="AB142" i="36"/>
  <c r="X142" i="36"/>
  <c r="L142" i="36"/>
  <c r="J142" i="36"/>
  <c r="J141" i="36" s="1"/>
  <c r="AQ141" i="36"/>
  <c r="L141" i="36"/>
  <c r="BU139" i="36"/>
  <c r="BH139" i="36"/>
  <c r="BF139" i="36"/>
  <c r="Z139" i="36" s="1"/>
  <c r="BD139" i="36"/>
  <c r="BB139" i="36"/>
  <c r="AU139" i="36"/>
  <c r="AN139" i="36"/>
  <c r="AM139" i="36"/>
  <c r="AJ139" i="36"/>
  <c r="AS138" i="36" s="1"/>
  <c r="AH139" i="36"/>
  <c r="AQ138" i="36" s="1"/>
  <c r="AF139" i="36"/>
  <c r="AE139" i="36"/>
  <c r="AD139" i="36"/>
  <c r="AC139" i="36"/>
  <c r="AB139" i="36"/>
  <c r="X139" i="36"/>
  <c r="L139" i="36"/>
  <c r="L138" i="36" s="1"/>
  <c r="J139" i="36"/>
  <c r="H139" i="36"/>
  <c r="H138" i="36" s="1"/>
  <c r="BU136" i="36"/>
  <c r="BH136" i="36"/>
  <c r="BD136" i="36"/>
  <c r="BB136" i="36"/>
  <c r="AN136" i="36"/>
  <c r="AM136" i="36"/>
  <c r="BF136" i="36" s="1"/>
  <c r="Z136" i="36" s="1"/>
  <c r="AJ136" i="36"/>
  <c r="AH136" i="36"/>
  <c r="AF136" i="36"/>
  <c r="AE136" i="36"/>
  <c r="AD136" i="36"/>
  <c r="AC136" i="36"/>
  <c r="AB136" i="36"/>
  <c r="X136" i="36"/>
  <c r="L136" i="36"/>
  <c r="J136" i="36"/>
  <c r="AI136" i="36" s="1"/>
  <c r="H136" i="36"/>
  <c r="BU134" i="36"/>
  <c r="BH134" i="36"/>
  <c r="BF134" i="36"/>
  <c r="Z134" i="36" s="1"/>
  <c r="BB134" i="36"/>
  <c r="AN134" i="36"/>
  <c r="AM134" i="36"/>
  <c r="AU134" i="36" s="1"/>
  <c r="AJ134" i="36"/>
  <c r="AS131" i="36" s="1"/>
  <c r="AI134" i="36"/>
  <c r="AH134" i="36"/>
  <c r="AF134" i="36"/>
  <c r="AE134" i="36"/>
  <c r="AD134" i="36"/>
  <c r="AC134" i="36"/>
  <c r="AB134" i="36"/>
  <c r="X134" i="36"/>
  <c r="L134" i="36"/>
  <c r="BD134" i="36" s="1"/>
  <c r="J134" i="36"/>
  <c r="H134" i="36"/>
  <c r="BU132" i="36"/>
  <c r="BH132" i="36"/>
  <c r="BB132" i="36"/>
  <c r="AV132" i="36"/>
  <c r="AN132" i="36"/>
  <c r="I132" i="36" s="1"/>
  <c r="AM132" i="36"/>
  <c r="BF132" i="36" s="1"/>
  <c r="Z132" i="36" s="1"/>
  <c r="AJ132" i="36"/>
  <c r="AH132" i="36"/>
  <c r="AF132" i="36"/>
  <c r="AE132" i="36"/>
  <c r="AD132" i="36"/>
  <c r="AC132" i="36"/>
  <c r="AB132" i="36"/>
  <c r="X132" i="36"/>
  <c r="L132" i="36"/>
  <c r="BD132" i="36" s="1"/>
  <c r="J132" i="36"/>
  <c r="AI132" i="36" s="1"/>
  <c r="H132" i="36"/>
  <c r="BU129" i="36"/>
  <c r="BH129" i="36"/>
  <c r="BD129" i="36"/>
  <c r="BB129" i="36"/>
  <c r="AN129" i="36"/>
  <c r="I129" i="36" s="1"/>
  <c r="I128" i="36" s="1"/>
  <c r="AM129" i="36"/>
  <c r="BF129" i="36" s="1"/>
  <c r="Z129" i="36" s="1"/>
  <c r="AJ129" i="36"/>
  <c r="AS128" i="36" s="1"/>
  <c r="AH129" i="36"/>
  <c r="AQ128" i="36" s="1"/>
  <c r="AF129" i="36"/>
  <c r="AE129" i="36"/>
  <c r="AD129" i="36"/>
  <c r="AC129" i="36"/>
  <c r="AB129" i="36"/>
  <c r="X129" i="36"/>
  <c r="L129" i="36"/>
  <c r="J129" i="36"/>
  <c r="J128" i="36" s="1"/>
  <c r="L128" i="36"/>
  <c r="BU126" i="36"/>
  <c r="BH126" i="36"/>
  <c r="BB126" i="36"/>
  <c r="AN126" i="36"/>
  <c r="BG126" i="36" s="1"/>
  <c r="AC126" i="36" s="1"/>
  <c r="AM126" i="36"/>
  <c r="AJ126" i="36"/>
  <c r="AH126" i="36"/>
  <c r="AQ125" i="36" s="1"/>
  <c r="AF126" i="36"/>
  <c r="AE126" i="36"/>
  <c r="AD126" i="36"/>
  <c r="AA126" i="36"/>
  <c r="Z126" i="36"/>
  <c r="X126" i="36"/>
  <c r="L126" i="36"/>
  <c r="BD126" i="36" s="1"/>
  <c r="J126" i="36"/>
  <c r="AS125" i="36"/>
  <c r="L125" i="36"/>
  <c r="BU123" i="36"/>
  <c r="BH123" i="36"/>
  <c r="BD123" i="36"/>
  <c r="BB123" i="36"/>
  <c r="AN123" i="36"/>
  <c r="AM123" i="36"/>
  <c r="BF123" i="36" s="1"/>
  <c r="Z123" i="36" s="1"/>
  <c r="AJ123" i="36"/>
  <c r="AS122" i="36" s="1"/>
  <c r="AH123" i="36"/>
  <c r="AQ122" i="36" s="1"/>
  <c r="AF123" i="36"/>
  <c r="AE123" i="36"/>
  <c r="AD123" i="36"/>
  <c r="AC123" i="36"/>
  <c r="AB123" i="36"/>
  <c r="X123" i="36"/>
  <c r="L123" i="36"/>
  <c r="J123" i="36"/>
  <c r="J122" i="36" s="1"/>
  <c r="H123" i="36"/>
  <c r="H122" i="36" s="1"/>
  <c r="L122" i="36"/>
  <c r="BU120" i="36"/>
  <c r="BH120" i="36"/>
  <c r="BB120" i="36"/>
  <c r="AV120" i="36"/>
  <c r="AN120" i="36"/>
  <c r="I120" i="36" s="1"/>
  <c r="AM120" i="36"/>
  <c r="AU120" i="36" s="1"/>
  <c r="AJ120" i="36"/>
  <c r="AH120" i="36"/>
  <c r="AQ117" i="36" s="1"/>
  <c r="AF120" i="36"/>
  <c r="AE120" i="36"/>
  <c r="AD120" i="36"/>
  <c r="AC120" i="36"/>
  <c r="AB120" i="36"/>
  <c r="X120" i="36"/>
  <c r="L120" i="36"/>
  <c r="BD120" i="36" s="1"/>
  <c r="J120" i="36"/>
  <c r="AI120" i="36" s="1"/>
  <c r="BU118" i="36"/>
  <c r="BH118" i="36"/>
  <c r="BD118" i="36"/>
  <c r="BB118" i="36"/>
  <c r="AV118" i="36"/>
  <c r="AN118" i="36"/>
  <c r="BG118" i="36" s="1"/>
  <c r="AA118" i="36" s="1"/>
  <c r="AM118" i="36"/>
  <c r="H118" i="36" s="1"/>
  <c r="AJ118" i="36"/>
  <c r="AS117" i="36" s="1"/>
  <c r="AH118" i="36"/>
  <c r="AF118" i="36"/>
  <c r="AE118" i="36"/>
  <c r="AD118" i="36"/>
  <c r="AC118" i="36"/>
  <c r="AB118" i="36"/>
  <c r="X118" i="36"/>
  <c r="L118" i="36"/>
  <c r="L117" i="36" s="1"/>
  <c r="J118" i="36"/>
  <c r="AI118" i="36" s="1"/>
  <c r="AR117" i="36" s="1"/>
  <c r="I118" i="36"/>
  <c r="J117" i="36"/>
  <c r="I117" i="36"/>
  <c r="BU115" i="36"/>
  <c r="BH115" i="36"/>
  <c r="BG115" i="36"/>
  <c r="BB115" i="36"/>
  <c r="AN115" i="36"/>
  <c r="I115" i="36" s="1"/>
  <c r="AM115" i="36"/>
  <c r="AJ115" i="36"/>
  <c r="AH115" i="36"/>
  <c r="AF115" i="36"/>
  <c r="AE115" i="36"/>
  <c r="AD115" i="36"/>
  <c r="AC115" i="36"/>
  <c r="AB115" i="36"/>
  <c r="AA115" i="36"/>
  <c r="X115" i="36"/>
  <c r="L115" i="36"/>
  <c r="BD115" i="36" s="1"/>
  <c r="J115" i="36"/>
  <c r="AI115" i="36" s="1"/>
  <c r="BU113" i="36"/>
  <c r="BH113" i="36"/>
  <c r="BD113" i="36"/>
  <c r="BB113" i="36"/>
  <c r="AV113" i="36"/>
  <c r="AU113" i="36"/>
  <c r="AN113" i="36"/>
  <c r="BG113" i="36" s="1"/>
  <c r="AA113" i="36" s="1"/>
  <c r="AM113" i="36"/>
  <c r="H113" i="36" s="1"/>
  <c r="AJ113" i="36"/>
  <c r="AH113" i="36"/>
  <c r="AF113" i="36"/>
  <c r="AE113" i="36"/>
  <c r="AD113" i="36"/>
  <c r="AC113" i="36"/>
  <c r="AB113" i="36"/>
  <c r="X113" i="36"/>
  <c r="L113" i="36"/>
  <c r="J113" i="36"/>
  <c r="AI113" i="36" s="1"/>
  <c r="I113" i="36"/>
  <c r="BU111" i="36"/>
  <c r="BH111" i="36"/>
  <c r="BD111" i="36"/>
  <c r="BB111" i="36"/>
  <c r="AU111" i="36"/>
  <c r="BA111" i="36" s="1"/>
  <c r="AN111" i="36"/>
  <c r="AV111" i="36" s="1"/>
  <c r="AM111" i="36"/>
  <c r="BF111" i="36" s="1"/>
  <c r="Z111" i="36" s="1"/>
  <c r="AJ111" i="36"/>
  <c r="AI111" i="36"/>
  <c r="AH111" i="36"/>
  <c r="AF111" i="36"/>
  <c r="AE111" i="36"/>
  <c r="AD111" i="36"/>
  <c r="AC111" i="36"/>
  <c r="AB111" i="36"/>
  <c r="X111" i="36"/>
  <c r="L111" i="36"/>
  <c r="J111" i="36"/>
  <c r="H111" i="36"/>
  <c r="BU109" i="36"/>
  <c r="BH109" i="36"/>
  <c r="BB109" i="36"/>
  <c r="AV109" i="36"/>
  <c r="BA109" i="36" s="1"/>
  <c r="AN109" i="36"/>
  <c r="I109" i="36" s="1"/>
  <c r="AM109" i="36"/>
  <c r="AU109" i="36" s="1"/>
  <c r="AJ109" i="36"/>
  <c r="AI109" i="36"/>
  <c r="AH109" i="36"/>
  <c r="AF109" i="36"/>
  <c r="AE109" i="36"/>
  <c r="AD109" i="36"/>
  <c r="AC109" i="36"/>
  <c r="AB109" i="36"/>
  <c r="X109" i="36"/>
  <c r="L109" i="36"/>
  <c r="BD109" i="36" s="1"/>
  <c r="J109" i="36"/>
  <c r="H109" i="36"/>
  <c r="BU107" i="36"/>
  <c r="BH107" i="36"/>
  <c r="BD107" i="36"/>
  <c r="BB107" i="36"/>
  <c r="AN107" i="36"/>
  <c r="I107" i="36" s="1"/>
  <c r="AM107" i="36"/>
  <c r="H107" i="36" s="1"/>
  <c r="AJ107" i="36"/>
  <c r="AH107" i="36"/>
  <c r="AF107" i="36"/>
  <c r="AE107" i="36"/>
  <c r="AD107" i="36"/>
  <c r="AC107" i="36"/>
  <c r="AB107" i="36"/>
  <c r="X107" i="36"/>
  <c r="L107" i="36"/>
  <c r="J107" i="36"/>
  <c r="AI107" i="36" s="1"/>
  <c r="BU105" i="36"/>
  <c r="BH105" i="36"/>
  <c r="BD105" i="36"/>
  <c r="BB105" i="36"/>
  <c r="AV105" i="36"/>
  <c r="AU105" i="36"/>
  <c r="AN105" i="36"/>
  <c r="BG105" i="36" s="1"/>
  <c r="AA105" i="36" s="1"/>
  <c r="AM105" i="36"/>
  <c r="H105" i="36" s="1"/>
  <c r="AJ105" i="36"/>
  <c r="AH105" i="36"/>
  <c r="AF105" i="36"/>
  <c r="AE105" i="36"/>
  <c r="AD105" i="36"/>
  <c r="AC105" i="36"/>
  <c r="AB105" i="36"/>
  <c r="X105" i="36"/>
  <c r="L105" i="36"/>
  <c r="J105" i="36"/>
  <c r="AI105" i="36" s="1"/>
  <c r="I105" i="36"/>
  <c r="BU103" i="36"/>
  <c r="BH103" i="36"/>
  <c r="BD103" i="36"/>
  <c r="BB103" i="36"/>
  <c r="AU103" i="36"/>
  <c r="BA103" i="36" s="1"/>
  <c r="AN103" i="36"/>
  <c r="AV103" i="36" s="1"/>
  <c r="AM103" i="36"/>
  <c r="BF103" i="36" s="1"/>
  <c r="Z103" i="36" s="1"/>
  <c r="AJ103" i="36"/>
  <c r="AI103" i="36"/>
  <c r="AH103" i="36"/>
  <c r="AF103" i="36"/>
  <c r="AE103" i="36"/>
  <c r="AD103" i="36"/>
  <c r="AC103" i="36"/>
  <c r="AB103" i="36"/>
  <c r="X103" i="36"/>
  <c r="L103" i="36"/>
  <c r="J103" i="36"/>
  <c r="H103" i="36"/>
  <c r="BU101" i="36"/>
  <c r="BH101" i="36"/>
  <c r="BB101" i="36"/>
  <c r="AV101" i="36"/>
  <c r="BA101" i="36" s="1"/>
  <c r="AN101" i="36"/>
  <c r="I101" i="36" s="1"/>
  <c r="AM101" i="36"/>
  <c r="AU101" i="36" s="1"/>
  <c r="AJ101" i="36"/>
  <c r="AI101" i="36"/>
  <c r="AH101" i="36"/>
  <c r="AF101" i="36"/>
  <c r="AE101" i="36"/>
  <c r="AD101" i="36"/>
  <c r="AC101" i="36"/>
  <c r="AB101" i="36"/>
  <c r="X101" i="36"/>
  <c r="L101" i="36"/>
  <c r="BD101" i="36" s="1"/>
  <c r="J101" i="36"/>
  <c r="H101" i="36"/>
  <c r="BU99" i="36"/>
  <c r="BH99" i="36"/>
  <c r="BD99" i="36"/>
  <c r="BB99" i="36"/>
  <c r="AN99" i="36"/>
  <c r="I99" i="36" s="1"/>
  <c r="AM99" i="36"/>
  <c r="H99" i="36" s="1"/>
  <c r="AJ99" i="36"/>
  <c r="AH99" i="36"/>
  <c r="AF99" i="36"/>
  <c r="AE99" i="36"/>
  <c r="AD99" i="36"/>
  <c r="AC99" i="36"/>
  <c r="AB99" i="36"/>
  <c r="X99" i="36"/>
  <c r="L99" i="36"/>
  <c r="J99" i="36"/>
  <c r="AI99" i="36" s="1"/>
  <c r="BU97" i="36"/>
  <c r="BH97" i="36"/>
  <c r="BD97" i="36"/>
  <c r="BB97" i="36"/>
  <c r="AV97" i="36"/>
  <c r="AU97" i="36"/>
  <c r="AN97" i="36"/>
  <c r="BG97" i="36" s="1"/>
  <c r="AA97" i="36" s="1"/>
  <c r="AM97" i="36"/>
  <c r="H97" i="36" s="1"/>
  <c r="AJ97" i="36"/>
  <c r="AH97" i="36"/>
  <c r="AF97" i="36"/>
  <c r="AE97" i="36"/>
  <c r="AD97" i="36"/>
  <c r="AC97" i="36"/>
  <c r="AB97" i="36"/>
  <c r="X97" i="36"/>
  <c r="L97" i="36"/>
  <c r="J97" i="36"/>
  <c r="AI97" i="36" s="1"/>
  <c r="I97" i="36"/>
  <c r="BU95" i="36"/>
  <c r="BH95" i="36"/>
  <c r="BD95" i="36"/>
  <c r="BB95" i="36"/>
  <c r="AU95" i="36"/>
  <c r="BA95" i="36" s="1"/>
  <c r="AN95" i="36"/>
  <c r="AV95" i="36" s="1"/>
  <c r="AM95" i="36"/>
  <c r="BF95" i="36" s="1"/>
  <c r="Z95" i="36" s="1"/>
  <c r="AJ95" i="36"/>
  <c r="AI95" i="36"/>
  <c r="AH95" i="36"/>
  <c r="AQ94" i="36" s="1"/>
  <c r="AF95" i="36"/>
  <c r="AE95" i="36"/>
  <c r="AD95" i="36"/>
  <c r="AC95" i="36"/>
  <c r="AB95" i="36"/>
  <c r="X95" i="36"/>
  <c r="L95" i="36"/>
  <c r="J95" i="36"/>
  <c r="J94" i="36" s="1"/>
  <c r="H95" i="36"/>
  <c r="L94" i="36"/>
  <c r="BU92" i="36"/>
  <c r="BH92" i="36"/>
  <c r="BB92" i="36"/>
  <c r="AV92" i="36"/>
  <c r="AN92" i="36"/>
  <c r="I92" i="36" s="1"/>
  <c r="AM92" i="36"/>
  <c r="H92" i="36" s="1"/>
  <c r="H91" i="36" s="1"/>
  <c r="AJ92" i="36"/>
  <c r="AS91" i="36" s="1"/>
  <c r="AH92" i="36"/>
  <c r="AQ91" i="36" s="1"/>
  <c r="AF92" i="36"/>
  <c r="AE92" i="36"/>
  <c r="AD92" i="36"/>
  <c r="AC92" i="36"/>
  <c r="AB92" i="36"/>
  <c r="X92" i="36"/>
  <c r="L92" i="36"/>
  <c r="L91" i="36" s="1"/>
  <c r="J92" i="36"/>
  <c r="AI92" i="36" s="1"/>
  <c r="AR91" i="36"/>
  <c r="J91" i="36"/>
  <c r="I91" i="36"/>
  <c r="BU89" i="36"/>
  <c r="BH89" i="36"/>
  <c r="BG89" i="36"/>
  <c r="AA89" i="36" s="1"/>
  <c r="BD89" i="36"/>
  <c r="BB89" i="36"/>
  <c r="AU89" i="36"/>
  <c r="BA89" i="36" s="1"/>
  <c r="AN89" i="36"/>
  <c r="AV89" i="36" s="1"/>
  <c r="AM89" i="36"/>
  <c r="BF89" i="36" s="1"/>
  <c r="AJ89" i="36"/>
  <c r="AS86" i="36" s="1"/>
  <c r="AI89" i="36"/>
  <c r="AH89" i="36"/>
  <c r="AF89" i="36"/>
  <c r="AE89" i="36"/>
  <c r="AD89" i="36"/>
  <c r="AC89" i="36"/>
  <c r="AB89" i="36"/>
  <c r="Z89" i="36"/>
  <c r="X89" i="36"/>
  <c r="L89" i="36"/>
  <c r="J89" i="36"/>
  <c r="I89" i="36"/>
  <c r="H89" i="36"/>
  <c r="BU87" i="36"/>
  <c r="BH87" i="36"/>
  <c r="BB87" i="36"/>
  <c r="AN87" i="36"/>
  <c r="I87" i="36" s="1"/>
  <c r="AM87" i="36"/>
  <c r="AU87" i="36" s="1"/>
  <c r="AJ87" i="36"/>
  <c r="AH87" i="36"/>
  <c r="AQ86" i="36" s="1"/>
  <c r="AF87" i="36"/>
  <c r="AE87" i="36"/>
  <c r="AD87" i="36"/>
  <c r="AC87" i="36"/>
  <c r="AB87" i="36"/>
  <c r="X87" i="36"/>
  <c r="L87" i="36"/>
  <c r="BD87" i="36" s="1"/>
  <c r="J87" i="36"/>
  <c r="AI87" i="36" s="1"/>
  <c r="AR86" i="36" s="1"/>
  <c r="H87" i="36"/>
  <c r="L86" i="36"/>
  <c r="J86" i="36"/>
  <c r="BU84" i="36"/>
  <c r="BH84" i="36"/>
  <c r="BD84" i="36"/>
  <c r="BB84" i="36"/>
  <c r="AN84" i="36"/>
  <c r="BG84" i="36" s="1"/>
  <c r="AA84" i="36" s="1"/>
  <c r="AM84" i="36"/>
  <c r="H84" i="36" s="1"/>
  <c r="AJ84" i="36"/>
  <c r="AH84" i="36"/>
  <c r="AQ81" i="36" s="1"/>
  <c r="AF84" i="36"/>
  <c r="AE84" i="36"/>
  <c r="AD84" i="36"/>
  <c r="AC84" i="36"/>
  <c r="AB84" i="36"/>
  <c r="X84" i="36"/>
  <c r="L84" i="36"/>
  <c r="J84" i="36"/>
  <c r="AI84" i="36" s="1"/>
  <c r="BU82" i="36"/>
  <c r="BH82" i="36"/>
  <c r="BG82" i="36"/>
  <c r="AA82" i="36" s="1"/>
  <c r="BD82" i="36"/>
  <c r="BB82" i="36"/>
  <c r="AU82" i="36"/>
  <c r="AT82" i="36" s="1"/>
  <c r="AN82" i="36"/>
  <c r="AV82" i="36" s="1"/>
  <c r="AM82" i="36"/>
  <c r="BF82" i="36" s="1"/>
  <c r="AJ82" i="36"/>
  <c r="AS81" i="36" s="1"/>
  <c r="AI82" i="36"/>
  <c r="AH82" i="36"/>
  <c r="AF82" i="36"/>
  <c r="AE82" i="36"/>
  <c r="AD82" i="36"/>
  <c r="AC82" i="36"/>
  <c r="AB82" i="36"/>
  <c r="Z82" i="36"/>
  <c r="X82" i="36"/>
  <c r="L82" i="36"/>
  <c r="J82" i="36"/>
  <c r="I82" i="36"/>
  <c r="H82" i="36"/>
  <c r="H81" i="36" s="1"/>
  <c r="L81" i="36"/>
  <c r="BU79" i="36"/>
  <c r="BH79" i="36"/>
  <c r="BD79" i="36"/>
  <c r="BB79" i="36"/>
  <c r="AV79" i="36"/>
  <c r="AN79" i="36"/>
  <c r="I79" i="36" s="1"/>
  <c r="I78" i="36" s="1"/>
  <c r="AM79" i="36"/>
  <c r="H79" i="36" s="1"/>
  <c r="H78" i="36" s="1"/>
  <c r="AJ79" i="36"/>
  <c r="AH79" i="36"/>
  <c r="AQ78" i="36" s="1"/>
  <c r="AF79" i="36"/>
  <c r="AE79" i="36"/>
  <c r="AD79" i="36"/>
  <c r="AC79" i="36"/>
  <c r="AB79" i="36"/>
  <c r="X79" i="36"/>
  <c r="L79" i="36"/>
  <c r="L78" i="36" s="1"/>
  <c r="J79" i="36"/>
  <c r="AI79" i="36" s="1"/>
  <c r="AR78" i="36" s="1"/>
  <c r="AS78" i="36"/>
  <c r="BU76" i="36"/>
  <c r="BH76" i="36"/>
  <c r="BD76" i="36"/>
  <c r="BB76" i="36"/>
  <c r="AN76" i="36"/>
  <c r="AV76" i="36" s="1"/>
  <c r="AM76" i="36"/>
  <c r="BF76" i="36" s="1"/>
  <c r="Z76" i="36" s="1"/>
  <c r="AJ76" i="36"/>
  <c r="AH76" i="36"/>
  <c r="AF76" i="36"/>
  <c r="AE76" i="36"/>
  <c r="AD76" i="36"/>
  <c r="AC76" i="36"/>
  <c r="AB76" i="36"/>
  <c r="X76" i="36"/>
  <c r="L76" i="36"/>
  <c r="J76" i="36"/>
  <c r="AI76" i="36" s="1"/>
  <c r="AR71" i="36" s="1"/>
  <c r="H76" i="36"/>
  <c r="BU74" i="36"/>
  <c r="BH74" i="36"/>
  <c r="BB74" i="36"/>
  <c r="AN74" i="36"/>
  <c r="I74" i="36" s="1"/>
  <c r="AM74" i="36"/>
  <c r="AU74" i="36" s="1"/>
  <c r="AJ74" i="36"/>
  <c r="AI74" i="36"/>
  <c r="AH74" i="36"/>
  <c r="AF74" i="36"/>
  <c r="AE74" i="36"/>
  <c r="AD74" i="36"/>
  <c r="AC74" i="36"/>
  <c r="AB74" i="36"/>
  <c r="X74" i="36"/>
  <c r="L74" i="36"/>
  <c r="BD74" i="36" s="1"/>
  <c r="J74" i="36"/>
  <c r="H74" i="36"/>
  <c r="BU72" i="36"/>
  <c r="BH72" i="36"/>
  <c r="BB72" i="36"/>
  <c r="AV72" i="36"/>
  <c r="AN72" i="36"/>
  <c r="I72" i="36" s="1"/>
  <c r="AM72" i="36"/>
  <c r="AU72" i="36" s="1"/>
  <c r="AJ72" i="36"/>
  <c r="AH72" i="36"/>
  <c r="AF72" i="36"/>
  <c r="AE72" i="36"/>
  <c r="AD72" i="36"/>
  <c r="AC72" i="36"/>
  <c r="AB72" i="36"/>
  <c r="X72" i="36"/>
  <c r="L72" i="36"/>
  <c r="BD72" i="36" s="1"/>
  <c r="J72" i="36"/>
  <c r="AI72" i="36" s="1"/>
  <c r="H72" i="36"/>
  <c r="AS71" i="36"/>
  <c r="J71" i="36"/>
  <c r="BU69" i="36"/>
  <c r="BH69" i="36"/>
  <c r="BD69" i="36"/>
  <c r="BB69" i="36"/>
  <c r="AN69" i="36"/>
  <c r="AV69" i="36" s="1"/>
  <c r="AM69" i="36"/>
  <c r="BF69" i="36" s="1"/>
  <c r="Z69" i="36" s="1"/>
  <c r="AJ69" i="36"/>
  <c r="AI69" i="36"/>
  <c r="AH69" i="36"/>
  <c r="AF69" i="36"/>
  <c r="AE69" i="36"/>
  <c r="AD69" i="36"/>
  <c r="AC69" i="36"/>
  <c r="AB69" i="36"/>
  <c r="X69" i="36"/>
  <c r="L69" i="36"/>
  <c r="J69" i="36"/>
  <c r="H69" i="36"/>
  <c r="BU67" i="36"/>
  <c r="BH67" i="36"/>
  <c r="BG67" i="36"/>
  <c r="AA67" i="36" s="1"/>
  <c r="BB67" i="36"/>
  <c r="AV67" i="36"/>
  <c r="AN67" i="36"/>
  <c r="AM67" i="36"/>
  <c r="AU67" i="36" s="1"/>
  <c r="AJ67" i="36"/>
  <c r="AI67" i="36"/>
  <c r="AH67" i="36"/>
  <c r="AF67" i="36"/>
  <c r="AE67" i="36"/>
  <c r="AD67" i="36"/>
  <c r="AC67" i="36"/>
  <c r="AB67" i="36"/>
  <c r="X67" i="36"/>
  <c r="L67" i="36"/>
  <c r="BD67" i="36" s="1"/>
  <c r="J67" i="36"/>
  <c r="I67" i="36"/>
  <c r="BU65" i="36"/>
  <c r="BH65" i="36"/>
  <c r="BB65" i="36"/>
  <c r="AN65" i="36"/>
  <c r="I65" i="36" s="1"/>
  <c r="AM65" i="36"/>
  <c r="BF65" i="36" s="1"/>
  <c r="Z65" i="36" s="1"/>
  <c r="AJ65" i="36"/>
  <c r="AH65" i="36"/>
  <c r="AF65" i="36"/>
  <c r="AE65" i="36"/>
  <c r="AD65" i="36"/>
  <c r="AC65" i="36"/>
  <c r="AB65" i="36"/>
  <c r="X65" i="36"/>
  <c r="L65" i="36"/>
  <c r="BD65" i="36" s="1"/>
  <c r="J65" i="36"/>
  <c r="AI65" i="36" s="1"/>
  <c r="H65" i="36"/>
  <c r="BU63" i="36"/>
  <c r="BH63" i="36"/>
  <c r="BF63" i="36"/>
  <c r="Z63" i="36" s="1"/>
  <c r="BD63" i="36"/>
  <c r="BB63" i="36"/>
  <c r="AV63" i="36"/>
  <c r="AU63" i="36"/>
  <c r="BA63" i="36" s="1"/>
  <c r="AN63" i="36"/>
  <c r="BG63" i="36" s="1"/>
  <c r="AM63" i="36"/>
  <c r="H63" i="36" s="1"/>
  <c r="AJ63" i="36"/>
  <c r="AH63" i="36"/>
  <c r="AF63" i="36"/>
  <c r="AE63" i="36"/>
  <c r="AD63" i="36"/>
  <c r="AC63" i="36"/>
  <c r="AB63" i="36"/>
  <c r="AA63" i="36"/>
  <c r="X63" i="36"/>
  <c r="L63" i="36"/>
  <c r="J63" i="36"/>
  <c r="AI63" i="36" s="1"/>
  <c r="I63" i="36"/>
  <c r="BU61" i="36"/>
  <c r="BH61" i="36"/>
  <c r="BG61" i="36"/>
  <c r="AA61" i="36" s="1"/>
  <c r="BD61" i="36"/>
  <c r="BB61" i="36"/>
  <c r="AU61" i="36"/>
  <c r="AT61" i="36"/>
  <c r="AN61" i="36"/>
  <c r="AV61" i="36" s="1"/>
  <c r="AM61" i="36"/>
  <c r="BF61" i="36" s="1"/>
  <c r="AJ61" i="36"/>
  <c r="AI61" i="36"/>
  <c r="AH61" i="36"/>
  <c r="AF61" i="36"/>
  <c r="AE61" i="36"/>
  <c r="AD61" i="36"/>
  <c r="AC61" i="36"/>
  <c r="AB61" i="36"/>
  <c r="Z61" i="36"/>
  <c r="X61" i="36"/>
  <c r="L61" i="36"/>
  <c r="J61" i="36"/>
  <c r="I61" i="36"/>
  <c r="H61" i="36"/>
  <c r="BU59" i="36"/>
  <c r="BH59" i="36"/>
  <c r="BG59" i="36"/>
  <c r="AA59" i="36" s="1"/>
  <c r="BB59" i="36"/>
  <c r="AN59" i="36"/>
  <c r="AV59" i="36" s="1"/>
  <c r="AM59" i="36"/>
  <c r="AU59" i="36" s="1"/>
  <c r="AJ59" i="36"/>
  <c r="AH59" i="36"/>
  <c r="AF59" i="36"/>
  <c r="AE59" i="36"/>
  <c r="AD59" i="36"/>
  <c r="AC59" i="36"/>
  <c r="AB59" i="36"/>
  <c r="X59" i="36"/>
  <c r="L59" i="36"/>
  <c r="BD59" i="36" s="1"/>
  <c r="J59" i="36"/>
  <c r="AI59" i="36" s="1"/>
  <c r="I59" i="36"/>
  <c r="BU57" i="36"/>
  <c r="BH57" i="36"/>
  <c r="BB57" i="36"/>
  <c r="AN57" i="36"/>
  <c r="I57" i="36" s="1"/>
  <c r="AM57" i="36"/>
  <c r="BF57" i="36" s="1"/>
  <c r="Z57" i="36" s="1"/>
  <c r="AJ57" i="36"/>
  <c r="AH57" i="36"/>
  <c r="AF57" i="36"/>
  <c r="AE57" i="36"/>
  <c r="AD57" i="36"/>
  <c r="AC57" i="36"/>
  <c r="AB57" i="36"/>
  <c r="X57" i="36"/>
  <c r="L57" i="36"/>
  <c r="BD57" i="36" s="1"/>
  <c r="J57" i="36"/>
  <c r="AI57" i="36" s="1"/>
  <c r="H57" i="36"/>
  <c r="BU55" i="36"/>
  <c r="BH55" i="36"/>
  <c r="BD55" i="36"/>
  <c r="BB55" i="36"/>
  <c r="AV55" i="36"/>
  <c r="AN55" i="36"/>
  <c r="BG55" i="36" s="1"/>
  <c r="AM55" i="36"/>
  <c r="H55" i="36" s="1"/>
  <c r="AJ55" i="36"/>
  <c r="AH55" i="36"/>
  <c r="AF55" i="36"/>
  <c r="AE55" i="36"/>
  <c r="AD55" i="36"/>
  <c r="AC55" i="36"/>
  <c r="AB55" i="36"/>
  <c r="AA55" i="36"/>
  <c r="X55" i="36"/>
  <c r="L55" i="36"/>
  <c r="J55" i="36"/>
  <c r="AI55" i="36" s="1"/>
  <c r="BU53" i="36"/>
  <c r="BH53" i="36"/>
  <c r="BG53" i="36"/>
  <c r="BD53" i="36"/>
  <c r="BB53" i="36"/>
  <c r="AU53" i="36"/>
  <c r="BA53" i="36" s="1"/>
  <c r="AN53" i="36"/>
  <c r="AV53" i="36" s="1"/>
  <c r="AM53" i="36"/>
  <c r="BF53" i="36" s="1"/>
  <c r="AJ53" i="36"/>
  <c r="AS50" i="36" s="1"/>
  <c r="AH53" i="36"/>
  <c r="AF53" i="36"/>
  <c r="AE53" i="36"/>
  <c r="AD53" i="36"/>
  <c r="AC53" i="36"/>
  <c r="AB53" i="36"/>
  <c r="AA53" i="36"/>
  <c r="Z53" i="36"/>
  <c r="X53" i="36"/>
  <c r="L53" i="36"/>
  <c r="J53" i="36"/>
  <c r="AI53" i="36" s="1"/>
  <c r="I53" i="36"/>
  <c r="BU51" i="36"/>
  <c r="BH51" i="36"/>
  <c r="BB51" i="36"/>
  <c r="AN51" i="36"/>
  <c r="AV51" i="36" s="1"/>
  <c r="AM51" i="36"/>
  <c r="AU51" i="36" s="1"/>
  <c r="AJ51" i="36"/>
  <c r="AH51" i="36"/>
  <c r="AQ50" i="36" s="1"/>
  <c r="AF51" i="36"/>
  <c r="AE51" i="36"/>
  <c r="AD51" i="36"/>
  <c r="AC51" i="36"/>
  <c r="AB51" i="36"/>
  <c r="X51" i="36"/>
  <c r="L51" i="36"/>
  <c r="BD51" i="36" s="1"/>
  <c r="J51" i="36"/>
  <c r="AI51" i="36" s="1"/>
  <c r="L50" i="36"/>
  <c r="BU48" i="36"/>
  <c r="BH48" i="36"/>
  <c r="BB48" i="36"/>
  <c r="AN48" i="36"/>
  <c r="BG48" i="36" s="1"/>
  <c r="AA48" i="36" s="1"/>
  <c r="AM48" i="36"/>
  <c r="H48" i="36" s="1"/>
  <c r="AJ48" i="36"/>
  <c r="AH48" i="36"/>
  <c r="AF48" i="36"/>
  <c r="AE48" i="36"/>
  <c r="AD48" i="36"/>
  <c r="AC48" i="36"/>
  <c r="AB48" i="36"/>
  <c r="X48" i="36"/>
  <c r="L48" i="36"/>
  <c r="BD48" i="36" s="1"/>
  <c r="J48" i="36"/>
  <c r="AI48" i="36" s="1"/>
  <c r="I48" i="36"/>
  <c r="BU46" i="36"/>
  <c r="BH46" i="36"/>
  <c r="BD46" i="36"/>
  <c r="BB46" i="36"/>
  <c r="AN46" i="36"/>
  <c r="AV46" i="36" s="1"/>
  <c r="AM46" i="36"/>
  <c r="BF46" i="36" s="1"/>
  <c r="Z46" i="36" s="1"/>
  <c r="AJ46" i="36"/>
  <c r="AS45" i="36" s="1"/>
  <c r="AH46" i="36"/>
  <c r="AF46" i="36"/>
  <c r="AE46" i="36"/>
  <c r="AD46" i="36"/>
  <c r="AC46" i="36"/>
  <c r="AB46" i="36"/>
  <c r="X46" i="36"/>
  <c r="L46" i="36"/>
  <c r="J46" i="36"/>
  <c r="BU43" i="36"/>
  <c r="BH43" i="36"/>
  <c r="BF43" i="36"/>
  <c r="Z43" i="36" s="1"/>
  <c r="BD43" i="36"/>
  <c r="BB43" i="36"/>
  <c r="AN43" i="36"/>
  <c r="BG43" i="36" s="1"/>
  <c r="AA43" i="36" s="1"/>
  <c r="AM43" i="36"/>
  <c r="AU43" i="36" s="1"/>
  <c r="AJ43" i="36"/>
  <c r="AH43" i="36"/>
  <c r="AF43" i="36"/>
  <c r="AE43" i="36"/>
  <c r="AD43" i="36"/>
  <c r="AC43" i="36"/>
  <c r="AB43" i="36"/>
  <c r="X43" i="36"/>
  <c r="L43" i="36"/>
  <c r="J43" i="36"/>
  <c r="AI43" i="36" s="1"/>
  <c r="BU41" i="36"/>
  <c r="BH41" i="36"/>
  <c r="BB41" i="36"/>
  <c r="AN41" i="36"/>
  <c r="AV41" i="36" s="1"/>
  <c r="AM41" i="36"/>
  <c r="BF41" i="36" s="1"/>
  <c r="Z41" i="36" s="1"/>
  <c r="AJ41" i="36"/>
  <c r="AI41" i="36"/>
  <c r="AH41" i="36"/>
  <c r="AF41" i="36"/>
  <c r="AE41" i="36"/>
  <c r="AD41" i="36"/>
  <c r="AC41" i="36"/>
  <c r="AB41" i="36"/>
  <c r="X41" i="36"/>
  <c r="L41" i="36"/>
  <c r="BD41" i="36" s="1"/>
  <c r="J41" i="36"/>
  <c r="H41" i="36"/>
  <c r="BU39" i="36"/>
  <c r="BH39" i="36"/>
  <c r="BB39" i="36"/>
  <c r="AN39" i="36"/>
  <c r="I39" i="36" s="1"/>
  <c r="AM39" i="36"/>
  <c r="AU39" i="36" s="1"/>
  <c r="AJ39" i="36"/>
  <c r="AH39" i="36"/>
  <c r="AF39" i="36"/>
  <c r="AE39" i="36"/>
  <c r="AD39" i="36"/>
  <c r="AC39" i="36"/>
  <c r="AB39" i="36"/>
  <c r="X39" i="36"/>
  <c r="L39" i="36"/>
  <c r="BD39" i="36" s="1"/>
  <c r="J39" i="36"/>
  <c r="AI39" i="36" s="1"/>
  <c r="BU37" i="36"/>
  <c r="BH37" i="36"/>
  <c r="BD37" i="36"/>
  <c r="BB37" i="36"/>
  <c r="AV37" i="36"/>
  <c r="AU37" i="36"/>
  <c r="AN37" i="36"/>
  <c r="BG37" i="36" s="1"/>
  <c r="AA37" i="36" s="1"/>
  <c r="AM37" i="36"/>
  <c r="H37" i="36" s="1"/>
  <c r="AJ37" i="36"/>
  <c r="AH37" i="36"/>
  <c r="AF37" i="36"/>
  <c r="AE37" i="36"/>
  <c r="AD37" i="36"/>
  <c r="AC37" i="36"/>
  <c r="AB37" i="36"/>
  <c r="X37" i="36"/>
  <c r="L37" i="36"/>
  <c r="L34" i="36" s="1"/>
  <c r="J37" i="36"/>
  <c r="AI37" i="36" s="1"/>
  <c r="I37" i="36"/>
  <c r="BU35" i="36"/>
  <c r="BH35" i="36"/>
  <c r="BD35" i="36"/>
  <c r="BB35" i="36"/>
  <c r="AN35" i="36"/>
  <c r="BG35" i="36" s="1"/>
  <c r="AA35" i="36" s="1"/>
  <c r="AM35" i="36"/>
  <c r="BF35" i="36" s="1"/>
  <c r="Z35" i="36" s="1"/>
  <c r="AJ35" i="36"/>
  <c r="AH35" i="36"/>
  <c r="AQ34" i="36" s="1"/>
  <c r="AF35" i="36"/>
  <c r="AE35" i="36"/>
  <c r="AD35" i="36"/>
  <c r="AC35" i="36"/>
  <c r="AB35" i="36"/>
  <c r="X35" i="36"/>
  <c r="L35" i="36"/>
  <c r="J35" i="36"/>
  <c r="J34" i="36" s="1"/>
  <c r="BU32" i="36"/>
  <c r="BH32" i="36"/>
  <c r="BB32" i="36"/>
  <c r="AN32" i="36"/>
  <c r="I32" i="36" s="1"/>
  <c r="I29" i="36" s="1"/>
  <c r="AM32" i="36"/>
  <c r="AU32" i="36" s="1"/>
  <c r="AJ32" i="36"/>
  <c r="AH32" i="36"/>
  <c r="AF32" i="36"/>
  <c r="AE32" i="36"/>
  <c r="AD32" i="36"/>
  <c r="AC32" i="36"/>
  <c r="AB32" i="36"/>
  <c r="X32" i="36"/>
  <c r="L32" i="36"/>
  <c r="BD32" i="36" s="1"/>
  <c r="J32" i="36"/>
  <c r="AI32" i="36" s="1"/>
  <c r="BU30" i="36"/>
  <c r="BH30" i="36"/>
  <c r="BD30" i="36"/>
  <c r="BB30" i="36"/>
  <c r="AV30" i="36"/>
  <c r="AU30" i="36"/>
  <c r="AN30" i="36"/>
  <c r="BG30" i="36" s="1"/>
  <c r="AA30" i="36" s="1"/>
  <c r="AM30" i="36"/>
  <c r="BF30" i="36" s="1"/>
  <c r="Z30" i="36" s="1"/>
  <c r="AJ30" i="36"/>
  <c r="AS29" i="36" s="1"/>
  <c r="AH30" i="36"/>
  <c r="AF30" i="36"/>
  <c r="AE30" i="36"/>
  <c r="AD30" i="36"/>
  <c r="AC30" i="36"/>
  <c r="AB30" i="36"/>
  <c r="X30" i="36"/>
  <c r="L30" i="36"/>
  <c r="L29" i="36" s="1"/>
  <c r="J30" i="36"/>
  <c r="AI30" i="36" s="1"/>
  <c r="AR29" i="36" s="1"/>
  <c r="I30" i="36"/>
  <c r="BU27" i="36"/>
  <c r="BH27" i="36"/>
  <c r="BB27" i="36"/>
  <c r="AN27" i="36"/>
  <c r="AV27" i="36" s="1"/>
  <c r="AM27" i="36"/>
  <c r="BF27" i="36" s="1"/>
  <c r="Z27" i="36" s="1"/>
  <c r="AJ27" i="36"/>
  <c r="AI27" i="36"/>
  <c r="AH27" i="36"/>
  <c r="AF27" i="36"/>
  <c r="AE27" i="36"/>
  <c r="AD27" i="36"/>
  <c r="AC27" i="36"/>
  <c r="AB27" i="36"/>
  <c r="X27" i="36"/>
  <c r="L27" i="36"/>
  <c r="BD27" i="36" s="1"/>
  <c r="J27" i="36"/>
  <c r="H27" i="36"/>
  <c r="BU25" i="36"/>
  <c r="BH25" i="36"/>
  <c r="BB25" i="36"/>
  <c r="AN25" i="36"/>
  <c r="BG25" i="36" s="1"/>
  <c r="AA25" i="36" s="1"/>
  <c r="AM25" i="36"/>
  <c r="AU25" i="36" s="1"/>
  <c r="AJ25" i="36"/>
  <c r="AH25" i="36"/>
  <c r="AF25" i="36"/>
  <c r="AE25" i="36"/>
  <c r="AD25" i="36"/>
  <c r="AC25" i="36"/>
  <c r="AB25" i="36"/>
  <c r="X25" i="36"/>
  <c r="L25" i="36"/>
  <c r="BD25" i="36" s="1"/>
  <c r="J25" i="36"/>
  <c r="AI25" i="36" s="1"/>
  <c r="BU23" i="36"/>
  <c r="BH23" i="36"/>
  <c r="BD23" i="36"/>
  <c r="BB23" i="36"/>
  <c r="AV23" i="36"/>
  <c r="AU23" i="36"/>
  <c r="AN23" i="36"/>
  <c r="BG23" i="36" s="1"/>
  <c r="AA23" i="36" s="1"/>
  <c r="AM23" i="36"/>
  <c r="H23" i="36" s="1"/>
  <c r="AJ23" i="36"/>
  <c r="AH23" i="36"/>
  <c r="AF23" i="36"/>
  <c r="AE23" i="36"/>
  <c r="AD23" i="36"/>
  <c r="AC23" i="36"/>
  <c r="AB23" i="36"/>
  <c r="X23" i="36"/>
  <c r="L23" i="36"/>
  <c r="J23" i="36"/>
  <c r="AI23" i="36" s="1"/>
  <c r="I23" i="36"/>
  <c r="BU21" i="36"/>
  <c r="BH21" i="36"/>
  <c r="BD21" i="36"/>
  <c r="BB21" i="36"/>
  <c r="AN21" i="36"/>
  <c r="BG21" i="36" s="1"/>
  <c r="AA21" i="36" s="1"/>
  <c r="AM21" i="36"/>
  <c r="BF21" i="36" s="1"/>
  <c r="Z21" i="36" s="1"/>
  <c r="AJ21" i="36"/>
  <c r="AH21" i="36"/>
  <c r="AQ12" i="36" s="1"/>
  <c r="AF21" i="36"/>
  <c r="AE21" i="36"/>
  <c r="AD21" i="36"/>
  <c r="AC21" i="36"/>
  <c r="AB21" i="36"/>
  <c r="X21" i="36"/>
  <c r="L21" i="36"/>
  <c r="J21" i="36"/>
  <c r="AI21" i="36" s="1"/>
  <c r="BU19" i="36"/>
  <c r="BH19" i="36"/>
  <c r="BB19" i="36"/>
  <c r="AN19" i="36"/>
  <c r="AV19" i="36" s="1"/>
  <c r="AM19" i="36"/>
  <c r="BF19" i="36" s="1"/>
  <c r="Z19" i="36" s="1"/>
  <c r="AJ19" i="36"/>
  <c r="AI19" i="36"/>
  <c r="AH19" i="36"/>
  <c r="AF19" i="36"/>
  <c r="AE19" i="36"/>
  <c r="AD19" i="36"/>
  <c r="AC19" i="36"/>
  <c r="AB19" i="36"/>
  <c r="X19" i="36"/>
  <c r="L19" i="36"/>
  <c r="BD19" i="36" s="1"/>
  <c r="J19" i="36"/>
  <c r="H19" i="36"/>
  <c r="BU17" i="36"/>
  <c r="BH17" i="36"/>
  <c r="BB17" i="36"/>
  <c r="AN17" i="36"/>
  <c r="I17" i="36" s="1"/>
  <c r="AM17" i="36"/>
  <c r="AU17" i="36" s="1"/>
  <c r="AJ17" i="36"/>
  <c r="AH17" i="36"/>
  <c r="AF17" i="36"/>
  <c r="AE17" i="36"/>
  <c r="AD17" i="36"/>
  <c r="AC17" i="36"/>
  <c r="AB17" i="36"/>
  <c r="X17" i="36"/>
  <c r="L17" i="36"/>
  <c r="BD17" i="36" s="1"/>
  <c r="J17" i="36"/>
  <c r="AI17" i="36" s="1"/>
  <c r="BU15" i="36"/>
  <c r="BH15" i="36"/>
  <c r="BD15" i="36"/>
  <c r="BB15" i="36"/>
  <c r="AV15" i="36"/>
  <c r="AU15" i="36"/>
  <c r="AN15" i="36"/>
  <c r="BG15" i="36" s="1"/>
  <c r="AA15" i="36" s="1"/>
  <c r="AM15" i="36"/>
  <c r="H15" i="36" s="1"/>
  <c r="AJ15" i="36"/>
  <c r="AH15" i="36"/>
  <c r="AF15" i="36"/>
  <c r="AE15" i="36"/>
  <c r="AD15" i="36"/>
  <c r="AC15" i="36"/>
  <c r="AB15" i="36"/>
  <c r="X15" i="36"/>
  <c r="L15" i="36"/>
  <c r="L12" i="36" s="1"/>
  <c r="J15" i="36"/>
  <c r="AI15" i="36" s="1"/>
  <c r="I15" i="36"/>
  <c r="BU13" i="36"/>
  <c r="BH13" i="36"/>
  <c r="BD13" i="36"/>
  <c r="BB13" i="36"/>
  <c r="AN13" i="36"/>
  <c r="BG13" i="36" s="1"/>
  <c r="AA13" i="36" s="1"/>
  <c r="AM13" i="36"/>
  <c r="BF13" i="36" s="1"/>
  <c r="Z13" i="36" s="1"/>
  <c r="AJ13" i="36"/>
  <c r="AH13" i="36"/>
  <c r="AF13" i="36"/>
  <c r="AE13" i="36"/>
  <c r="AD13" i="36"/>
  <c r="AC13" i="36"/>
  <c r="AB13" i="36"/>
  <c r="X13" i="36"/>
  <c r="L13" i="36"/>
  <c r="J13" i="36"/>
  <c r="I13" i="36"/>
  <c r="H13" i="36"/>
  <c r="AS1" i="36"/>
  <c r="AR1" i="36"/>
  <c r="AQ1" i="36"/>
  <c r="BU209" i="35"/>
  <c r="BH209" i="35"/>
  <c r="AF209" i="35" s="1"/>
  <c r="BB209" i="35"/>
  <c r="AN209" i="35"/>
  <c r="AM209" i="35"/>
  <c r="BF209" i="35" s="1"/>
  <c r="AI209" i="35"/>
  <c r="AH209" i="35"/>
  <c r="AE209" i="35"/>
  <c r="AD209" i="35"/>
  <c r="AC209" i="35"/>
  <c r="AB209" i="35"/>
  <c r="AA209" i="35"/>
  <c r="Z209" i="35"/>
  <c r="X209" i="35"/>
  <c r="L209" i="35"/>
  <c r="BD209" i="35" s="1"/>
  <c r="J209" i="35"/>
  <c r="AJ209" i="35" s="1"/>
  <c r="BU207" i="35"/>
  <c r="BH207" i="35"/>
  <c r="AF207" i="35" s="1"/>
  <c r="BB207" i="35"/>
  <c r="AN207" i="35"/>
  <c r="BG207" i="35" s="1"/>
  <c r="AM207" i="35"/>
  <c r="AI207" i="35"/>
  <c r="AH207" i="35"/>
  <c r="AE207" i="35"/>
  <c r="AD207" i="35"/>
  <c r="AC207" i="35"/>
  <c r="AB207" i="35"/>
  <c r="AA207" i="35"/>
  <c r="Z207" i="35"/>
  <c r="X207" i="35"/>
  <c r="L207" i="35"/>
  <c r="BD207" i="35" s="1"/>
  <c r="J207" i="35"/>
  <c r="AJ207" i="35" s="1"/>
  <c r="I207" i="35"/>
  <c r="BU205" i="35"/>
  <c r="BH205" i="35"/>
  <c r="BD205" i="35"/>
  <c r="BB205" i="35"/>
  <c r="AN205" i="35"/>
  <c r="BG205" i="35" s="1"/>
  <c r="AM205" i="35"/>
  <c r="BF205" i="35" s="1"/>
  <c r="AI205" i="35"/>
  <c r="AH205" i="35"/>
  <c r="AF205" i="35"/>
  <c r="AE205" i="35"/>
  <c r="AD205" i="35"/>
  <c r="AC205" i="35"/>
  <c r="AB205" i="35"/>
  <c r="AA205" i="35"/>
  <c r="Z205" i="35"/>
  <c r="X205" i="35"/>
  <c r="L205" i="35"/>
  <c r="J205" i="35"/>
  <c r="AJ205" i="35" s="1"/>
  <c r="I205" i="35"/>
  <c r="BU203" i="35"/>
  <c r="BH203" i="35"/>
  <c r="AF203" i="35" s="1"/>
  <c r="BB203" i="35"/>
  <c r="AN203" i="35"/>
  <c r="BG203" i="35" s="1"/>
  <c r="AM203" i="35"/>
  <c r="BF203" i="35" s="1"/>
  <c r="AI203" i="35"/>
  <c r="AH203" i="35"/>
  <c r="AE203" i="35"/>
  <c r="AD203" i="35"/>
  <c r="AC203" i="35"/>
  <c r="AB203" i="35"/>
  <c r="AA203" i="35"/>
  <c r="Z203" i="35"/>
  <c r="X203" i="35"/>
  <c r="L203" i="35"/>
  <c r="BD203" i="35" s="1"/>
  <c r="J203" i="35"/>
  <c r="AJ203" i="35" s="1"/>
  <c r="I203" i="35"/>
  <c r="H203" i="35"/>
  <c r="BU202" i="35"/>
  <c r="BH202" i="35"/>
  <c r="AF202" i="35" s="1"/>
  <c r="BB202" i="35"/>
  <c r="AU202" i="35"/>
  <c r="AN202" i="35"/>
  <c r="AM202" i="35"/>
  <c r="BF202" i="35" s="1"/>
  <c r="AI202" i="35"/>
  <c r="AH202" i="35"/>
  <c r="AE202" i="35"/>
  <c r="AD202" i="35"/>
  <c r="AC202" i="35"/>
  <c r="AB202" i="35"/>
  <c r="AA202" i="35"/>
  <c r="Z202" i="35"/>
  <c r="X202" i="35"/>
  <c r="L202" i="35"/>
  <c r="BD202" i="35" s="1"/>
  <c r="J202" i="35"/>
  <c r="AJ202" i="35" s="1"/>
  <c r="H202" i="35"/>
  <c r="BU201" i="35"/>
  <c r="BH201" i="35"/>
  <c r="BB201" i="35"/>
  <c r="AN201" i="35"/>
  <c r="BG201" i="35" s="1"/>
  <c r="AM201" i="35"/>
  <c r="AI201" i="35"/>
  <c r="AH201" i="35"/>
  <c r="AF201" i="35"/>
  <c r="AE201" i="35"/>
  <c r="AD201" i="35"/>
  <c r="AC201" i="35"/>
  <c r="AB201" i="35"/>
  <c r="AA201" i="35"/>
  <c r="Z201" i="35"/>
  <c r="X201" i="35"/>
  <c r="L201" i="35"/>
  <c r="BD201" i="35" s="1"/>
  <c r="J201" i="35"/>
  <c r="AJ201" i="35" s="1"/>
  <c r="BU200" i="35"/>
  <c r="BH200" i="35"/>
  <c r="BD200" i="35"/>
  <c r="BB200" i="35"/>
  <c r="AU200" i="35"/>
  <c r="AN200" i="35"/>
  <c r="I200" i="35" s="1"/>
  <c r="AM200" i="35"/>
  <c r="BF200" i="35" s="1"/>
  <c r="AI200" i="35"/>
  <c r="AH200" i="35"/>
  <c r="AF200" i="35"/>
  <c r="AE200" i="35"/>
  <c r="AD200" i="35"/>
  <c r="AC200" i="35"/>
  <c r="AB200" i="35"/>
  <c r="AA200" i="35"/>
  <c r="Z200" i="35"/>
  <c r="X200" i="35"/>
  <c r="L200" i="35"/>
  <c r="J200" i="35"/>
  <c r="AJ200" i="35" s="1"/>
  <c r="H200" i="35"/>
  <c r="BU199" i="35"/>
  <c r="BH199" i="35"/>
  <c r="AF199" i="35" s="1"/>
  <c r="BB199" i="35"/>
  <c r="AN199" i="35"/>
  <c r="BG199" i="35" s="1"/>
  <c r="AM199" i="35"/>
  <c r="H199" i="35" s="1"/>
  <c r="AI199" i="35"/>
  <c r="AH199" i="35"/>
  <c r="AE199" i="35"/>
  <c r="AD199" i="35"/>
  <c r="AC199" i="35"/>
  <c r="AB199" i="35"/>
  <c r="AA199" i="35"/>
  <c r="Z199" i="35"/>
  <c r="X199" i="35"/>
  <c r="L199" i="35"/>
  <c r="BD199" i="35" s="1"/>
  <c r="J199" i="35"/>
  <c r="AJ199" i="35" s="1"/>
  <c r="I199" i="35"/>
  <c r="BU198" i="35"/>
  <c r="BH198" i="35"/>
  <c r="AF198" i="35" s="1"/>
  <c r="BB198" i="35"/>
  <c r="AU198" i="35"/>
  <c r="AN198" i="35"/>
  <c r="AM198" i="35"/>
  <c r="BF198" i="35" s="1"/>
  <c r="AI198" i="35"/>
  <c r="AH198" i="35"/>
  <c r="AE198" i="35"/>
  <c r="AD198" i="35"/>
  <c r="AC198" i="35"/>
  <c r="AB198" i="35"/>
  <c r="AA198" i="35"/>
  <c r="Z198" i="35"/>
  <c r="X198" i="35"/>
  <c r="L198" i="35"/>
  <c r="BD198" i="35" s="1"/>
  <c r="J198" i="35"/>
  <c r="AJ198" i="35" s="1"/>
  <c r="H198" i="35"/>
  <c r="BU196" i="35"/>
  <c r="BH196" i="35"/>
  <c r="BB196" i="35"/>
  <c r="AN196" i="35"/>
  <c r="BG196" i="35" s="1"/>
  <c r="AM196" i="35"/>
  <c r="AI196" i="35"/>
  <c r="AH196" i="35"/>
  <c r="AF196" i="35"/>
  <c r="AE196" i="35"/>
  <c r="AD196" i="35"/>
  <c r="AC196" i="35"/>
  <c r="AB196" i="35"/>
  <c r="AA196" i="35"/>
  <c r="Z196" i="35"/>
  <c r="X196" i="35"/>
  <c r="L196" i="35"/>
  <c r="BD196" i="35" s="1"/>
  <c r="J196" i="35"/>
  <c r="AJ196" i="35" s="1"/>
  <c r="BU194" i="35"/>
  <c r="BH194" i="35"/>
  <c r="BD194" i="35"/>
  <c r="BB194" i="35"/>
  <c r="AU194" i="35"/>
  <c r="AN194" i="35"/>
  <c r="BG194" i="35" s="1"/>
  <c r="AM194" i="35"/>
  <c r="BF194" i="35" s="1"/>
  <c r="AI194" i="35"/>
  <c r="AH194" i="35"/>
  <c r="AF194" i="35"/>
  <c r="AE194" i="35"/>
  <c r="AD194" i="35"/>
  <c r="AC194" i="35"/>
  <c r="AB194" i="35"/>
  <c r="AA194" i="35"/>
  <c r="Z194" i="35"/>
  <c r="X194" i="35"/>
  <c r="L194" i="35"/>
  <c r="J194" i="35"/>
  <c r="AJ194" i="35" s="1"/>
  <c r="H194" i="35"/>
  <c r="BU192" i="35"/>
  <c r="BH192" i="35"/>
  <c r="AF192" i="35" s="1"/>
  <c r="BB192" i="35"/>
  <c r="AN192" i="35"/>
  <c r="BG192" i="35" s="1"/>
  <c r="AM192" i="35"/>
  <c r="BF192" i="35" s="1"/>
  <c r="AI192" i="35"/>
  <c r="AH192" i="35"/>
  <c r="AE192" i="35"/>
  <c r="AD192" i="35"/>
  <c r="AC192" i="35"/>
  <c r="AB192" i="35"/>
  <c r="AA192" i="35"/>
  <c r="Z192" i="35"/>
  <c r="X192" i="35"/>
  <c r="L192" i="35"/>
  <c r="BD192" i="35" s="1"/>
  <c r="J192" i="35"/>
  <c r="AJ192" i="35" s="1"/>
  <c r="H192" i="35"/>
  <c r="BU190" i="35"/>
  <c r="BH190" i="35"/>
  <c r="AF190" i="35" s="1"/>
  <c r="BB190" i="35"/>
  <c r="AN190" i="35"/>
  <c r="AM190" i="35"/>
  <c r="BF190" i="35" s="1"/>
  <c r="AI190" i="35"/>
  <c r="AH190" i="35"/>
  <c r="AE190" i="35"/>
  <c r="AD190" i="35"/>
  <c r="AC190" i="35"/>
  <c r="AB190" i="35"/>
  <c r="AA190" i="35"/>
  <c r="Z190" i="35"/>
  <c r="X190" i="35"/>
  <c r="L190" i="35"/>
  <c r="BD190" i="35" s="1"/>
  <c r="J190" i="35"/>
  <c r="AJ190" i="35" s="1"/>
  <c r="BU188" i="35"/>
  <c r="BH188" i="35"/>
  <c r="AF188" i="35" s="1"/>
  <c r="BB188" i="35"/>
  <c r="AN188" i="35"/>
  <c r="BG188" i="35" s="1"/>
  <c r="AM188" i="35"/>
  <c r="AI188" i="35"/>
  <c r="AH188" i="35"/>
  <c r="AE188" i="35"/>
  <c r="AD188" i="35"/>
  <c r="AC188" i="35"/>
  <c r="AB188" i="35"/>
  <c r="AA188" i="35"/>
  <c r="Z188" i="35"/>
  <c r="X188" i="35"/>
  <c r="L188" i="35"/>
  <c r="BD188" i="35" s="1"/>
  <c r="J188" i="35"/>
  <c r="AJ188" i="35" s="1"/>
  <c r="I188" i="35"/>
  <c r="BU186" i="35"/>
  <c r="BH186" i="35"/>
  <c r="BD186" i="35"/>
  <c r="BB186" i="35"/>
  <c r="AN186" i="35"/>
  <c r="BG186" i="35" s="1"/>
  <c r="AM186" i="35"/>
  <c r="BF186" i="35" s="1"/>
  <c r="AI186" i="35"/>
  <c r="AH186" i="35"/>
  <c r="AF186" i="35"/>
  <c r="AE186" i="35"/>
  <c r="AD186" i="35"/>
  <c r="AC186" i="35"/>
  <c r="AB186" i="35"/>
  <c r="AA186" i="35"/>
  <c r="Z186" i="35"/>
  <c r="X186" i="35"/>
  <c r="L186" i="35"/>
  <c r="J186" i="35"/>
  <c r="AJ186" i="35" s="1"/>
  <c r="I186" i="35"/>
  <c r="BU184" i="35"/>
  <c r="BH184" i="35"/>
  <c r="AF184" i="35" s="1"/>
  <c r="BB184" i="35"/>
  <c r="AN184" i="35"/>
  <c r="BG184" i="35" s="1"/>
  <c r="AM184" i="35"/>
  <c r="BF184" i="35" s="1"/>
  <c r="AI184" i="35"/>
  <c r="AR177" i="35" s="1"/>
  <c r="AH184" i="35"/>
  <c r="AE184" i="35"/>
  <c r="AD184" i="35"/>
  <c r="AC184" i="35"/>
  <c r="AB184" i="35"/>
  <c r="AA184" i="35"/>
  <c r="Z184" i="35"/>
  <c r="X184" i="35"/>
  <c r="L184" i="35"/>
  <c r="BD184" i="35" s="1"/>
  <c r="J184" i="35"/>
  <c r="AJ184" i="35" s="1"/>
  <c r="I184" i="35"/>
  <c r="H184" i="35"/>
  <c r="BU182" i="35"/>
  <c r="BH182" i="35"/>
  <c r="BB182" i="35"/>
  <c r="AN182" i="35"/>
  <c r="BG182" i="35" s="1"/>
  <c r="AM182" i="35"/>
  <c r="BF182" i="35" s="1"/>
  <c r="AI182" i="35"/>
  <c r="AH182" i="35"/>
  <c r="AF182" i="35"/>
  <c r="AE182" i="35"/>
  <c r="AD182" i="35"/>
  <c r="AC182" i="35"/>
  <c r="AB182" i="35"/>
  <c r="AA182" i="35"/>
  <c r="Z182" i="35"/>
  <c r="X182" i="35"/>
  <c r="L182" i="35"/>
  <c r="BD182" i="35" s="1"/>
  <c r="J182" i="35"/>
  <c r="AJ182" i="35" s="1"/>
  <c r="H182" i="35"/>
  <c r="BU180" i="35"/>
  <c r="BH180" i="35"/>
  <c r="AF180" i="35" s="1"/>
  <c r="BB180" i="35"/>
  <c r="AN180" i="35"/>
  <c r="BG180" i="35" s="1"/>
  <c r="AM180" i="35"/>
  <c r="AI180" i="35"/>
  <c r="AH180" i="35"/>
  <c r="AE180" i="35"/>
  <c r="AD180" i="35"/>
  <c r="AC180" i="35"/>
  <c r="AB180" i="35"/>
  <c r="AA180" i="35"/>
  <c r="Z180" i="35"/>
  <c r="X180" i="35"/>
  <c r="L180" i="35"/>
  <c r="J180" i="35"/>
  <c r="AJ180" i="35" s="1"/>
  <c r="BU178" i="35"/>
  <c r="BH178" i="35"/>
  <c r="AF178" i="35" s="1"/>
  <c r="BD178" i="35"/>
  <c r="BB178" i="35"/>
  <c r="AN178" i="35"/>
  <c r="BG178" i="35" s="1"/>
  <c r="AM178" i="35"/>
  <c r="BF178" i="35" s="1"/>
  <c r="AI178" i="35"/>
  <c r="AH178" i="35"/>
  <c r="AE178" i="35"/>
  <c r="AD178" i="35"/>
  <c r="AC178" i="35"/>
  <c r="AB178" i="35"/>
  <c r="AA178" i="35"/>
  <c r="Z178" i="35"/>
  <c r="X178" i="35"/>
  <c r="L178" i="35"/>
  <c r="J178" i="35"/>
  <c r="I178" i="35"/>
  <c r="BU175" i="35"/>
  <c r="BH175" i="35"/>
  <c r="BB175" i="35"/>
  <c r="AN175" i="35"/>
  <c r="BG175" i="35" s="1"/>
  <c r="AE175" i="35" s="1"/>
  <c r="AM175" i="35"/>
  <c r="BF175" i="35" s="1"/>
  <c r="AD175" i="35" s="1"/>
  <c r="AI175" i="35"/>
  <c r="AH175" i="35"/>
  <c r="AF175" i="35"/>
  <c r="AC175" i="35"/>
  <c r="AB175" i="35"/>
  <c r="AA175" i="35"/>
  <c r="Z175" i="35"/>
  <c r="X175" i="35"/>
  <c r="L175" i="35"/>
  <c r="BD175" i="35" s="1"/>
  <c r="J175" i="35"/>
  <c r="AJ175" i="35" s="1"/>
  <c r="BU173" i="35"/>
  <c r="BH173" i="35"/>
  <c r="BB173" i="35"/>
  <c r="AN173" i="35"/>
  <c r="BG173" i="35" s="1"/>
  <c r="AE173" i="35" s="1"/>
  <c r="AM173" i="35"/>
  <c r="AI173" i="35"/>
  <c r="AH173" i="35"/>
  <c r="AF173" i="35"/>
  <c r="AC173" i="35"/>
  <c r="AB173" i="35"/>
  <c r="AA173" i="35"/>
  <c r="Z173" i="35"/>
  <c r="X173" i="35"/>
  <c r="L173" i="35"/>
  <c r="J173" i="35"/>
  <c r="AJ173" i="35" s="1"/>
  <c r="I173" i="35"/>
  <c r="BU171" i="35"/>
  <c r="BH171" i="35"/>
  <c r="BD171" i="35"/>
  <c r="BB171" i="35"/>
  <c r="AN171" i="35"/>
  <c r="BG171" i="35" s="1"/>
  <c r="AM171" i="35"/>
  <c r="BF171" i="35" s="1"/>
  <c r="AD171" i="35" s="1"/>
  <c r="AJ171" i="35"/>
  <c r="AS170" i="35" s="1"/>
  <c r="AI171" i="35"/>
  <c r="AH171" i="35"/>
  <c r="AF171" i="35"/>
  <c r="AE171" i="35"/>
  <c r="AC171" i="35"/>
  <c r="AB171" i="35"/>
  <c r="AA171" i="35"/>
  <c r="Z171" i="35"/>
  <c r="X171" i="35"/>
  <c r="L171" i="35"/>
  <c r="J171" i="35"/>
  <c r="J170" i="35" s="1"/>
  <c r="I171" i="35"/>
  <c r="AR170" i="35"/>
  <c r="BU168" i="35"/>
  <c r="BH168" i="35"/>
  <c r="BB168" i="35"/>
  <c r="AN168" i="35"/>
  <c r="BG168" i="35" s="1"/>
  <c r="AE168" i="35" s="1"/>
  <c r="AM168" i="35"/>
  <c r="BF168" i="35" s="1"/>
  <c r="AD168" i="35" s="1"/>
  <c r="AI168" i="35"/>
  <c r="AH168" i="35"/>
  <c r="AQ167" i="35" s="1"/>
  <c r="AF168" i="35"/>
  <c r="AC168" i="35"/>
  <c r="AB168" i="35"/>
  <c r="AA168" i="35"/>
  <c r="Z168" i="35"/>
  <c r="X168" i="35"/>
  <c r="L168" i="35"/>
  <c r="BD168" i="35" s="1"/>
  <c r="J168" i="35"/>
  <c r="AJ168" i="35" s="1"/>
  <c r="AS167" i="35" s="1"/>
  <c r="AR167" i="35"/>
  <c r="L167" i="35"/>
  <c r="J167" i="35"/>
  <c r="BU166" i="35"/>
  <c r="BH166" i="35"/>
  <c r="X166" i="35" s="1"/>
  <c r="BD166" i="35"/>
  <c r="BB166" i="35"/>
  <c r="AU166" i="35"/>
  <c r="AN166" i="35"/>
  <c r="BG166" i="35" s="1"/>
  <c r="AM166" i="35"/>
  <c r="BF166" i="35" s="1"/>
  <c r="AI166" i="35"/>
  <c r="AH166" i="35"/>
  <c r="AQ165" i="35" s="1"/>
  <c r="AF166" i="35"/>
  <c r="AE166" i="35"/>
  <c r="AD166" i="35"/>
  <c r="AC166" i="35"/>
  <c r="AB166" i="35"/>
  <c r="AA166" i="35"/>
  <c r="Z166" i="35"/>
  <c r="L166" i="35"/>
  <c r="J166" i="35"/>
  <c r="J165" i="35" s="1"/>
  <c r="H166" i="35"/>
  <c r="AR165" i="35"/>
  <c r="L165" i="35"/>
  <c r="H165" i="35"/>
  <c r="BU164" i="35"/>
  <c r="BH164" i="35"/>
  <c r="BG164" i="35"/>
  <c r="BB164" i="35"/>
  <c r="AN164" i="35"/>
  <c r="AM164" i="35"/>
  <c r="BF164" i="35" s="1"/>
  <c r="AI164" i="35"/>
  <c r="AH164" i="35"/>
  <c r="AQ163" i="35" s="1"/>
  <c r="AF164" i="35"/>
  <c r="AE164" i="35"/>
  <c r="AD164" i="35"/>
  <c r="AC164" i="35"/>
  <c r="AB164" i="35"/>
  <c r="AA164" i="35"/>
  <c r="Z164" i="35"/>
  <c r="X164" i="35"/>
  <c r="L164" i="35"/>
  <c r="BD164" i="35" s="1"/>
  <c r="J164" i="35"/>
  <c r="AJ164" i="35" s="1"/>
  <c r="AS163" i="35" s="1"/>
  <c r="H164" i="35"/>
  <c r="H163" i="35" s="1"/>
  <c r="AR163" i="35"/>
  <c r="L163" i="35"/>
  <c r="J163" i="35"/>
  <c r="BU162" i="35"/>
  <c r="BH162" i="35"/>
  <c r="X162" i="35" s="1"/>
  <c r="BD162" i="35"/>
  <c r="BB162" i="35"/>
  <c r="AU162" i="35"/>
  <c r="AN162" i="35"/>
  <c r="BG162" i="35" s="1"/>
  <c r="AM162" i="35"/>
  <c r="BF162" i="35" s="1"/>
  <c r="AI162" i="35"/>
  <c r="AH162" i="35"/>
  <c r="AF162" i="35"/>
  <c r="AE162" i="35"/>
  <c r="AD162" i="35"/>
  <c r="AC162" i="35"/>
  <c r="AB162" i="35"/>
  <c r="AA162" i="35"/>
  <c r="Z162" i="35"/>
  <c r="L162" i="35"/>
  <c r="J162" i="35"/>
  <c r="AJ162" i="35" s="1"/>
  <c r="H162" i="35"/>
  <c r="BU161" i="35"/>
  <c r="BH161" i="35"/>
  <c r="BB161" i="35"/>
  <c r="AN161" i="35"/>
  <c r="AV161" i="35" s="1"/>
  <c r="AM161" i="35"/>
  <c r="AU161" i="35" s="1"/>
  <c r="AI161" i="35"/>
  <c r="AH161" i="35"/>
  <c r="AF161" i="35"/>
  <c r="AE161" i="35"/>
  <c r="AD161" i="35"/>
  <c r="AC161" i="35"/>
  <c r="AB161" i="35"/>
  <c r="AA161" i="35"/>
  <c r="Z161" i="35"/>
  <c r="X161" i="35"/>
  <c r="L161" i="35"/>
  <c r="BD161" i="35" s="1"/>
  <c r="J161" i="35"/>
  <c r="AJ161" i="35" s="1"/>
  <c r="L160" i="35"/>
  <c r="J160" i="35"/>
  <c r="BU159" i="35"/>
  <c r="BH159" i="35"/>
  <c r="X159" i="35" s="1"/>
  <c r="BB159" i="35"/>
  <c r="AN159" i="35"/>
  <c r="BG159" i="35" s="1"/>
  <c r="AM159" i="35"/>
  <c r="H159" i="35" s="1"/>
  <c r="AI159" i="35"/>
  <c r="AH159" i="35"/>
  <c r="AF159" i="35"/>
  <c r="AE159" i="35"/>
  <c r="AD159" i="35"/>
  <c r="AC159" i="35"/>
  <c r="AB159" i="35"/>
  <c r="AA159" i="35"/>
  <c r="Z159" i="35"/>
  <c r="L159" i="35"/>
  <c r="BD159" i="35" s="1"/>
  <c r="J159" i="35"/>
  <c r="AJ159" i="35" s="1"/>
  <c r="BU157" i="35"/>
  <c r="BH157" i="35"/>
  <c r="BG157" i="35"/>
  <c r="BD157" i="35"/>
  <c r="BB157" i="35"/>
  <c r="AV157" i="35"/>
  <c r="AU157" i="35"/>
  <c r="AN157" i="35"/>
  <c r="I157" i="35" s="1"/>
  <c r="AM157" i="35"/>
  <c r="BF157" i="35" s="1"/>
  <c r="AI157" i="35"/>
  <c r="AH157" i="35"/>
  <c r="AF157" i="35"/>
  <c r="AE157" i="35"/>
  <c r="AD157" i="35"/>
  <c r="AC157" i="35"/>
  <c r="AB157" i="35"/>
  <c r="AA157" i="35"/>
  <c r="Z157" i="35"/>
  <c r="X157" i="35"/>
  <c r="L157" i="35"/>
  <c r="J157" i="35"/>
  <c r="AJ157" i="35" s="1"/>
  <c r="BU155" i="35"/>
  <c r="BH155" i="35"/>
  <c r="X155" i="35" s="1"/>
  <c r="BD155" i="35"/>
  <c r="BB155" i="35"/>
  <c r="AV155" i="35"/>
  <c r="AU155" i="35"/>
  <c r="BA155" i="35" s="1"/>
  <c r="AN155" i="35"/>
  <c r="BG155" i="35" s="1"/>
  <c r="AM155" i="35"/>
  <c r="H155" i="35" s="1"/>
  <c r="AI155" i="35"/>
  <c r="AH155" i="35"/>
  <c r="AF155" i="35"/>
  <c r="AE155" i="35"/>
  <c r="AD155" i="35"/>
  <c r="AC155" i="35"/>
  <c r="AB155" i="35"/>
  <c r="AA155" i="35"/>
  <c r="Z155" i="35"/>
  <c r="L155" i="35"/>
  <c r="J155" i="35"/>
  <c r="AJ155" i="35" s="1"/>
  <c r="I155" i="35"/>
  <c r="BU154" i="35"/>
  <c r="BH154" i="35"/>
  <c r="BD154" i="35"/>
  <c r="BB154" i="35"/>
  <c r="AU154" i="35"/>
  <c r="AN154" i="35"/>
  <c r="AM154" i="35"/>
  <c r="BF154" i="35" s="1"/>
  <c r="AI154" i="35"/>
  <c r="AH154" i="35"/>
  <c r="AQ153" i="35" s="1"/>
  <c r="AF154" i="35"/>
  <c r="AE154" i="35"/>
  <c r="AD154" i="35"/>
  <c r="AC154" i="35"/>
  <c r="AB154" i="35"/>
  <c r="AA154" i="35"/>
  <c r="Z154" i="35"/>
  <c r="X154" i="35"/>
  <c r="L154" i="35"/>
  <c r="J154" i="35"/>
  <c r="H154" i="35"/>
  <c r="L153" i="35"/>
  <c r="BU151" i="35"/>
  <c r="BH151" i="35"/>
  <c r="BD151" i="35"/>
  <c r="BB151" i="35"/>
  <c r="AN151" i="35"/>
  <c r="I151" i="35" s="1"/>
  <c r="I150" i="35" s="1"/>
  <c r="AM151" i="35"/>
  <c r="H151" i="35" s="1"/>
  <c r="H150" i="35" s="1"/>
  <c r="AI151" i="35"/>
  <c r="AH151" i="35"/>
  <c r="AQ150" i="35" s="1"/>
  <c r="AF151" i="35"/>
  <c r="AE151" i="35"/>
  <c r="AD151" i="35"/>
  <c r="AC151" i="35"/>
  <c r="AB151" i="35"/>
  <c r="X151" i="35"/>
  <c r="L151" i="35"/>
  <c r="L150" i="35" s="1"/>
  <c r="J151" i="35"/>
  <c r="J150" i="35" s="1"/>
  <c r="AR150" i="35"/>
  <c r="BU148" i="35"/>
  <c r="BH148" i="35"/>
  <c r="BD148" i="35"/>
  <c r="BB148" i="35"/>
  <c r="AN148" i="35"/>
  <c r="AM148" i="35"/>
  <c r="BF148" i="35" s="1"/>
  <c r="Z148" i="35" s="1"/>
  <c r="AI148" i="35"/>
  <c r="AR147" i="35" s="1"/>
  <c r="AH148" i="35"/>
  <c r="AQ147" i="35" s="1"/>
  <c r="AF148" i="35"/>
  <c r="AE148" i="35"/>
  <c r="AD148" i="35"/>
  <c r="AC148" i="35"/>
  <c r="AB148" i="35"/>
  <c r="X148" i="35"/>
  <c r="L148" i="35"/>
  <c r="J148" i="35"/>
  <c r="J147" i="35" s="1"/>
  <c r="L147" i="35"/>
  <c r="BU145" i="35"/>
  <c r="BH145" i="35"/>
  <c r="BD145" i="35"/>
  <c r="BB145" i="35"/>
  <c r="AN145" i="35"/>
  <c r="I145" i="35" s="1"/>
  <c r="AM145" i="35"/>
  <c r="H145" i="35" s="1"/>
  <c r="AI145" i="35"/>
  <c r="AH145" i="35"/>
  <c r="AF145" i="35"/>
  <c r="AE145" i="35"/>
  <c r="AD145" i="35"/>
  <c r="AC145" i="35"/>
  <c r="AB145" i="35"/>
  <c r="X145" i="35"/>
  <c r="L145" i="35"/>
  <c r="J145" i="35"/>
  <c r="AJ145" i="35" s="1"/>
  <c r="BU143" i="35"/>
  <c r="BH143" i="35"/>
  <c r="BD143" i="35"/>
  <c r="BB143" i="35"/>
  <c r="AV143" i="35"/>
  <c r="AN143" i="35"/>
  <c r="BG143" i="35" s="1"/>
  <c r="AA143" i="35" s="1"/>
  <c r="AM143" i="35"/>
  <c r="H143" i="35" s="1"/>
  <c r="AI143" i="35"/>
  <c r="AH143" i="35"/>
  <c r="AF143" i="35"/>
  <c r="AE143" i="35"/>
  <c r="AD143" i="35"/>
  <c r="AC143" i="35"/>
  <c r="AB143" i="35"/>
  <c r="X143" i="35"/>
  <c r="L143" i="35"/>
  <c r="J143" i="35"/>
  <c r="AJ143" i="35" s="1"/>
  <c r="I143" i="35"/>
  <c r="BU141" i="35"/>
  <c r="BH141" i="35"/>
  <c r="BD141" i="35"/>
  <c r="BB141" i="35"/>
  <c r="AU141" i="35"/>
  <c r="AN141" i="35"/>
  <c r="AM141" i="35"/>
  <c r="BF141" i="35" s="1"/>
  <c r="Z141" i="35" s="1"/>
  <c r="AI141" i="35"/>
  <c r="AH141" i="35"/>
  <c r="AF141" i="35"/>
  <c r="AE141" i="35"/>
  <c r="AD141" i="35"/>
  <c r="AC141" i="35"/>
  <c r="AB141" i="35"/>
  <c r="X141" i="35"/>
  <c r="L141" i="35"/>
  <c r="J141" i="35"/>
  <c r="AJ141" i="35" s="1"/>
  <c r="BU139" i="35"/>
  <c r="BH139" i="35"/>
  <c r="BB139" i="35"/>
  <c r="AN139" i="35"/>
  <c r="I139" i="35" s="1"/>
  <c r="AM139" i="35"/>
  <c r="AI139" i="35"/>
  <c r="AH139" i="35"/>
  <c r="AF139" i="35"/>
  <c r="AE139" i="35"/>
  <c r="AD139" i="35"/>
  <c r="AC139" i="35"/>
  <c r="AB139" i="35"/>
  <c r="X139" i="35"/>
  <c r="L139" i="35"/>
  <c r="BD139" i="35" s="1"/>
  <c r="J139" i="35"/>
  <c r="AJ139" i="35" s="1"/>
  <c r="BU137" i="35"/>
  <c r="BH137" i="35"/>
  <c r="BD137" i="35"/>
  <c r="BB137" i="35"/>
  <c r="AU137" i="35"/>
  <c r="AN137" i="35"/>
  <c r="I137" i="35" s="1"/>
  <c r="AM137" i="35"/>
  <c r="H137" i="35" s="1"/>
  <c r="AI137" i="35"/>
  <c r="AH137" i="35"/>
  <c r="AF137" i="35"/>
  <c r="AE137" i="35"/>
  <c r="AD137" i="35"/>
  <c r="AC137" i="35"/>
  <c r="AB137" i="35"/>
  <c r="X137" i="35"/>
  <c r="L137" i="35"/>
  <c r="J137" i="35"/>
  <c r="AJ137" i="35" s="1"/>
  <c r="BU135" i="35"/>
  <c r="BH135" i="35"/>
  <c r="BB135" i="35"/>
  <c r="AV135" i="35"/>
  <c r="AN135" i="35"/>
  <c r="BG135" i="35" s="1"/>
  <c r="AA135" i="35" s="1"/>
  <c r="AM135" i="35"/>
  <c r="H135" i="35" s="1"/>
  <c r="AI135" i="35"/>
  <c r="AH135" i="35"/>
  <c r="AF135" i="35"/>
  <c r="AE135" i="35"/>
  <c r="AD135" i="35"/>
  <c r="AC135" i="35"/>
  <c r="AB135" i="35"/>
  <c r="X135" i="35"/>
  <c r="L135" i="35"/>
  <c r="L134" i="35" s="1"/>
  <c r="J135" i="35"/>
  <c r="I135" i="35"/>
  <c r="AQ134" i="35"/>
  <c r="BU132" i="35"/>
  <c r="BH132" i="35"/>
  <c r="BB132" i="35"/>
  <c r="AV132" i="35"/>
  <c r="AN132" i="35"/>
  <c r="I132" i="35" s="1"/>
  <c r="AM132" i="35"/>
  <c r="AI132" i="35"/>
  <c r="AH132" i="35"/>
  <c r="AF132" i="35"/>
  <c r="AE132" i="35"/>
  <c r="AD132" i="35"/>
  <c r="AC132" i="35"/>
  <c r="AB132" i="35"/>
  <c r="X132" i="35"/>
  <c r="L132" i="35"/>
  <c r="BD132" i="35" s="1"/>
  <c r="J132" i="35"/>
  <c r="AJ132" i="35" s="1"/>
  <c r="BU130" i="35"/>
  <c r="BH130" i="35"/>
  <c r="BD130" i="35"/>
  <c r="BB130" i="35"/>
  <c r="AN130" i="35"/>
  <c r="I130" i="35" s="1"/>
  <c r="AM130" i="35"/>
  <c r="H130" i="35" s="1"/>
  <c r="AI130" i="35"/>
  <c r="AH130" i="35"/>
  <c r="AF130" i="35"/>
  <c r="AE130" i="35"/>
  <c r="AD130" i="35"/>
  <c r="AC130" i="35"/>
  <c r="AB130" i="35"/>
  <c r="X130" i="35"/>
  <c r="L130" i="35"/>
  <c r="J130" i="35"/>
  <c r="AJ130" i="35" s="1"/>
  <c r="BU128" i="35"/>
  <c r="BH128" i="35"/>
  <c r="BB128" i="35"/>
  <c r="AV128" i="35"/>
  <c r="AU128" i="35"/>
  <c r="BA128" i="35" s="1"/>
  <c r="AN128" i="35"/>
  <c r="BG128" i="35" s="1"/>
  <c r="AA128" i="35" s="1"/>
  <c r="AM128" i="35"/>
  <c r="H128" i="35" s="1"/>
  <c r="AI128" i="35"/>
  <c r="AH128" i="35"/>
  <c r="AF128" i="35"/>
  <c r="AE128" i="35"/>
  <c r="AD128" i="35"/>
  <c r="AC128" i="35"/>
  <c r="AB128" i="35"/>
  <c r="X128" i="35"/>
  <c r="L128" i="35"/>
  <c r="BD128" i="35" s="1"/>
  <c r="J128" i="35"/>
  <c r="AJ128" i="35" s="1"/>
  <c r="I128" i="35"/>
  <c r="BU126" i="35"/>
  <c r="BH126" i="35"/>
  <c r="BD126" i="35"/>
  <c r="BB126" i="35"/>
  <c r="AU126" i="35"/>
  <c r="AN126" i="35"/>
  <c r="AM126" i="35"/>
  <c r="BF126" i="35" s="1"/>
  <c r="Z126" i="35" s="1"/>
  <c r="AI126" i="35"/>
  <c r="AH126" i="35"/>
  <c r="AF126" i="35"/>
  <c r="AE126" i="35"/>
  <c r="AD126" i="35"/>
  <c r="AC126" i="35"/>
  <c r="AB126" i="35"/>
  <c r="X126" i="35"/>
  <c r="L126" i="35"/>
  <c r="J126" i="35"/>
  <c r="H126" i="35"/>
  <c r="L125" i="35"/>
  <c r="BU123" i="35"/>
  <c r="BH123" i="35"/>
  <c r="BD123" i="35"/>
  <c r="BB123" i="35"/>
  <c r="AU123" i="35"/>
  <c r="AN123" i="35"/>
  <c r="I123" i="35" s="1"/>
  <c r="I122" i="35" s="1"/>
  <c r="AM123" i="35"/>
  <c r="BF123" i="35" s="1"/>
  <c r="Z123" i="35" s="1"/>
  <c r="AI123" i="35"/>
  <c r="AR122" i="35" s="1"/>
  <c r="AH123" i="35"/>
  <c r="AQ122" i="35" s="1"/>
  <c r="AF123" i="35"/>
  <c r="AE123" i="35"/>
  <c r="AD123" i="35"/>
  <c r="AC123" i="35"/>
  <c r="AB123" i="35"/>
  <c r="X123" i="35"/>
  <c r="L123" i="35"/>
  <c r="L122" i="35" s="1"/>
  <c r="J123" i="35"/>
  <c r="J122" i="35" s="1"/>
  <c r="H123" i="35"/>
  <c r="H122" i="35" s="1"/>
  <c r="BU120" i="35"/>
  <c r="BH120" i="35"/>
  <c r="BD120" i="35"/>
  <c r="BB120" i="35"/>
  <c r="AU120" i="35"/>
  <c r="AN120" i="35"/>
  <c r="AM120" i="35"/>
  <c r="BF120" i="35" s="1"/>
  <c r="AB120" i="35" s="1"/>
  <c r="AI120" i="35"/>
  <c r="AR119" i="35" s="1"/>
  <c r="AH120" i="35"/>
  <c r="AQ119" i="35" s="1"/>
  <c r="AF120" i="35"/>
  <c r="AE120" i="35"/>
  <c r="AD120" i="35"/>
  <c r="AA120" i="35"/>
  <c r="Z120" i="35"/>
  <c r="X120" i="35"/>
  <c r="L120" i="35"/>
  <c r="J120" i="35"/>
  <c r="J119" i="35" s="1"/>
  <c r="L119" i="35"/>
  <c r="BU117" i="35"/>
  <c r="BH117" i="35"/>
  <c r="BD117" i="35"/>
  <c r="BB117" i="35"/>
  <c r="AV117" i="35"/>
  <c r="AN117" i="35"/>
  <c r="I117" i="35" s="1"/>
  <c r="I116" i="35" s="1"/>
  <c r="AM117" i="35"/>
  <c r="BF117" i="35" s="1"/>
  <c r="AB117" i="35" s="1"/>
  <c r="AI117" i="35"/>
  <c r="AR116" i="35" s="1"/>
  <c r="AH117" i="35"/>
  <c r="AQ116" i="35" s="1"/>
  <c r="AF117" i="35"/>
  <c r="AE117" i="35"/>
  <c r="AD117" i="35"/>
  <c r="AA117" i="35"/>
  <c r="Z117" i="35"/>
  <c r="X117" i="35"/>
  <c r="L117" i="35"/>
  <c r="L116" i="35" s="1"/>
  <c r="J117" i="35"/>
  <c r="AJ117" i="35" s="1"/>
  <c r="AS116" i="35" s="1"/>
  <c r="BU114" i="35"/>
  <c r="BH114" i="35"/>
  <c r="BD114" i="35"/>
  <c r="BB114" i="35"/>
  <c r="AN114" i="35"/>
  <c r="AV114" i="35" s="1"/>
  <c r="AM114" i="35"/>
  <c r="BF114" i="35" s="1"/>
  <c r="Z114" i="35" s="1"/>
  <c r="AJ114" i="35"/>
  <c r="AS113" i="35" s="1"/>
  <c r="AI114" i="35"/>
  <c r="AH114" i="35"/>
  <c r="AF114" i="35"/>
  <c r="AE114" i="35"/>
  <c r="AD114" i="35"/>
  <c r="AC114" i="35"/>
  <c r="AB114" i="35"/>
  <c r="X114" i="35"/>
  <c r="L114" i="35"/>
  <c r="J114" i="35"/>
  <c r="J113" i="35" s="1"/>
  <c r="I114" i="35"/>
  <c r="I113" i="35" s="1"/>
  <c r="AR113" i="35"/>
  <c r="AQ113" i="35"/>
  <c r="L113" i="35"/>
  <c r="BU111" i="35"/>
  <c r="BH111" i="35"/>
  <c r="BD111" i="35"/>
  <c r="BB111" i="35"/>
  <c r="AV111" i="35"/>
  <c r="AU111" i="35"/>
  <c r="AN111" i="35"/>
  <c r="BG111" i="35" s="1"/>
  <c r="AA111" i="35" s="1"/>
  <c r="AM111" i="35"/>
  <c r="H111" i="35" s="1"/>
  <c r="AJ111" i="35"/>
  <c r="AI111" i="35"/>
  <c r="AH111" i="35"/>
  <c r="AF111" i="35"/>
  <c r="AE111" i="35"/>
  <c r="AD111" i="35"/>
  <c r="AC111" i="35"/>
  <c r="AB111" i="35"/>
  <c r="X111" i="35"/>
  <c r="L111" i="35"/>
  <c r="J111" i="35"/>
  <c r="I111" i="35"/>
  <c r="BU109" i="35"/>
  <c r="BH109" i="35"/>
  <c r="BD109" i="35"/>
  <c r="BB109" i="35"/>
  <c r="AU109" i="35"/>
  <c r="AN109" i="35"/>
  <c r="BG109" i="35" s="1"/>
  <c r="AA109" i="35" s="1"/>
  <c r="AM109" i="35"/>
  <c r="BF109" i="35" s="1"/>
  <c r="AI109" i="35"/>
  <c r="AH109" i="35"/>
  <c r="AF109" i="35"/>
  <c r="AE109" i="35"/>
  <c r="AD109" i="35"/>
  <c r="AC109" i="35"/>
  <c r="AB109" i="35"/>
  <c r="Z109" i="35"/>
  <c r="X109" i="35"/>
  <c r="L109" i="35"/>
  <c r="J109" i="35"/>
  <c r="AJ109" i="35" s="1"/>
  <c r="H109" i="35"/>
  <c r="BU107" i="35"/>
  <c r="BH107" i="35"/>
  <c r="BB107" i="35"/>
  <c r="AN107" i="35"/>
  <c r="BG107" i="35" s="1"/>
  <c r="AA107" i="35" s="1"/>
  <c r="AM107" i="35"/>
  <c r="BF107" i="35" s="1"/>
  <c r="Z107" i="35" s="1"/>
  <c r="AI107" i="35"/>
  <c r="AH107" i="35"/>
  <c r="AF107" i="35"/>
  <c r="AE107" i="35"/>
  <c r="AD107" i="35"/>
  <c r="AC107" i="35"/>
  <c r="AB107" i="35"/>
  <c r="X107" i="35"/>
  <c r="L107" i="35"/>
  <c r="BD107" i="35" s="1"/>
  <c r="J107" i="35"/>
  <c r="AJ107" i="35" s="1"/>
  <c r="BU105" i="35"/>
  <c r="BH105" i="35"/>
  <c r="BB105" i="35"/>
  <c r="AN105" i="35"/>
  <c r="I105" i="35" s="1"/>
  <c r="AM105" i="35"/>
  <c r="AI105" i="35"/>
  <c r="AH105" i="35"/>
  <c r="AF105" i="35"/>
  <c r="AE105" i="35"/>
  <c r="AD105" i="35"/>
  <c r="AC105" i="35"/>
  <c r="AB105" i="35"/>
  <c r="X105" i="35"/>
  <c r="L105" i="35"/>
  <c r="J105" i="35"/>
  <c r="AJ105" i="35" s="1"/>
  <c r="J104" i="35"/>
  <c r="BU102" i="35"/>
  <c r="BH102" i="35"/>
  <c r="BD102" i="35"/>
  <c r="BB102" i="35"/>
  <c r="AN102" i="35"/>
  <c r="BG102" i="35" s="1"/>
  <c r="AA102" i="35" s="1"/>
  <c r="AM102" i="35"/>
  <c r="BF102" i="35" s="1"/>
  <c r="AI102" i="35"/>
  <c r="AR101" i="35" s="1"/>
  <c r="AH102" i="35"/>
  <c r="AF102" i="35"/>
  <c r="AE102" i="35"/>
  <c r="AD102" i="35"/>
  <c r="AC102" i="35"/>
  <c r="AB102" i="35"/>
  <c r="Z102" i="35"/>
  <c r="X102" i="35"/>
  <c r="L102" i="35"/>
  <c r="J102" i="35"/>
  <c r="J101" i="35" s="1"/>
  <c r="I102" i="35"/>
  <c r="I101" i="35" s="1"/>
  <c r="H102" i="35"/>
  <c r="H101" i="35" s="1"/>
  <c r="AQ101" i="35"/>
  <c r="L101" i="35"/>
  <c r="BU99" i="35"/>
  <c r="BH99" i="35"/>
  <c r="BB99" i="35"/>
  <c r="AN99" i="35"/>
  <c r="BG99" i="35" s="1"/>
  <c r="AA99" i="35" s="1"/>
  <c r="AM99" i="35"/>
  <c r="AI99" i="35"/>
  <c r="AR96" i="35" s="1"/>
  <c r="AH99" i="35"/>
  <c r="AQ96" i="35" s="1"/>
  <c r="AF99" i="35"/>
  <c r="AE99" i="35"/>
  <c r="AD99" i="35"/>
  <c r="AC99" i="35"/>
  <c r="AB99" i="35"/>
  <c r="X99" i="35"/>
  <c r="L99" i="35"/>
  <c r="J99" i="35"/>
  <c r="AJ99" i="35" s="1"/>
  <c r="I99" i="35"/>
  <c r="I96" i="35" s="1"/>
  <c r="BU97" i="35"/>
  <c r="BH97" i="35"/>
  <c r="BD97" i="35"/>
  <c r="BB97" i="35"/>
  <c r="AN97" i="35"/>
  <c r="BG97" i="35" s="1"/>
  <c r="AA97" i="35" s="1"/>
  <c r="AM97" i="35"/>
  <c r="BF97" i="35" s="1"/>
  <c r="Z97" i="35" s="1"/>
  <c r="AJ97" i="35"/>
  <c r="AS96" i="35" s="1"/>
  <c r="AI97" i="35"/>
  <c r="AH97" i="35"/>
  <c r="AF97" i="35"/>
  <c r="AE97" i="35"/>
  <c r="AD97" i="35"/>
  <c r="AC97" i="35"/>
  <c r="AB97" i="35"/>
  <c r="X97" i="35"/>
  <c r="L97" i="35"/>
  <c r="J97" i="35"/>
  <c r="I97" i="35"/>
  <c r="H97" i="35"/>
  <c r="BU94" i="35"/>
  <c r="BH94" i="35"/>
  <c r="BB94" i="35"/>
  <c r="AU94" i="35"/>
  <c r="AN94" i="35"/>
  <c r="AM94" i="35"/>
  <c r="BF94" i="35" s="1"/>
  <c r="Z94" i="35" s="1"/>
  <c r="AI94" i="35"/>
  <c r="AH94" i="35"/>
  <c r="AF94" i="35"/>
  <c r="AE94" i="35"/>
  <c r="AD94" i="35"/>
  <c r="AC94" i="35"/>
  <c r="AB94" i="35"/>
  <c r="X94" i="35"/>
  <c r="L94" i="35"/>
  <c r="BD94" i="35" s="1"/>
  <c r="J94" i="35"/>
  <c r="AJ94" i="35" s="1"/>
  <c r="H94" i="35"/>
  <c r="BU92" i="35"/>
  <c r="BH92" i="35"/>
  <c r="BB92" i="35"/>
  <c r="AV92" i="35"/>
  <c r="AN92" i="35"/>
  <c r="BG92" i="35" s="1"/>
  <c r="AA92" i="35" s="1"/>
  <c r="AM92" i="35"/>
  <c r="AI92" i="35"/>
  <c r="AH92" i="35"/>
  <c r="AF92" i="35"/>
  <c r="AE92" i="35"/>
  <c r="AD92" i="35"/>
  <c r="AC92" i="35"/>
  <c r="AB92" i="35"/>
  <c r="X92" i="35"/>
  <c r="L92" i="35"/>
  <c r="J92" i="35"/>
  <c r="AJ92" i="35" s="1"/>
  <c r="AS91" i="35" s="1"/>
  <c r="I92" i="35"/>
  <c r="AR91" i="35"/>
  <c r="J91" i="35"/>
  <c r="BU89" i="35"/>
  <c r="BH89" i="35"/>
  <c r="BB89" i="35"/>
  <c r="AN89" i="35"/>
  <c r="BG89" i="35" s="1"/>
  <c r="AA89" i="35" s="1"/>
  <c r="AM89" i="35"/>
  <c r="BF89" i="35" s="1"/>
  <c r="AI89" i="35"/>
  <c r="AR86" i="35" s="1"/>
  <c r="AH89" i="35"/>
  <c r="AF89" i="35"/>
  <c r="AE89" i="35"/>
  <c r="AD89" i="35"/>
  <c r="AC89" i="35"/>
  <c r="AB89" i="35"/>
  <c r="Z89" i="35"/>
  <c r="X89" i="35"/>
  <c r="L89" i="35"/>
  <c r="BD89" i="35" s="1"/>
  <c r="J89" i="35"/>
  <c r="AJ89" i="35" s="1"/>
  <c r="H89" i="35"/>
  <c r="BU87" i="35"/>
  <c r="BH87" i="35"/>
  <c r="BB87" i="35"/>
  <c r="AN87" i="35"/>
  <c r="BG87" i="35" s="1"/>
  <c r="AA87" i="35" s="1"/>
  <c r="AM87" i="35"/>
  <c r="BF87" i="35" s="1"/>
  <c r="Z87" i="35" s="1"/>
  <c r="AI87" i="35"/>
  <c r="AH87" i="35"/>
  <c r="AF87" i="35"/>
  <c r="AE87" i="35"/>
  <c r="AD87" i="35"/>
  <c r="AC87" i="35"/>
  <c r="AB87" i="35"/>
  <c r="X87" i="35"/>
  <c r="L87" i="35"/>
  <c r="BD87" i="35" s="1"/>
  <c r="J87" i="35"/>
  <c r="AJ87" i="35" s="1"/>
  <c r="L86" i="35"/>
  <c r="BU84" i="35"/>
  <c r="BH84" i="35"/>
  <c r="BD84" i="35"/>
  <c r="BB84" i="35"/>
  <c r="AN84" i="35"/>
  <c r="BG84" i="35" s="1"/>
  <c r="AA84" i="35" s="1"/>
  <c r="AM84" i="35"/>
  <c r="BF84" i="35" s="1"/>
  <c r="Z84" i="35" s="1"/>
  <c r="AI84" i="35"/>
  <c r="AH84" i="35"/>
  <c r="AF84" i="35"/>
  <c r="AE84" i="35"/>
  <c r="AD84" i="35"/>
  <c r="AC84" i="35"/>
  <c r="AB84" i="35"/>
  <c r="X84" i="35"/>
  <c r="L84" i="35"/>
  <c r="J84" i="35"/>
  <c r="J83" i="35" s="1"/>
  <c r="I84" i="35"/>
  <c r="H84" i="35"/>
  <c r="H83" i="35" s="1"/>
  <c r="AR83" i="35"/>
  <c r="AQ83" i="35"/>
  <c r="L83" i="35"/>
  <c r="I83" i="35"/>
  <c r="BU81" i="35"/>
  <c r="BH81" i="35"/>
  <c r="BG81" i="35"/>
  <c r="AA81" i="35" s="1"/>
  <c r="BB81" i="35"/>
  <c r="AN81" i="35"/>
  <c r="AM81" i="35"/>
  <c r="BF81" i="35" s="1"/>
  <c r="Z81" i="35" s="1"/>
  <c r="AI81" i="35"/>
  <c r="AH81" i="35"/>
  <c r="AF81" i="35"/>
  <c r="AE81" i="35"/>
  <c r="AD81" i="35"/>
  <c r="AC81" i="35"/>
  <c r="AB81" i="35"/>
  <c r="X81" i="35"/>
  <c r="L81" i="35"/>
  <c r="BD81" i="35" s="1"/>
  <c r="J81" i="35"/>
  <c r="AJ81" i="35" s="1"/>
  <c r="BU80" i="35"/>
  <c r="BH80" i="35"/>
  <c r="BB80" i="35"/>
  <c r="AN80" i="35"/>
  <c r="BG80" i="35" s="1"/>
  <c r="AA80" i="35" s="1"/>
  <c r="AM80" i="35"/>
  <c r="AI80" i="35"/>
  <c r="AH80" i="35"/>
  <c r="AF80" i="35"/>
  <c r="AE80" i="35"/>
  <c r="AD80" i="35"/>
  <c r="AC80" i="35"/>
  <c r="AB80" i="35"/>
  <c r="X80" i="35"/>
  <c r="L80" i="35"/>
  <c r="J80" i="35"/>
  <c r="AJ80" i="35" s="1"/>
  <c r="I80" i="35"/>
  <c r="BU78" i="35"/>
  <c r="BH78" i="35"/>
  <c r="BD78" i="35"/>
  <c r="BB78" i="35"/>
  <c r="AU78" i="35"/>
  <c r="AN78" i="35"/>
  <c r="BG78" i="35" s="1"/>
  <c r="AM78" i="35"/>
  <c r="BF78" i="35" s="1"/>
  <c r="Z78" i="35" s="1"/>
  <c r="AI78" i="35"/>
  <c r="AH78" i="35"/>
  <c r="AF78" i="35"/>
  <c r="AE78" i="35"/>
  <c r="AD78" i="35"/>
  <c r="AC78" i="35"/>
  <c r="AB78" i="35"/>
  <c r="AA78" i="35"/>
  <c r="X78" i="35"/>
  <c r="L78" i="35"/>
  <c r="J78" i="35"/>
  <c r="I78" i="35"/>
  <c r="H78" i="35"/>
  <c r="AR77" i="35"/>
  <c r="BU75" i="35"/>
  <c r="BH75" i="35"/>
  <c r="BB75" i="35"/>
  <c r="AN75" i="35"/>
  <c r="AM75" i="35"/>
  <c r="BF75" i="35" s="1"/>
  <c r="Z75" i="35" s="1"/>
  <c r="AI75" i="35"/>
  <c r="AH75" i="35"/>
  <c r="AF75" i="35"/>
  <c r="AE75" i="35"/>
  <c r="AD75" i="35"/>
  <c r="AC75" i="35"/>
  <c r="AB75" i="35"/>
  <c r="X75" i="35"/>
  <c r="L75" i="35"/>
  <c r="BD75" i="35" s="1"/>
  <c r="J75" i="35"/>
  <c r="AJ75" i="35" s="1"/>
  <c r="H75" i="35"/>
  <c r="BU73" i="35"/>
  <c r="BH73" i="35"/>
  <c r="BB73" i="35"/>
  <c r="AV73" i="35"/>
  <c r="AN73" i="35"/>
  <c r="BG73" i="35" s="1"/>
  <c r="AA73" i="35" s="1"/>
  <c r="AM73" i="35"/>
  <c r="AI73" i="35"/>
  <c r="AH73" i="35"/>
  <c r="AF73" i="35"/>
  <c r="AE73" i="35"/>
  <c r="AD73" i="35"/>
  <c r="AC73" i="35"/>
  <c r="AB73" i="35"/>
  <c r="X73" i="35"/>
  <c r="L73" i="35"/>
  <c r="BD73" i="35" s="1"/>
  <c r="J73" i="35"/>
  <c r="AJ73" i="35" s="1"/>
  <c r="I73" i="35"/>
  <c r="BU71" i="35"/>
  <c r="BH71" i="35"/>
  <c r="BD71" i="35"/>
  <c r="BB71" i="35"/>
  <c r="AN71" i="35"/>
  <c r="BG71" i="35" s="1"/>
  <c r="AA71" i="35" s="1"/>
  <c r="AM71" i="35"/>
  <c r="BF71" i="35" s="1"/>
  <c r="Z71" i="35" s="1"/>
  <c r="AI71" i="35"/>
  <c r="AH71" i="35"/>
  <c r="AF71" i="35"/>
  <c r="AE71" i="35"/>
  <c r="AD71" i="35"/>
  <c r="AC71" i="35"/>
  <c r="AB71" i="35"/>
  <c r="X71" i="35"/>
  <c r="L71" i="35"/>
  <c r="J71" i="35"/>
  <c r="AJ71" i="35" s="1"/>
  <c r="I71" i="35"/>
  <c r="BU69" i="35"/>
  <c r="BH69" i="35"/>
  <c r="BB69" i="35"/>
  <c r="AN69" i="35"/>
  <c r="BG69" i="35" s="1"/>
  <c r="AA69" i="35" s="1"/>
  <c r="AM69" i="35"/>
  <c r="BF69" i="35" s="1"/>
  <c r="AI69" i="35"/>
  <c r="AH69" i="35"/>
  <c r="AQ56" i="35" s="1"/>
  <c r="AF69" i="35"/>
  <c r="AE69" i="35"/>
  <c r="AD69" i="35"/>
  <c r="AC69" i="35"/>
  <c r="AB69" i="35"/>
  <c r="Z69" i="35"/>
  <c r="X69" i="35"/>
  <c r="L69" i="35"/>
  <c r="BD69" i="35" s="1"/>
  <c r="J69" i="35"/>
  <c r="AJ69" i="35" s="1"/>
  <c r="I69" i="35"/>
  <c r="H69" i="35"/>
  <c r="BU67" i="35"/>
  <c r="BH67" i="35"/>
  <c r="BB67" i="35"/>
  <c r="AN67" i="35"/>
  <c r="AM67" i="35"/>
  <c r="BF67" i="35" s="1"/>
  <c r="Z67" i="35" s="1"/>
  <c r="AI67" i="35"/>
  <c r="AH67" i="35"/>
  <c r="AF67" i="35"/>
  <c r="AE67" i="35"/>
  <c r="AD67" i="35"/>
  <c r="AC67" i="35"/>
  <c r="AB67" i="35"/>
  <c r="X67" i="35"/>
  <c r="L67" i="35"/>
  <c r="BD67" i="35" s="1"/>
  <c r="J67" i="35"/>
  <c r="AJ67" i="35" s="1"/>
  <c r="BU65" i="35"/>
  <c r="BH65" i="35"/>
  <c r="BB65" i="35"/>
  <c r="AN65" i="35"/>
  <c r="BG65" i="35" s="1"/>
  <c r="AA65" i="35" s="1"/>
  <c r="AM65" i="35"/>
  <c r="AI65" i="35"/>
  <c r="AH65" i="35"/>
  <c r="AF65" i="35"/>
  <c r="AE65" i="35"/>
  <c r="AD65" i="35"/>
  <c r="AC65" i="35"/>
  <c r="AB65" i="35"/>
  <c r="X65" i="35"/>
  <c r="L65" i="35"/>
  <c r="BD65" i="35" s="1"/>
  <c r="J65" i="35"/>
  <c r="AJ65" i="35" s="1"/>
  <c r="I65" i="35"/>
  <c r="BU63" i="35"/>
  <c r="BH63" i="35"/>
  <c r="BD63" i="35"/>
  <c r="BB63" i="35"/>
  <c r="AN63" i="35"/>
  <c r="BG63" i="35" s="1"/>
  <c r="AA63" i="35" s="1"/>
  <c r="AM63" i="35"/>
  <c r="BF63" i="35" s="1"/>
  <c r="Z63" i="35" s="1"/>
  <c r="AJ63" i="35"/>
  <c r="AI63" i="35"/>
  <c r="AH63" i="35"/>
  <c r="AF63" i="35"/>
  <c r="AE63" i="35"/>
  <c r="AD63" i="35"/>
  <c r="AC63" i="35"/>
  <c r="AB63" i="35"/>
  <c r="X63" i="35"/>
  <c r="L63" i="35"/>
  <c r="J63" i="35"/>
  <c r="I63" i="35"/>
  <c r="H63" i="35"/>
  <c r="BU61" i="35"/>
  <c r="BH61" i="35"/>
  <c r="BB61" i="35"/>
  <c r="AN61" i="35"/>
  <c r="BG61" i="35" s="1"/>
  <c r="AA61" i="35" s="1"/>
  <c r="AM61" i="35"/>
  <c r="BF61" i="35" s="1"/>
  <c r="AI61" i="35"/>
  <c r="AH61" i="35"/>
  <c r="AF61" i="35"/>
  <c r="AE61" i="35"/>
  <c r="AD61" i="35"/>
  <c r="AC61" i="35"/>
  <c r="AB61" i="35"/>
  <c r="Z61" i="35"/>
  <c r="X61" i="35"/>
  <c r="L61" i="35"/>
  <c r="BD61" i="35" s="1"/>
  <c r="J61" i="35"/>
  <c r="AJ61" i="35" s="1"/>
  <c r="H61" i="35"/>
  <c r="BU59" i="35"/>
  <c r="BH59" i="35"/>
  <c r="BB59" i="35"/>
  <c r="AN59" i="35"/>
  <c r="I59" i="35" s="1"/>
  <c r="AM59" i="35"/>
  <c r="H59" i="35" s="1"/>
  <c r="AI59" i="35"/>
  <c r="AR56" i="35" s="1"/>
  <c r="AH59" i="35"/>
  <c r="AF59" i="35"/>
  <c r="AE59" i="35"/>
  <c r="AD59" i="35"/>
  <c r="AC59" i="35"/>
  <c r="AB59" i="35"/>
  <c r="X59" i="35"/>
  <c r="L59" i="35"/>
  <c r="BD59" i="35" s="1"/>
  <c r="J59" i="35"/>
  <c r="AJ59" i="35" s="1"/>
  <c r="BU57" i="35"/>
  <c r="BH57" i="35"/>
  <c r="BF57" i="35"/>
  <c r="Z57" i="35" s="1"/>
  <c r="BB57" i="35"/>
  <c r="AU57" i="35"/>
  <c r="AN57" i="35"/>
  <c r="BG57" i="35" s="1"/>
  <c r="AA57" i="35" s="1"/>
  <c r="AM57" i="35"/>
  <c r="H57" i="35" s="1"/>
  <c r="AI57" i="35"/>
  <c r="AH57" i="35"/>
  <c r="AF57" i="35"/>
  <c r="AE57" i="35"/>
  <c r="AD57" i="35"/>
  <c r="AC57" i="35"/>
  <c r="AB57" i="35"/>
  <c r="X57" i="35"/>
  <c r="L57" i="35"/>
  <c r="J57" i="35"/>
  <c r="J56" i="35" s="1"/>
  <c r="BU54" i="35"/>
  <c r="BH54" i="35"/>
  <c r="BF54" i="35"/>
  <c r="Z54" i="35" s="1"/>
  <c r="BB54" i="35"/>
  <c r="AN54" i="35"/>
  <c r="BG54" i="35" s="1"/>
  <c r="AA54" i="35" s="1"/>
  <c r="AM54" i="35"/>
  <c r="AU54" i="35" s="1"/>
  <c r="AI54" i="35"/>
  <c r="AH54" i="35"/>
  <c r="AF54" i="35"/>
  <c r="AE54" i="35"/>
  <c r="AD54" i="35"/>
  <c r="AC54" i="35"/>
  <c r="AB54" i="35"/>
  <c r="X54" i="35"/>
  <c r="L54" i="35"/>
  <c r="BD54" i="35" s="1"/>
  <c r="J54" i="35"/>
  <c r="AJ54" i="35" s="1"/>
  <c r="H54" i="35"/>
  <c r="BU52" i="35"/>
  <c r="BH52" i="35"/>
  <c r="BD52" i="35"/>
  <c r="BB52" i="35"/>
  <c r="AN52" i="35"/>
  <c r="I52" i="35" s="1"/>
  <c r="AM52" i="35"/>
  <c r="BF52" i="35" s="1"/>
  <c r="Z52" i="35" s="1"/>
  <c r="AI52" i="35"/>
  <c r="AH52" i="35"/>
  <c r="AF52" i="35"/>
  <c r="AE52" i="35"/>
  <c r="AD52" i="35"/>
  <c r="AC52" i="35"/>
  <c r="AB52" i="35"/>
  <c r="X52" i="35"/>
  <c r="L52" i="35"/>
  <c r="J52" i="35"/>
  <c r="AR51" i="35"/>
  <c r="BU49" i="35"/>
  <c r="BH49" i="35"/>
  <c r="BD49" i="35"/>
  <c r="BB49" i="35"/>
  <c r="AN49" i="35"/>
  <c r="AV49" i="35" s="1"/>
  <c r="AM49" i="35"/>
  <c r="BF49" i="35" s="1"/>
  <c r="Z49" i="35" s="1"/>
  <c r="AI49" i="35"/>
  <c r="AR48" i="35" s="1"/>
  <c r="AH49" i="35"/>
  <c r="AQ48" i="35" s="1"/>
  <c r="AF49" i="35"/>
  <c r="AE49" i="35"/>
  <c r="AD49" i="35"/>
  <c r="AC49" i="35"/>
  <c r="AB49" i="35"/>
  <c r="X49" i="35"/>
  <c r="L49" i="35"/>
  <c r="J49" i="35"/>
  <c r="J48" i="35" s="1"/>
  <c r="L48" i="35"/>
  <c r="BU46" i="35"/>
  <c r="BH46" i="35"/>
  <c r="BD46" i="35"/>
  <c r="BB46" i="35"/>
  <c r="AN46" i="35"/>
  <c r="I46" i="35" s="1"/>
  <c r="AM46" i="35"/>
  <c r="BF46" i="35" s="1"/>
  <c r="Z46" i="35" s="1"/>
  <c r="AI46" i="35"/>
  <c r="AH46" i="35"/>
  <c r="AF46" i="35"/>
  <c r="AE46" i="35"/>
  <c r="AD46" i="35"/>
  <c r="AC46" i="35"/>
  <c r="AB46" i="35"/>
  <c r="X46" i="35"/>
  <c r="L46" i="35"/>
  <c r="J46" i="35"/>
  <c r="AJ46" i="35" s="1"/>
  <c r="BU44" i="35"/>
  <c r="BH44" i="35"/>
  <c r="BB44" i="35"/>
  <c r="AN44" i="35"/>
  <c r="BG44" i="35" s="1"/>
  <c r="AA44" i="35" s="1"/>
  <c r="AM44" i="35"/>
  <c r="H44" i="35" s="1"/>
  <c r="AI44" i="35"/>
  <c r="AH44" i="35"/>
  <c r="AF44" i="35"/>
  <c r="AE44" i="35"/>
  <c r="AD44" i="35"/>
  <c r="AC44" i="35"/>
  <c r="AB44" i="35"/>
  <c r="X44" i="35"/>
  <c r="L44" i="35"/>
  <c r="BD44" i="35" s="1"/>
  <c r="J44" i="35"/>
  <c r="AJ44" i="35" s="1"/>
  <c r="I44" i="35"/>
  <c r="BU42" i="35"/>
  <c r="BH42" i="35"/>
  <c r="BD42" i="35"/>
  <c r="BB42" i="35"/>
  <c r="AU42" i="35"/>
  <c r="AT42" i="35" s="1"/>
  <c r="AN42" i="35"/>
  <c r="AV42" i="35" s="1"/>
  <c r="AM42" i="35"/>
  <c r="BF42" i="35" s="1"/>
  <c r="Z42" i="35" s="1"/>
  <c r="AI42" i="35"/>
  <c r="AH42" i="35"/>
  <c r="AF42" i="35"/>
  <c r="AE42" i="35"/>
  <c r="AD42" i="35"/>
  <c r="AC42" i="35"/>
  <c r="AB42" i="35"/>
  <c r="X42" i="35"/>
  <c r="L42" i="35"/>
  <c r="J42" i="35"/>
  <c r="AJ42" i="35" s="1"/>
  <c r="BU40" i="35"/>
  <c r="BH40" i="35"/>
  <c r="BB40" i="35"/>
  <c r="AN40" i="35"/>
  <c r="BG40" i="35" s="1"/>
  <c r="AA40" i="35" s="1"/>
  <c r="AM40" i="35"/>
  <c r="AU40" i="35" s="1"/>
  <c r="AI40" i="35"/>
  <c r="AH40" i="35"/>
  <c r="AF40" i="35"/>
  <c r="AE40" i="35"/>
  <c r="AD40" i="35"/>
  <c r="AC40" i="35"/>
  <c r="AB40" i="35"/>
  <c r="X40" i="35"/>
  <c r="L40" i="35"/>
  <c r="BD40" i="35" s="1"/>
  <c r="J40" i="35"/>
  <c r="AJ40" i="35" s="1"/>
  <c r="I40" i="35"/>
  <c r="BU38" i="35"/>
  <c r="BH38" i="35"/>
  <c r="BD38" i="35"/>
  <c r="BB38" i="35"/>
  <c r="AU38" i="35"/>
  <c r="AN38" i="35"/>
  <c r="I38" i="35" s="1"/>
  <c r="AM38" i="35"/>
  <c r="BF38" i="35" s="1"/>
  <c r="Z38" i="35" s="1"/>
  <c r="AI38" i="35"/>
  <c r="AH38" i="35"/>
  <c r="AF38" i="35"/>
  <c r="AE38" i="35"/>
  <c r="AD38" i="35"/>
  <c r="AC38" i="35"/>
  <c r="AB38" i="35"/>
  <c r="X38" i="35"/>
  <c r="L38" i="35"/>
  <c r="J38" i="35"/>
  <c r="AJ38" i="35" s="1"/>
  <c r="H38" i="35"/>
  <c r="BU36" i="35"/>
  <c r="BH36" i="35"/>
  <c r="BB36" i="35"/>
  <c r="AV36" i="35"/>
  <c r="AN36" i="35"/>
  <c r="BG36" i="35" s="1"/>
  <c r="AA36" i="35" s="1"/>
  <c r="AM36" i="35"/>
  <c r="H36" i="35" s="1"/>
  <c r="AI36" i="35"/>
  <c r="AH36" i="35"/>
  <c r="AF36" i="35"/>
  <c r="AE36" i="35"/>
  <c r="AD36" i="35"/>
  <c r="AC36" i="35"/>
  <c r="AB36" i="35"/>
  <c r="X36" i="35"/>
  <c r="L36" i="35"/>
  <c r="BD36" i="35" s="1"/>
  <c r="J36" i="35"/>
  <c r="AJ36" i="35" s="1"/>
  <c r="I36" i="35"/>
  <c r="BU34" i="35"/>
  <c r="BH34" i="35"/>
  <c r="BD34" i="35"/>
  <c r="BB34" i="35"/>
  <c r="AN34" i="35"/>
  <c r="AV34" i="35" s="1"/>
  <c r="AM34" i="35"/>
  <c r="BF34" i="35" s="1"/>
  <c r="Z34" i="35" s="1"/>
  <c r="AI34" i="35"/>
  <c r="AH34" i="35"/>
  <c r="AF34" i="35"/>
  <c r="AE34" i="35"/>
  <c r="AD34" i="35"/>
  <c r="AC34" i="35"/>
  <c r="AB34" i="35"/>
  <c r="X34" i="35"/>
  <c r="L34" i="35"/>
  <c r="J34" i="35"/>
  <c r="AJ34" i="35" s="1"/>
  <c r="BU32" i="35"/>
  <c r="BH32" i="35"/>
  <c r="BB32" i="35"/>
  <c r="AN32" i="35"/>
  <c r="BG32" i="35" s="1"/>
  <c r="AA32" i="35" s="1"/>
  <c r="AM32" i="35"/>
  <c r="AU32" i="35" s="1"/>
  <c r="AI32" i="35"/>
  <c r="AH32" i="35"/>
  <c r="AF32" i="35"/>
  <c r="AE32" i="35"/>
  <c r="AD32" i="35"/>
  <c r="AC32" i="35"/>
  <c r="AB32" i="35"/>
  <c r="X32" i="35"/>
  <c r="L32" i="35"/>
  <c r="BD32" i="35" s="1"/>
  <c r="J32" i="35"/>
  <c r="AJ32" i="35" s="1"/>
  <c r="I32" i="35"/>
  <c r="BU30" i="35"/>
  <c r="BH30" i="35"/>
  <c r="BD30" i="35"/>
  <c r="BB30" i="35"/>
  <c r="AN30" i="35"/>
  <c r="I30" i="35" s="1"/>
  <c r="AM30" i="35"/>
  <c r="BF30" i="35" s="1"/>
  <c r="Z30" i="35" s="1"/>
  <c r="AI30" i="35"/>
  <c r="AH30" i="35"/>
  <c r="AF30" i="35"/>
  <c r="AE30" i="35"/>
  <c r="AD30" i="35"/>
  <c r="AC30" i="35"/>
  <c r="AB30" i="35"/>
  <c r="X30" i="35"/>
  <c r="L30" i="35"/>
  <c r="J30" i="35"/>
  <c r="BU28" i="35"/>
  <c r="BH28" i="35"/>
  <c r="BB28" i="35"/>
  <c r="AN28" i="35"/>
  <c r="BG28" i="35" s="1"/>
  <c r="AA28" i="35" s="1"/>
  <c r="AM28" i="35"/>
  <c r="H28" i="35" s="1"/>
  <c r="AI28" i="35"/>
  <c r="AH28" i="35"/>
  <c r="AF28" i="35"/>
  <c r="AE28" i="35"/>
  <c r="AD28" i="35"/>
  <c r="AC28" i="35"/>
  <c r="AB28" i="35"/>
  <c r="X28" i="35"/>
  <c r="L28" i="35"/>
  <c r="L27" i="35" s="1"/>
  <c r="J28" i="35"/>
  <c r="AJ28" i="35" s="1"/>
  <c r="I28" i="35"/>
  <c r="AQ27" i="35"/>
  <c r="BU25" i="35"/>
  <c r="BH25" i="35"/>
  <c r="BB25" i="35"/>
  <c r="AV25" i="35"/>
  <c r="AN25" i="35"/>
  <c r="BG25" i="35" s="1"/>
  <c r="AA25" i="35" s="1"/>
  <c r="AM25" i="35"/>
  <c r="AU25" i="35" s="1"/>
  <c r="AI25" i="35"/>
  <c r="AR24" i="35" s="1"/>
  <c r="AH25" i="35"/>
  <c r="AQ24" i="35" s="1"/>
  <c r="AF25" i="35"/>
  <c r="AE25" i="35"/>
  <c r="AD25" i="35"/>
  <c r="AC25" i="35"/>
  <c r="AB25" i="35"/>
  <c r="X25" i="35"/>
  <c r="L25" i="35"/>
  <c r="BD25" i="35" s="1"/>
  <c r="J25" i="35"/>
  <c r="AJ25" i="35" s="1"/>
  <c r="AS24" i="35" s="1"/>
  <c r="I25" i="35"/>
  <c r="I24" i="35" s="1"/>
  <c r="BU22" i="35"/>
  <c r="BH22" i="35"/>
  <c r="BB22" i="35"/>
  <c r="AN22" i="35"/>
  <c r="BG22" i="35" s="1"/>
  <c r="AA22" i="35" s="1"/>
  <c r="AM22" i="35"/>
  <c r="H22" i="35" s="1"/>
  <c r="AI22" i="35"/>
  <c r="AH22" i="35"/>
  <c r="AF22" i="35"/>
  <c r="AE22" i="35"/>
  <c r="AD22" i="35"/>
  <c r="AC22" i="35"/>
  <c r="AB22" i="35"/>
  <c r="X22" i="35"/>
  <c r="L22" i="35"/>
  <c r="BD22" i="35" s="1"/>
  <c r="J22" i="35"/>
  <c r="AJ22" i="35" s="1"/>
  <c r="I22" i="35"/>
  <c r="BU20" i="35"/>
  <c r="BH20" i="35"/>
  <c r="BD20" i="35"/>
  <c r="BB20" i="35"/>
  <c r="AN20" i="35"/>
  <c r="AV20" i="35" s="1"/>
  <c r="AM20" i="35"/>
  <c r="BF20" i="35" s="1"/>
  <c r="Z20" i="35" s="1"/>
  <c r="AI20" i="35"/>
  <c r="AH20" i="35"/>
  <c r="AF20" i="35"/>
  <c r="AE20" i="35"/>
  <c r="AD20" i="35"/>
  <c r="AC20" i="35"/>
  <c r="AB20" i="35"/>
  <c r="X20" i="35"/>
  <c r="L20" i="35"/>
  <c r="J20" i="35"/>
  <c r="AJ20" i="35" s="1"/>
  <c r="BU18" i="35"/>
  <c r="BH18" i="35"/>
  <c r="BB18" i="35"/>
  <c r="AN18" i="35"/>
  <c r="BG18" i="35" s="1"/>
  <c r="AA18" i="35" s="1"/>
  <c r="AM18" i="35"/>
  <c r="AU18" i="35" s="1"/>
  <c r="AI18" i="35"/>
  <c r="AH18" i="35"/>
  <c r="AF18" i="35"/>
  <c r="AE18" i="35"/>
  <c r="AD18" i="35"/>
  <c r="AC18" i="35"/>
  <c r="AB18" i="35"/>
  <c r="X18" i="35"/>
  <c r="L18" i="35"/>
  <c r="BD18" i="35" s="1"/>
  <c r="J18" i="35"/>
  <c r="AJ18" i="35" s="1"/>
  <c r="I18" i="35"/>
  <c r="BU16" i="35"/>
  <c r="BH16" i="35"/>
  <c r="BD16" i="35"/>
  <c r="BB16" i="35"/>
  <c r="AU16" i="35"/>
  <c r="AN16" i="35"/>
  <c r="I16" i="35" s="1"/>
  <c r="AM16" i="35"/>
  <c r="BF16" i="35" s="1"/>
  <c r="Z16" i="35" s="1"/>
  <c r="AI16" i="35"/>
  <c r="AR15" i="35" s="1"/>
  <c r="AH16" i="35"/>
  <c r="AQ15" i="35" s="1"/>
  <c r="AF16" i="35"/>
  <c r="AE16" i="35"/>
  <c r="AD16" i="35"/>
  <c r="AC16" i="35"/>
  <c r="AB16" i="35"/>
  <c r="X16" i="35"/>
  <c r="L16" i="35"/>
  <c r="J16" i="35"/>
  <c r="J15" i="35" s="1"/>
  <c r="BU13" i="35"/>
  <c r="BH13" i="35"/>
  <c r="BD13" i="35"/>
  <c r="BB13" i="35"/>
  <c r="AN13" i="35"/>
  <c r="AV13" i="35" s="1"/>
  <c r="AM13" i="35"/>
  <c r="BF13" i="35" s="1"/>
  <c r="Z13" i="35" s="1"/>
  <c r="AI13" i="35"/>
  <c r="AH13" i="35"/>
  <c r="AQ12" i="35" s="1"/>
  <c r="AF13" i="35"/>
  <c r="AE13" i="35"/>
  <c r="AD13" i="35"/>
  <c r="AC13" i="35"/>
  <c r="AB13" i="35"/>
  <c r="X13" i="35"/>
  <c r="L13" i="35"/>
  <c r="J13" i="35"/>
  <c r="J12" i="35" s="1"/>
  <c r="AR12" i="35"/>
  <c r="L12" i="35"/>
  <c r="AS1" i="35"/>
  <c r="AR1" i="35"/>
  <c r="AQ1" i="35"/>
  <c r="BU139" i="34"/>
  <c r="BH139" i="34"/>
  <c r="AF139" i="34" s="1"/>
  <c r="BG139" i="34"/>
  <c r="BB139" i="34"/>
  <c r="AN139" i="34"/>
  <c r="AM139" i="34"/>
  <c r="BF139" i="34" s="1"/>
  <c r="AI139" i="34"/>
  <c r="AH139" i="34"/>
  <c r="AE139" i="34"/>
  <c r="AD139" i="34"/>
  <c r="AC139" i="34"/>
  <c r="AB139" i="34"/>
  <c r="AA139" i="34"/>
  <c r="Z139" i="34"/>
  <c r="X139" i="34"/>
  <c r="L139" i="34"/>
  <c r="BD139" i="34" s="1"/>
  <c r="J139" i="34"/>
  <c r="AJ139" i="34" s="1"/>
  <c r="H139" i="34"/>
  <c r="BU137" i="34"/>
  <c r="BH137" i="34"/>
  <c r="BB137" i="34"/>
  <c r="AN137" i="34"/>
  <c r="BG137" i="34" s="1"/>
  <c r="AM137" i="34"/>
  <c r="AI137" i="34"/>
  <c r="AH137" i="34"/>
  <c r="AF137" i="34"/>
  <c r="AE137" i="34"/>
  <c r="AD137" i="34"/>
  <c r="AC137" i="34"/>
  <c r="AB137" i="34"/>
  <c r="AA137" i="34"/>
  <c r="Z137" i="34"/>
  <c r="X137" i="34"/>
  <c r="L137" i="34"/>
  <c r="BD137" i="34" s="1"/>
  <c r="J137" i="34"/>
  <c r="AJ137" i="34" s="1"/>
  <c r="BU136" i="34"/>
  <c r="BH136" i="34"/>
  <c r="BD136" i="34"/>
  <c r="BB136" i="34"/>
  <c r="AU136" i="34"/>
  <c r="AN136" i="34"/>
  <c r="BG136" i="34" s="1"/>
  <c r="AM136" i="34"/>
  <c r="BF136" i="34" s="1"/>
  <c r="AI136" i="34"/>
  <c r="AH136" i="34"/>
  <c r="AF136" i="34"/>
  <c r="AE136" i="34"/>
  <c r="AD136" i="34"/>
  <c r="AC136" i="34"/>
  <c r="AB136" i="34"/>
  <c r="AA136" i="34"/>
  <c r="Z136" i="34"/>
  <c r="X136" i="34"/>
  <c r="L136" i="34"/>
  <c r="J136" i="34"/>
  <c r="AJ136" i="34" s="1"/>
  <c r="H136" i="34"/>
  <c r="BU135" i="34"/>
  <c r="BH135" i="34"/>
  <c r="AF135" i="34" s="1"/>
  <c r="BB135" i="34"/>
  <c r="AN135" i="34"/>
  <c r="BG135" i="34" s="1"/>
  <c r="AM135" i="34"/>
  <c r="BF135" i="34" s="1"/>
  <c r="AI135" i="34"/>
  <c r="AH135" i="34"/>
  <c r="AE135" i="34"/>
  <c r="AD135" i="34"/>
  <c r="AC135" i="34"/>
  <c r="AB135" i="34"/>
  <c r="AA135" i="34"/>
  <c r="Z135" i="34"/>
  <c r="X135" i="34"/>
  <c r="L135" i="34"/>
  <c r="BD135" i="34" s="1"/>
  <c r="J135" i="34"/>
  <c r="AJ135" i="34" s="1"/>
  <c r="I135" i="34"/>
  <c r="BU134" i="34"/>
  <c r="BH134" i="34"/>
  <c r="AF134" i="34" s="1"/>
  <c r="BG134" i="34"/>
  <c r="BB134" i="34"/>
  <c r="AN134" i="34"/>
  <c r="AM134" i="34"/>
  <c r="BF134" i="34" s="1"/>
  <c r="AI134" i="34"/>
  <c r="AH134" i="34"/>
  <c r="AE134" i="34"/>
  <c r="AD134" i="34"/>
  <c r="AC134" i="34"/>
  <c r="AB134" i="34"/>
  <c r="AA134" i="34"/>
  <c r="Z134" i="34"/>
  <c r="X134" i="34"/>
  <c r="L134" i="34"/>
  <c r="BD134" i="34" s="1"/>
  <c r="J134" i="34"/>
  <c r="AJ134" i="34" s="1"/>
  <c r="H134" i="34"/>
  <c r="BU132" i="34"/>
  <c r="BH132" i="34"/>
  <c r="AF132" i="34" s="1"/>
  <c r="BB132" i="34"/>
  <c r="AV132" i="34"/>
  <c r="AN132" i="34"/>
  <c r="BG132" i="34" s="1"/>
  <c r="AM132" i="34"/>
  <c r="AI132" i="34"/>
  <c r="AH132" i="34"/>
  <c r="AE132" i="34"/>
  <c r="AD132" i="34"/>
  <c r="AC132" i="34"/>
  <c r="AB132" i="34"/>
  <c r="AA132" i="34"/>
  <c r="Z132" i="34"/>
  <c r="X132" i="34"/>
  <c r="L132" i="34"/>
  <c r="BD132" i="34" s="1"/>
  <c r="J132" i="34"/>
  <c r="AJ132" i="34" s="1"/>
  <c r="I132" i="34"/>
  <c r="BU131" i="34"/>
  <c r="BH131" i="34"/>
  <c r="BD131" i="34"/>
  <c r="BB131" i="34"/>
  <c r="AU131" i="34"/>
  <c r="AN131" i="34"/>
  <c r="BG131" i="34" s="1"/>
  <c r="AM131" i="34"/>
  <c r="BF131" i="34" s="1"/>
  <c r="AI131" i="34"/>
  <c r="AH131" i="34"/>
  <c r="AF131" i="34"/>
  <c r="AE131" i="34"/>
  <c r="AD131" i="34"/>
  <c r="AC131" i="34"/>
  <c r="AB131" i="34"/>
  <c r="AA131" i="34"/>
  <c r="Z131" i="34"/>
  <c r="X131" i="34"/>
  <c r="L131" i="34"/>
  <c r="J131" i="34"/>
  <c r="AJ131" i="34" s="1"/>
  <c r="I131" i="34"/>
  <c r="H131" i="34"/>
  <c r="BU130" i="34"/>
  <c r="BH130" i="34"/>
  <c r="AF130" i="34" s="1"/>
  <c r="BB130" i="34"/>
  <c r="AN130" i="34"/>
  <c r="BG130" i="34" s="1"/>
  <c r="AM130" i="34"/>
  <c r="BF130" i="34" s="1"/>
  <c r="AI130" i="34"/>
  <c r="AH130" i="34"/>
  <c r="AE130" i="34"/>
  <c r="AD130" i="34"/>
  <c r="AC130" i="34"/>
  <c r="AB130" i="34"/>
  <c r="AA130" i="34"/>
  <c r="Z130" i="34"/>
  <c r="X130" i="34"/>
  <c r="L130" i="34"/>
  <c r="BD130" i="34" s="1"/>
  <c r="J130" i="34"/>
  <c r="AJ130" i="34" s="1"/>
  <c r="H130" i="34"/>
  <c r="BU129" i="34"/>
  <c r="BH129" i="34"/>
  <c r="AF129" i="34" s="1"/>
  <c r="BB129" i="34"/>
  <c r="AN129" i="34"/>
  <c r="AM129" i="34"/>
  <c r="BF129" i="34" s="1"/>
  <c r="AI129" i="34"/>
  <c r="AH129" i="34"/>
  <c r="AE129" i="34"/>
  <c r="AD129" i="34"/>
  <c r="AC129" i="34"/>
  <c r="AB129" i="34"/>
  <c r="AA129" i="34"/>
  <c r="Z129" i="34"/>
  <c r="X129" i="34"/>
  <c r="L129" i="34"/>
  <c r="BD129" i="34" s="1"/>
  <c r="J129" i="34"/>
  <c r="AJ129" i="34" s="1"/>
  <c r="H129" i="34"/>
  <c r="BU128" i="34"/>
  <c r="BH128" i="34"/>
  <c r="AF128" i="34" s="1"/>
  <c r="BB128" i="34"/>
  <c r="AV128" i="34"/>
  <c r="AN128" i="34"/>
  <c r="BG128" i="34" s="1"/>
  <c r="AM128" i="34"/>
  <c r="AI128" i="34"/>
  <c r="AH128" i="34"/>
  <c r="AE128" i="34"/>
  <c r="AD128" i="34"/>
  <c r="AC128" i="34"/>
  <c r="AB128" i="34"/>
  <c r="AA128" i="34"/>
  <c r="Z128" i="34"/>
  <c r="X128" i="34"/>
  <c r="L128" i="34"/>
  <c r="BD128" i="34" s="1"/>
  <c r="J128" i="34"/>
  <c r="AJ128" i="34" s="1"/>
  <c r="I128" i="34"/>
  <c r="BU127" i="34"/>
  <c r="BH127" i="34"/>
  <c r="BD127" i="34"/>
  <c r="BB127" i="34"/>
  <c r="AU127" i="34"/>
  <c r="AN127" i="34"/>
  <c r="BG127" i="34" s="1"/>
  <c r="AM127" i="34"/>
  <c r="BF127" i="34" s="1"/>
  <c r="AI127" i="34"/>
  <c r="AH127" i="34"/>
  <c r="AF127" i="34"/>
  <c r="AE127" i="34"/>
  <c r="AD127" i="34"/>
  <c r="AC127" i="34"/>
  <c r="AB127" i="34"/>
  <c r="AA127" i="34"/>
  <c r="Z127" i="34"/>
  <c r="X127" i="34"/>
  <c r="L127" i="34"/>
  <c r="J127" i="34"/>
  <c r="I127" i="34"/>
  <c r="H127" i="34"/>
  <c r="BU125" i="34"/>
  <c r="BH125" i="34"/>
  <c r="AF125" i="34" s="1"/>
  <c r="BB125" i="34"/>
  <c r="AN125" i="34"/>
  <c r="BG125" i="34" s="1"/>
  <c r="AM125" i="34"/>
  <c r="BF125" i="34" s="1"/>
  <c r="AI125" i="34"/>
  <c r="AH125" i="34"/>
  <c r="AE125" i="34"/>
  <c r="AD125" i="34"/>
  <c r="AC125" i="34"/>
  <c r="AB125" i="34"/>
  <c r="AA125" i="34"/>
  <c r="Z125" i="34"/>
  <c r="X125" i="34"/>
  <c r="L125" i="34"/>
  <c r="BD125" i="34" s="1"/>
  <c r="J125" i="34"/>
  <c r="AJ125" i="34" s="1"/>
  <c r="H125" i="34"/>
  <c r="BU123" i="34"/>
  <c r="BH123" i="34"/>
  <c r="AF123" i="34" s="1"/>
  <c r="BB123" i="34"/>
  <c r="AN123" i="34"/>
  <c r="BG123" i="34" s="1"/>
  <c r="AM123" i="34"/>
  <c r="BF123" i="34" s="1"/>
  <c r="AI123" i="34"/>
  <c r="AH123" i="34"/>
  <c r="AE123" i="34"/>
  <c r="AD123" i="34"/>
  <c r="AC123" i="34"/>
  <c r="AB123" i="34"/>
  <c r="AA123" i="34"/>
  <c r="Z123" i="34"/>
  <c r="X123" i="34"/>
  <c r="L123" i="34"/>
  <c r="BD123" i="34" s="1"/>
  <c r="J123" i="34"/>
  <c r="AJ123" i="34" s="1"/>
  <c r="L122" i="34"/>
  <c r="BU120" i="34"/>
  <c r="BH120" i="34"/>
  <c r="BD120" i="34"/>
  <c r="BB120" i="34"/>
  <c r="AU120" i="34"/>
  <c r="AN120" i="34"/>
  <c r="BG120" i="34" s="1"/>
  <c r="AE120" i="34" s="1"/>
  <c r="AM120" i="34"/>
  <c r="BF120" i="34" s="1"/>
  <c r="AD120" i="34" s="1"/>
  <c r="AJ120" i="34"/>
  <c r="AS119" i="34" s="1"/>
  <c r="AI120" i="34"/>
  <c r="AH120" i="34"/>
  <c r="AQ119" i="34" s="1"/>
  <c r="AF120" i="34"/>
  <c r="AC120" i="34"/>
  <c r="AB120" i="34"/>
  <c r="AA120" i="34"/>
  <c r="Z120" i="34"/>
  <c r="X120" i="34"/>
  <c r="L120" i="34"/>
  <c r="J120" i="34"/>
  <c r="J119" i="34" s="1"/>
  <c r="H120" i="34"/>
  <c r="AR119" i="34"/>
  <c r="L119" i="34"/>
  <c r="H119" i="34"/>
  <c r="BU117" i="34"/>
  <c r="BH117" i="34"/>
  <c r="BB117" i="34"/>
  <c r="AN117" i="34"/>
  <c r="AM117" i="34"/>
  <c r="BF117" i="34" s="1"/>
  <c r="AD117" i="34" s="1"/>
  <c r="AI117" i="34"/>
  <c r="AR116" i="34" s="1"/>
  <c r="AH117" i="34"/>
  <c r="AQ116" i="34" s="1"/>
  <c r="AF117" i="34"/>
  <c r="AC117" i="34"/>
  <c r="AB117" i="34"/>
  <c r="AA117" i="34"/>
  <c r="Z117" i="34"/>
  <c r="X117" i="34"/>
  <c r="L117" i="34"/>
  <c r="BD117" i="34" s="1"/>
  <c r="J117" i="34"/>
  <c r="AJ117" i="34" s="1"/>
  <c r="AS116" i="34" s="1"/>
  <c r="H117" i="34"/>
  <c r="H116" i="34" s="1"/>
  <c r="L116" i="34"/>
  <c r="J116" i="34"/>
  <c r="BU115" i="34"/>
  <c r="BH115" i="34"/>
  <c r="BD115" i="34"/>
  <c r="BB115" i="34"/>
  <c r="AU115" i="34"/>
  <c r="AN115" i="34"/>
  <c r="BG115" i="34" s="1"/>
  <c r="AM115" i="34"/>
  <c r="BF115" i="34" s="1"/>
  <c r="AI115" i="34"/>
  <c r="AR114" i="34" s="1"/>
  <c r="AH115" i="34"/>
  <c r="AQ114" i="34" s="1"/>
  <c r="AF115" i="34"/>
  <c r="AE115" i="34"/>
  <c r="AD115" i="34"/>
  <c r="AC115" i="34"/>
  <c r="AB115" i="34"/>
  <c r="AA115" i="34"/>
  <c r="Z115" i="34"/>
  <c r="X115" i="34"/>
  <c r="L115" i="34"/>
  <c r="J115" i="34"/>
  <c r="J114" i="34" s="1"/>
  <c r="I115" i="34"/>
  <c r="H115" i="34"/>
  <c r="H114" i="34" s="1"/>
  <c r="L114" i="34"/>
  <c r="I114" i="34"/>
  <c r="BU113" i="34"/>
  <c r="BH113" i="34"/>
  <c r="BB113" i="34"/>
  <c r="AN113" i="34"/>
  <c r="AM113" i="34"/>
  <c r="BF113" i="34" s="1"/>
  <c r="AI113" i="34"/>
  <c r="AR111" i="34" s="1"/>
  <c r="AH113" i="34"/>
  <c r="AQ111" i="34" s="1"/>
  <c r="AF113" i="34"/>
  <c r="AE113" i="34"/>
  <c r="AD113" i="34"/>
  <c r="AC113" i="34"/>
  <c r="AB113" i="34"/>
  <c r="AA113" i="34"/>
  <c r="Z113" i="34"/>
  <c r="X113" i="34"/>
  <c r="L113" i="34"/>
  <c r="BD113" i="34" s="1"/>
  <c r="J113" i="34"/>
  <c r="AJ113" i="34" s="1"/>
  <c r="H113" i="34"/>
  <c r="BU112" i="34"/>
  <c r="BH112" i="34"/>
  <c r="X112" i="34" s="1"/>
  <c r="BB112" i="34"/>
  <c r="AN112" i="34"/>
  <c r="BG112" i="34" s="1"/>
  <c r="AM112" i="34"/>
  <c r="AI112" i="34"/>
  <c r="AH112" i="34"/>
  <c r="AF112" i="34"/>
  <c r="AE112" i="34"/>
  <c r="AD112" i="34"/>
  <c r="AC112" i="34"/>
  <c r="AB112" i="34"/>
  <c r="AA112" i="34"/>
  <c r="Z112" i="34"/>
  <c r="L112" i="34"/>
  <c r="J112" i="34"/>
  <c r="AJ112" i="34" s="1"/>
  <c r="AS111" i="34" s="1"/>
  <c r="BU109" i="34"/>
  <c r="BH109" i="34"/>
  <c r="BB109" i="34"/>
  <c r="AN109" i="34"/>
  <c r="BG109" i="34" s="1"/>
  <c r="AA109" i="34" s="1"/>
  <c r="AM109" i="34"/>
  <c r="BF109" i="34" s="1"/>
  <c r="AI109" i="34"/>
  <c r="AH109" i="34"/>
  <c r="AF109" i="34"/>
  <c r="AE109" i="34"/>
  <c r="AD109" i="34"/>
  <c r="AC109" i="34"/>
  <c r="AB109" i="34"/>
  <c r="Z109" i="34"/>
  <c r="X109" i="34"/>
  <c r="L109" i="34"/>
  <c r="BD109" i="34" s="1"/>
  <c r="J109" i="34"/>
  <c r="AJ109" i="34" s="1"/>
  <c r="I109" i="34"/>
  <c r="BU107" i="34"/>
  <c r="BH107" i="34"/>
  <c r="BG107" i="34"/>
  <c r="AA107" i="34" s="1"/>
  <c r="BB107" i="34"/>
  <c r="AN107" i="34"/>
  <c r="AM107" i="34"/>
  <c r="BF107" i="34" s="1"/>
  <c r="Z107" i="34" s="1"/>
  <c r="AI107" i="34"/>
  <c r="AH107" i="34"/>
  <c r="AF107" i="34"/>
  <c r="AE107" i="34"/>
  <c r="AD107" i="34"/>
  <c r="AC107" i="34"/>
  <c r="AB107" i="34"/>
  <c r="X107" i="34"/>
  <c r="L107" i="34"/>
  <c r="BD107" i="34" s="1"/>
  <c r="J107" i="34"/>
  <c r="AJ107" i="34" s="1"/>
  <c r="BU105" i="34"/>
  <c r="BH105" i="34"/>
  <c r="BB105" i="34"/>
  <c r="AN105" i="34"/>
  <c r="BG105" i="34" s="1"/>
  <c r="AA105" i="34" s="1"/>
  <c r="AM105" i="34"/>
  <c r="AI105" i="34"/>
  <c r="AH105" i="34"/>
  <c r="AF105" i="34"/>
  <c r="AE105" i="34"/>
  <c r="AD105" i="34"/>
  <c r="AC105" i="34"/>
  <c r="AB105" i="34"/>
  <c r="X105" i="34"/>
  <c r="L105" i="34"/>
  <c r="BD105" i="34" s="1"/>
  <c r="J105" i="34"/>
  <c r="AJ105" i="34" s="1"/>
  <c r="I105" i="34"/>
  <c r="BU103" i="34"/>
  <c r="BH103" i="34"/>
  <c r="BD103" i="34"/>
  <c r="BB103" i="34"/>
  <c r="AU103" i="34"/>
  <c r="AN103" i="34"/>
  <c r="BG103" i="34" s="1"/>
  <c r="AM103" i="34"/>
  <c r="BF103" i="34" s="1"/>
  <c r="Z103" i="34" s="1"/>
  <c r="AJ103" i="34"/>
  <c r="AI103" i="34"/>
  <c r="AH103" i="34"/>
  <c r="AF103" i="34"/>
  <c r="AE103" i="34"/>
  <c r="AD103" i="34"/>
  <c r="AC103" i="34"/>
  <c r="AB103" i="34"/>
  <c r="AA103" i="34"/>
  <c r="X103" i="34"/>
  <c r="L103" i="34"/>
  <c r="J103" i="34"/>
  <c r="I103" i="34"/>
  <c r="H103" i="34"/>
  <c r="BU101" i="34"/>
  <c r="BH101" i="34"/>
  <c r="BB101" i="34"/>
  <c r="AN101" i="34"/>
  <c r="BG101" i="34" s="1"/>
  <c r="AA101" i="34" s="1"/>
  <c r="AM101" i="34"/>
  <c r="BF101" i="34" s="1"/>
  <c r="AI101" i="34"/>
  <c r="AH101" i="34"/>
  <c r="AF101" i="34"/>
  <c r="AE101" i="34"/>
  <c r="AD101" i="34"/>
  <c r="AC101" i="34"/>
  <c r="AB101" i="34"/>
  <c r="Z101" i="34"/>
  <c r="X101" i="34"/>
  <c r="L101" i="34"/>
  <c r="BD101" i="34" s="1"/>
  <c r="J101" i="34"/>
  <c r="AJ101" i="34" s="1"/>
  <c r="H101" i="34"/>
  <c r="BU99" i="34"/>
  <c r="BH99" i="34"/>
  <c r="BB99" i="34"/>
  <c r="AN99" i="34"/>
  <c r="BG99" i="34" s="1"/>
  <c r="AA99" i="34" s="1"/>
  <c r="AM99" i="34"/>
  <c r="BF99" i="34" s="1"/>
  <c r="Z99" i="34" s="1"/>
  <c r="AI99" i="34"/>
  <c r="AH99" i="34"/>
  <c r="AF99" i="34"/>
  <c r="AE99" i="34"/>
  <c r="AD99" i="34"/>
  <c r="AC99" i="34"/>
  <c r="AB99" i="34"/>
  <c r="X99" i="34"/>
  <c r="L99" i="34"/>
  <c r="BD99" i="34" s="1"/>
  <c r="J99" i="34"/>
  <c r="AJ99" i="34" s="1"/>
  <c r="BU97" i="34"/>
  <c r="BH97" i="34"/>
  <c r="BB97" i="34"/>
  <c r="AN97" i="34"/>
  <c r="BG97" i="34" s="1"/>
  <c r="AA97" i="34" s="1"/>
  <c r="AM97" i="34"/>
  <c r="AI97" i="34"/>
  <c r="AH97" i="34"/>
  <c r="AF97" i="34"/>
  <c r="AE97" i="34"/>
  <c r="AD97" i="34"/>
  <c r="AC97" i="34"/>
  <c r="AB97" i="34"/>
  <c r="X97" i="34"/>
  <c r="L97" i="34"/>
  <c r="J97" i="34"/>
  <c r="AJ97" i="34" s="1"/>
  <c r="AS96" i="34" s="1"/>
  <c r="I97" i="34"/>
  <c r="BU94" i="34"/>
  <c r="BH94" i="34"/>
  <c r="BB94" i="34"/>
  <c r="AN94" i="34"/>
  <c r="BG94" i="34" s="1"/>
  <c r="AA94" i="34" s="1"/>
  <c r="AM94" i="34"/>
  <c r="BF94" i="34" s="1"/>
  <c r="AI94" i="34"/>
  <c r="AH94" i="34"/>
  <c r="AF94" i="34"/>
  <c r="AE94" i="34"/>
  <c r="AD94" i="34"/>
  <c r="AC94" i="34"/>
  <c r="AB94" i="34"/>
  <c r="Z94" i="34"/>
  <c r="X94" i="34"/>
  <c r="L94" i="34"/>
  <c r="BD94" i="34" s="1"/>
  <c r="J94" i="34"/>
  <c r="AJ94" i="34" s="1"/>
  <c r="I94" i="34"/>
  <c r="H94" i="34"/>
  <c r="H91" i="34" s="1"/>
  <c r="BU92" i="34"/>
  <c r="BH92" i="34"/>
  <c r="BF92" i="34"/>
  <c r="Z92" i="34" s="1"/>
  <c r="BB92" i="34"/>
  <c r="AN92" i="34"/>
  <c r="AM92" i="34"/>
  <c r="AU92" i="34" s="1"/>
  <c r="AI92" i="34"/>
  <c r="AH92" i="34"/>
  <c r="AQ91" i="34" s="1"/>
  <c r="AF92" i="34"/>
  <c r="AE92" i="34"/>
  <c r="AD92" i="34"/>
  <c r="AC92" i="34"/>
  <c r="AB92" i="34"/>
  <c r="X92" i="34"/>
  <c r="L92" i="34"/>
  <c r="J92" i="34"/>
  <c r="AJ92" i="34" s="1"/>
  <c r="AS91" i="34" s="1"/>
  <c r="H92" i="34"/>
  <c r="AR91" i="34"/>
  <c r="J91" i="34"/>
  <c r="BU89" i="34"/>
  <c r="BH89" i="34"/>
  <c r="BB89" i="34"/>
  <c r="AN89" i="34"/>
  <c r="I89" i="34" s="1"/>
  <c r="I88" i="34" s="1"/>
  <c r="AM89" i="34"/>
  <c r="AI89" i="34"/>
  <c r="AR88" i="34" s="1"/>
  <c r="AH89" i="34"/>
  <c r="AQ88" i="34" s="1"/>
  <c r="AF89" i="34"/>
  <c r="AE89" i="34"/>
  <c r="AD89" i="34"/>
  <c r="AC89" i="34"/>
  <c r="AB89" i="34"/>
  <c r="X89" i="34"/>
  <c r="L89" i="34"/>
  <c r="J89" i="34"/>
  <c r="AJ89" i="34" s="1"/>
  <c r="AS88" i="34" s="1"/>
  <c r="J88" i="34"/>
  <c r="BU86" i="34"/>
  <c r="BH86" i="34"/>
  <c r="BD86" i="34"/>
  <c r="BB86" i="34"/>
  <c r="AV86" i="34"/>
  <c r="AU86" i="34"/>
  <c r="BA86" i="34" s="1"/>
  <c r="AN86" i="34"/>
  <c r="BG86" i="34" s="1"/>
  <c r="AA86" i="34" s="1"/>
  <c r="AM86" i="34"/>
  <c r="H86" i="34" s="1"/>
  <c r="H85" i="34" s="1"/>
  <c r="AI86" i="34"/>
  <c r="AR85" i="34" s="1"/>
  <c r="AH86" i="34"/>
  <c r="AF86" i="34"/>
  <c r="AE86" i="34"/>
  <c r="AD86" i="34"/>
  <c r="AC86" i="34"/>
  <c r="AB86" i="34"/>
  <c r="X86" i="34"/>
  <c r="L86" i="34"/>
  <c r="L85" i="34" s="1"/>
  <c r="J86" i="34"/>
  <c r="J85" i="34" s="1"/>
  <c r="I86" i="34"/>
  <c r="I85" i="34" s="1"/>
  <c r="AQ85" i="34"/>
  <c r="BU83" i="34"/>
  <c r="BH83" i="34"/>
  <c r="BB83" i="34"/>
  <c r="AN83" i="34"/>
  <c r="I83" i="34" s="1"/>
  <c r="I82" i="34" s="1"/>
  <c r="AM83" i="34"/>
  <c r="BF83" i="34" s="1"/>
  <c r="Z83" i="34" s="1"/>
  <c r="AI83" i="34"/>
  <c r="AR82" i="34" s="1"/>
  <c r="AH83" i="34"/>
  <c r="AQ82" i="34" s="1"/>
  <c r="AF83" i="34"/>
  <c r="AE83" i="34"/>
  <c r="AD83" i="34"/>
  <c r="AC83" i="34"/>
  <c r="AB83" i="34"/>
  <c r="X83" i="34"/>
  <c r="L83" i="34"/>
  <c r="J83" i="34"/>
  <c r="AJ83" i="34" s="1"/>
  <c r="AS82" i="34"/>
  <c r="BU80" i="34"/>
  <c r="BH80" i="34"/>
  <c r="BD80" i="34"/>
  <c r="BB80" i="34"/>
  <c r="AV80" i="34"/>
  <c r="AU80" i="34"/>
  <c r="BA80" i="34" s="1"/>
  <c r="AT80" i="34"/>
  <c r="AN80" i="34"/>
  <c r="BG80" i="34" s="1"/>
  <c r="AA80" i="34" s="1"/>
  <c r="AM80" i="34"/>
  <c r="H80" i="34" s="1"/>
  <c r="AI80" i="34"/>
  <c r="AR79" i="34" s="1"/>
  <c r="AH80" i="34"/>
  <c r="AQ79" i="34" s="1"/>
  <c r="AF80" i="34"/>
  <c r="AE80" i="34"/>
  <c r="AD80" i="34"/>
  <c r="AC80" i="34"/>
  <c r="AB80" i="34"/>
  <c r="X80" i="34"/>
  <c r="L80" i="34"/>
  <c r="L79" i="34" s="1"/>
  <c r="J80" i="34"/>
  <c r="J79" i="34" s="1"/>
  <c r="I80" i="34"/>
  <c r="I79" i="34" s="1"/>
  <c r="H79" i="34"/>
  <c r="BU77" i="34"/>
  <c r="BH77" i="34"/>
  <c r="BB77" i="34"/>
  <c r="AN77" i="34"/>
  <c r="I77" i="34" s="1"/>
  <c r="AM77" i="34"/>
  <c r="AI77" i="34"/>
  <c r="AH77" i="34"/>
  <c r="AF77" i="34"/>
  <c r="AE77" i="34"/>
  <c r="AD77" i="34"/>
  <c r="AC77" i="34"/>
  <c r="AB77" i="34"/>
  <c r="X77" i="34"/>
  <c r="L77" i="34"/>
  <c r="BD77" i="34" s="1"/>
  <c r="J77" i="34"/>
  <c r="AJ77" i="34" s="1"/>
  <c r="BU75" i="34"/>
  <c r="BH75" i="34"/>
  <c r="BD75" i="34"/>
  <c r="BB75" i="34"/>
  <c r="AV75" i="34"/>
  <c r="AN75" i="34"/>
  <c r="I75" i="34" s="1"/>
  <c r="AM75" i="34"/>
  <c r="H75" i="34" s="1"/>
  <c r="AI75" i="34"/>
  <c r="AR74" i="34" s="1"/>
  <c r="AH75" i="34"/>
  <c r="AF75" i="34"/>
  <c r="AE75" i="34"/>
  <c r="AD75" i="34"/>
  <c r="AC75" i="34"/>
  <c r="AB75" i="34"/>
  <c r="X75" i="34"/>
  <c r="L75" i="34"/>
  <c r="L74" i="34" s="1"/>
  <c r="J75" i="34"/>
  <c r="BU72" i="34"/>
  <c r="BH72" i="34"/>
  <c r="BD72" i="34"/>
  <c r="BB72" i="34"/>
  <c r="AU72" i="34"/>
  <c r="AN72" i="34"/>
  <c r="AM72" i="34"/>
  <c r="BF72" i="34" s="1"/>
  <c r="Z72" i="34" s="1"/>
  <c r="AI72" i="34"/>
  <c r="AR71" i="34" s="1"/>
  <c r="AH72" i="34"/>
  <c r="AQ71" i="34" s="1"/>
  <c r="AF72" i="34"/>
  <c r="AE72" i="34"/>
  <c r="AD72" i="34"/>
  <c r="AC72" i="34"/>
  <c r="AB72" i="34"/>
  <c r="X72" i="34"/>
  <c r="L72" i="34"/>
  <c r="J72" i="34"/>
  <c r="J71" i="34" s="1"/>
  <c r="H72" i="34"/>
  <c r="H71" i="34" s="1"/>
  <c r="L71" i="34"/>
  <c r="BU69" i="34"/>
  <c r="BH69" i="34"/>
  <c r="BD69" i="34"/>
  <c r="BB69" i="34"/>
  <c r="AU69" i="34"/>
  <c r="AN69" i="34"/>
  <c r="I69" i="34" s="1"/>
  <c r="AM69" i="34"/>
  <c r="H69" i="34" s="1"/>
  <c r="AI69" i="34"/>
  <c r="AH69" i="34"/>
  <c r="AF69" i="34"/>
  <c r="AE69" i="34"/>
  <c r="AD69" i="34"/>
  <c r="AC69" i="34"/>
  <c r="AB69" i="34"/>
  <c r="X69" i="34"/>
  <c r="L69" i="34"/>
  <c r="J69" i="34"/>
  <c r="AJ69" i="34" s="1"/>
  <c r="BU68" i="34"/>
  <c r="BH68" i="34"/>
  <c r="BD68" i="34"/>
  <c r="BB68" i="34"/>
  <c r="AU68" i="34"/>
  <c r="AN68" i="34"/>
  <c r="BG68" i="34" s="1"/>
  <c r="AA68" i="34" s="1"/>
  <c r="AM68" i="34"/>
  <c r="H68" i="34" s="1"/>
  <c r="AI68" i="34"/>
  <c r="AH68" i="34"/>
  <c r="AF68" i="34"/>
  <c r="AE68" i="34"/>
  <c r="AD68" i="34"/>
  <c r="AC68" i="34"/>
  <c r="AB68" i="34"/>
  <c r="X68" i="34"/>
  <c r="L68" i="34"/>
  <c r="J68" i="34"/>
  <c r="AJ68" i="34" s="1"/>
  <c r="I68" i="34"/>
  <c r="BU66" i="34"/>
  <c r="BH66" i="34"/>
  <c r="BD66" i="34"/>
  <c r="BB66" i="34"/>
  <c r="AN66" i="34"/>
  <c r="BG66" i="34" s="1"/>
  <c r="AA66" i="34" s="1"/>
  <c r="AM66" i="34"/>
  <c r="BF66" i="34" s="1"/>
  <c r="Z66" i="34" s="1"/>
  <c r="AI66" i="34"/>
  <c r="AR65" i="34" s="1"/>
  <c r="AH66" i="34"/>
  <c r="AF66" i="34"/>
  <c r="AE66" i="34"/>
  <c r="AD66" i="34"/>
  <c r="AC66" i="34"/>
  <c r="AB66" i="34"/>
  <c r="X66" i="34"/>
  <c r="L66" i="34"/>
  <c r="J66" i="34"/>
  <c r="L65" i="34"/>
  <c r="BU63" i="34"/>
  <c r="BH63" i="34"/>
  <c r="BD63" i="34"/>
  <c r="BB63" i="34"/>
  <c r="AV63" i="34"/>
  <c r="AN63" i="34"/>
  <c r="I63" i="34" s="1"/>
  <c r="AM63" i="34"/>
  <c r="H63" i="34" s="1"/>
  <c r="AJ63" i="34"/>
  <c r="AI63" i="34"/>
  <c r="AH63" i="34"/>
  <c r="AF63" i="34"/>
  <c r="AE63" i="34"/>
  <c r="AD63" i="34"/>
  <c r="AC63" i="34"/>
  <c r="AB63" i="34"/>
  <c r="X63" i="34"/>
  <c r="L63" i="34"/>
  <c r="J63" i="34"/>
  <c r="BU61" i="34"/>
  <c r="BH61" i="34"/>
  <c r="BB61" i="34"/>
  <c r="AV61" i="34"/>
  <c r="AU61" i="34"/>
  <c r="BA61" i="34" s="1"/>
  <c r="AT61" i="34"/>
  <c r="AN61" i="34"/>
  <c r="BG61" i="34" s="1"/>
  <c r="AA61" i="34" s="1"/>
  <c r="AM61" i="34"/>
  <c r="H61" i="34" s="1"/>
  <c r="AI61" i="34"/>
  <c r="AH61" i="34"/>
  <c r="AF61" i="34"/>
  <c r="AE61" i="34"/>
  <c r="AD61" i="34"/>
  <c r="AC61" i="34"/>
  <c r="AB61" i="34"/>
  <c r="X61" i="34"/>
  <c r="L61" i="34"/>
  <c r="BD61" i="34" s="1"/>
  <c r="J61" i="34"/>
  <c r="AJ61" i="34" s="1"/>
  <c r="I61" i="34"/>
  <c r="BU59" i="34"/>
  <c r="BH59" i="34"/>
  <c r="BD59" i="34"/>
  <c r="BB59" i="34"/>
  <c r="AU59" i="34"/>
  <c r="AN59" i="34"/>
  <c r="BG59" i="34" s="1"/>
  <c r="AA59" i="34" s="1"/>
  <c r="AM59" i="34"/>
  <c r="BF59" i="34" s="1"/>
  <c r="Z59" i="34" s="1"/>
  <c r="AI59" i="34"/>
  <c r="AH59" i="34"/>
  <c r="AF59" i="34"/>
  <c r="AE59" i="34"/>
  <c r="AD59" i="34"/>
  <c r="AC59" i="34"/>
  <c r="AB59" i="34"/>
  <c r="X59" i="34"/>
  <c r="L59" i="34"/>
  <c r="J59" i="34"/>
  <c r="AJ59" i="34" s="1"/>
  <c r="H59" i="34"/>
  <c r="BU57" i="34"/>
  <c r="BH57" i="34"/>
  <c r="BB57" i="34"/>
  <c r="AV57" i="34"/>
  <c r="AN57" i="34"/>
  <c r="BG57" i="34" s="1"/>
  <c r="AA57" i="34" s="1"/>
  <c r="AM57" i="34"/>
  <c r="BF57" i="34" s="1"/>
  <c r="Z57" i="34" s="1"/>
  <c r="AI57" i="34"/>
  <c r="AH57" i="34"/>
  <c r="AF57" i="34"/>
  <c r="AE57" i="34"/>
  <c r="AD57" i="34"/>
  <c r="AC57" i="34"/>
  <c r="AB57" i="34"/>
  <c r="X57" i="34"/>
  <c r="L57" i="34"/>
  <c r="BD57" i="34" s="1"/>
  <c r="J57" i="34"/>
  <c r="AJ57" i="34" s="1"/>
  <c r="I57" i="34"/>
  <c r="BU55" i="34"/>
  <c r="BH55" i="34"/>
  <c r="BD55" i="34"/>
  <c r="BB55" i="34"/>
  <c r="AU55" i="34"/>
  <c r="AN55" i="34"/>
  <c r="I55" i="34" s="1"/>
  <c r="AM55" i="34"/>
  <c r="BF55" i="34" s="1"/>
  <c r="Z55" i="34" s="1"/>
  <c r="AI55" i="34"/>
  <c r="AH55" i="34"/>
  <c r="AF55" i="34"/>
  <c r="AE55" i="34"/>
  <c r="AD55" i="34"/>
  <c r="AC55" i="34"/>
  <c r="AB55" i="34"/>
  <c r="X55" i="34"/>
  <c r="L55" i="34"/>
  <c r="J55" i="34"/>
  <c r="AJ55" i="34" s="1"/>
  <c r="H55" i="34"/>
  <c r="BU53" i="34"/>
  <c r="BH53" i="34"/>
  <c r="BB53" i="34"/>
  <c r="AU53" i="34"/>
  <c r="AN53" i="34"/>
  <c r="BG53" i="34" s="1"/>
  <c r="AA53" i="34" s="1"/>
  <c r="AM53" i="34"/>
  <c r="H53" i="34" s="1"/>
  <c r="AI53" i="34"/>
  <c r="AH53" i="34"/>
  <c r="AF53" i="34"/>
  <c r="AE53" i="34"/>
  <c r="AD53" i="34"/>
  <c r="AC53" i="34"/>
  <c r="AB53" i="34"/>
  <c r="X53" i="34"/>
  <c r="L53" i="34"/>
  <c r="BD53" i="34" s="1"/>
  <c r="J53" i="34"/>
  <c r="AJ53" i="34" s="1"/>
  <c r="I53" i="34"/>
  <c r="BU51" i="34"/>
  <c r="BH51" i="34"/>
  <c r="BD51" i="34"/>
  <c r="BB51" i="34"/>
  <c r="AN51" i="34"/>
  <c r="AM51" i="34"/>
  <c r="BF51" i="34" s="1"/>
  <c r="Z51" i="34" s="1"/>
  <c r="AI51" i="34"/>
  <c r="AH51" i="34"/>
  <c r="AF51" i="34"/>
  <c r="AE51" i="34"/>
  <c r="AD51" i="34"/>
  <c r="AC51" i="34"/>
  <c r="AB51" i="34"/>
  <c r="X51" i="34"/>
  <c r="L51" i="34"/>
  <c r="J51" i="34"/>
  <c r="AJ51" i="34" s="1"/>
  <c r="BU49" i="34"/>
  <c r="BH49" i="34"/>
  <c r="BB49" i="34"/>
  <c r="AN49" i="34"/>
  <c r="BG49" i="34" s="1"/>
  <c r="AA49" i="34" s="1"/>
  <c r="AM49" i="34"/>
  <c r="AU49" i="34" s="1"/>
  <c r="AI49" i="34"/>
  <c r="AH49" i="34"/>
  <c r="AF49" i="34"/>
  <c r="AE49" i="34"/>
  <c r="AD49" i="34"/>
  <c r="AC49" i="34"/>
  <c r="AB49" i="34"/>
  <c r="X49" i="34"/>
  <c r="L49" i="34"/>
  <c r="BD49" i="34" s="1"/>
  <c r="J49" i="34"/>
  <c r="AJ49" i="34" s="1"/>
  <c r="I49" i="34"/>
  <c r="H49" i="34"/>
  <c r="BU47" i="34"/>
  <c r="BH47" i="34"/>
  <c r="BF47" i="34"/>
  <c r="Z47" i="34" s="1"/>
  <c r="BB47" i="34"/>
  <c r="AV47" i="34"/>
  <c r="AN47" i="34"/>
  <c r="I47" i="34" s="1"/>
  <c r="AM47" i="34"/>
  <c r="AU47" i="34" s="1"/>
  <c r="AI47" i="34"/>
  <c r="AH47" i="34"/>
  <c r="AF47" i="34"/>
  <c r="AE47" i="34"/>
  <c r="AD47" i="34"/>
  <c r="AC47" i="34"/>
  <c r="AB47" i="34"/>
  <c r="X47" i="34"/>
  <c r="L47" i="34"/>
  <c r="BD47" i="34" s="1"/>
  <c r="J47" i="34"/>
  <c r="AJ47" i="34" s="1"/>
  <c r="BU45" i="34"/>
  <c r="BH45" i="34"/>
  <c r="BD45" i="34"/>
  <c r="BB45" i="34"/>
  <c r="AU45" i="34"/>
  <c r="AN45" i="34"/>
  <c r="BG45" i="34" s="1"/>
  <c r="AA45" i="34" s="1"/>
  <c r="AM45" i="34"/>
  <c r="H45" i="34" s="1"/>
  <c r="AI45" i="34"/>
  <c r="AR44" i="34" s="1"/>
  <c r="AH45" i="34"/>
  <c r="AF45" i="34"/>
  <c r="AE45" i="34"/>
  <c r="AD45" i="34"/>
  <c r="AC45" i="34"/>
  <c r="AB45" i="34"/>
  <c r="X45" i="34"/>
  <c r="L45" i="34"/>
  <c r="L44" i="34" s="1"/>
  <c r="J45" i="34"/>
  <c r="AJ45" i="34" s="1"/>
  <c r="BU42" i="34"/>
  <c r="BH42" i="34"/>
  <c r="BD42" i="34"/>
  <c r="BB42" i="34"/>
  <c r="AN42" i="34"/>
  <c r="AV42" i="34" s="1"/>
  <c r="AM42" i="34"/>
  <c r="BF42" i="34" s="1"/>
  <c r="Z42" i="34" s="1"/>
  <c r="AI42" i="34"/>
  <c r="AH42" i="34"/>
  <c r="AF42" i="34"/>
  <c r="AE42" i="34"/>
  <c r="AD42" i="34"/>
  <c r="AC42" i="34"/>
  <c r="AB42" i="34"/>
  <c r="X42" i="34"/>
  <c r="L42" i="34"/>
  <c r="J42" i="34"/>
  <c r="AJ42" i="34" s="1"/>
  <c r="BU40" i="34"/>
  <c r="BH40" i="34"/>
  <c r="BB40" i="34"/>
  <c r="AN40" i="34"/>
  <c r="I40" i="34" s="1"/>
  <c r="AM40" i="34"/>
  <c r="AU40" i="34" s="1"/>
  <c r="AI40" i="34"/>
  <c r="AR39" i="34" s="1"/>
  <c r="AH40" i="34"/>
  <c r="AQ39" i="34" s="1"/>
  <c r="AF40" i="34"/>
  <c r="AE40" i="34"/>
  <c r="AD40" i="34"/>
  <c r="AC40" i="34"/>
  <c r="AB40" i="34"/>
  <c r="X40" i="34"/>
  <c r="L40" i="34"/>
  <c r="BD40" i="34" s="1"/>
  <c r="J40" i="34"/>
  <c r="AJ40" i="34" s="1"/>
  <c r="AS39" i="34" s="1"/>
  <c r="J39" i="34"/>
  <c r="BU37" i="34"/>
  <c r="BH37" i="34"/>
  <c r="BB37" i="34"/>
  <c r="AV37" i="34"/>
  <c r="AN37" i="34"/>
  <c r="BG37" i="34" s="1"/>
  <c r="AA37" i="34" s="1"/>
  <c r="AM37" i="34"/>
  <c r="H37" i="34" s="1"/>
  <c r="AI37" i="34"/>
  <c r="AH37" i="34"/>
  <c r="AF37" i="34"/>
  <c r="AE37" i="34"/>
  <c r="AD37" i="34"/>
  <c r="AC37" i="34"/>
  <c r="AB37" i="34"/>
  <c r="X37" i="34"/>
  <c r="L37" i="34"/>
  <c r="BD37" i="34" s="1"/>
  <c r="J37" i="34"/>
  <c r="AJ37" i="34" s="1"/>
  <c r="I37" i="34"/>
  <c r="BU35" i="34"/>
  <c r="BH35" i="34"/>
  <c r="BD35" i="34"/>
  <c r="BB35" i="34"/>
  <c r="AU35" i="34"/>
  <c r="AN35" i="34"/>
  <c r="AV35" i="34" s="1"/>
  <c r="AM35" i="34"/>
  <c r="BF35" i="34" s="1"/>
  <c r="Z35" i="34" s="1"/>
  <c r="AI35" i="34"/>
  <c r="AH35" i="34"/>
  <c r="AF35" i="34"/>
  <c r="AE35" i="34"/>
  <c r="AD35" i="34"/>
  <c r="AC35" i="34"/>
  <c r="AB35" i="34"/>
  <c r="X35" i="34"/>
  <c r="L35" i="34"/>
  <c r="J35" i="34"/>
  <c r="AJ35" i="34" s="1"/>
  <c r="BU33" i="34"/>
  <c r="BH33" i="34"/>
  <c r="BB33" i="34"/>
  <c r="AN33" i="34"/>
  <c r="BG33" i="34" s="1"/>
  <c r="AA33" i="34" s="1"/>
  <c r="AM33" i="34"/>
  <c r="AU33" i="34" s="1"/>
  <c r="AI33" i="34"/>
  <c r="AH33" i="34"/>
  <c r="AF33" i="34"/>
  <c r="AE33" i="34"/>
  <c r="AD33" i="34"/>
  <c r="AC33" i="34"/>
  <c r="AB33" i="34"/>
  <c r="X33" i="34"/>
  <c r="L33" i="34"/>
  <c r="BD33" i="34" s="1"/>
  <c r="J33" i="34"/>
  <c r="AJ33" i="34" s="1"/>
  <c r="I33" i="34"/>
  <c r="BU31" i="34"/>
  <c r="BH31" i="34"/>
  <c r="BD31" i="34"/>
  <c r="BB31" i="34"/>
  <c r="AV31" i="34"/>
  <c r="AU31" i="34"/>
  <c r="AT31" i="34" s="1"/>
  <c r="AN31" i="34"/>
  <c r="I31" i="34" s="1"/>
  <c r="AM31" i="34"/>
  <c r="BF31" i="34" s="1"/>
  <c r="Z31" i="34" s="1"/>
  <c r="AI31" i="34"/>
  <c r="AH31" i="34"/>
  <c r="AF31" i="34"/>
  <c r="AE31" i="34"/>
  <c r="AD31" i="34"/>
  <c r="AC31" i="34"/>
  <c r="AB31" i="34"/>
  <c r="X31" i="34"/>
  <c r="L31" i="34"/>
  <c r="J31" i="34"/>
  <c r="AJ31" i="34" s="1"/>
  <c r="BU29" i="34"/>
  <c r="BH29" i="34"/>
  <c r="BB29" i="34"/>
  <c r="AN29" i="34"/>
  <c r="BG29" i="34" s="1"/>
  <c r="AA29" i="34" s="1"/>
  <c r="AM29" i="34"/>
  <c r="H29" i="34" s="1"/>
  <c r="AI29" i="34"/>
  <c r="AR26" i="34" s="1"/>
  <c r="AH29" i="34"/>
  <c r="AF29" i="34"/>
  <c r="AE29" i="34"/>
  <c r="AD29" i="34"/>
  <c r="AC29" i="34"/>
  <c r="AB29" i="34"/>
  <c r="X29" i="34"/>
  <c r="L29" i="34"/>
  <c r="BD29" i="34" s="1"/>
  <c r="J29" i="34"/>
  <c r="AJ29" i="34" s="1"/>
  <c r="I29" i="34"/>
  <c r="BU27" i="34"/>
  <c r="BH27" i="34"/>
  <c r="BD27" i="34"/>
  <c r="BB27" i="34"/>
  <c r="AU27" i="34"/>
  <c r="AN27" i="34"/>
  <c r="AV27" i="34" s="1"/>
  <c r="AM27" i="34"/>
  <c r="BF27" i="34" s="1"/>
  <c r="Z27" i="34" s="1"/>
  <c r="AI27" i="34"/>
  <c r="AH27" i="34"/>
  <c r="AF27" i="34"/>
  <c r="AE27" i="34"/>
  <c r="AD27" i="34"/>
  <c r="AC27" i="34"/>
  <c r="AB27" i="34"/>
  <c r="X27" i="34"/>
  <c r="L27" i="34"/>
  <c r="J27" i="34"/>
  <c r="H27" i="34"/>
  <c r="L26" i="34"/>
  <c r="BU24" i="34"/>
  <c r="BH24" i="34"/>
  <c r="BD24" i="34"/>
  <c r="BB24" i="34"/>
  <c r="AN24" i="34"/>
  <c r="I24" i="34" s="1"/>
  <c r="AM24" i="34"/>
  <c r="BF24" i="34" s="1"/>
  <c r="Z24" i="34" s="1"/>
  <c r="AI24" i="34"/>
  <c r="AH24" i="34"/>
  <c r="AF24" i="34"/>
  <c r="AE24" i="34"/>
  <c r="AD24" i="34"/>
  <c r="AC24" i="34"/>
  <c r="AB24" i="34"/>
  <c r="X24" i="34"/>
  <c r="L24" i="34"/>
  <c r="J24" i="34"/>
  <c r="BU22" i="34"/>
  <c r="BH22" i="34"/>
  <c r="BB22" i="34"/>
  <c r="AN22" i="34"/>
  <c r="BG22" i="34" s="1"/>
  <c r="AA22" i="34" s="1"/>
  <c r="AM22" i="34"/>
  <c r="H22" i="34" s="1"/>
  <c r="AI22" i="34"/>
  <c r="AR21" i="34" s="1"/>
  <c r="AH22" i="34"/>
  <c r="AQ21" i="34" s="1"/>
  <c r="AF22" i="34"/>
  <c r="AE22" i="34"/>
  <c r="AD22" i="34"/>
  <c r="AC22" i="34"/>
  <c r="AB22" i="34"/>
  <c r="X22" i="34"/>
  <c r="L22" i="34"/>
  <c r="L21" i="34" s="1"/>
  <c r="J22" i="34"/>
  <c r="AJ22" i="34" s="1"/>
  <c r="I22" i="34"/>
  <c r="I21" i="34" s="1"/>
  <c r="BU19" i="34"/>
  <c r="BH19" i="34"/>
  <c r="BB19" i="34"/>
  <c r="AN19" i="34"/>
  <c r="BG19" i="34" s="1"/>
  <c r="AA19" i="34" s="1"/>
  <c r="AM19" i="34"/>
  <c r="AU19" i="34" s="1"/>
  <c r="AI19" i="34"/>
  <c r="AH19" i="34"/>
  <c r="AF19" i="34"/>
  <c r="AE19" i="34"/>
  <c r="AD19" i="34"/>
  <c r="AC19" i="34"/>
  <c r="AB19" i="34"/>
  <c r="X19" i="34"/>
  <c r="L19" i="34"/>
  <c r="BD19" i="34" s="1"/>
  <c r="J19" i="34"/>
  <c r="AJ19" i="34" s="1"/>
  <c r="I19" i="34"/>
  <c r="BU17" i="34"/>
  <c r="BH17" i="34"/>
  <c r="BD17" i="34"/>
  <c r="BB17" i="34"/>
  <c r="AU17" i="34"/>
  <c r="AN17" i="34"/>
  <c r="I17" i="34" s="1"/>
  <c r="AM17" i="34"/>
  <c r="BF17" i="34" s="1"/>
  <c r="Z17" i="34" s="1"/>
  <c r="AI17" i="34"/>
  <c r="AH17" i="34"/>
  <c r="AF17" i="34"/>
  <c r="AE17" i="34"/>
  <c r="AD17" i="34"/>
  <c r="AC17" i="34"/>
  <c r="AB17" i="34"/>
  <c r="X17" i="34"/>
  <c r="L17" i="34"/>
  <c r="J17" i="34"/>
  <c r="AJ17" i="34" s="1"/>
  <c r="H17" i="34"/>
  <c r="BU15" i="34"/>
  <c r="BH15" i="34"/>
  <c r="BB15" i="34"/>
  <c r="AV15" i="34"/>
  <c r="AN15" i="34"/>
  <c r="BG15" i="34" s="1"/>
  <c r="AA15" i="34" s="1"/>
  <c r="AM15" i="34"/>
  <c r="H15" i="34" s="1"/>
  <c r="AI15" i="34"/>
  <c r="AH15" i="34"/>
  <c r="AF15" i="34"/>
  <c r="AE15" i="34"/>
  <c r="AD15" i="34"/>
  <c r="AC15" i="34"/>
  <c r="AB15" i="34"/>
  <c r="X15" i="34"/>
  <c r="L15" i="34"/>
  <c r="BD15" i="34" s="1"/>
  <c r="J15" i="34"/>
  <c r="AJ15" i="34" s="1"/>
  <c r="I15" i="34"/>
  <c r="BU13" i="34"/>
  <c r="BH13" i="34"/>
  <c r="BB13" i="34"/>
  <c r="AN13" i="34"/>
  <c r="AV13" i="34" s="1"/>
  <c r="AM13" i="34"/>
  <c r="BF13" i="34" s="1"/>
  <c r="Z13" i="34" s="1"/>
  <c r="AI13" i="34"/>
  <c r="AH13" i="34"/>
  <c r="AQ12" i="34" s="1"/>
  <c r="AF13" i="34"/>
  <c r="AE13" i="34"/>
  <c r="AD13" i="34"/>
  <c r="AC13" i="34"/>
  <c r="AB13" i="34"/>
  <c r="X13" i="34"/>
  <c r="L13" i="34"/>
  <c r="BD13" i="34" s="1"/>
  <c r="J13" i="34"/>
  <c r="J12" i="34" s="1"/>
  <c r="L12" i="34"/>
  <c r="AS1" i="34"/>
  <c r="AR1" i="34"/>
  <c r="AQ1" i="34"/>
  <c r="BU200" i="33"/>
  <c r="BH200" i="33"/>
  <c r="AF200" i="33" s="1"/>
  <c r="BG200" i="33"/>
  <c r="BB200" i="33"/>
  <c r="AN200" i="33"/>
  <c r="AM200" i="33"/>
  <c r="BF200" i="33" s="1"/>
  <c r="AI200" i="33"/>
  <c r="AH200" i="33"/>
  <c r="AE200" i="33"/>
  <c r="AD200" i="33"/>
  <c r="AC200" i="33"/>
  <c r="AB200" i="33"/>
  <c r="AA200" i="33"/>
  <c r="Z200" i="33"/>
  <c r="X200" i="33"/>
  <c r="L200" i="33"/>
  <c r="BD200" i="33" s="1"/>
  <c r="J200" i="33"/>
  <c r="AJ200" i="33" s="1"/>
  <c r="H200" i="33"/>
  <c r="BU198" i="33"/>
  <c r="BH198" i="33"/>
  <c r="AF198" i="33" s="1"/>
  <c r="BF198" i="33"/>
  <c r="BB198" i="33"/>
  <c r="AN198" i="33"/>
  <c r="AM198" i="33"/>
  <c r="AU198" i="33" s="1"/>
  <c r="AI198" i="33"/>
  <c r="AH198" i="33"/>
  <c r="AE198" i="33"/>
  <c r="AD198" i="33"/>
  <c r="AC198" i="33"/>
  <c r="AB198" i="33"/>
  <c r="AA198" i="33"/>
  <c r="Z198" i="33"/>
  <c r="X198" i="33"/>
  <c r="L198" i="33"/>
  <c r="BD198" i="33" s="1"/>
  <c r="J198" i="33"/>
  <c r="AJ198" i="33" s="1"/>
  <c r="H198" i="33"/>
  <c r="BU196" i="33"/>
  <c r="BH196" i="33"/>
  <c r="BD196" i="33"/>
  <c r="BB196" i="33"/>
  <c r="AN196" i="33"/>
  <c r="BG196" i="33" s="1"/>
  <c r="AM196" i="33"/>
  <c r="AI196" i="33"/>
  <c r="AH196" i="33"/>
  <c r="AF196" i="33"/>
  <c r="AE196" i="33"/>
  <c r="AD196" i="33"/>
  <c r="AC196" i="33"/>
  <c r="AB196" i="33"/>
  <c r="AA196" i="33"/>
  <c r="Z196" i="33"/>
  <c r="X196" i="33"/>
  <c r="L196" i="33"/>
  <c r="J196" i="33"/>
  <c r="AJ196" i="33" s="1"/>
  <c r="BU194" i="33"/>
  <c r="BH194" i="33"/>
  <c r="AF194" i="33" s="1"/>
  <c r="BF194" i="33"/>
  <c r="BD194" i="33"/>
  <c r="BB194" i="33"/>
  <c r="AV194" i="33"/>
  <c r="AU194" i="33"/>
  <c r="AN194" i="33"/>
  <c r="BG194" i="33" s="1"/>
  <c r="AM194" i="33"/>
  <c r="H194" i="33" s="1"/>
  <c r="AI194" i="33"/>
  <c r="AH194" i="33"/>
  <c r="AE194" i="33"/>
  <c r="AD194" i="33"/>
  <c r="AC194" i="33"/>
  <c r="AB194" i="33"/>
  <c r="AA194" i="33"/>
  <c r="Z194" i="33"/>
  <c r="X194" i="33"/>
  <c r="L194" i="33"/>
  <c r="J194" i="33"/>
  <c r="AJ194" i="33" s="1"/>
  <c r="I194" i="33"/>
  <c r="BU193" i="33"/>
  <c r="BH193" i="33"/>
  <c r="AF193" i="33" s="1"/>
  <c r="BD193" i="33"/>
  <c r="BB193" i="33"/>
  <c r="AN193" i="33"/>
  <c r="AM193" i="33"/>
  <c r="BF193" i="33" s="1"/>
  <c r="AJ193" i="33"/>
  <c r="AI193" i="33"/>
  <c r="AH193" i="33"/>
  <c r="AE193" i="33"/>
  <c r="AD193" i="33"/>
  <c r="AC193" i="33"/>
  <c r="AB193" i="33"/>
  <c r="AA193" i="33"/>
  <c r="Z193" i="33"/>
  <c r="X193" i="33"/>
  <c r="L193" i="33"/>
  <c r="J193" i="33"/>
  <c r="H193" i="33"/>
  <c r="BU192" i="33"/>
  <c r="BH192" i="33"/>
  <c r="BB192" i="33"/>
  <c r="AN192" i="33"/>
  <c r="BG192" i="33" s="1"/>
  <c r="AM192" i="33"/>
  <c r="AU192" i="33" s="1"/>
  <c r="AI192" i="33"/>
  <c r="AH192" i="33"/>
  <c r="AF192" i="33"/>
  <c r="AE192" i="33"/>
  <c r="AD192" i="33"/>
  <c r="AC192" i="33"/>
  <c r="AB192" i="33"/>
  <c r="AA192" i="33"/>
  <c r="Z192" i="33"/>
  <c r="X192" i="33"/>
  <c r="L192" i="33"/>
  <c r="BD192" i="33" s="1"/>
  <c r="J192" i="33"/>
  <c r="AJ192" i="33" s="1"/>
  <c r="I192" i="33"/>
  <c r="BU191" i="33"/>
  <c r="BH191" i="33"/>
  <c r="BG191" i="33"/>
  <c r="BB191" i="33"/>
  <c r="AN191" i="33"/>
  <c r="I191" i="33" s="1"/>
  <c r="AM191" i="33"/>
  <c r="AI191" i="33"/>
  <c r="AH191" i="33"/>
  <c r="AF191" i="33"/>
  <c r="AE191" i="33"/>
  <c r="AD191" i="33"/>
  <c r="AC191" i="33"/>
  <c r="AB191" i="33"/>
  <c r="AA191" i="33"/>
  <c r="Z191" i="33"/>
  <c r="X191" i="33"/>
  <c r="L191" i="33"/>
  <c r="BD191" i="33" s="1"/>
  <c r="J191" i="33"/>
  <c r="AJ191" i="33" s="1"/>
  <c r="BU189" i="33"/>
  <c r="BH189" i="33"/>
  <c r="AF189" i="33" s="1"/>
  <c r="BB189" i="33"/>
  <c r="AV189" i="33"/>
  <c r="AN189" i="33"/>
  <c r="BG189" i="33" s="1"/>
  <c r="AM189" i="33"/>
  <c r="AI189" i="33"/>
  <c r="AH189" i="33"/>
  <c r="AE189" i="33"/>
  <c r="AD189" i="33"/>
  <c r="AC189" i="33"/>
  <c r="AB189" i="33"/>
  <c r="AA189" i="33"/>
  <c r="Z189" i="33"/>
  <c r="X189" i="33"/>
  <c r="L189" i="33"/>
  <c r="BD189" i="33" s="1"/>
  <c r="J189" i="33"/>
  <c r="AJ189" i="33" s="1"/>
  <c r="I189" i="33"/>
  <c r="BU188" i="33"/>
  <c r="BH188" i="33"/>
  <c r="AF188" i="33" s="1"/>
  <c r="BD188" i="33"/>
  <c r="BB188" i="33"/>
  <c r="AN188" i="33"/>
  <c r="AV188" i="33" s="1"/>
  <c r="AM188" i="33"/>
  <c r="AI188" i="33"/>
  <c r="AH188" i="33"/>
  <c r="AE188" i="33"/>
  <c r="AD188" i="33"/>
  <c r="AC188" i="33"/>
  <c r="AB188" i="33"/>
  <c r="AA188" i="33"/>
  <c r="Z188" i="33"/>
  <c r="X188" i="33"/>
  <c r="L188" i="33"/>
  <c r="J188" i="33"/>
  <c r="AJ188" i="33" s="1"/>
  <c r="I188" i="33"/>
  <c r="BU187" i="33"/>
  <c r="BH187" i="33"/>
  <c r="AF187" i="33" s="1"/>
  <c r="BG187" i="33"/>
  <c r="BB187" i="33"/>
  <c r="AN187" i="33"/>
  <c r="AV187" i="33" s="1"/>
  <c r="AM187" i="33"/>
  <c r="AI187" i="33"/>
  <c r="AH187" i="33"/>
  <c r="AE187" i="33"/>
  <c r="AD187" i="33"/>
  <c r="AC187" i="33"/>
  <c r="AB187" i="33"/>
  <c r="AA187" i="33"/>
  <c r="Z187" i="33"/>
  <c r="X187" i="33"/>
  <c r="L187" i="33"/>
  <c r="BD187" i="33" s="1"/>
  <c r="J187" i="33"/>
  <c r="AJ187" i="33" s="1"/>
  <c r="I187" i="33"/>
  <c r="BU186" i="33"/>
  <c r="BH186" i="33"/>
  <c r="BG186" i="33"/>
  <c r="BB186" i="33"/>
  <c r="AN186" i="33"/>
  <c r="I186" i="33" s="1"/>
  <c r="AM186" i="33"/>
  <c r="AI186" i="33"/>
  <c r="AH186" i="33"/>
  <c r="AF186" i="33"/>
  <c r="AE186" i="33"/>
  <c r="AD186" i="33"/>
  <c r="AC186" i="33"/>
  <c r="AB186" i="33"/>
  <c r="AA186" i="33"/>
  <c r="Z186" i="33"/>
  <c r="X186" i="33"/>
  <c r="L186" i="33"/>
  <c r="BD186" i="33" s="1"/>
  <c r="J186" i="33"/>
  <c r="AJ186" i="33" s="1"/>
  <c r="BU185" i="33"/>
  <c r="BH185" i="33"/>
  <c r="BB185" i="33"/>
  <c r="AN185" i="33"/>
  <c r="AM185" i="33"/>
  <c r="AI185" i="33"/>
  <c r="AH185" i="33"/>
  <c r="AF185" i="33"/>
  <c r="AE185" i="33"/>
  <c r="AD185" i="33"/>
  <c r="AC185" i="33"/>
  <c r="AB185" i="33"/>
  <c r="AA185" i="33"/>
  <c r="Z185" i="33"/>
  <c r="X185" i="33"/>
  <c r="L185" i="33"/>
  <c r="BD185" i="33" s="1"/>
  <c r="J185" i="33"/>
  <c r="AJ185" i="33" s="1"/>
  <c r="BU184" i="33"/>
  <c r="BH184" i="33"/>
  <c r="AF184" i="33" s="1"/>
  <c r="BD184" i="33"/>
  <c r="BB184" i="33"/>
  <c r="AU184" i="33"/>
  <c r="AT184" i="33" s="1"/>
  <c r="AN184" i="33"/>
  <c r="AV184" i="33" s="1"/>
  <c r="AM184" i="33"/>
  <c r="BF184" i="33" s="1"/>
  <c r="AJ184" i="33"/>
  <c r="AI184" i="33"/>
  <c r="AH184" i="33"/>
  <c r="AE184" i="33"/>
  <c r="AD184" i="33"/>
  <c r="AC184" i="33"/>
  <c r="AB184" i="33"/>
  <c r="AA184" i="33"/>
  <c r="Z184" i="33"/>
  <c r="X184" i="33"/>
  <c r="L184" i="33"/>
  <c r="J184" i="33"/>
  <c r="I184" i="33"/>
  <c r="H184" i="33"/>
  <c r="BU183" i="33"/>
  <c r="BH183" i="33"/>
  <c r="BB183" i="33"/>
  <c r="AN183" i="33"/>
  <c r="AM183" i="33"/>
  <c r="AI183" i="33"/>
  <c r="AH183" i="33"/>
  <c r="AF183" i="33"/>
  <c r="AE183" i="33"/>
  <c r="AD183" i="33"/>
  <c r="AC183" i="33"/>
  <c r="AB183" i="33"/>
  <c r="AA183" i="33"/>
  <c r="Z183" i="33"/>
  <c r="X183" i="33"/>
  <c r="L183" i="33"/>
  <c r="BD183" i="33" s="1"/>
  <c r="J183" i="33"/>
  <c r="AJ183" i="33" s="1"/>
  <c r="BU182" i="33"/>
  <c r="BH182" i="33"/>
  <c r="BG182" i="33"/>
  <c r="BB182" i="33"/>
  <c r="AN182" i="33"/>
  <c r="AM182" i="33"/>
  <c r="AI182" i="33"/>
  <c r="AH182" i="33"/>
  <c r="AF182" i="33"/>
  <c r="AE182" i="33"/>
  <c r="AD182" i="33"/>
  <c r="AC182" i="33"/>
  <c r="AB182" i="33"/>
  <c r="AA182" i="33"/>
  <c r="Z182" i="33"/>
  <c r="X182" i="33"/>
  <c r="L182" i="33"/>
  <c r="BD182" i="33" s="1"/>
  <c r="J182" i="33"/>
  <c r="AJ182" i="33" s="1"/>
  <c r="BU181" i="33"/>
  <c r="BH181" i="33"/>
  <c r="AF181" i="33" s="1"/>
  <c r="BB181" i="33"/>
  <c r="AN181" i="33"/>
  <c r="BG181" i="33" s="1"/>
  <c r="AM181" i="33"/>
  <c r="AI181" i="33"/>
  <c r="AH181" i="33"/>
  <c r="AE181" i="33"/>
  <c r="AD181" i="33"/>
  <c r="AC181" i="33"/>
  <c r="AB181" i="33"/>
  <c r="AA181" i="33"/>
  <c r="Z181" i="33"/>
  <c r="X181" i="33"/>
  <c r="L181" i="33"/>
  <c r="BD181" i="33" s="1"/>
  <c r="J181" i="33"/>
  <c r="AJ181" i="33" s="1"/>
  <c r="I181" i="33"/>
  <c r="BU180" i="33"/>
  <c r="BH180" i="33"/>
  <c r="AF180" i="33" s="1"/>
  <c r="BD180" i="33"/>
  <c r="BB180" i="33"/>
  <c r="AN180" i="33"/>
  <c r="AM180" i="33"/>
  <c r="BF180" i="33" s="1"/>
  <c r="AI180" i="33"/>
  <c r="AH180" i="33"/>
  <c r="AE180" i="33"/>
  <c r="AD180" i="33"/>
  <c r="AC180" i="33"/>
  <c r="AB180" i="33"/>
  <c r="AA180" i="33"/>
  <c r="Z180" i="33"/>
  <c r="X180" i="33"/>
  <c r="L180" i="33"/>
  <c r="J180" i="33"/>
  <c r="AJ180" i="33" s="1"/>
  <c r="H180" i="33"/>
  <c r="BU179" i="33"/>
  <c r="BH179" i="33"/>
  <c r="BF179" i="33"/>
  <c r="BB179" i="33"/>
  <c r="AN179" i="33"/>
  <c r="AM179" i="33"/>
  <c r="AU179" i="33" s="1"/>
  <c r="AI179" i="33"/>
  <c r="AH179" i="33"/>
  <c r="AF179" i="33"/>
  <c r="AE179" i="33"/>
  <c r="AD179" i="33"/>
  <c r="AC179" i="33"/>
  <c r="AB179" i="33"/>
  <c r="AA179" i="33"/>
  <c r="Z179" i="33"/>
  <c r="X179" i="33"/>
  <c r="L179" i="33"/>
  <c r="J179" i="33"/>
  <c r="AJ179" i="33" s="1"/>
  <c r="H179" i="33"/>
  <c r="BU177" i="33"/>
  <c r="BH177" i="33"/>
  <c r="AF177" i="33" s="1"/>
  <c r="BD177" i="33"/>
  <c r="BB177" i="33"/>
  <c r="AV177" i="33"/>
  <c r="AN177" i="33"/>
  <c r="AM177" i="33"/>
  <c r="BF177" i="33" s="1"/>
  <c r="AI177" i="33"/>
  <c r="AH177" i="33"/>
  <c r="AE177" i="33"/>
  <c r="AD177" i="33"/>
  <c r="AC177" i="33"/>
  <c r="AB177" i="33"/>
  <c r="AA177" i="33"/>
  <c r="Z177" i="33"/>
  <c r="X177" i="33"/>
  <c r="L177" i="33"/>
  <c r="J177" i="33"/>
  <c r="AJ177" i="33" s="1"/>
  <c r="H177" i="33"/>
  <c r="BU175" i="33"/>
  <c r="BH175" i="33"/>
  <c r="BF175" i="33"/>
  <c r="BD175" i="33"/>
  <c r="BB175" i="33"/>
  <c r="AU175" i="33"/>
  <c r="AN175" i="33"/>
  <c r="AM175" i="33"/>
  <c r="H175" i="33" s="1"/>
  <c r="AI175" i="33"/>
  <c r="AH175" i="33"/>
  <c r="AF175" i="33"/>
  <c r="AE175" i="33"/>
  <c r="AD175" i="33"/>
  <c r="AC175" i="33"/>
  <c r="AB175" i="33"/>
  <c r="AA175" i="33"/>
  <c r="Z175" i="33"/>
  <c r="X175" i="33"/>
  <c r="L175" i="33"/>
  <c r="J175" i="33"/>
  <c r="AJ175" i="33" s="1"/>
  <c r="BU173" i="33"/>
  <c r="BH173" i="33"/>
  <c r="AF173" i="33" s="1"/>
  <c r="BD173" i="33"/>
  <c r="BB173" i="33"/>
  <c r="AU173" i="33"/>
  <c r="BA173" i="33" s="1"/>
  <c r="AN173" i="33"/>
  <c r="AV173" i="33" s="1"/>
  <c r="AM173" i="33"/>
  <c r="BF173" i="33" s="1"/>
  <c r="AJ173" i="33"/>
  <c r="AI173" i="33"/>
  <c r="AH173" i="33"/>
  <c r="AE173" i="33"/>
  <c r="AD173" i="33"/>
  <c r="AC173" i="33"/>
  <c r="AB173" i="33"/>
  <c r="AA173" i="33"/>
  <c r="Z173" i="33"/>
  <c r="X173" i="33"/>
  <c r="L173" i="33"/>
  <c r="J173" i="33"/>
  <c r="I173" i="33"/>
  <c r="H173" i="33"/>
  <c r="BU170" i="33"/>
  <c r="BH170" i="33"/>
  <c r="BB170" i="33"/>
  <c r="AN170" i="33"/>
  <c r="I170" i="33" s="1"/>
  <c r="I169" i="33" s="1"/>
  <c r="AM170" i="33"/>
  <c r="AU170" i="33" s="1"/>
  <c r="AJ170" i="33"/>
  <c r="AS169" i="33" s="1"/>
  <c r="AI170" i="33"/>
  <c r="AH170" i="33"/>
  <c r="AQ169" i="33" s="1"/>
  <c r="AF170" i="33"/>
  <c r="AC170" i="33"/>
  <c r="AB170" i="33"/>
  <c r="AA170" i="33"/>
  <c r="Z170" i="33"/>
  <c r="X170" i="33"/>
  <c r="L170" i="33"/>
  <c r="BD170" i="33" s="1"/>
  <c r="J170" i="33"/>
  <c r="H170" i="33"/>
  <c r="H169" i="33" s="1"/>
  <c r="AR169" i="33"/>
  <c r="L169" i="33"/>
  <c r="J169" i="33"/>
  <c r="BU167" i="33"/>
  <c r="BH167" i="33"/>
  <c r="BD167" i="33"/>
  <c r="BB167" i="33"/>
  <c r="AU167" i="33"/>
  <c r="AN167" i="33"/>
  <c r="BG167" i="33" s="1"/>
  <c r="AE167" i="33" s="1"/>
  <c r="AM167" i="33"/>
  <c r="BF167" i="33" s="1"/>
  <c r="AD167" i="33" s="1"/>
  <c r="AJ167" i="33"/>
  <c r="AS166" i="33" s="1"/>
  <c r="AI167" i="33"/>
  <c r="AH167" i="33"/>
  <c r="AF167" i="33"/>
  <c r="AC167" i="33"/>
  <c r="AB167" i="33"/>
  <c r="AA167" i="33"/>
  <c r="Z167" i="33"/>
  <c r="X167" i="33"/>
  <c r="L167" i="33"/>
  <c r="J167" i="33"/>
  <c r="J166" i="33" s="1"/>
  <c r="H167" i="33"/>
  <c r="H166" i="33" s="1"/>
  <c r="AR166" i="33"/>
  <c r="AQ166" i="33"/>
  <c r="L166" i="33"/>
  <c r="BU165" i="33"/>
  <c r="BH165" i="33"/>
  <c r="BB165" i="33"/>
  <c r="AV165" i="33"/>
  <c r="AN165" i="33"/>
  <c r="I165" i="33" s="1"/>
  <c r="AM165" i="33"/>
  <c r="BF165" i="33" s="1"/>
  <c r="AI165" i="33"/>
  <c r="AH165" i="33"/>
  <c r="AQ164" i="33" s="1"/>
  <c r="AF165" i="33"/>
  <c r="AE165" i="33"/>
  <c r="AD165" i="33"/>
  <c r="AC165" i="33"/>
  <c r="AB165" i="33"/>
  <c r="AA165" i="33"/>
  <c r="Z165" i="33"/>
  <c r="X165" i="33"/>
  <c r="L165" i="33"/>
  <c r="BD165" i="33" s="1"/>
  <c r="J165" i="33"/>
  <c r="AJ165" i="33" s="1"/>
  <c r="AS164" i="33" s="1"/>
  <c r="AR164" i="33"/>
  <c r="L164" i="33"/>
  <c r="I164" i="33"/>
  <c r="BU163" i="33"/>
  <c r="BH163" i="33"/>
  <c r="X163" i="33" s="1"/>
  <c r="BD163" i="33"/>
  <c r="BB163" i="33"/>
  <c r="AU163" i="33"/>
  <c r="AN163" i="33"/>
  <c r="BG163" i="33" s="1"/>
  <c r="AM163" i="33"/>
  <c r="BF163" i="33" s="1"/>
  <c r="AI163" i="33"/>
  <c r="AH163" i="33"/>
  <c r="AF163" i="33"/>
  <c r="AE163" i="33"/>
  <c r="AD163" i="33"/>
  <c r="AC163" i="33"/>
  <c r="AB163" i="33"/>
  <c r="AA163" i="33"/>
  <c r="Z163" i="33"/>
  <c r="L163" i="33"/>
  <c r="J163" i="33"/>
  <c r="J162" i="33" s="1"/>
  <c r="H163" i="33"/>
  <c r="H162" i="33" s="1"/>
  <c r="AR162" i="33"/>
  <c r="AQ162" i="33"/>
  <c r="L162" i="33"/>
  <c r="BU161" i="33"/>
  <c r="BH161" i="33"/>
  <c r="X161" i="33" s="1"/>
  <c r="BG161" i="33"/>
  <c r="BB161" i="33"/>
  <c r="AN161" i="33"/>
  <c r="I161" i="33" s="1"/>
  <c r="AM161" i="33"/>
  <c r="AI161" i="33"/>
  <c r="AH161" i="33"/>
  <c r="AF161" i="33"/>
  <c r="AE161" i="33"/>
  <c r="AD161" i="33"/>
  <c r="AC161" i="33"/>
  <c r="AB161" i="33"/>
  <c r="AA161" i="33"/>
  <c r="Z161" i="33"/>
  <c r="L161" i="33"/>
  <c r="BD161" i="33" s="1"/>
  <c r="J161" i="33"/>
  <c r="AJ161" i="33" s="1"/>
  <c r="BU160" i="33"/>
  <c r="BH160" i="33"/>
  <c r="X160" i="33" s="1"/>
  <c r="BD160" i="33"/>
  <c r="BB160" i="33"/>
  <c r="AV160" i="33"/>
  <c r="AN160" i="33"/>
  <c r="BG160" i="33" s="1"/>
  <c r="AM160" i="33"/>
  <c r="AI160" i="33"/>
  <c r="AH160" i="33"/>
  <c r="AQ159" i="33" s="1"/>
  <c r="AF160" i="33"/>
  <c r="AE160" i="33"/>
  <c r="AD160" i="33"/>
  <c r="AC160" i="33"/>
  <c r="AB160" i="33"/>
  <c r="AA160" i="33"/>
  <c r="Z160" i="33"/>
  <c r="L160" i="33"/>
  <c r="J160" i="33"/>
  <c r="AJ160" i="33" s="1"/>
  <c r="I160" i="33"/>
  <c r="I159" i="33"/>
  <c r="BU158" i="33"/>
  <c r="BH158" i="33"/>
  <c r="X158" i="33" s="1"/>
  <c r="BG158" i="33"/>
  <c r="BB158" i="33"/>
  <c r="AN158" i="33"/>
  <c r="AV158" i="33" s="1"/>
  <c r="AM158" i="33"/>
  <c r="H158" i="33" s="1"/>
  <c r="AI158" i="33"/>
  <c r="AH158" i="33"/>
  <c r="AF158" i="33"/>
  <c r="AE158" i="33"/>
  <c r="AD158" i="33"/>
  <c r="AC158" i="33"/>
  <c r="AB158" i="33"/>
  <c r="AA158" i="33"/>
  <c r="Z158" i="33"/>
  <c r="L158" i="33"/>
  <c r="BD158" i="33" s="1"/>
  <c r="J158" i="33"/>
  <c r="AJ158" i="33" s="1"/>
  <c r="I158" i="33"/>
  <c r="BU156" i="33"/>
  <c r="BH156" i="33"/>
  <c r="BB156" i="33"/>
  <c r="AN156" i="33"/>
  <c r="BG156" i="33" s="1"/>
  <c r="AM156" i="33"/>
  <c r="BF156" i="33" s="1"/>
  <c r="AI156" i="33"/>
  <c r="AH156" i="33"/>
  <c r="AF156" i="33"/>
  <c r="AE156" i="33"/>
  <c r="AD156" i="33"/>
  <c r="AC156" i="33"/>
  <c r="AB156" i="33"/>
  <c r="AA156" i="33"/>
  <c r="Z156" i="33"/>
  <c r="X156" i="33"/>
  <c r="L156" i="33"/>
  <c r="BD156" i="33" s="1"/>
  <c r="J156" i="33"/>
  <c r="AJ156" i="33" s="1"/>
  <c r="BU154" i="33"/>
  <c r="BH154" i="33"/>
  <c r="X154" i="33" s="1"/>
  <c r="BB154" i="33"/>
  <c r="AN154" i="33"/>
  <c r="BG154" i="33" s="1"/>
  <c r="AM154" i="33"/>
  <c r="H154" i="33" s="1"/>
  <c r="AJ154" i="33"/>
  <c r="AI154" i="33"/>
  <c r="AH154" i="33"/>
  <c r="AF154" i="33"/>
  <c r="AE154" i="33"/>
  <c r="AD154" i="33"/>
  <c r="AC154" i="33"/>
  <c r="AB154" i="33"/>
  <c r="AA154" i="33"/>
  <c r="Z154" i="33"/>
  <c r="L154" i="33"/>
  <c r="BD154" i="33" s="1"/>
  <c r="J154" i="33"/>
  <c r="I154" i="33"/>
  <c r="BU153" i="33"/>
  <c r="BH153" i="33"/>
  <c r="X153" i="33" s="1"/>
  <c r="BD153" i="33"/>
  <c r="BB153" i="33"/>
  <c r="AU153" i="33"/>
  <c r="AN153" i="33"/>
  <c r="AM153" i="33"/>
  <c r="BF153" i="33" s="1"/>
  <c r="AJ153" i="33"/>
  <c r="AI153" i="33"/>
  <c r="AH153" i="33"/>
  <c r="AF153" i="33"/>
  <c r="AE153" i="33"/>
  <c r="AD153" i="33"/>
  <c r="AC153" i="33"/>
  <c r="AB153" i="33"/>
  <c r="AA153" i="33"/>
  <c r="Z153" i="33"/>
  <c r="L153" i="33"/>
  <c r="J153" i="33"/>
  <c r="H153" i="33"/>
  <c r="AQ152" i="33"/>
  <c r="L152" i="33"/>
  <c r="BU150" i="33"/>
  <c r="BH150" i="33"/>
  <c r="BF150" i="33"/>
  <c r="Z150" i="33" s="1"/>
  <c r="BB150" i="33"/>
  <c r="AN150" i="33"/>
  <c r="AM150" i="33"/>
  <c r="AU150" i="33" s="1"/>
  <c r="AI150" i="33"/>
  <c r="AH150" i="33"/>
  <c r="AQ149" i="33" s="1"/>
  <c r="AF150" i="33"/>
  <c r="AE150" i="33"/>
  <c r="AD150" i="33"/>
  <c r="AC150" i="33"/>
  <c r="AB150" i="33"/>
  <c r="X150" i="33"/>
  <c r="L150" i="33"/>
  <c r="L149" i="33" s="1"/>
  <c r="J150" i="33"/>
  <c r="AJ150" i="33" s="1"/>
  <c r="AS149" i="33" s="1"/>
  <c r="H150" i="33"/>
  <c r="H149" i="33" s="1"/>
  <c r="AR149" i="33"/>
  <c r="J149" i="33"/>
  <c r="BU147" i="33"/>
  <c r="BH147" i="33"/>
  <c r="BD147" i="33"/>
  <c r="BB147" i="33"/>
  <c r="AU147" i="33"/>
  <c r="AN147" i="33"/>
  <c r="AM147" i="33"/>
  <c r="BF147" i="33" s="1"/>
  <c r="AI147" i="33"/>
  <c r="AH147" i="33"/>
  <c r="AF147" i="33"/>
  <c r="AE147" i="33"/>
  <c r="AD147" i="33"/>
  <c r="AC147" i="33"/>
  <c r="AB147" i="33"/>
  <c r="Z147" i="33"/>
  <c r="X147" i="33"/>
  <c r="L147" i="33"/>
  <c r="J147" i="33"/>
  <c r="AJ147" i="33" s="1"/>
  <c r="H147" i="33"/>
  <c r="BU145" i="33"/>
  <c r="BH145" i="33"/>
  <c r="BB145" i="33"/>
  <c r="AV145" i="33"/>
  <c r="AT145" i="33" s="1"/>
  <c r="AN145" i="33"/>
  <c r="BG145" i="33" s="1"/>
  <c r="AA145" i="33" s="1"/>
  <c r="AM145" i="33"/>
  <c r="AU145" i="33" s="1"/>
  <c r="AI145" i="33"/>
  <c r="AH145" i="33"/>
  <c r="AF145" i="33"/>
  <c r="AE145" i="33"/>
  <c r="AD145" i="33"/>
  <c r="AC145" i="33"/>
  <c r="AB145" i="33"/>
  <c r="X145" i="33"/>
  <c r="L145" i="33"/>
  <c r="BD145" i="33" s="1"/>
  <c r="J145" i="33"/>
  <c r="AJ145" i="33" s="1"/>
  <c r="I145" i="33"/>
  <c r="H145" i="33"/>
  <c r="BU143" i="33"/>
  <c r="BH143" i="33"/>
  <c r="BD143" i="33"/>
  <c r="BB143" i="33"/>
  <c r="AN143" i="33"/>
  <c r="I143" i="33" s="1"/>
  <c r="AM143" i="33"/>
  <c r="AI143" i="33"/>
  <c r="AH143" i="33"/>
  <c r="AF143" i="33"/>
  <c r="AE143" i="33"/>
  <c r="AD143" i="33"/>
  <c r="AC143" i="33"/>
  <c r="AB143" i="33"/>
  <c r="X143" i="33"/>
  <c r="L143" i="33"/>
  <c r="J143" i="33"/>
  <c r="AJ143" i="33" s="1"/>
  <c r="BU141" i="33"/>
  <c r="BH141" i="33"/>
  <c r="BF141" i="33"/>
  <c r="Z141" i="33" s="1"/>
  <c r="BD141" i="33"/>
  <c r="BB141" i="33"/>
  <c r="AV141" i="33"/>
  <c r="AU141" i="33"/>
  <c r="AN141" i="33"/>
  <c r="BG141" i="33" s="1"/>
  <c r="AA141" i="33" s="1"/>
  <c r="AM141" i="33"/>
  <c r="H141" i="33" s="1"/>
  <c r="AI141" i="33"/>
  <c r="AH141" i="33"/>
  <c r="AF141" i="33"/>
  <c r="AE141" i="33"/>
  <c r="AD141" i="33"/>
  <c r="AC141" i="33"/>
  <c r="AB141" i="33"/>
  <c r="X141" i="33"/>
  <c r="L141" i="33"/>
  <c r="J141" i="33"/>
  <c r="AJ141" i="33" s="1"/>
  <c r="I141" i="33"/>
  <c r="BU139" i="33"/>
  <c r="BH139" i="33"/>
  <c r="BD139" i="33"/>
  <c r="BB139" i="33"/>
  <c r="AU139" i="33"/>
  <c r="AN139" i="33"/>
  <c r="AM139" i="33"/>
  <c r="BF139" i="33" s="1"/>
  <c r="AI139" i="33"/>
  <c r="AH139" i="33"/>
  <c r="AF139" i="33"/>
  <c r="AE139" i="33"/>
  <c r="AD139" i="33"/>
  <c r="AC139" i="33"/>
  <c r="AB139" i="33"/>
  <c r="Z139" i="33"/>
  <c r="X139" i="33"/>
  <c r="L139" i="33"/>
  <c r="J139" i="33"/>
  <c r="AJ139" i="33" s="1"/>
  <c r="I139" i="33"/>
  <c r="H139" i="33"/>
  <c r="BU137" i="33"/>
  <c r="BH137" i="33"/>
  <c r="BB137" i="33"/>
  <c r="AN137" i="33"/>
  <c r="AV137" i="33" s="1"/>
  <c r="AM137" i="33"/>
  <c r="AI137" i="33"/>
  <c r="AH137" i="33"/>
  <c r="AF137" i="33"/>
  <c r="AE137" i="33"/>
  <c r="AD137" i="33"/>
  <c r="AC137" i="33"/>
  <c r="AB137" i="33"/>
  <c r="X137" i="33"/>
  <c r="L137" i="33"/>
  <c r="BD137" i="33" s="1"/>
  <c r="J137" i="33"/>
  <c r="AJ137" i="33" s="1"/>
  <c r="I137" i="33"/>
  <c r="H137" i="33"/>
  <c r="BU135" i="33"/>
  <c r="BH135" i="33"/>
  <c r="BG135" i="33"/>
  <c r="BF135" i="33"/>
  <c r="Z135" i="33" s="1"/>
  <c r="BD135" i="33"/>
  <c r="BB135" i="33"/>
  <c r="AV135" i="33"/>
  <c r="AU135" i="33"/>
  <c r="AN135" i="33"/>
  <c r="I135" i="33" s="1"/>
  <c r="AM135" i="33"/>
  <c r="AJ135" i="33"/>
  <c r="AI135" i="33"/>
  <c r="AH135" i="33"/>
  <c r="AF135" i="33"/>
  <c r="AE135" i="33"/>
  <c r="AD135" i="33"/>
  <c r="AC135" i="33"/>
  <c r="AB135" i="33"/>
  <c r="AA135" i="33"/>
  <c r="X135" i="33"/>
  <c r="L135" i="33"/>
  <c r="J135" i="33"/>
  <c r="H135" i="33"/>
  <c r="BU133" i="33"/>
  <c r="BH133" i="33"/>
  <c r="BF133" i="33"/>
  <c r="Z133" i="33" s="1"/>
  <c r="BD133" i="33"/>
  <c r="BB133" i="33"/>
  <c r="AU133" i="33"/>
  <c r="AN133" i="33"/>
  <c r="AM133" i="33"/>
  <c r="H133" i="33" s="1"/>
  <c r="AI133" i="33"/>
  <c r="AH133" i="33"/>
  <c r="AF133" i="33"/>
  <c r="AE133" i="33"/>
  <c r="AD133" i="33"/>
  <c r="AC133" i="33"/>
  <c r="AB133" i="33"/>
  <c r="X133" i="33"/>
  <c r="L133" i="33"/>
  <c r="J133" i="33"/>
  <c r="AJ133" i="33" s="1"/>
  <c r="BU131" i="33"/>
  <c r="BH131" i="33"/>
  <c r="BD131" i="33"/>
  <c r="BB131" i="33"/>
  <c r="AN131" i="33"/>
  <c r="AM131" i="33"/>
  <c r="AI131" i="33"/>
  <c r="AH131" i="33"/>
  <c r="AF131" i="33"/>
  <c r="AE131" i="33"/>
  <c r="AD131" i="33"/>
  <c r="AC131" i="33"/>
  <c r="AB131" i="33"/>
  <c r="X131" i="33"/>
  <c r="L131" i="33"/>
  <c r="J131" i="33"/>
  <c r="I131" i="33"/>
  <c r="BU128" i="33"/>
  <c r="BH128" i="33"/>
  <c r="BB128" i="33"/>
  <c r="AN128" i="33"/>
  <c r="AM128" i="33"/>
  <c r="AI128" i="33"/>
  <c r="AH128" i="33"/>
  <c r="AQ125" i="33" s="1"/>
  <c r="AF128" i="33"/>
  <c r="AE128" i="33"/>
  <c r="AD128" i="33"/>
  <c r="AC128" i="33"/>
  <c r="AB128" i="33"/>
  <c r="X128" i="33"/>
  <c r="L128" i="33"/>
  <c r="BD128" i="33" s="1"/>
  <c r="J128" i="33"/>
  <c r="AJ128" i="33" s="1"/>
  <c r="BU126" i="33"/>
  <c r="BH126" i="33"/>
  <c r="BB126" i="33"/>
  <c r="AV126" i="33"/>
  <c r="AN126" i="33"/>
  <c r="BG126" i="33" s="1"/>
  <c r="AM126" i="33"/>
  <c r="H126" i="33" s="1"/>
  <c r="AJ126" i="33"/>
  <c r="AI126" i="33"/>
  <c r="AH126" i="33"/>
  <c r="AF126" i="33"/>
  <c r="AE126" i="33"/>
  <c r="AD126" i="33"/>
  <c r="AC126" i="33"/>
  <c r="AB126" i="33"/>
  <c r="AA126" i="33"/>
  <c r="X126" i="33"/>
  <c r="L126" i="33"/>
  <c r="J126" i="33"/>
  <c r="I126" i="33"/>
  <c r="AR125" i="33"/>
  <c r="BU123" i="33"/>
  <c r="BH123" i="33"/>
  <c r="BF123" i="33"/>
  <c r="AB123" i="33" s="1"/>
  <c r="BB123" i="33"/>
  <c r="AN123" i="33"/>
  <c r="AM123" i="33"/>
  <c r="AU123" i="33" s="1"/>
  <c r="AI123" i="33"/>
  <c r="AR122" i="33" s="1"/>
  <c r="AH123" i="33"/>
  <c r="AQ122" i="33" s="1"/>
  <c r="AF123" i="33"/>
  <c r="AE123" i="33"/>
  <c r="AD123" i="33"/>
  <c r="AA123" i="33"/>
  <c r="Z123" i="33"/>
  <c r="X123" i="33"/>
  <c r="L123" i="33"/>
  <c r="J123" i="33"/>
  <c r="BU120" i="33"/>
  <c r="BH120" i="33"/>
  <c r="BF120" i="33"/>
  <c r="BD120" i="33"/>
  <c r="BB120" i="33"/>
  <c r="AU120" i="33"/>
  <c r="AN120" i="33"/>
  <c r="AM120" i="33"/>
  <c r="H120" i="33" s="1"/>
  <c r="AI120" i="33"/>
  <c r="AH120" i="33"/>
  <c r="AF120" i="33"/>
  <c r="AE120" i="33"/>
  <c r="AD120" i="33"/>
  <c r="AC120" i="33"/>
  <c r="AB120" i="33"/>
  <c r="Z120" i="33"/>
  <c r="X120" i="33"/>
  <c r="L120" i="33"/>
  <c r="J120" i="33"/>
  <c r="AJ120" i="33" s="1"/>
  <c r="BU118" i="33"/>
  <c r="BH118" i="33"/>
  <c r="BD118" i="33"/>
  <c r="BB118" i="33"/>
  <c r="AU118" i="33"/>
  <c r="BA118" i="33" s="1"/>
  <c r="AN118" i="33"/>
  <c r="AV118" i="33" s="1"/>
  <c r="AM118" i="33"/>
  <c r="BF118" i="33" s="1"/>
  <c r="AI118" i="33"/>
  <c r="AH118" i="33"/>
  <c r="AQ117" i="33" s="1"/>
  <c r="AF118" i="33"/>
  <c r="AE118" i="33"/>
  <c r="AD118" i="33"/>
  <c r="AC118" i="33"/>
  <c r="AB118" i="33"/>
  <c r="Z118" i="33"/>
  <c r="X118" i="33"/>
  <c r="L118" i="33"/>
  <c r="J118" i="33"/>
  <c r="J117" i="33" s="1"/>
  <c r="I118" i="33"/>
  <c r="H118" i="33"/>
  <c r="H117" i="33" s="1"/>
  <c r="L117" i="33"/>
  <c r="BU115" i="33"/>
  <c r="BH115" i="33"/>
  <c r="BB115" i="33"/>
  <c r="AU115" i="33"/>
  <c r="AN115" i="33"/>
  <c r="AM115" i="33"/>
  <c r="BF115" i="33" s="1"/>
  <c r="Z115" i="33" s="1"/>
  <c r="AJ115" i="33"/>
  <c r="AI115" i="33"/>
  <c r="AH115" i="33"/>
  <c r="AF115" i="33"/>
  <c r="AE115" i="33"/>
  <c r="AD115" i="33"/>
  <c r="AC115" i="33"/>
  <c r="AB115" i="33"/>
  <c r="X115" i="33"/>
  <c r="L115" i="33"/>
  <c r="BD115" i="33" s="1"/>
  <c r="J115" i="33"/>
  <c r="H115" i="33"/>
  <c r="BU113" i="33"/>
  <c r="BH113" i="33"/>
  <c r="BB113" i="33"/>
  <c r="AN113" i="33"/>
  <c r="BG113" i="33" s="1"/>
  <c r="AA113" i="33" s="1"/>
  <c r="AM113" i="33"/>
  <c r="AI113" i="33"/>
  <c r="AH113" i="33"/>
  <c r="AF113" i="33"/>
  <c r="AE113" i="33"/>
  <c r="AD113" i="33"/>
  <c r="AC113" i="33"/>
  <c r="AB113" i="33"/>
  <c r="X113" i="33"/>
  <c r="L113" i="33"/>
  <c r="BD113" i="33" s="1"/>
  <c r="J113" i="33"/>
  <c r="AJ113" i="33" s="1"/>
  <c r="I113" i="33"/>
  <c r="BU111" i="33"/>
  <c r="BH111" i="33"/>
  <c r="BD111" i="33"/>
  <c r="BB111" i="33"/>
  <c r="AU111" i="33"/>
  <c r="AN111" i="33"/>
  <c r="AM111" i="33"/>
  <c r="BF111" i="33" s="1"/>
  <c r="Z111" i="33" s="1"/>
  <c r="AI111" i="33"/>
  <c r="AH111" i="33"/>
  <c r="AF111" i="33"/>
  <c r="AE111" i="33"/>
  <c r="AD111" i="33"/>
  <c r="AC111" i="33"/>
  <c r="AB111" i="33"/>
  <c r="X111" i="33"/>
  <c r="L111" i="33"/>
  <c r="J111" i="33"/>
  <c r="AJ111" i="33" s="1"/>
  <c r="BU109" i="33"/>
  <c r="BH109" i="33"/>
  <c r="BF109" i="33"/>
  <c r="Z109" i="33" s="1"/>
  <c r="BB109" i="33"/>
  <c r="AN109" i="33"/>
  <c r="AM109" i="33"/>
  <c r="AU109" i="33" s="1"/>
  <c r="AI109" i="33"/>
  <c r="AH109" i="33"/>
  <c r="AF109" i="33"/>
  <c r="AE109" i="33"/>
  <c r="AD109" i="33"/>
  <c r="AC109" i="33"/>
  <c r="AB109" i="33"/>
  <c r="X109" i="33"/>
  <c r="L109" i="33"/>
  <c r="BD109" i="33" s="1"/>
  <c r="J109" i="33"/>
  <c r="AJ109" i="33" s="1"/>
  <c r="BU107" i="33"/>
  <c r="BH107" i="33"/>
  <c r="BD107" i="33"/>
  <c r="BB107" i="33"/>
  <c r="AU107" i="33"/>
  <c r="AN107" i="33"/>
  <c r="AM107" i="33"/>
  <c r="BF107" i="33" s="1"/>
  <c r="Z107" i="33" s="1"/>
  <c r="AJ107" i="33"/>
  <c r="AI107" i="33"/>
  <c r="AH107" i="33"/>
  <c r="AF107" i="33"/>
  <c r="AE107" i="33"/>
  <c r="AD107" i="33"/>
  <c r="AC107" i="33"/>
  <c r="AB107" i="33"/>
  <c r="X107" i="33"/>
  <c r="L107" i="33"/>
  <c r="J107" i="33"/>
  <c r="H107" i="33"/>
  <c r="BU105" i="33"/>
  <c r="BH105" i="33"/>
  <c r="BB105" i="33"/>
  <c r="AN105" i="33"/>
  <c r="BG105" i="33" s="1"/>
  <c r="AA105" i="33" s="1"/>
  <c r="AM105" i="33"/>
  <c r="AI105" i="33"/>
  <c r="AH105" i="33"/>
  <c r="AF105" i="33"/>
  <c r="AE105" i="33"/>
  <c r="AD105" i="33"/>
  <c r="AC105" i="33"/>
  <c r="AB105" i="33"/>
  <c r="X105" i="33"/>
  <c r="L105" i="33"/>
  <c r="BD105" i="33" s="1"/>
  <c r="J105" i="33"/>
  <c r="AJ105" i="33" s="1"/>
  <c r="I105" i="33"/>
  <c r="BU103" i="33"/>
  <c r="BH103" i="33"/>
  <c r="BD103" i="33"/>
  <c r="BB103" i="33"/>
  <c r="AU103" i="33"/>
  <c r="AN103" i="33"/>
  <c r="AM103" i="33"/>
  <c r="BF103" i="33" s="1"/>
  <c r="Z103" i="33" s="1"/>
  <c r="AI103" i="33"/>
  <c r="AH103" i="33"/>
  <c r="AF103" i="33"/>
  <c r="AE103" i="33"/>
  <c r="AD103" i="33"/>
  <c r="AC103" i="33"/>
  <c r="AB103" i="33"/>
  <c r="X103" i="33"/>
  <c r="L103" i="33"/>
  <c r="J103" i="33"/>
  <c r="AJ103" i="33" s="1"/>
  <c r="BU101" i="33"/>
  <c r="BH101" i="33"/>
  <c r="BF101" i="33"/>
  <c r="Z101" i="33" s="1"/>
  <c r="BB101" i="33"/>
  <c r="AN101" i="33"/>
  <c r="AM101" i="33"/>
  <c r="AU101" i="33" s="1"/>
  <c r="AI101" i="33"/>
  <c r="AH101" i="33"/>
  <c r="AF101" i="33"/>
  <c r="AE101" i="33"/>
  <c r="AD101" i="33"/>
  <c r="AC101" i="33"/>
  <c r="AB101" i="33"/>
  <c r="X101" i="33"/>
  <c r="L101" i="33"/>
  <c r="BD101" i="33" s="1"/>
  <c r="J101" i="33"/>
  <c r="AJ101" i="33" s="1"/>
  <c r="BU99" i="33"/>
  <c r="BH99" i="33"/>
  <c r="BB99" i="33"/>
  <c r="AU99" i="33"/>
  <c r="AN99" i="33"/>
  <c r="AM99" i="33"/>
  <c r="BF99" i="33" s="1"/>
  <c r="Z99" i="33" s="1"/>
  <c r="AI99" i="33"/>
  <c r="AH99" i="33"/>
  <c r="AF99" i="33"/>
  <c r="AE99" i="33"/>
  <c r="AD99" i="33"/>
  <c r="AC99" i="33"/>
  <c r="AB99" i="33"/>
  <c r="X99" i="33"/>
  <c r="L99" i="33"/>
  <c r="BD99" i="33" s="1"/>
  <c r="J99" i="33"/>
  <c r="AJ99" i="33" s="1"/>
  <c r="H99" i="33"/>
  <c r="BU97" i="33"/>
  <c r="BH97" i="33"/>
  <c r="BB97" i="33"/>
  <c r="AN97" i="33"/>
  <c r="BG97" i="33" s="1"/>
  <c r="AA97" i="33" s="1"/>
  <c r="AM97" i="33"/>
  <c r="AI97" i="33"/>
  <c r="AH97" i="33"/>
  <c r="AF97" i="33"/>
  <c r="AE97" i="33"/>
  <c r="AD97" i="33"/>
  <c r="AC97" i="33"/>
  <c r="AB97" i="33"/>
  <c r="X97" i="33"/>
  <c r="L97" i="33"/>
  <c r="BD97" i="33" s="1"/>
  <c r="J97" i="33"/>
  <c r="AJ97" i="33" s="1"/>
  <c r="I97" i="33"/>
  <c r="BU95" i="33"/>
  <c r="BH95" i="33"/>
  <c r="BD95" i="33"/>
  <c r="BB95" i="33"/>
  <c r="AU95" i="33"/>
  <c r="AN95" i="33"/>
  <c r="I95" i="33" s="1"/>
  <c r="AM95" i="33"/>
  <c r="BF95" i="33" s="1"/>
  <c r="AI95" i="33"/>
  <c r="AH95" i="33"/>
  <c r="AF95" i="33"/>
  <c r="AE95" i="33"/>
  <c r="AD95" i="33"/>
  <c r="AC95" i="33"/>
  <c r="AB95" i="33"/>
  <c r="Z95" i="33"/>
  <c r="X95" i="33"/>
  <c r="L95" i="33"/>
  <c r="J95" i="33"/>
  <c r="J94" i="33" s="1"/>
  <c r="H95" i="33"/>
  <c r="BU92" i="33"/>
  <c r="BH92" i="33"/>
  <c r="BB92" i="33"/>
  <c r="AN92" i="33"/>
  <c r="AM92" i="33"/>
  <c r="AU92" i="33" s="1"/>
  <c r="AI92" i="33"/>
  <c r="AR91" i="33" s="1"/>
  <c r="AH92" i="33"/>
  <c r="AQ91" i="33" s="1"/>
  <c r="AF92" i="33"/>
  <c r="AE92" i="33"/>
  <c r="AD92" i="33"/>
  <c r="AC92" i="33"/>
  <c r="AB92" i="33"/>
  <c r="X92" i="33"/>
  <c r="L92" i="33"/>
  <c r="BD92" i="33" s="1"/>
  <c r="J92" i="33"/>
  <c r="AJ92" i="33" s="1"/>
  <c r="AS91" i="33" s="1"/>
  <c r="H92" i="33"/>
  <c r="H91" i="33" s="1"/>
  <c r="L91" i="33"/>
  <c r="BU89" i="33"/>
  <c r="BH89" i="33"/>
  <c r="BD89" i="33"/>
  <c r="BB89" i="33"/>
  <c r="AN89" i="33"/>
  <c r="AM89" i="33"/>
  <c r="BF89" i="33" s="1"/>
  <c r="Z89" i="33" s="1"/>
  <c r="AJ89" i="33"/>
  <c r="AI89" i="33"/>
  <c r="AH89" i="33"/>
  <c r="AF89" i="33"/>
  <c r="AE89" i="33"/>
  <c r="AD89" i="33"/>
  <c r="AC89" i="33"/>
  <c r="AB89" i="33"/>
  <c r="X89" i="33"/>
  <c r="L89" i="33"/>
  <c r="J89" i="33"/>
  <c r="H89" i="33"/>
  <c r="BU87" i="33"/>
  <c r="BH87" i="33"/>
  <c r="BB87" i="33"/>
  <c r="AN87" i="33"/>
  <c r="AM87" i="33"/>
  <c r="AI87" i="33"/>
  <c r="AR86" i="33" s="1"/>
  <c r="AH87" i="33"/>
  <c r="AF87" i="33"/>
  <c r="AE87" i="33"/>
  <c r="AD87" i="33"/>
  <c r="AC87" i="33"/>
  <c r="AB87" i="33"/>
  <c r="X87" i="33"/>
  <c r="L87" i="33"/>
  <c r="BD87" i="33" s="1"/>
  <c r="J87" i="33"/>
  <c r="AJ87" i="33" s="1"/>
  <c r="I87" i="33"/>
  <c r="AQ86" i="33"/>
  <c r="L86" i="33"/>
  <c r="BU84" i="33"/>
  <c r="BH84" i="33"/>
  <c r="BD84" i="33"/>
  <c r="BB84" i="33"/>
  <c r="AN84" i="33"/>
  <c r="BG84" i="33" s="1"/>
  <c r="AA84" i="33" s="1"/>
  <c r="AM84" i="33"/>
  <c r="AI84" i="33"/>
  <c r="AH84" i="33"/>
  <c r="AF84" i="33"/>
  <c r="AE84" i="33"/>
  <c r="AD84" i="33"/>
  <c r="AC84" i="33"/>
  <c r="AB84" i="33"/>
  <c r="X84" i="33"/>
  <c r="L84" i="33"/>
  <c r="J84" i="33"/>
  <c r="AJ84" i="33" s="1"/>
  <c r="I84" i="33"/>
  <c r="BU82" i="33"/>
  <c r="BH82" i="33"/>
  <c r="BD82" i="33"/>
  <c r="BB82" i="33"/>
  <c r="AU82" i="33"/>
  <c r="AN82" i="33"/>
  <c r="AM82" i="33"/>
  <c r="BF82" i="33" s="1"/>
  <c r="AI82" i="33"/>
  <c r="AH82" i="33"/>
  <c r="AQ81" i="33" s="1"/>
  <c r="AF82" i="33"/>
  <c r="AE82" i="33"/>
  <c r="AD82" i="33"/>
  <c r="AC82" i="33"/>
  <c r="AB82" i="33"/>
  <c r="Z82" i="33"/>
  <c r="X82" i="33"/>
  <c r="L82" i="33"/>
  <c r="J82" i="33"/>
  <c r="H82" i="33"/>
  <c r="AR81" i="33"/>
  <c r="L81" i="33"/>
  <c r="BU79" i="33"/>
  <c r="BH79" i="33"/>
  <c r="BB79" i="33"/>
  <c r="AN79" i="33"/>
  <c r="I79" i="33" s="1"/>
  <c r="AM79" i="33"/>
  <c r="AU79" i="33" s="1"/>
  <c r="AI79" i="33"/>
  <c r="AH79" i="33"/>
  <c r="AQ76" i="33" s="1"/>
  <c r="AF79" i="33"/>
  <c r="AE79" i="33"/>
  <c r="AD79" i="33"/>
  <c r="AC79" i="33"/>
  <c r="AB79" i="33"/>
  <c r="X79" i="33"/>
  <c r="L79" i="33"/>
  <c r="BD79" i="33" s="1"/>
  <c r="J79" i="33"/>
  <c r="AJ79" i="33" s="1"/>
  <c r="H79" i="33"/>
  <c r="BU77" i="33"/>
  <c r="BH77" i="33"/>
  <c r="BF77" i="33"/>
  <c r="Z77" i="33" s="1"/>
  <c r="BD77" i="33"/>
  <c r="BB77" i="33"/>
  <c r="AV77" i="33"/>
  <c r="AU77" i="33"/>
  <c r="AN77" i="33"/>
  <c r="BG77" i="33" s="1"/>
  <c r="AM77" i="33"/>
  <c r="H77" i="33" s="1"/>
  <c r="AI77" i="33"/>
  <c r="AR76" i="33" s="1"/>
  <c r="AH77" i="33"/>
  <c r="AF77" i="33"/>
  <c r="AE77" i="33"/>
  <c r="AD77" i="33"/>
  <c r="AC77" i="33"/>
  <c r="AB77" i="33"/>
  <c r="AA77" i="33"/>
  <c r="X77" i="33"/>
  <c r="L77" i="33"/>
  <c r="L76" i="33" s="1"/>
  <c r="J77" i="33"/>
  <c r="AJ77" i="33" s="1"/>
  <c r="I77" i="33"/>
  <c r="BU74" i="33"/>
  <c r="BH74" i="33"/>
  <c r="BB74" i="33"/>
  <c r="AN74" i="33"/>
  <c r="BG74" i="33" s="1"/>
  <c r="AA74" i="33" s="1"/>
  <c r="AM74" i="33"/>
  <c r="AU74" i="33" s="1"/>
  <c r="AI74" i="33"/>
  <c r="AR70" i="33" s="1"/>
  <c r="AH74" i="33"/>
  <c r="AF74" i="33"/>
  <c r="AE74" i="33"/>
  <c r="AD74" i="33"/>
  <c r="AC74" i="33"/>
  <c r="AB74" i="33"/>
  <c r="X74" i="33"/>
  <c r="L74" i="33"/>
  <c r="BD74" i="33" s="1"/>
  <c r="J74" i="33"/>
  <c r="AJ74" i="33" s="1"/>
  <c r="I74" i="33"/>
  <c r="BU73" i="33"/>
  <c r="BH73" i="33"/>
  <c r="BB73" i="33"/>
  <c r="AN73" i="33"/>
  <c r="I73" i="33" s="1"/>
  <c r="I70" i="33" s="1"/>
  <c r="AM73" i="33"/>
  <c r="BF73" i="33" s="1"/>
  <c r="Z73" i="33" s="1"/>
  <c r="AI73" i="33"/>
  <c r="AH73" i="33"/>
  <c r="AF73" i="33"/>
  <c r="AE73" i="33"/>
  <c r="AD73" i="33"/>
  <c r="AC73" i="33"/>
  <c r="AB73" i="33"/>
  <c r="X73" i="33"/>
  <c r="L73" i="33"/>
  <c r="BD73" i="33" s="1"/>
  <c r="J73" i="33"/>
  <c r="AJ73" i="33" s="1"/>
  <c r="BU71" i="33"/>
  <c r="BH71" i="33"/>
  <c r="BB71" i="33"/>
  <c r="AV71" i="33"/>
  <c r="AU71" i="33"/>
  <c r="BA71" i="33" s="1"/>
  <c r="AN71" i="33"/>
  <c r="BG71" i="33" s="1"/>
  <c r="AM71" i="33"/>
  <c r="H71" i="33" s="1"/>
  <c r="AI71" i="33"/>
  <c r="AH71" i="33"/>
  <c r="AF71" i="33"/>
  <c r="AE71" i="33"/>
  <c r="AD71" i="33"/>
  <c r="AC71" i="33"/>
  <c r="AB71" i="33"/>
  <c r="AA71" i="33"/>
  <c r="X71" i="33"/>
  <c r="L71" i="33"/>
  <c r="L70" i="33" s="1"/>
  <c r="J71" i="33"/>
  <c r="I71" i="33"/>
  <c r="AQ70" i="33"/>
  <c r="BU68" i="33"/>
  <c r="BH68" i="33"/>
  <c r="BF68" i="33"/>
  <c r="Z68" i="33" s="1"/>
  <c r="BB68" i="33"/>
  <c r="AN68" i="33"/>
  <c r="I68" i="33" s="1"/>
  <c r="AM68" i="33"/>
  <c r="AU68" i="33" s="1"/>
  <c r="AI68" i="33"/>
  <c r="AH68" i="33"/>
  <c r="AF68" i="33"/>
  <c r="AE68" i="33"/>
  <c r="AD68" i="33"/>
  <c r="AC68" i="33"/>
  <c r="AB68" i="33"/>
  <c r="X68" i="33"/>
  <c r="L68" i="33"/>
  <c r="BD68" i="33" s="1"/>
  <c r="J68" i="33"/>
  <c r="AJ68" i="33" s="1"/>
  <c r="BU66" i="33"/>
  <c r="BH66" i="33"/>
  <c r="BB66" i="33"/>
  <c r="AN66" i="33"/>
  <c r="I66" i="33" s="1"/>
  <c r="AM66" i="33"/>
  <c r="AU66" i="33" s="1"/>
  <c r="AI66" i="33"/>
  <c r="AH66" i="33"/>
  <c r="AF66" i="33"/>
  <c r="AE66" i="33"/>
  <c r="AD66" i="33"/>
  <c r="AC66" i="33"/>
  <c r="AB66" i="33"/>
  <c r="X66" i="33"/>
  <c r="L66" i="33"/>
  <c r="BD66" i="33" s="1"/>
  <c r="J66" i="33"/>
  <c r="AJ66" i="33" s="1"/>
  <c r="BU64" i="33"/>
  <c r="BH64" i="33"/>
  <c r="BB64" i="33"/>
  <c r="AV64" i="33"/>
  <c r="AN64" i="33"/>
  <c r="BG64" i="33" s="1"/>
  <c r="AA64" i="33" s="1"/>
  <c r="AM64" i="33"/>
  <c r="H64" i="33" s="1"/>
  <c r="AI64" i="33"/>
  <c r="AH64" i="33"/>
  <c r="AF64" i="33"/>
  <c r="AE64" i="33"/>
  <c r="AD64" i="33"/>
  <c r="AC64" i="33"/>
  <c r="AB64" i="33"/>
  <c r="X64" i="33"/>
  <c r="L64" i="33"/>
  <c r="BD64" i="33" s="1"/>
  <c r="J64" i="33"/>
  <c r="AJ64" i="33" s="1"/>
  <c r="I64" i="33"/>
  <c r="BU62" i="33"/>
  <c r="BH62" i="33"/>
  <c r="BD62" i="33"/>
  <c r="BB62" i="33"/>
  <c r="AU62" i="33"/>
  <c r="AN62" i="33"/>
  <c r="AV62" i="33" s="1"/>
  <c r="AT62" i="33" s="1"/>
  <c r="AM62" i="33"/>
  <c r="BF62" i="33" s="1"/>
  <c r="Z62" i="33" s="1"/>
  <c r="AI62" i="33"/>
  <c r="AH62" i="33"/>
  <c r="AF62" i="33"/>
  <c r="AE62" i="33"/>
  <c r="AD62" i="33"/>
  <c r="AC62" i="33"/>
  <c r="AB62" i="33"/>
  <c r="X62" i="33"/>
  <c r="L62" i="33"/>
  <c r="J62" i="33"/>
  <c r="AJ62" i="33" s="1"/>
  <c r="H62" i="33"/>
  <c r="BU60" i="33"/>
  <c r="BH60" i="33"/>
  <c r="BF60" i="33"/>
  <c r="Z60" i="33" s="1"/>
  <c r="BB60" i="33"/>
  <c r="AN60" i="33"/>
  <c r="I60" i="33" s="1"/>
  <c r="AM60" i="33"/>
  <c r="AU60" i="33" s="1"/>
  <c r="AI60" i="33"/>
  <c r="AH60" i="33"/>
  <c r="AF60" i="33"/>
  <c r="AE60" i="33"/>
  <c r="AD60" i="33"/>
  <c r="AC60" i="33"/>
  <c r="AB60" i="33"/>
  <c r="X60" i="33"/>
  <c r="L60" i="33"/>
  <c r="BD60" i="33" s="1"/>
  <c r="J60" i="33"/>
  <c r="AJ60" i="33" s="1"/>
  <c r="BU58" i="33"/>
  <c r="BH58" i="33"/>
  <c r="BB58" i="33"/>
  <c r="AN58" i="33"/>
  <c r="I58" i="33" s="1"/>
  <c r="AM58" i="33"/>
  <c r="AU58" i="33" s="1"/>
  <c r="AI58" i="33"/>
  <c r="AH58" i="33"/>
  <c r="AF58" i="33"/>
  <c r="AE58" i="33"/>
  <c r="AD58" i="33"/>
  <c r="AC58" i="33"/>
  <c r="AB58" i="33"/>
  <c r="X58" i="33"/>
  <c r="L58" i="33"/>
  <c r="BD58" i="33" s="1"/>
  <c r="J58" i="33"/>
  <c r="AJ58" i="33" s="1"/>
  <c r="BU56" i="33"/>
  <c r="BH56" i="33"/>
  <c r="BB56" i="33"/>
  <c r="AV56" i="33"/>
  <c r="AN56" i="33"/>
  <c r="BG56" i="33" s="1"/>
  <c r="AA56" i="33" s="1"/>
  <c r="AM56" i="33"/>
  <c r="H56" i="33" s="1"/>
  <c r="AI56" i="33"/>
  <c r="AH56" i="33"/>
  <c r="AF56" i="33"/>
  <c r="AE56" i="33"/>
  <c r="AD56" i="33"/>
  <c r="AC56" i="33"/>
  <c r="AB56" i="33"/>
  <c r="X56" i="33"/>
  <c r="L56" i="33"/>
  <c r="L53" i="33" s="1"/>
  <c r="J56" i="33"/>
  <c r="AJ56" i="33" s="1"/>
  <c r="I56" i="33"/>
  <c r="BU54" i="33"/>
  <c r="BH54" i="33"/>
  <c r="BD54" i="33"/>
  <c r="BB54" i="33"/>
  <c r="AU54" i="33"/>
  <c r="AN54" i="33"/>
  <c r="AV54" i="33" s="1"/>
  <c r="AT54" i="33" s="1"/>
  <c r="AM54" i="33"/>
  <c r="BF54" i="33" s="1"/>
  <c r="Z54" i="33" s="1"/>
  <c r="AI54" i="33"/>
  <c r="AH54" i="33"/>
  <c r="AF54" i="33"/>
  <c r="AE54" i="33"/>
  <c r="AD54" i="33"/>
  <c r="AC54" i="33"/>
  <c r="AB54" i="33"/>
  <c r="X54" i="33"/>
  <c r="L54" i="33"/>
  <c r="J54" i="33"/>
  <c r="H54" i="33"/>
  <c r="BU51" i="33"/>
  <c r="BH51" i="33"/>
  <c r="BB51" i="33"/>
  <c r="AV51" i="33"/>
  <c r="AN51" i="33"/>
  <c r="I51" i="33" s="1"/>
  <c r="AM51" i="33"/>
  <c r="AU51" i="33" s="1"/>
  <c r="AJ51" i="33"/>
  <c r="AI51" i="33"/>
  <c r="AH51" i="33"/>
  <c r="AF51" i="33"/>
  <c r="AE51" i="33"/>
  <c r="AD51" i="33"/>
  <c r="AC51" i="33"/>
  <c r="AB51" i="33"/>
  <c r="X51" i="33"/>
  <c r="L51" i="33"/>
  <c r="BD51" i="33" s="1"/>
  <c r="J51" i="33"/>
  <c r="H51" i="33"/>
  <c r="H48" i="33" s="1"/>
  <c r="BU49" i="33"/>
  <c r="BH49" i="33"/>
  <c r="BF49" i="33"/>
  <c r="BD49" i="33"/>
  <c r="BB49" i="33"/>
  <c r="AU49" i="33"/>
  <c r="AN49" i="33"/>
  <c r="AM49" i="33"/>
  <c r="H49" i="33" s="1"/>
  <c r="AI49" i="33"/>
  <c r="AH49" i="33"/>
  <c r="AF49" i="33"/>
  <c r="AE49" i="33"/>
  <c r="AD49" i="33"/>
  <c r="AC49" i="33"/>
  <c r="AB49" i="33"/>
  <c r="Z49" i="33"/>
  <c r="X49" i="33"/>
  <c r="L49" i="33"/>
  <c r="L48" i="33" s="1"/>
  <c r="J49" i="33"/>
  <c r="AJ49" i="33" s="1"/>
  <c r="AQ48" i="33"/>
  <c r="J48" i="33"/>
  <c r="BU46" i="33"/>
  <c r="BH46" i="33"/>
  <c r="BB46" i="33"/>
  <c r="AN46" i="33"/>
  <c r="BG46" i="33" s="1"/>
  <c r="AA46" i="33" s="1"/>
  <c r="AM46" i="33"/>
  <c r="AU46" i="33" s="1"/>
  <c r="AI46" i="33"/>
  <c r="AH46" i="33"/>
  <c r="AF46" i="33"/>
  <c r="AE46" i="33"/>
  <c r="AD46" i="33"/>
  <c r="AC46" i="33"/>
  <c r="AB46" i="33"/>
  <c r="X46" i="33"/>
  <c r="L46" i="33"/>
  <c r="BD46" i="33" s="1"/>
  <c r="J46" i="33"/>
  <c r="AJ46" i="33" s="1"/>
  <c r="I46" i="33"/>
  <c r="BU44" i="33"/>
  <c r="BH44" i="33"/>
  <c r="BG44" i="33"/>
  <c r="AA44" i="33" s="1"/>
  <c r="BB44" i="33"/>
  <c r="AN44" i="33"/>
  <c r="I44" i="33" s="1"/>
  <c r="AM44" i="33"/>
  <c r="BF44" i="33" s="1"/>
  <c r="Z44" i="33" s="1"/>
  <c r="AI44" i="33"/>
  <c r="AH44" i="33"/>
  <c r="AF44" i="33"/>
  <c r="AE44" i="33"/>
  <c r="AD44" i="33"/>
  <c r="AC44" i="33"/>
  <c r="AB44" i="33"/>
  <c r="X44" i="33"/>
  <c r="L44" i="33"/>
  <c r="BD44" i="33" s="1"/>
  <c r="J44" i="33"/>
  <c r="AJ44" i="33" s="1"/>
  <c r="BU42" i="33"/>
  <c r="BH42" i="33"/>
  <c r="BF42" i="33"/>
  <c r="Z42" i="33" s="1"/>
  <c r="BB42" i="33"/>
  <c r="AN42" i="33"/>
  <c r="AM42" i="33"/>
  <c r="AI42" i="33"/>
  <c r="AH42" i="33"/>
  <c r="AF42" i="33"/>
  <c r="AE42" i="33"/>
  <c r="AD42" i="33"/>
  <c r="AC42" i="33"/>
  <c r="AB42" i="33"/>
  <c r="X42" i="33"/>
  <c r="L42" i="33"/>
  <c r="BD42" i="33" s="1"/>
  <c r="J42" i="33"/>
  <c r="AJ42" i="33" s="1"/>
  <c r="I42" i="33"/>
  <c r="BU40" i="33"/>
  <c r="BH40" i="33"/>
  <c r="BG40" i="33"/>
  <c r="BD40" i="33"/>
  <c r="BB40" i="33"/>
  <c r="AN40" i="33"/>
  <c r="AV40" i="33" s="1"/>
  <c r="AM40" i="33"/>
  <c r="AI40" i="33"/>
  <c r="AH40" i="33"/>
  <c r="AF40" i="33"/>
  <c r="AE40" i="33"/>
  <c r="AD40" i="33"/>
  <c r="AC40" i="33"/>
  <c r="AB40" i="33"/>
  <c r="AA40" i="33"/>
  <c r="X40" i="33"/>
  <c r="L40" i="33"/>
  <c r="J40" i="33"/>
  <c r="AJ40" i="33" s="1"/>
  <c r="H40" i="33"/>
  <c r="BU38" i="33"/>
  <c r="BH38" i="33"/>
  <c r="BB38" i="33"/>
  <c r="AN38" i="33"/>
  <c r="BG38" i="33" s="1"/>
  <c r="AA38" i="33" s="1"/>
  <c r="AM38" i="33"/>
  <c r="AU38" i="33" s="1"/>
  <c r="AI38" i="33"/>
  <c r="AH38" i="33"/>
  <c r="AF38" i="33"/>
  <c r="AE38" i="33"/>
  <c r="AD38" i="33"/>
  <c r="AC38" i="33"/>
  <c r="AB38" i="33"/>
  <c r="X38" i="33"/>
  <c r="L38" i="33"/>
  <c r="BD38" i="33" s="1"/>
  <c r="J38" i="33"/>
  <c r="AJ38" i="33" s="1"/>
  <c r="I38" i="33"/>
  <c r="BU36" i="33"/>
  <c r="BH36" i="33"/>
  <c r="BG36" i="33"/>
  <c r="AA36" i="33" s="1"/>
  <c r="BB36" i="33"/>
  <c r="AN36" i="33"/>
  <c r="I36" i="33" s="1"/>
  <c r="AM36" i="33"/>
  <c r="BF36" i="33" s="1"/>
  <c r="Z36" i="33" s="1"/>
  <c r="AI36" i="33"/>
  <c r="AH36" i="33"/>
  <c r="AF36" i="33"/>
  <c r="AE36" i="33"/>
  <c r="AD36" i="33"/>
  <c r="AC36" i="33"/>
  <c r="AB36" i="33"/>
  <c r="X36" i="33"/>
  <c r="L36" i="33"/>
  <c r="BD36" i="33" s="1"/>
  <c r="J36" i="33"/>
  <c r="AJ36" i="33" s="1"/>
  <c r="BU34" i="33"/>
  <c r="BH34" i="33"/>
  <c r="BB34" i="33"/>
  <c r="AN34" i="33"/>
  <c r="AM34" i="33"/>
  <c r="BF34" i="33" s="1"/>
  <c r="Z34" i="33" s="1"/>
  <c r="AI34" i="33"/>
  <c r="AH34" i="33"/>
  <c r="AQ33" i="33" s="1"/>
  <c r="AF34" i="33"/>
  <c r="AE34" i="33"/>
  <c r="AD34" i="33"/>
  <c r="AC34" i="33"/>
  <c r="AB34" i="33"/>
  <c r="X34" i="33"/>
  <c r="L34" i="33"/>
  <c r="L33" i="33" s="1"/>
  <c r="J34" i="33"/>
  <c r="I34" i="33"/>
  <c r="BU31" i="33"/>
  <c r="BH31" i="33"/>
  <c r="BB31" i="33"/>
  <c r="AN31" i="33"/>
  <c r="I31" i="33" s="1"/>
  <c r="I30" i="33" s="1"/>
  <c r="AM31" i="33"/>
  <c r="AI31" i="33"/>
  <c r="AR30" i="33" s="1"/>
  <c r="AH31" i="33"/>
  <c r="AQ30" i="33" s="1"/>
  <c r="AF31" i="33"/>
  <c r="AE31" i="33"/>
  <c r="AD31" i="33"/>
  <c r="AC31" i="33"/>
  <c r="AB31" i="33"/>
  <c r="X31" i="33"/>
  <c r="L31" i="33"/>
  <c r="BD31" i="33" s="1"/>
  <c r="J31" i="33"/>
  <c r="BU28" i="33"/>
  <c r="BH28" i="33"/>
  <c r="BD28" i="33"/>
  <c r="BB28" i="33"/>
  <c r="AV28" i="33"/>
  <c r="AN28" i="33"/>
  <c r="BG28" i="33" s="1"/>
  <c r="AA28" i="33" s="1"/>
  <c r="AM28" i="33"/>
  <c r="AI28" i="33"/>
  <c r="AH28" i="33"/>
  <c r="AF28" i="33"/>
  <c r="AE28" i="33"/>
  <c r="AD28" i="33"/>
  <c r="AC28" i="33"/>
  <c r="AB28" i="33"/>
  <c r="X28" i="33"/>
  <c r="L28" i="33"/>
  <c r="J28" i="33"/>
  <c r="AJ28" i="33" s="1"/>
  <c r="BU26" i="33"/>
  <c r="BH26" i="33"/>
  <c r="BD26" i="33"/>
  <c r="BB26" i="33"/>
  <c r="AN26" i="33"/>
  <c r="AV26" i="33" s="1"/>
  <c r="AM26" i="33"/>
  <c r="AI26" i="33"/>
  <c r="AH26" i="33"/>
  <c r="AF26" i="33"/>
  <c r="AE26" i="33"/>
  <c r="AD26" i="33"/>
  <c r="AC26" i="33"/>
  <c r="AB26" i="33"/>
  <c r="X26" i="33"/>
  <c r="L26" i="33"/>
  <c r="J26" i="33"/>
  <c r="AJ26" i="33" s="1"/>
  <c r="H26" i="33"/>
  <c r="BU24" i="33"/>
  <c r="BH24" i="33"/>
  <c r="BB24" i="33"/>
  <c r="AN24" i="33"/>
  <c r="AV24" i="33" s="1"/>
  <c r="AM24" i="33"/>
  <c r="AU24" i="33" s="1"/>
  <c r="AT24" i="33" s="1"/>
  <c r="AI24" i="33"/>
  <c r="AH24" i="33"/>
  <c r="AF24" i="33"/>
  <c r="AE24" i="33"/>
  <c r="AD24" i="33"/>
  <c r="AC24" i="33"/>
  <c r="AB24" i="33"/>
  <c r="X24" i="33"/>
  <c r="L24" i="33"/>
  <c r="BD24" i="33" s="1"/>
  <c r="J24" i="33"/>
  <c r="AJ24" i="33" s="1"/>
  <c r="I24" i="33"/>
  <c r="H24" i="33"/>
  <c r="BU22" i="33"/>
  <c r="BH22" i="33"/>
  <c r="BG22" i="33"/>
  <c r="BF22" i="33"/>
  <c r="Z22" i="33" s="1"/>
  <c r="BD22" i="33"/>
  <c r="BB22" i="33"/>
  <c r="AV22" i="33"/>
  <c r="AU22" i="33"/>
  <c r="AN22" i="33"/>
  <c r="I22" i="33" s="1"/>
  <c r="AM22" i="33"/>
  <c r="AJ22" i="33"/>
  <c r="AI22" i="33"/>
  <c r="AH22" i="33"/>
  <c r="AF22" i="33"/>
  <c r="AE22" i="33"/>
  <c r="AD22" i="33"/>
  <c r="AC22" i="33"/>
  <c r="AB22" i="33"/>
  <c r="AA22" i="33"/>
  <c r="X22" i="33"/>
  <c r="L22" i="33"/>
  <c r="J22" i="33"/>
  <c r="H22" i="33"/>
  <c r="BU20" i="33"/>
  <c r="BH20" i="33"/>
  <c r="BF20" i="33"/>
  <c r="Z20" i="33" s="1"/>
  <c r="BD20" i="33"/>
  <c r="BB20" i="33"/>
  <c r="AU20" i="33"/>
  <c r="AN20" i="33"/>
  <c r="AM20" i="33"/>
  <c r="H20" i="33" s="1"/>
  <c r="AI20" i="33"/>
  <c r="AH20" i="33"/>
  <c r="AF20" i="33"/>
  <c r="AE20" i="33"/>
  <c r="AD20" i="33"/>
  <c r="AC20" i="33"/>
  <c r="AB20" i="33"/>
  <c r="X20" i="33"/>
  <c r="L20" i="33"/>
  <c r="J20" i="33"/>
  <c r="AJ20" i="33" s="1"/>
  <c r="BU18" i="33"/>
  <c r="BH18" i="33"/>
  <c r="BD18" i="33"/>
  <c r="BB18" i="33"/>
  <c r="AU18" i="33"/>
  <c r="BA18" i="33" s="1"/>
  <c r="AN18" i="33"/>
  <c r="AV18" i="33" s="1"/>
  <c r="AM18" i="33"/>
  <c r="BF18" i="33" s="1"/>
  <c r="AI18" i="33"/>
  <c r="AH18" i="33"/>
  <c r="AF18" i="33"/>
  <c r="AE18" i="33"/>
  <c r="AD18" i="33"/>
  <c r="AC18" i="33"/>
  <c r="AB18" i="33"/>
  <c r="Z18" i="33"/>
  <c r="X18" i="33"/>
  <c r="L18" i="33"/>
  <c r="J18" i="33"/>
  <c r="AJ18" i="33" s="1"/>
  <c r="H18" i="33"/>
  <c r="BU16" i="33"/>
  <c r="BH16" i="33"/>
  <c r="BF16" i="33"/>
  <c r="Z16" i="33" s="1"/>
  <c r="BB16" i="33"/>
  <c r="AV16" i="33"/>
  <c r="AT16" i="33" s="1"/>
  <c r="AN16" i="33"/>
  <c r="BG16" i="33" s="1"/>
  <c r="AA16" i="33" s="1"/>
  <c r="AM16" i="33"/>
  <c r="AU16" i="33" s="1"/>
  <c r="AI16" i="33"/>
  <c r="AR15" i="33" s="1"/>
  <c r="AH16" i="33"/>
  <c r="AF16" i="33"/>
  <c r="AE16" i="33"/>
  <c r="AD16" i="33"/>
  <c r="AC16" i="33"/>
  <c r="AB16" i="33"/>
  <c r="X16" i="33"/>
  <c r="L16" i="33"/>
  <c r="BD16" i="33" s="1"/>
  <c r="J16" i="33"/>
  <c r="AJ16" i="33" s="1"/>
  <c r="I16" i="33"/>
  <c r="H16" i="33"/>
  <c r="J15" i="33"/>
  <c r="BU13" i="33"/>
  <c r="BH13" i="33"/>
  <c r="BD13" i="33"/>
  <c r="BB13" i="33"/>
  <c r="AN13" i="33"/>
  <c r="BG13" i="33" s="1"/>
  <c r="AA13" i="33" s="1"/>
  <c r="AM13" i="33"/>
  <c r="H13" i="33" s="1"/>
  <c r="AI13" i="33"/>
  <c r="AR12" i="33" s="1"/>
  <c r="AH13" i="33"/>
  <c r="AF13" i="33"/>
  <c r="AE13" i="33"/>
  <c r="AD13" i="33"/>
  <c r="AC13" i="33"/>
  <c r="AB13" i="33"/>
  <c r="X13" i="33"/>
  <c r="L13" i="33"/>
  <c r="L12" i="33" s="1"/>
  <c r="J13" i="33"/>
  <c r="AJ13" i="33" s="1"/>
  <c r="AS12" i="33" s="1"/>
  <c r="AQ12" i="33"/>
  <c r="H12" i="33"/>
  <c r="AS1" i="33"/>
  <c r="AR1" i="33"/>
  <c r="AQ1" i="33"/>
  <c r="AS24" i="55" l="1"/>
  <c r="H33" i="55"/>
  <c r="AQ43" i="55"/>
  <c r="H46" i="55"/>
  <c r="AV50" i="55"/>
  <c r="H52" i="55"/>
  <c r="H73" i="55"/>
  <c r="H72" i="55" s="1"/>
  <c r="H76" i="55"/>
  <c r="H75" i="55" s="1"/>
  <c r="AU76" i="55"/>
  <c r="AV16" i="55"/>
  <c r="AV20" i="55"/>
  <c r="BA20" i="55" s="1"/>
  <c r="BA22" i="55"/>
  <c r="I25" i="55"/>
  <c r="AU27" i="55"/>
  <c r="I33" i="55"/>
  <c r="AU41" i="55"/>
  <c r="I46" i="55"/>
  <c r="H54" i="55"/>
  <c r="I56" i="55"/>
  <c r="AV58" i="55"/>
  <c r="H68" i="55"/>
  <c r="H67" i="55" s="1"/>
  <c r="AU70" i="55"/>
  <c r="I76" i="55"/>
  <c r="I75" i="55" s="1"/>
  <c r="AR24" i="55"/>
  <c r="H27" i="55"/>
  <c r="I68" i="55"/>
  <c r="I67" i="55" s="1"/>
  <c r="AV13" i="55"/>
  <c r="AT13" i="55" s="1"/>
  <c r="AT18" i="55"/>
  <c r="BF13" i="55"/>
  <c r="Z13" i="55" s="1"/>
  <c r="BG22" i="55"/>
  <c r="AA22" i="55" s="1"/>
  <c r="AI41" i="55"/>
  <c r="AR40" i="55" s="1"/>
  <c r="J40" i="55"/>
  <c r="L12" i="55"/>
  <c r="H13" i="55"/>
  <c r="H12" i="55" s="1"/>
  <c r="AU16" i="55"/>
  <c r="BD16" i="55"/>
  <c r="AV18" i="55"/>
  <c r="H20" i="55"/>
  <c r="H15" i="55" s="1"/>
  <c r="I22" i="55"/>
  <c r="I15" i="55" s="1"/>
  <c r="J24" i="55"/>
  <c r="AV31" i="55"/>
  <c r="I31" i="55"/>
  <c r="I24" i="55" s="1"/>
  <c r="AI76" i="55"/>
  <c r="AR75" i="55" s="1"/>
  <c r="J75" i="55"/>
  <c r="AV78" i="55"/>
  <c r="BA78" i="55" s="1"/>
  <c r="I78" i="55"/>
  <c r="I77" i="55" s="1"/>
  <c r="BG78" i="55"/>
  <c r="BF20" i="55"/>
  <c r="Z20" i="55" s="1"/>
  <c r="AU58" i="55"/>
  <c r="H58" i="55"/>
  <c r="AI70" i="55"/>
  <c r="J67" i="55"/>
  <c r="AV73" i="55"/>
  <c r="I73" i="55"/>
  <c r="I72" i="55" s="1"/>
  <c r="J15" i="55"/>
  <c r="BF16" i="55"/>
  <c r="Z16" i="55" s="1"/>
  <c r="BA18" i="55"/>
  <c r="BG18" i="55"/>
  <c r="AA18" i="55" s="1"/>
  <c r="AU29" i="55"/>
  <c r="H29" i="55"/>
  <c r="H24" i="55" s="1"/>
  <c r="BF29" i="55"/>
  <c r="Z29" i="55" s="1"/>
  <c r="AR35" i="55"/>
  <c r="AR67" i="55"/>
  <c r="AT78" i="55"/>
  <c r="AU36" i="55"/>
  <c r="H36" i="55"/>
  <c r="H35" i="55" s="1"/>
  <c r="AU50" i="55"/>
  <c r="H50" i="55"/>
  <c r="H43" i="55" s="1"/>
  <c r="BF58" i="55"/>
  <c r="Z58" i="55" s="1"/>
  <c r="AU65" i="55"/>
  <c r="H65" i="55"/>
  <c r="H64" i="55" s="1"/>
  <c r="BD36" i="55"/>
  <c r="L35" i="55"/>
  <c r="AV38" i="55"/>
  <c r="I38" i="55"/>
  <c r="I35" i="55" s="1"/>
  <c r="AV44" i="55"/>
  <c r="I44" i="55"/>
  <c r="AI48" i="55"/>
  <c r="AR43" i="55" s="1"/>
  <c r="J43" i="55"/>
  <c r="AV52" i="55"/>
  <c r="I52" i="55"/>
  <c r="AV60" i="55"/>
  <c r="I60" i="55"/>
  <c r="BD65" i="55"/>
  <c r="L64" i="55"/>
  <c r="BG73" i="55"/>
  <c r="AA73" i="55" s="1"/>
  <c r="AT76" i="55"/>
  <c r="AU25" i="55"/>
  <c r="AV27" i="55"/>
  <c r="AU33" i="55"/>
  <c r="AV41" i="55"/>
  <c r="AT41" i="55" s="1"/>
  <c r="AU46" i="55"/>
  <c r="AV48" i="55"/>
  <c r="AT48" i="55" s="1"/>
  <c r="AU54" i="55"/>
  <c r="AV56" i="55"/>
  <c r="AT56" i="55" s="1"/>
  <c r="AU62" i="55"/>
  <c r="AU68" i="55"/>
  <c r="AV70" i="55"/>
  <c r="AT70" i="55" s="1"/>
  <c r="AI73" i="55"/>
  <c r="AR72" i="55" s="1"/>
  <c r="AV76" i="55"/>
  <c r="BA76" i="55" s="1"/>
  <c r="AV25" i="55"/>
  <c r="AU31" i="55"/>
  <c r="AV33" i="55"/>
  <c r="AU38" i="55"/>
  <c r="AU44" i="55"/>
  <c r="AV46" i="55"/>
  <c r="AU52" i="55"/>
  <c r="AV54" i="55"/>
  <c r="AU60" i="55"/>
  <c r="AV62" i="55"/>
  <c r="AV68" i="55"/>
  <c r="AU73" i="55"/>
  <c r="H16" i="54"/>
  <c r="H15" i="54" s="1"/>
  <c r="AQ20" i="54"/>
  <c r="AV35" i="54"/>
  <c r="AV46" i="54"/>
  <c r="AU48" i="54"/>
  <c r="AV50" i="54"/>
  <c r="BA50" i="54" s="1"/>
  <c r="AS55" i="54"/>
  <c r="AV56" i="54"/>
  <c r="H58" i="54"/>
  <c r="J20" i="54"/>
  <c r="AR37" i="54"/>
  <c r="I48" i="54"/>
  <c r="I50" i="54"/>
  <c r="H61" i="54"/>
  <c r="H60" i="54" s="1"/>
  <c r="AU61" i="54"/>
  <c r="J15" i="54"/>
  <c r="AV25" i="54"/>
  <c r="J27" i="54"/>
  <c r="AQ27" i="54"/>
  <c r="AU33" i="54"/>
  <c r="I38" i="54"/>
  <c r="I46" i="54"/>
  <c r="AU13" i="54"/>
  <c r="AT13" i="54" s="1"/>
  <c r="BD21" i="54"/>
  <c r="L20" i="54"/>
  <c r="AJ13" i="54"/>
  <c r="AS12" i="54" s="1"/>
  <c r="AT28" i="54"/>
  <c r="BA28" i="54"/>
  <c r="AU21" i="54"/>
  <c r="H21" i="54"/>
  <c r="H20" i="54" s="1"/>
  <c r="BF21" i="54"/>
  <c r="AB21" i="54" s="1"/>
  <c r="AV23" i="54"/>
  <c r="BA23" i="54" s="1"/>
  <c r="I23" i="54"/>
  <c r="I20" i="54" s="1"/>
  <c r="BG23" i="54"/>
  <c r="AC23" i="54" s="1"/>
  <c r="AT42" i="54"/>
  <c r="BA42" i="54"/>
  <c r="AV16" i="54"/>
  <c r="I16" i="54"/>
  <c r="I15" i="54" s="1"/>
  <c r="BG16" i="54"/>
  <c r="AC16" i="54" s="1"/>
  <c r="AT35" i="54"/>
  <c r="BA35" i="54"/>
  <c r="AT50" i="54"/>
  <c r="AT56" i="54"/>
  <c r="BA56" i="54"/>
  <c r="BF28" i="54"/>
  <c r="Z28" i="54" s="1"/>
  <c r="BF35" i="54"/>
  <c r="Z35" i="54" s="1"/>
  <c r="BF50" i="54"/>
  <c r="BG63" i="54"/>
  <c r="AV13" i="54"/>
  <c r="BA13" i="54" s="1"/>
  <c r="AU18" i="54"/>
  <c r="AU25" i="54"/>
  <c r="L27" i="54"/>
  <c r="H28" i="54"/>
  <c r="H27" i="54" s="1"/>
  <c r="I30" i="54"/>
  <c r="I27" i="54" s="1"/>
  <c r="J32" i="54"/>
  <c r="J65" i="54" s="1"/>
  <c r="AV33" i="54"/>
  <c r="AT33" i="54" s="1"/>
  <c r="H35" i="54"/>
  <c r="H32" i="54" s="1"/>
  <c r="AU38" i="54"/>
  <c r="AV40" i="54"/>
  <c r="BA40" i="54" s="1"/>
  <c r="H42" i="54"/>
  <c r="I44" i="54"/>
  <c r="I37" i="54" s="1"/>
  <c r="AU46" i="54"/>
  <c r="AV48" i="54"/>
  <c r="AT48" i="54" s="1"/>
  <c r="H50" i="54"/>
  <c r="AU53" i="54"/>
  <c r="L55" i="54"/>
  <c r="H56" i="54"/>
  <c r="H55" i="54" s="1"/>
  <c r="I58" i="54"/>
  <c r="I55" i="54" s="1"/>
  <c r="J60" i="54"/>
  <c r="AV61" i="54"/>
  <c r="AT61" i="54" s="1"/>
  <c r="I63" i="54"/>
  <c r="I62" i="54" s="1"/>
  <c r="BG44" i="54"/>
  <c r="BF56" i="54"/>
  <c r="AD56" i="54" s="1"/>
  <c r="AU16" i="54"/>
  <c r="AV18" i="54"/>
  <c r="AU30" i="54"/>
  <c r="L32" i="54"/>
  <c r="J37" i="54"/>
  <c r="AV38" i="54"/>
  <c r="AU44" i="54"/>
  <c r="AV53" i="54"/>
  <c r="AU58" i="54"/>
  <c r="BA61" i="54"/>
  <c r="AU63" i="54"/>
  <c r="BG30" i="54"/>
  <c r="AA30" i="54" s="1"/>
  <c r="BF42" i="54"/>
  <c r="BG58" i="54"/>
  <c r="AE58" i="54" s="1"/>
  <c r="L37" i="54"/>
  <c r="I65" i="52"/>
  <c r="BA45" i="52"/>
  <c r="BA53" i="52"/>
  <c r="BA61" i="52"/>
  <c r="BA68" i="52"/>
  <c r="AR120" i="52"/>
  <c r="H74" i="52"/>
  <c r="AU13" i="52"/>
  <c r="AT59" i="52"/>
  <c r="BA59" i="52"/>
  <c r="AI13" i="52"/>
  <c r="AR12" i="52" s="1"/>
  <c r="J12" i="52"/>
  <c r="BD15" i="52"/>
  <c r="L12" i="52"/>
  <c r="AI27" i="52"/>
  <c r="AR26" i="52" s="1"/>
  <c r="J26" i="52"/>
  <c r="BD29" i="52"/>
  <c r="L26" i="52"/>
  <c r="AU37" i="52"/>
  <c r="H37" i="52"/>
  <c r="BF37" i="52"/>
  <c r="Z37" i="52" s="1"/>
  <c r="AT66" i="52"/>
  <c r="BA66" i="52"/>
  <c r="AV17" i="52"/>
  <c r="BA17" i="52" s="1"/>
  <c r="I17" i="52"/>
  <c r="I12" i="52" s="1"/>
  <c r="AV24" i="52"/>
  <c r="BA24" i="52" s="1"/>
  <c r="I24" i="52"/>
  <c r="I23" i="52" s="1"/>
  <c r="BA27" i="52"/>
  <c r="AV31" i="52"/>
  <c r="BA31" i="52" s="1"/>
  <c r="I31" i="52"/>
  <c r="I26" i="52" s="1"/>
  <c r="AT51" i="52"/>
  <c r="BA51" i="52"/>
  <c r="AS12" i="52"/>
  <c r="AU15" i="52"/>
  <c r="H15" i="52"/>
  <c r="H12" i="52" s="1"/>
  <c r="BF15" i="52"/>
  <c r="Z15" i="52" s="1"/>
  <c r="BG17" i="52"/>
  <c r="AA17" i="52" s="1"/>
  <c r="AT24" i="52"/>
  <c r="BG24" i="52"/>
  <c r="AA24" i="52" s="1"/>
  <c r="AS26" i="52"/>
  <c r="AU29" i="52"/>
  <c r="H29" i="52"/>
  <c r="H26" i="52" s="1"/>
  <c r="BF29" i="52"/>
  <c r="Z29" i="52" s="1"/>
  <c r="AT31" i="52"/>
  <c r="BG31" i="52"/>
  <c r="AA31" i="52" s="1"/>
  <c r="AI42" i="52"/>
  <c r="AR39" i="52" s="1"/>
  <c r="J39" i="52"/>
  <c r="AT45" i="52"/>
  <c r="AT53" i="52"/>
  <c r="AT61" i="52"/>
  <c r="AR65" i="52"/>
  <c r="BG45" i="52"/>
  <c r="AA45" i="52" s="1"/>
  <c r="BG53" i="52"/>
  <c r="AA53" i="52" s="1"/>
  <c r="AV116" i="52"/>
  <c r="BA116" i="52" s="1"/>
  <c r="I116" i="52"/>
  <c r="AV13" i="52"/>
  <c r="AU19" i="52"/>
  <c r="AV21" i="52"/>
  <c r="AT21" i="52" s="1"/>
  <c r="AI24" i="52"/>
  <c r="AR23" i="52" s="1"/>
  <c r="AV27" i="52"/>
  <c r="AT27" i="52" s="1"/>
  <c r="AU33" i="52"/>
  <c r="AV35" i="52"/>
  <c r="BA35" i="52" s="1"/>
  <c r="AU40" i="52"/>
  <c r="BD40" i="52"/>
  <c r="AV42" i="52"/>
  <c r="BA42" i="52" s="1"/>
  <c r="I45" i="52"/>
  <c r="I44" i="52" s="1"/>
  <c r="AI45" i="52"/>
  <c r="AR44" i="52" s="1"/>
  <c r="AU47" i="52"/>
  <c r="AV49" i="52"/>
  <c r="AT49" i="52" s="1"/>
  <c r="H51" i="52"/>
  <c r="H44" i="52" s="1"/>
  <c r="I53" i="52"/>
  <c r="AU55" i="52"/>
  <c r="AV57" i="52"/>
  <c r="AT57" i="52" s="1"/>
  <c r="H59" i="52"/>
  <c r="I61" i="52"/>
  <c r="AU63" i="52"/>
  <c r="L65" i="52"/>
  <c r="H66" i="52"/>
  <c r="H65" i="52" s="1"/>
  <c r="AT68" i="52"/>
  <c r="BF69" i="52"/>
  <c r="Z69" i="52" s="1"/>
  <c r="AU69" i="52"/>
  <c r="AT72" i="52"/>
  <c r="AV75" i="52"/>
  <c r="I75" i="52"/>
  <c r="I74" i="52" s="1"/>
  <c r="BD80" i="52"/>
  <c r="L79" i="52"/>
  <c r="AU86" i="52"/>
  <c r="H86" i="52"/>
  <c r="H85" i="52" s="1"/>
  <c r="BF86" i="52"/>
  <c r="Z86" i="52" s="1"/>
  <c r="AU93" i="52"/>
  <c r="H93" i="52"/>
  <c r="BF93" i="52"/>
  <c r="Z93" i="52" s="1"/>
  <c r="AU107" i="52"/>
  <c r="H107" i="52"/>
  <c r="H106" i="52" s="1"/>
  <c r="BF107" i="52"/>
  <c r="Z107" i="52" s="1"/>
  <c r="AU114" i="52"/>
  <c r="H114" i="52"/>
  <c r="H109" i="52" s="1"/>
  <c r="BF114" i="52"/>
  <c r="Z114" i="52" s="1"/>
  <c r="BG116" i="52"/>
  <c r="AA116" i="52" s="1"/>
  <c r="AV123" i="52"/>
  <c r="BA123" i="52" s="1"/>
  <c r="I123" i="52"/>
  <c r="AU141" i="52"/>
  <c r="H141" i="52"/>
  <c r="BF141" i="52"/>
  <c r="Z141" i="52" s="1"/>
  <c r="AV179" i="52"/>
  <c r="I179" i="52"/>
  <c r="BG179" i="52"/>
  <c r="BF51" i="52"/>
  <c r="Z51" i="52" s="1"/>
  <c r="BF59" i="52"/>
  <c r="Z59" i="52" s="1"/>
  <c r="BF66" i="52"/>
  <c r="Z66" i="52" s="1"/>
  <c r="AI72" i="52"/>
  <c r="AR71" i="52" s="1"/>
  <c r="J71" i="52"/>
  <c r="BD86" i="52"/>
  <c r="L85" i="52"/>
  <c r="BD93" i="52"/>
  <c r="L88" i="52"/>
  <c r="BG13" i="52"/>
  <c r="AA13" i="52" s="1"/>
  <c r="BF19" i="52"/>
  <c r="Z19" i="52" s="1"/>
  <c r="BG21" i="52"/>
  <c r="AA21" i="52" s="1"/>
  <c r="BG27" i="52"/>
  <c r="AA27" i="52" s="1"/>
  <c r="BF33" i="52"/>
  <c r="Z33" i="52" s="1"/>
  <c r="BG35" i="52"/>
  <c r="AA35" i="52" s="1"/>
  <c r="BF40" i="52"/>
  <c r="Z40" i="52" s="1"/>
  <c r="BG42" i="52"/>
  <c r="AA42" i="52" s="1"/>
  <c r="BF47" i="52"/>
  <c r="Z47" i="52" s="1"/>
  <c r="BA49" i="52"/>
  <c r="BG49" i="52"/>
  <c r="AA49" i="52" s="1"/>
  <c r="BF55" i="52"/>
  <c r="Z55" i="52" s="1"/>
  <c r="BA57" i="52"/>
  <c r="BG57" i="52"/>
  <c r="AA57" i="52" s="1"/>
  <c r="BF63" i="52"/>
  <c r="Z63" i="52" s="1"/>
  <c r="BG69" i="52"/>
  <c r="AA69" i="52" s="1"/>
  <c r="AU80" i="52"/>
  <c r="H80" i="52"/>
  <c r="H79" i="52" s="1"/>
  <c r="BF80" i="52"/>
  <c r="Z80" i="52" s="1"/>
  <c r="I109" i="52"/>
  <c r="AU121" i="52"/>
  <c r="H121" i="52"/>
  <c r="BF121" i="52"/>
  <c r="Z121" i="52" s="1"/>
  <c r="BG123" i="52"/>
  <c r="AA123" i="52" s="1"/>
  <c r="AU133" i="52"/>
  <c r="H133" i="52"/>
  <c r="BF133" i="52"/>
  <c r="Z133" i="52" s="1"/>
  <c r="AT177" i="52"/>
  <c r="BA177" i="52"/>
  <c r="BG61" i="52"/>
  <c r="AA61" i="52" s="1"/>
  <c r="AI91" i="52"/>
  <c r="AR88" i="52" s="1"/>
  <c r="J88" i="52"/>
  <c r="AV95" i="52"/>
  <c r="BA95" i="52" s="1"/>
  <c r="I95" i="52"/>
  <c r="BD121" i="52"/>
  <c r="L120" i="52"/>
  <c r="AV69" i="52"/>
  <c r="I88" i="52"/>
  <c r="AU101" i="52"/>
  <c r="H101" i="52"/>
  <c r="BF101" i="52"/>
  <c r="Z101" i="52" s="1"/>
  <c r="BD107" i="52"/>
  <c r="L106" i="52"/>
  <c r="AI112" i="52"/>
  <c r="AR109" i="52" s="1"/>
  <c r="J109" i="52"/>
  <c r="AI161" i="52"/>
  <c r="AR160" i="52" s="1"/>
  <c r="J160" i="52"/>
  <c r="AV72" i="52"/>
  <c r="BA72" i="52" s="1"/>
  <c r="AU77" i="52"/>
  <c r="AU83" i="52"/>
  <c r="AU89" i="52"/>
  <c r="AV91" i="52"/>
  <c r="AT91" i="52" s="1"/>
  <c r="AU97" i="52"/>
  <c r="AV99" i="52"/>
  <c r="AT99" i="52" s="1"/>
  <c r="AU104" i="52"/>
  <c r="BD104" i="52"/>
  <c r="AU110" i="52"/>
  <c r="BD110" i="52"/>
  <c r="AV112" i="52"/>
  <c r="AT112" i="52" s="1"/>
  <c r="AU118" i="52"/>
  <c r="AU125" i="52"/>
  <c r="AI157" i="52"/>
  <c r="AR156" i="52" s="1"/>
  <c r="J156" i="52"/>
  <c r="AU158" i="52"/>
  <c r="H158" i="52"/>
  <c r="H156" i="52" s="1"/>
  <c r="BF158" i="52"/>
  <c r="AU163" i="52"/>
  <c r="H163" i="52"/>
  <c r="BF163" i="52"/>
  <c r="AT169" i="52"/>
  <c r="BA169" i="52"/>
  <c r="AV173" i="52"/>
  <c r="I173" i="52"/>
  <c r="AU182" i="52"/>
  <c r="H182" i="52"/>
  <c r="BF182" i="52"/>
  <c r="AU75" i="52"/>
  <c r="AV77" i="52"/>
  <c r="AV83" i="52"/>
  <c r="AV89" i="52"/>
  <c r="BG99" i="52"/>
  <c r="AA99" i="52" s="1"/>
  <c r="BF104" i="52"/>
  <c r="Z104" i="52" s="1"/>
  <c r="BF110" i="52"/>
  <c r="Z110" i="52" s="1"/>
  <c r="BG112" i="52"/>
  <c r="AA112" i="52" s="1"/>
  <c r="BF118" i="52"/>
  <c r="Z118" i="52" s="1"/>
  <c r="BF125" i="52"/>
  <c r="Z125" i="52" s="1"/>
  <c r="BD147" i="52"/>
  <c r="L146" i="52"/>
  <c r="AI151" i="52"/>
  <c r="AR149" i="52" s="1"/>
  <c r="J149" i="52"/>
  <c r="AU153" i="52"/>
  <c r="H153" i="52"/>
  <c r="H149" i="52" s="1"/>
  <c r="BF153" i="52"/>
  <c r="BD158" i="52"/>
  <c r="L156" i="52"/>
  <c r="AV159" i="52"/>
  <c r="I159" i="52"/>
  <c r="I156" i="52" s="1"/>
  <c r="AT161" i="52"/>
  <c r="BA161" i="52"/>
  <c r="BD163" i="52"/>
  <c r="L160" i="52"/>
  <c r="AU178" i="52"/>
  <c r="H178" i="52"/>
  <c r="BF178" i="52"/>
  <c r="AV184" i="52"/>
  <c r="I184" i="52"/>
  <c r="AV135" i="52"/>
  <c r="I135" i="52"/>
  <c r="I120" i="52" s="1"/>
  <c r="AU147" i="52"/>
  <c r="H147" i="52"/>
  <c r="H146" i="52" s="1"/>
  <c r="BF147" i="52"/>
  <c r="Z147" i="52" s="1"/>
  <c r="BD153" i="52"/>
  <c r="L149" i="52"/>
  <c r="AV155" i="52"/>
  <c r="I155" i="52"/>
  <c r="I149" i="52" s="1"/>
  <c r="AS160" i="52"/>
  <c r="AQ160" i="52"/>
  <c r="AV165" i="52"/>
  <c r="I165" i="52"/>
  <c r="AU171" i="52"/>
  <c r="H171" i="52"/>
  <c r="BF171" i="52"/>
  <c r="AU129" i="52"/>
  <c r="AV131" i="52"/>
  <c r="AT131" i="52" s="1"/>
  <c r="AU137" i="52"/>
  <c r="AV139" i="52"/>
  <c r="AT139" i="52" s="1"/>
  <c r="AU144" i="52"/>
  <c r="AU150" i="52"/>
  <c r="AV151" i="52"/>
  <c r="BA151" i="52" s="1"/>
  <c r="AV157" i="52"/>
  <c r="AT157" i="52" s="1"/>
  <c r="BF169" i="52"/>
  <c r="BG171" i="52"/>
  <c r="BG178" i="52"/>
  <c r="AV181" i="52"/>
  <c r="AT181" i="52" s="1"/>
  <c r="AU127" i="52"/>
  <c r="AV129" i="52"/>
  <c r="AU135" i="52"/>
  <c r="AV137" i="52"/>
  <c r="AV144" i="52"/>
  <c r="AV150" i="52"/>
  <c r="AU155" i="52"/>
  <c r="AU159" i="52"/>
  <c r="AU165" i="52"/>
  <c r="AV167" i="52"/>
  <c r="AT167" i="52" s="1"/>
  <c r="AU173" i="52"/>
  <c r="AV175" i="52"/>
  <c r="AT175" i="52" s="1"/>
  <c r="AU179" i="52"/>
  <c r="AV180" i="52"/>
  <c r="AU184" i="52"/>
  <c r="AI13" i="51"/>
  <c r="AU13" i="51"/>
  <c r="H13" i="51"/>
  <c r="H12" i="51" s="1"/>
  <c r="AT30" i="51"/>
  <c r="BA30" i="51"/>
  <c r="AR37" i="51"/>
  <c r="AT44" i="51"/>
  <c r="BA44" i="51"/>
  <c r="AT22" i="51"/>
  <c r="BA22" i="51"/>
  <c r="AR12" i="51"/>
  <c r="AR32" i="51"/>
  <c r="BG17" i="51"/>
  <c r="AA17" i="51" s="1"/>
  <c r="BG38" i="51"/>
  <c r="AA38" i="51" s="1"/>
  <c r="BG46" i="51"/>
  <c r="AA46" i="51" s="1"/>
  <c r="AU102" i="51"/>
  <c r="H102" i="51"/>
  <c r="H99" i="51" s="1"/>
  <c r="BF14" i="51"/>
  <c r="Z14" i="51" s="1"/>
  <c r="I17" i="51"/>
  <c r="I16" i="51" s="1"/>
  <c r="J19" i="51"/>
  <c r="BF20" i="51"/>
  <c r="Z20" i="51" s="1"/>
  <c r="H22" i="51"/>
  <c r="BG22" i="51"/>
  <c r="AA22" i="51" s="1"/>
  <c r="I24" i="51"/>
  <c r="I19" i="51" s="1"/>
  <c r="BF28" i="51"/>
  <c r="Z28" i="51" s="1"/>
  <c r="H30" i="51"/>
  <c r="BG30" i="51"/>
  <c r="AA30" i="51" s="1"/>
  <c r="BF35" i="51"/>
  <c r="Z35" i="51" s="1"/>
  <c r="I38" i="51"/>
  <c r="BF42" i="51"/>
  <c r="Z42" i="51" s="1"/>
  <c r="H44" i="51"/>
  <c r="BG44" i="51"/>
  <c r="AA44" i="51" s="1"/>
  <c r="I46" i="51"/>
  <c r="BF50" i="51"/>
  <c r="Z50" i="51" s="1"/>
  <c r="H52" i="51"/>
  <c r="BD55" i="51"/>
  <c r="AI60" i="51"/>
  <c r="AR59" i="51" s="1"/>
  <c r="J59" i="51"/>
  <c r="BD62" i="51"/>
  <c r="L59" i="51"/>
  <c r="AV64" i="51"/>
  <c r="I64" i="51"/>
  <c r="AV72" i="51"/>
  <c r="I72" i="51"/>
  <c r="AV97" i="51"/>
  <c r="I97" i="51"/>
  <c r="I96" i="51" s="1"/>
  <c r="BA194" i="51"/>
  <c r="AT194" i="51"/>
  <c r="BF22" i="51"/>
  <c r="Z22" i="51" s="1"/>
  <c r="BF30" i="51"/>
  <c r="Z30" i="51" s="1"/>
  <c r="BF44" i="51"/>
  <c r="Z44" i="51" s="1"/>
  <c r="AU77" i="51"/>
  <c r="H77" i="51"/>
  <c r="H76" i="51" s="1"/>
  <c r="AU123" i="51"/>
  <c r="H123" i="51"/>
  <c r="H122" i="51" s="1"/>
  <c r="AV13" i="51"/>
  <c r="BA14" i="51"/>
  <c r="AU17" i="51"/>
  <c r="BA20" i="51"/>
  <c r="AU24" i="51"/>
  <c r="AV26" i="51"/>
  <c r="BA28" i="51"/>
  <c r="AV33" i="51"/>
  <c r="AT33" i="51" s="1"/>
  <c r="BA35" i="51"/>
  <c r="AU38" i="51"/>
  <c r="AV40" i="51"/>
  <c r="AT40" i="51" s="1"/>
  <c r="BA42" i="51"/>
  <c r="AU46" i="51"/>
  <c r="AV48" i="51"/>
  <c r="BA50" i="51"/>
  <c r="AU55" i="51"/>
  <c r="BF55" i="51"/>
  <c r="Z55" i="51" s="1"/>
  <c r="AV57" i="51"/>
  <c r="BA57" i="51" s="1"/>
  <c r="I57" i="51"/>
  <c r="I54" i="51" s="1"/>
  <c r="BG57" i="51"/>
  <c r="AA57" i="51" s="1"/>
  <c r="AU62" i="51"/>
  <c r="H62" i="51"/>
  <c r="BF62" i="51"/>
  <c r="Z62" i="51" s="1"/>
  <c r="AT68" i="51"/>
  <c r="AU70" i="51"/>
  <c r="H70" i="51"/>
  <c r="BF70" i="51"/>
  <c r="Z70" i="51" s="1"/>
  <c r="AR76" i="51"/>
  <c r="L157" i="51"/>
  <c r="BD158" i="51"/>
  <c r="BG24" i="51"/>
  <c r="AA24" i="51" s="1"/>
  <c r="AU83" i="51"/>
  <c r="H83" i="51"/>
  <c r="H82" i="51" s="1"/>
  <c r="AI88" i="51"/>
  <c r="AR85" i="51" s="1"/>
  <c r="J85" i="51"/>
  <c r="BF102" i="51"/>
  <c r="Z102" i="51" s="1"/>
  <c r="AI107" i="51"/>
  <c r="AR106" i="51" s="1"/>
  <c r="J106" i="51"/>
  <c r="BF123" i="51"/>
  <c r="Z123" i="51" s="1"/>
  <c r="AU130" i="51"/>
  <c r="H130" i="51"/>
  <c r="H125" i="51" s="1"/>
  <c r="J37" i="51"/>
  <c r="AU52" i="51"/>
  <c r="BD77" i="51"/>
  <c r="L76" i="51"/>
  <c r="AV79" i="51"/>
  <c r="I79" i="51"/>
  <c r="I76" i="51" s="1"/>
  <c r="BD83" i="51"/>
  <c r="L82" i="51"/>
  <c r="AV91" i="51"/>
  <c r="I91" i="51"/>
  <c r="I90" i="51" s="1"/>
  <c r="AI95" i="51"/>
  <c r="AR90" i="51" s="1"/>
  <c r="J90" i="51"/>
  <c r="AI100" i="51"/>
  <c r="AR99" i="51" s="1"/>
  <c r="J99" i="51"/>
  <c r="BD102" i="51"/>
  <c r="L99" i="51"/>
  <c r="AV104" i="51"/>
  <c r="I104" i="51"/>
  <c r="I99" i="51" s="1"/>
  <c r="AU116" i="51"/>
  <c r="H116" i="51"/>
  <c r="H109" i="51" s="1"/>
  <c r="BF116" i="51"/>
  <c r="Z116" i="51" s="1"/>
  <c r="AV60" i="51"/>
  <c r="AT60" i="51" s="1"/>
  <c r="AU66" i="51"/>
  <c r="AV68" i="51"/>
  <c r="BA68" i="51" s="1"/>
  <c r="AU74" i="51"/>
  <c r="AU80" i="51"/>
  <c r="AU86" i="51"/>
  <c r="AV88" i="51"/>
  <c r="BA88" i="51" s="1"/>
  <c r="AU93" i="51"/>
  <c r="AV95" i="51"/>
  <c r="AT95" i="51" s="1"/>
  <c r="AV100" i="51"/>
  <c r="AT100" i="51" s="1"/>
  <c r="AV107" i="51"/>
  <c r="AT107" i="51" s="1"/>
  <c r="I110" i="51"/>
  <c r="I112" i="51"/>
  <c r="AV112" i="51"/>
  <c r="AT112" i="51" s="1"/>
  <c r="AI135" i="51"/>
  <c r="AR134" i="51" s="1"/>
  <c r="J134" i="51"/>
  <c r="BD137" i="51"/>
  <c r="L134" i="51"/>
  <c r="AV139" i="51"/>
  <c r="I139" i="51"/>
  <c r="I134" i="51" s="1"/>
  <c r="AV147" i="51"/>
  <c r="I147" i="51"/>
  <c r="AU64" i="51"/>
  <c r="AV66" i="51"/>
  <c r="AU72" i="51"/>
  <c r="AV74" i="51"/>
  <c r="AU79" i="51"/>
  <c r="AV80" i="51"/>
  <c r="AV86" i="51"/>
  <c r="AU91" i="51"/>
  <c r="AV93" i="51"/>
  <c r="AU97" i="51"/>
  <c r="AU104" i="51"/>
  <c r="AU137" i="51"/>
  <c r="H137" i="51"/>
  <c r="BF137" i="51"/>
  <c r="Z137" i="51" s="1"/>
  <c r="AU145" i="51"/>
  <c r="H145" i="51"/>
  <c r="BF145" i="51"/>
  <c r="Z145" i="51" s="1"/>
  <c r="AU153" i="51"/>
  <c r="H153" i="51"/>
  <c r="BF153" i="51"/>
  <c r="Z153" i="51" s="1"/>
  <c r="AT110" i="51"/>
  <c r="BG114" i="51"/>
  <c r="AA114" i="51" s="1"/>
  <c r="AV114" i="51"/>
  <c r="BA114" i="51" s="1"/>
  <c r="AV118" i="51"/>
  <c r="I118" i="51"/>
  <c r="BD123" i="51"/>
  <c r="L122" i="51"/>
  <c r="AI128" i="51"/>
  <c r="AR125" i="51" s="1"/>
  <c r="J125" i="51"/>
  <c r="BD130" i="51"/>
  <c r="L125" i="51"/>
  <c r="AV132" i="51"/>
  <c r="I132" i="51"/>
  <c r="I125" i="51" s="1"/>
  <c r="J168" i="51"/>
  <c r="AI169" i="51"/>
  <c r="AR168" i="51" s="1"/>
  <c r="H170" i="51"/>
  <c r="H168" i="51" s="1"/>
  <c r="AU170" i="51"/>
  <c r="BF170" i="51"/>
  <c r="BD188" i="51"/>
  <c r="L183" i="51"/>
  <c r="I196" i="51"/>
  <c r="AV196" i="51"/>
  <c r="BA196" i="51" s="1"/>
  <c r="BG196" i="51"/>
  <c r="AU120" i="51"/>
  <c r="AU126" i="51"/>
  <c r="AV128" i="51"/>
  <c r="AT128" i="51" s="1"/>
  <c r="AV135" i="51"/>
  <c r="BA135" i="51" s="1"/>
  <c r="AU141" i="51"/>
  <c r="AV143" i="51"/>
  <c r="AT143" i="51" s="1"/>
  <c r="AU149" i="51"/>
  <c r="AV151" i="51"/>
  <c r="AT151" i="51" s="1"/>
  <c r="H158" i="51"/>
  <c r="H157" i="51" s="1"/>
  <c r="AU158" i="51"/>
  <c r="BF158" i="51"/>
  <c r="Z158" i="51" s="1"/>
  <c r="J160" i="51"/>
  <c r="AI163" i="51"/>
  <c r="L168" i="51"/>
  <c r="BD170" i="51"/>
  <c r="I172" i="51"/>
  <c r="I168" i="51" s="1"/>
  <c r="AV172" i="51"/>
  <c r="AT172" i="51" s="1"/>
  <c r="BA184" i="51"/>
  <c r="BA186" i="51"/>
  <c r="AT186" i="51"/>
  <c r="I190" i="51"/>
  <c r="AV190" i="51"/>
  <c r="AT190" i="51" s="1"/>
  <c r="H199" i="51"/>
  <c r="AU199" i="51"/>
  <c r="BF199" i="51"/>
  <c r="H203" i="51"/>
  <c r="AU203" i="51"/>
  <c r="BF203" i="51"/>
  <c r="AU118" i="51"/>
  <c r="AV120" i="51"/>
  <c r="AV126" i="51"/>
  <c r="AU132" i="51"/>
  <c r="AU139" i="51"/>
  <c r="AV141" i="51"/>
  <c r="AU147" i="51"/>
  <c r="AV149" i="51"/>
  <c r="AU155" i="51"/>
  <c r="I166" i="51"/>
  <c r="I165" i="51" s="1"/>
  <c r="AV166" i="51"/>
  <c r="BA166" i="51" s="1"/>
  <c r="H176" i="51"/>
  <c r="AU176" i="51"/>
  <c r="BF176" i="51"/>
  <c r="AT177" i="51"/>
  <c r="AS183" i="51"/>
  <c r="H195" i="51"/>
  <c r="AU195" i="51"/>
  <c r="BF195" i="51"/>
  <c r="BA201" i="51"/>
  <c r="BA202" i="51"/>
  <c r="AT202" i="51"/>
  <c r="I205" i="51"/>
  <c r="AV205" i="51"/>
  <c r="AT205" i="51" s="1"/>
  <c r="AR160" i="51"/>
  <c r="L175" i="51"/>
  <c r="BD176" i="51"/>
  <c r="I177" i="51"/>
  <c r="I175" i="51" s="1"/>
  <c r="AV177" i="51"/>
  <c r="BA177" i="51" s="1"/>
  <c r="H181" i="51"/>
  <c r="AU181" i="51"/>
  <c r="BF181" i="51"/>
  <c r="J183" i="51"/>
  <c r="AI186" i="51"/>
  <c r="AR183" i="51" s="1"/>
  <c r="H188" i="51"/>
  <c r="AU188" i="51"/>
  <c r="BF188" i="51"/>
  <c r="AT196" i="51"/>
  <c r="BA197" i="51"/>
  <c r="BA198" i="51"/>
  <c r="AT198" i="51"/>
  <c r="I200" i="51"/>
  <c r="AV200" i="51"/>
  <c r="BA200" i="51" s="1"/>
  <c r="BA205" i="51"/>
  <c r="BG155" i="51"/>
  <c r="AA155" i="51" s="1"/>
  <c r="BG161" i="51"/>
  <c r="AA161" i="51" s="1"/>
  <c r="BF166" i="51"/>
  <c r="Z166" i="51" s="1"/>
  <c r="BF172" i="51"/>
  <c r="BG174" i="51"/>
  <c r="BF177" i="51"/>
  <c r="BG178" i="51"/>
  <c r="BG184" i="51"/>
  <c r="BF190" i="51"/>
  <c r="BG192" i="51"/>
  <c r="BF196" i="51"/>
  <c r="BG197" i="51"/>
  <c r="BF200" i="51"/>
  <c r="BG201" i="51"/>
  <c r="BF205" i="51"/>
  <c r="BG207" i="51"/>
  <c r="AU161" i="51"/>
  <c r="AV163" i="51"/>
  <c r="BA163" i="51" s="1"/>
  <c r="AV169" i="51"/>
  <c r="BA169" i="51" s="1"/>
  <c r="AU174" i="51"/>
  <c r="AU178" i="51"/>
  <c r="AV179" i="51"/>
  <c r="BA179" i="51" s="1"/>
  <c r="BF186" i="51"/>
  <c r="BG188" i="51"/>
  <c r="BF194" i="51"/>
  <c r="BG195" i="51"/>
  <c r="BF198" i="51"/>
  <c r="BG199" i="51"/>
  <c r="AU207" i="51"/>
  <c r="I38" i="49"/>
  <c r="I51" i="49"/>
  <c r="I59" i="49"/>
  <c r="I67" i="49"/>
  <c r="I75" i="49"/>
  <c r="I88" i="49"/>
  <c r="I96" i="49"/>
  <c r="I104" i="49"/>
  <c r="I125" i="49"/>
  <c r="I40" i="49"/>
  <c r="I53" i="49"/>
  <c r="I61" i="49"/>
  <c r="I69" i="49"/>
  <c r="I82" i="49"/>
  <c r="I90" i="49"/>
  <c r="I98" i="49"/>
  <c r="I106" i="49"/>
  <c r="I127" i="49"/>
  <c r="H135" i="49"/>
  <c r="I36" i="49"/>
  <c r="I44" i="49"/>
  <c r="I57" i="49"/>
  <c r="I65" i="49"/>
  <c r="I73" i="49"/>
  <c r="I86" i="49"/>
  <c r="I94" i="49"/>
  <c r="I131" i="49"/>
  <c r="I34" i="49"/>
  <c r="H34" i="50"/>
  <c r="H23" i="50"/>
  <c r="G26" i="50"/>
  <c r="H26" i="50" s="1"/>
  <c r="H27" i="50"/>
  <c r="H31" i="50"/>
  <c r="G34" i="50"/>
  <c r="H35" i="50"/>
  <c r="F37" i="50"/>
  <c r="G38" i="50"/>
  <c r="H38" i="50" s="1"/>
  <c r="H39" i="50"/>
  <c r="G42" i="50"/>
  <c r="H42" i="50" s="1"/>
  <c r="H43" i="50"/>
  <c r="H47" i="50"/>
  <c r="F30" i="50"/>
  <c r="F46" i="50"/>
  <c r="F32" i="50"/>
  <c r="F44" i="50"/>
  <c r="F48" i="50"/>
  <c r="I135" i="49"/>
  <c r="AQ12" i="41"/>
  <c r="AV37" i="45"/>
  <c r="AV59" i="45"/>
  <c r="AS83" i="45"/>
  <c r="I91" i="45"/>
  <c r="I88" i="45" s="1"/>
  <c r="I94" i="45"/>
  <c r="I93" i="45" s="1"/>
  <c r="AQ99" i="45"/>
  <c r="H106" i="45"/>
  <c r="H114" i="45"/>
  <c r="I116" i="45"/>
  <c r="J122" i="45"/>
  <c r="I122" i="45"/>
  <c r="I131" i="45"/>
  <c r="I130" i="45" s="1"/>
  <c r="H136" i="45"/>
  <c r="I142" i="45"/>
  <c r="I141" i="45" s="1"/>
  <c r="I12" i="45"/>
  <c r="AQ34" i="45"/>
  <c r="J147" i="45"/>
  <c r="AQ73" i="45"/>
  <c r="H86" i="45"/>
  <c r="AS88" i="45"/>
  <c r="AQ88" i="45"/>
  <c r="AU91" i="45"/>
  <c r="AV116" i="45"/>
  <c r="J130" i="45"/>
  <c r="H134" i="45"/>
  <c r="I149" i="45"/>
  <c r="AU160" i="45"/>
  <c r="AS15" i="44"/>
  <c r="H27" i="44"/>
  <c r="AU41" i="44"/>
  <c r="H43" i="44"/>
  <c r="AS45" i="44"/>
  <c r="AS107" i="44"/>
  <c r="AU117" i="44"/>
  <c r="AU148" i="44"/>
  <c r="AQ15" i="44"/>
  <c r="AU20" i="44"/>
  <c r="AT20" i="44" s="1"/>
  <c r="BG46" i="44"/>
  <c r="AA46" i="44" s="1"/>
  <c r="AU56" i="44"/>
  <c r="AU64" i="44"/>
  <c r="AS66" i="44"/>
  <c r="AU121" i="44"/>
  <c r="AS145" i="44"/>
  <c r="AU161" i="44"/>
  <c r="I15" i="44"/>
  <c r="BA18" i="44"/>
  <c r="I27" i="44"/>
  <c r="BA28" i="44"/>
  <c r="AS27" i="44"/>
  <c r="J27" i="44"/>
  <c r="AQ27" i="44"/>
  <c r="H40" i="44"/>
  <c r="J66" i="44"/>
  <c r="AU70" i="44"/>
  <c r="AU92" i="44"/>
  <c r="AU125" i="44"/>
  <c r="AU143" i="44"/>
  <c r="AU144" i="44"/>
  <c r="H157" i="44"/>
  <c r="AV157" i="44"/>
  <c r="BA41" i="44"/>
  <c r="AS112" i="44"/>
  <c r="AU129" i="44"/>
  <c r="H12" i="43"/>
  <c r="AU17" i="43"/>
  <c r="J32" i="43"/>
  <c r="AQ32" i="43"/>
  <c r="AU37" i="43"/>
  <c r="AS49" i="43"/>
  <c r="BG59" i="43"/>
  <c r="AA59" i="43" s="1"/>
  <c r="AU79" i="43"/>
  <c r="H132" i="43"/>
  <c r="AU132" i="43"/>
  <c r="AU136" i="43"/>
  <c r="I12" i="43"/>
  <c r="J75" i="43"/>
  <c r="I108" i="43"/>
  <c r="BG108" i="43"/>
  <c r="AA108" i="43" s="1"/>
  <c r="H123" i="43"/>
  <c r="H122" i="43" s="1"/>
  <c r="H136" i="43"/>
  <c r="AQ161" i="43"/>
  <c r="I164" i="43"/>
  <c r="AU166" i="43"/>
  <c r="AV168" i="43"/>
  <c r="I176" i="43"/>
  <c r="AS161" i="43"/>
  <c r="J12" i="43"/>
  <c r="AQ12" i="43"/>
  <c r="AU21" i="43"/>
  <c r="AU45" i="43"/>
  <c r="AU57" i="43"/>
  <c r="I73" i="43"/>
  <c r="H84" i="43"/>
  <c r="AU87" i="43"/>
  <c r="J89" i="43"/>
  <c r="H94" i="43"/>
  <c r="BF94" i="43"/>
  <c r="AV99" i="43"/>
  <c r="AU108" i="43"/>
  <c r="BA108" i="43" s="1"/>
  <c r="I125" i="43"/>
  <c r="AS122" i="43"/>
  <c r="J147" i="43"/>
  <c r="AU148" i="43"/>
  <c r="I152" i="43"/>
  <c r="I160" i="43"/>
  <c r="AV164" i="43"/>
  <c r="AV176" i="43"/>
  <c r="H31" i="42"/>
  <c r="I88" i="42"/>
  <c r="I87" i="42" s="1"/>
  <c r="AS31" i="42"/>
  <c r="H48" i="42"/>
  <c r="H70" i="42"/>
  <c r="H112" i="42"/>
  <c r="H111" i="42" s="1"/>
  <c r="AV123" i="42"/>
  <c r="AV127" i="42"/>
  <c r="AV131" i="42"/>
  <c r="AV135" i="42"/>
  <c r="AV139" i="42"/>
  <c r="I158" i="42"/>
  <c r="AS160" i="42"/>
  <c r="AV167" i="42"/>
  <c r="AV171" i="42"/>
  <c r="I177" i="42"/>
  <c r="I179" i="42"/>
  <c r="AV182" i="42"/>
  <c r="AV189" i="42"/>
  <c r="AV191" i="42"/>
  <c r="I196" i="42"/>
  <c r="AQ160" i="42"/>
  <c r="AQ15" i="42"/>
  <c r="AU24" i="42"/>
  <c r="AU29" i="42"/>
  <c r="AQ31" i="42"/>
  <c r="AU34" i="42"/>
  <c r="H53" i="42"/>
  <c r="AU68" i="42"/>
  <c r="AU74" i="42"/>
  <c r="AR76" i="42"/>
  <c r="AU77" i="42"/>
  <c r="AS76" i="42"/>
  <c r="H86" i="42"/>
  <c r="H81" i="42" s="1"/>
  <c r="AU86" i="42"/>
  <c r="AR93" i="42"/>
  <c r="AQ93" i="42"/>
  <c r="AU94" i="42"/>
  <c r="AU106" i="42"/>
  <c r="AV118" i="42"/>
  <c r="AV144" i="42"/>
  <c r="H156" i="42"/>
  <c r="H161" i="42"/>
  <c r="AV161" i="42"/>
  <c r="H163" i="42"/>
  <c r="AV163" i="42"/>
  <c r="I175" i="42"/>
  <c r="H186" i="42"/>
  <c r="H187" i="42"/>
  <c r="I194" i="42"/>
  <c r="I135" i="42"/>
  <c r="I120" i="42" s="1"/>
  <c r="AU60" i="42"/>
  <c r="AU73" i="42"/>
  <c r="AS70" i="42"/>
  <c r="I86" i="42"/>
  <c r="I81" i="42" s="1"/>
  <c r="J93" i="42"/>
  <c r="AV106" i="42"/>
  <c r="J108" i="42"/>
  <c r="AS149" i="42"/>
  <c r="I167" i="42"/>
  <c r="I171" i="42"/>
  <c r="I182" i="42"/>
  <c r="I189" i="42"/>
  <c r="I191" i="42"/>
  <c r="H15" i="41"/>
  <c r="I17" i="41"/>
  <c r="H23" i="41"/>
  <c r="I25" i="41"/>
  <c r="I12" i="41" s="1"/>
  <c r="AU30" i="41"/>
  <c r="I35" i="41"/>
  <c r="H41" i="41"/>
  <c r="I43" i="41"/>
  <c r="AR47" i="41"/>
  <c r="AU50" i="41"/>
  <c r="AU57" i="41"/>
  <c r="H74" i="41"/>
  <c r="H73" i="41" s="1"/>
  <c r="I78" i="41"/>
  <c r="AU81" i="41"/>
  <c r="H100" i="41"/>
  <c r="I106" i="41"/>
  <c r="H120" i="41"/>
  <c r="I123" i="41"/>
  <c r="I122" i="41" s="1"/>
  <c r="AU125" i="41"/>
  <c r="I128" i="41"/>
  <c r="I127" i="41" s="1"/>
  <c r="I133" i="41"/>
  <c r="AQ135" i="41"/>
  <c r="I144" i="41"/>
  <c r="I143" i="41" s="1"/>
  <c r="J146" i="41"/>
  <c r="AU158" i="41"/>
  <c r="I161" i="41"/>
  <c r="I160" i="41" s="1"/>
  <c r="AU163" i="41"/>
  <c r="H12" i="41"/>
  <c r="H156" i="41"/>
  <c r="J12" i="41"/>
  <c r="AQ34" i="41"/>
  <c r="H47" i="41"/>
  <c r="AS47" i="41"/>
  <c r="J160" i="41"/>
  <c r="H34" i="41"/>
  <c r="AS34" i="41"/>
  <c r="AU65" i="41"/>
  <c r="I71" i="41"/>
  <c r="AU76" i="41"/>
  <c r="I86" i="41"/>
  <c r="AU97" i="41"/>
  <c r="AU102" i="41"/>
  <c r="I112" i="41"/>
  <c r="I114" i="41"/>
  <c r="AU120" i="41"/>
  <c r="AS122" i="41"/>
  <c r="H128" i="41"/>
  <c r="H127" i="41" s="1"/>
  <c r="AU128" i="41"/>
  <c r="H136" i="41"/>
  <c r="H144" i="41"/>
  <c r="H143" i="41" s="1"/>
  <c r="AU144" i="41"/>
  <c r="AU148" i="41"/>
  <c r="AQ156" i="41"/>
  <c r="I23" i="40"/>
  <c r="H12" i="40"/>
  <c r="AS23" i="40"/>
  <c r="AU31" i="40"/>
  <c r="BA31" i="40" s="1"/>
  <c r="AQ50" i="40"/>
  <c r="AU55" i="40"/>
  <c r="H61" i="40"/>
  <c r="I65" i="40"/>
  <c r="I72" i="40"/>
  <c r="AS80" i="40"/>
  <c r="AU104" i="40"/>
  <c r="I116" i="40"/>
  <c r="I115" i="40" s="1"/>
  <c r="AS120" i="40"/>
  <c r="H127" i="40"/>
  <c r="AU134" i="40"/>
  <c r="AI137" i="40"/>
  <c r="AR136" i="40" s="1"/>
  <c r="AU137" i="40"/>
  <c r="I151" i="40"/>
  <c r="I161" i="40"/>
  <c r="AU165" i="40"/>
  <c r="I167" i="40"/>
  <c r="I12" i="40"/>
  <c r="BA17" i="40"/>
  <c r="J23" i="40"/>
  <c r="AR23" i="40"/>
  <c r="AQ28" i="40"/>
  <c r="AU29" i="40"/>
  <c r="AU37" i="40"/>
  <c r="BA37" i="40" s="1"/>
  <c r="I57" i="40"/>
  <c r="AU61" i="40"/>
  <c r="AU88" i="40"/>
  <c r="AQ97" i="40"/>
  <c r="AU98" i="40"/>
  <c r="AU102" i="40"/>
  <c r="AU108" i="40"/>
  <c r="AU131" i="40"/>
  <c r="H137" i="40"/>
  <c r="H136" i="40" s="1"/>
  <c r="H143" i="40"/>
  <c r="AU145" i="40"/>
  <c r="AQ146" i="40"/>
  <c r="AU153" i="40"/>
  <c r="AU157" i="40"/>
  <c r="I159" i="40"/>
  <c r="AU163" i="40"/>
  <c r="H165" i="40"/>
  <c r="H37" i="40"/>
  <c r="I45" i="40"/>
  <c r="AQ115" i="40"/>
  <c r="H131" i="40"/>
  <c r="I137" i="40"/>
  <c r="I136" i="40" s="1"/>
  <c r="I143" i="40"/>
  <c r="AS150" i="40"/>
  <c r="I165" i="40"/>
  <c r="H12" i="39"/>
  <c r="AU30" i="39"/>
  <c r="AT30" i="39" s="1"/>
  <c r="I12" i="39"/>
  <c r="AT28" i="39"/>
  <c r="J32" i="39"/>
  <c r="H32" i="39"/>
  <c r="I16" i="38"/>
  <c r="BG16" i="38"/>
  <c r="AA16" i="38" s="1"/>
  <c r="AR15" i="38"/>
  <c r="I20" i="38"/>
  <c r="BG20" i="38"/>
  <c r="AA20" i="38" s="1"/>
  <c r="I24" i="38"/>
  <c r="BG24" i="38"/>
  <c r="AA24" i="38" s="1"/>
  <c r="BG29" i="38"/>
  <c r="AA29" i="38" s="1"/>
  <c r="J31" i="38"/>
  <c r="AQ31" i="38"/>
  <c r="I36" i="38"/>
  <c r="BG36" i="38"/>
  <c r="AA36" i="38" s="1"/>
  <c r="AV51" i="38"/>
  <c r="AR53" i="38"/>
  <c r="AU54" i="38"/>
  <c r="AT54" i="38" s="1"/>
  <c r="H73" i="38"/>
  <c r="H70" i="38" s="1"/>
  <c r="AR70" i="38"/>
  <c r="H77" i="38"/>
  <c r="I79" i="38"/>
  <c r="H88" i="38"/>
  <c r="H87" i="38" s="1"/>
  <c r="AU94" i="38"/>
  <c r="H96" i="38"/>
  <c r="I98" i="38"/>
  <c r="AV116" i="38"/>
  <c r="I129" i="38"/>
  <c r="J142" i="38"/>
  <c r="I143" i="38"/>
  <c r="I142" i="38" s="1"/>
  <c r="I146" i="38"/>
  <c r="AR145" i="38"/>
  <c r="I149" i="38"/>
  <c r="J156" i="38"/>
  <c r="H76" i="38"/>
  <c r="J48" i="38"/>
  <c r="AU74" i="38"/>
  <c r="I77" i="38"/>
  <c r="I76" i="38" s="1"/>
  <c r="H86" i="38"/>
  <c r="AU86" i="38"/>
  <c r="AU91" i="38"/>
  <c r="AU102" i="38"/>
  <c r="AU131" i="38"/>
  <c r="BA131" i="38" s="1"/>
  <c r="AU151" i="38"/>
  <c r="AQ152" i="38"/>
  <c r="AU153" i="38"/>
  <c r="AU157" i="38"/>
  <c r="H156" i="38"/>
  <c r="AU161" i="38"/>
  <c r="AU165" i="38"/>
  <c r="AU169" i="38"/>
  <c r="BA169" i="38" s="1"/>
  <c r="AU172" i="38"/>
  <c r="AU174" i="38"/>
  <c r="AU176" i="38"/>
  <c r="AU178" i="38"/>
  <c r="AU181" i="38"/>
  <c r="I44" i="38"/>
  <c r="BG44" i="38"/>
  <c r="AA44" i="38" s="1"/>
  <c r="I51" i="38"/>
  <c r="AT56" i="38"/>
  <c r="AT58" i="38"/>
  <c r="J53" i="38"/>
  <c r="I64" i="38"/>
  <c r="I71" i="38"/>
  <c r="I70" i="38" s="1"/>
  <c r="J76" i="38"/>
  <c r="I82" i="38"/>
  <c r="AR81" i="38"/>
  <c r="H91" i="38"/>
  <c r="H90" i="38" s="1"/>
  <c r="I94" i="38"/>
  <c r="H102" i="38"/>
  <c r="I116" i="38"/>
  <c r="AV127" i="38"/>
  <c r="AQ145" i="38"/>
  <c r="J145" i="38"/>
  <c r="BA149" i="38"/>
  <c r="J12" i="37"/>
  <c r="H15" i="37"/>
  <c r="AV24" i="37"/>
  <c r="AV28" i="37"/>
  <c r="AV33" i="37"/>
  <c r="H52" i="37"/>
  <c r="AQ52" i="37"/>
  <c r="AV55" i="37"/>
  <c r="I70" i="37"/>
  <c r="I57" i="37" s="1"/>
  <c r="AT70" i="37"/>
  <c r="BF70" i="37"/>
  <c r="Z70" i="37" s="1"/>
  <c r="AV72" i="37"/>
  <c r="AQ74" i="37"/>
  <c r="AV75" i="37"/>
  <c r="J80" i="37"/>
  <c r="AV92" i="37"/>
  <c r="AV95" i="37"/>
  <c r="AU102" i="37"/>
  <c r="AR120" i="37"/>
  <c r="AQ120" i="37"/>
  <c r="AV121" i="37"/>
  <c r="J125" i="37"/>
  <c r="AR125" i="37"/>
  <c r="AU147" i="37"/>
  <c r="H153" i="37"/>
  <c r="J159" i="37"/>
  <c r="I160" i="37"/>
  <c r="I159" i="37" s="1"/>
  <c r="AV169" i="37"/>
  <c r="I171" i="37"/>
  <c r="AQ172" i="37"/>
  <c r="AU174" i="37"/>
  <c r="I183" i="37"/>
  <c r="AV185" i="37"/>
  <c r="I192" i="37"/>
  <c r="I193" i="37"/>
  <c r="AV194" i="37"/>
  <c r="H195" i="37"/>
  <c r="I204" i="37"/>
  <c r="J15" i="37"/>
  <c r="J52" i="37"/>
  <c r="I52" i="37"/>
  <c r="AQ57" i="37"/>
  <c r="AS57" i="37"/>
  <c r="I88" i="37"/>
  <c r="I85" i="37" s="1"/>
  <c r="H92" i="37"/>
  <c r="H91" i="37" s="1"/>
  <c r="J97" i="37"/>
  <c r="H147" i="37"/>
  <c r="AU155" i="37"/>
  <c r="I157" i="37"/>
  <c r="I166" i="37"/>
  <c r="AU173" i="37"/>
  <c r="I181" i="37"/>
  <c r="I187" i="37"/>
  <c r="I195" i="37"/>
  <c r="I197" i="37"/>
  <c r="AU198" i="37"/>
  <c r="H201" i="37"/>
  <c r="AU206" i="37"/>
  <c r="BA72" i="37"/>
  <c r="AQ136" i="37"/>
  <c r="AQ15" i="37"/>
  <c r="AV18" i="37"/>
  <c r="AV36" i="37"/>
  <c r="AV40" i="37"/>
  <c r="AV44" i="37"/>
  <c r="AV48" i="37"/>
  <c r="AV58" i="37"/>
  <c r="AV62" i="37"/>
  <c r="AV66" i="37"/>
  <c r="I80" i="37"/>
  <c r="AV83" i="37"/>
  <c r="AQ85" i="37"/>
  <c r="AV88" i="37"/>
  <c r="AV108" i="37"/>
  <c r="AV112" i="37"/>
  <c r="AV116" i="37"/>
  <c r="I125" i="37"/>
  <c r="AQ176" i="37"/>
  <c r="AV181" i="37"/>
  <c r="AS176" i="37"/>
  <c r="AV187" i="37"/>
  <c r="AV192" i="37"/>
  <c r="AV197" i="37"/>
  <c r="J12" i="36"/>
  <c r="H21" i="36"/>
  <c r="H35" i="36"/>
  <c r="AS34" i="36"/>
  <c r="I43" i="36"/>
  <c r="J45" i="36"/>
  <c r="AQ45" i="36"/>
  <c r="AU46" i="36"/>
  <c r="H53" i="36"/>
  <c r="I55" i="36"/>
  <c r="BG65" i="36"/>
  <c r="AA65" i="36" s="1"/>
  <c r="AU69" i="36"/>
  <c r="BF72" i="36"/>
  <c r="Z72" i="36" s="1"/>
  <c r="BA82" i="36"/>
  <c r="I84" i="36"/>
  <c r="AU84" i="36"/>
  <c r="AU92" i="36"/>
  <c r="AT101" i="36"/>
  <c r="AT109" i="36"/>
  <c r="AV115" i="36"/>
  <c r="H120" i="36"/>
  <c r="H117" i="36" s="1"/>
  <c r="BG120" i="36"/>
  <c r="AA120" i="36" s="1"/>
  <c r="AI123" i="36"/>
  <c r="AR122" i="36" s="1"/>
  <c r="AU123" i="36"/>
  <c r="J131" i="36"/>
  <c r="AU132" i="36"/>
  <c r="BG132" i="36"/>
  <c r="AA132" i="36" s="1"/>
  <c r="I142" i="36"/>
  <c r="I141" i="36" s="1"/>
  <c r="AU142" i="36"/>
  <c r="AR144" i="36"/>
  <c r="AS144" i="36"/>
  <c r="AV150" i="36"/>
  <c r="H151" i="36"/>
  <c r="AV155" i="36"/>
  <c r="AT155" i="36" s="1"/>
  <c r="BG156" i="36"/>
  <c r="AS12" i="36"/>
  <c r="AT15" i="36"/>
  <c r="I21" i="36"/>
  <c r="AT23" i="36"/>
  <c r="AT30" i="36"/>
  <c r="I35" i="36"/>
  <c r="AT37" i="36"/>
  <c r="I51" i="36"/>
  <c r="AT51" i="36"/>
  <c r="BG51" i="36"/>
  <c r="AA51" i="36" s="1"/>
  <c r="AT53" i="36"/>
  <c r="AU55" i="36"/>
  <c r="BF55" i="36"/>
  <c r="Z55" i="36" s="1"/>
  <c r="AT63" i="36"/>
  <c r="BG72" i="36"/>
  <c r="AA72" i="36" s="1"/>
  <c r="AR81" i="36"/>
  <c r="AV84" i="36"/>
  <c r="BF87" i="36"/>
  <c r="Z87" i="36" s="1"/>
  <c r="AT89" i="36"/>
  <c r="AT95" i="36"/>
  <c r="BA97" i="36"/>
  <c r="BG101" i="36"/>
  <c r="AA101" i="36" s="1"/>
  <c r="AT103" i="36"/>
  <c r="BA105" i="36"/>
  <c r="BG109" i="36"/>
  <c r="AA109" i="36" s="1"/>
  <c r="AT111" i="36"/>
  <c r="BA113" i="36"/>
  <c r="AU118" i="36"/>
  <c r="BF118" i="36"/>
  <c r="Z118" i="36" s="1"/>
  <c r="AR131" i="36"/>
  <c r="BG153" i="36"/>
  <c r="AT162" i="36"/>
  <c r="J50" i="36"/>
  <c r="AT59" i="36"/>
  <c r="BA76" i="36"/>
  <c r="BG87" i="36"/>
  <c r="AA87" i="36" s="1"/>
  <c r="AV17" i="36"/>
  <c r="AU21" i="36"/>
  <c r="AV25" i="36"/>
  <c r="AQ29" i="36"/>
  <c r="AV32" i="36"/>
  <c r="AI35" i="36"/>
  <c r="AU35" i="36"/>
  <c r="AV39" i="36"/>
  <c r="AV43" i="36"/>
  <c r="H46" i="36"/>
  <c r="H45" i="36" s="1"/>
  <c r="AV48" i="36"/>
  <c r="BG57" i="36"/>
  <c r="AA57" i="36" s="1"/>
  <c r="BA61" i="36"/>
  <c r="AT67" i="36"/>
  <c r="I69" i="36"/>
  <c r="BG69" i="36"/>
  <c r="AA69" i="36" s="1"/>
  <c r="AU76" i="36"/>
  <c r="AV87" i="36"/>
  <c r="BA87" i="36" s="1"/>
  <c r="BF92" i="36"/>
  <c r="Z92" i="36" s="1"/>
  <c r="AS94" i="36"/>
  <c r="AV99" i="36"/>
  <c r="AV107" i="36"/>
  <c r="BA120" i="36"/>
  <c r="BF120" i="36"/>
  <c r="Z120" i="36" s="1"/>
  <c r="H129" i="36"/>
  <c r="H128" i="36" s="1"/>
  <c r="AI129" i="36"/>
  <c r="AR128" i="36" s="1"/>
  <c r="AU129" i="36"/>
  <c r="AU136" i="36"/>
  <c r="H142" i="36"/>
  <c r="H141" i="36" s="1"/>
  <c r="AI142" i="36"/>
  <c r="AR141" i="36" s="1"/>
  <c r="BG142" i="36"/>
  <c r="AA142" i="36" s="1"/>
  <c r="AV145" i="36"/>
  <c r="BG145" i="36"/>
  <c r="AU148" i="36"/>
  <c r="BG148" i="36"/>
  <c r="AV153" i="36"/>
  <c r="I155" i="36"/>
  <c r="I154" i="36" s="1"/>
  <c r="BA155" i="36"/>
  <c r="AT156" i="36"/>
  <c r="AT161" i="35"/>
  <c r="H87" i="35"/>
  <c r="H86" i="35" s="1"/>
  <c r="AQ91" i="35"/>
  <c r="AV99" i="35"/>
  <c r="AV105" i="35"/>
  <c r="H107" i="35"/>
  <c r="J125" i="35"/>
  <c r="AQ125" i="35"/>
  <c r="H148" i="35"/>
  <c r="H147" i="35" s="1"/>
  <c r="BF159" i="35"/>
  <c r="BF161" i="35"/>
  <c r="H168" i="35"/>
  <c r="H167" i="35" s="1"/>
  <c r="AV173" i="35"/>
  <c r="H175" i="35"/>
  <c r="AQ177" i="35"/>
  <c r="AV192" i="35"/>
  <c r="AV196" i="35"/>
  <c r="AV201" i="35"/>
  <c r="J24" i="35"/>
  <c r="AV32" i="35"/>
  <c r="BA32" i="35" s="1"/>
  <c r="H52" i="35"/>
  <c r="H51" i="35" s="1"/>
  <c r="AV65" i="35"/>
  <c r="AV18" i="35"/>
  <c r="H20" i="35"/>
  <c r="AV28" i="35"/>
  <c r="H30" i="35"/>
  <c r="AU34" i="35"/>
  <c r="AT34" i="35" s="1"/>
  <c r="AV44" i="35"/>
  <c r="H46" i="35"/>
  <c r="H49" i="35"/>
  <c r="H48" i="35" s="1"/>
  <c r="J51" i="35"/>
  <c r="AQ51" i="35"/>
  <c r="AU52" i="35"/>
  <c r="AV57" i="35"/>
  <c r="BA57" i="35" s="1"/>
  <c r="AU71" i="35"/>
  <c r="AV80" i="35"/>
  <c r="H81" i="35"/>
  <c r="AU84" i="35"/>
  <c r="AS86" i="35"/>
  <c r="AQ86" i="35"/>
  <c r="J96" i="35"/>
  <c r="AS104" i="35"/>
  <c r="AR104" i="35"/>
  <c r="BG114" i="35"/>
  <c r="AA114" i="35" s="1"/>
  <c r="H117" i="35"/>
  <c r="H116" i="35" s="1"/>
  <c r="AJ123" i="35"/>
  <c r="AS122" i="35" s="1"/>
  <c r="AV123" i="35"/>
  <c r="AR125" i="35"/>
  <c r="AU130" i="35"/>
  <c r="AV137" i="35"/>
  <c r="AT137" i="35" s="1"/>
  <c r="AU145" i="35"/>
  <c r="AU148" i="35"/>
  <c r="AU151" i="35"/>
  <c r="J153" i="35"/>
  <c r="AU159" i="35"/>
  <c r="H161" i="35"/>
  <c r="H160" i="35" s="1"/>
  <c r="AQ160" i="35"/>
  <c r="BG161" i="35"/>
  <c r="I162" i="35"/>
  <c r="I166" i="35"/>
  <c r="I165" i="35" s="1"/>
  <c r="AQ170" i="35"/>
  <c r="AU178" i="35"/>
  <c r="AV180" i="35"/>
  <c r="AU190" i="35"/>
  <c r="I194" i="35"/>
  <c r="I196" i="35"/>
  <c r="AV199" i="35"/>
  <c r="I201" i="35"/>
  <c r="AU209" i="35"/>
  <c r="BA161" i="35"/>
  <c r="H13" i="35"/>
  <c r="H12" i="35" s="1"/>
  <c r="AV22" i="35"/>
  <c r="H34" i="35"/>
  <c r="BA34" i="35"/>
  <c r="H67" i="35"/>
  <c r="H16" i="35"/>
  <c r="AU20" i="35"/>
  <c r="BA20" i="35" s="1"/>
  <c r="AR27" i="35"/>
  <c r="J27" i="35"/>
  <c r="AU30" i="35"/>
  <c r="AV40" i="35"/>
  <c r="AT40" i="35" s="1"/>
  <c r="H42" i="35"/>
  <c r="BA42" i="35"/>
  <c r="AU46" i="35"/>
  <c r="AU49" i="35"/>
  <c r="BA49" i="35" s="1"/>
  <c r="I57" i="35"/>
  <c r="I61" i="35"/>
  <c r="AU63" i="35"/>
  <c r="H71" i="35"/>
  <c r="J77" i="35"/>
  <c r="AQ77" i="35"/>
  <c r="J86" i="35"/>
  <c r="I89" i="35"/>
  <c r="AU97" i="35"/>
  <c r="AU102" i="35"/>
  <c r="I109" i="35"/>
  <c r="H114" i="35"/>
  <c r="H113" i="35" s="1"/>
  <c r="AU114" i="35"/>
  <c r="AU117" i="35"/>
  <c r="H120" i="35"/>
  <c r="H119" i="35" s="1"/>
  <c r="AT128" i="35"/>
  <c r="AV130" i="35"/>
  <c r="AR134" i="35"/>
  <c r="AU135" i="35"/>
  <c r="AV139" i="35"/>
  <c r="H141" i="35"/>
  <c r="AU143" i="35"/>
  <c r="AV145" i="35"/>
  <c r="AJ151" i="35"/>
  <c r="AS150" i="35" s="1"/>
  <c r="AV151" i="35"/>
  <c r="AT155" i="35"/>
  <c r="I159" i="35"/>
  <c r="AV159" i="35"/>
  <c r="BA159" i="35" s="1"/>
  <c r="I161" i="35"/>
  <c r="I160" i="35" s="1"/>
  <c r="AR160" i="35"/>
  <c r="H171" i="35"/>
  <c r="AU171" i="35"/>
  <c r="AT171" i="35" s="1"/>
  <c r="H178" i="35"/>
  <c r="I180" i="35"/>
  <c r="H186" i="35"/>
  <c r="AU186" i="35"/>
  <c r="BA186" i="35" s="1"/>
  <c r="AV188" i="35"/>
  <c r="H190" i="35"/>
  <c r="I192" i="35"/>
  <c r="AV203" i="35"/>
  <c r="H205" i="35"/>
  <c r="AU205" i="35"/>
  <c r="AV207" i="35"/>
  <c r="H209" i="35"/>
  <c r="AV22" i="34"/>
  <c r="H24" i="34"/>
  <c r="J26" i="34"/>
  <c r="AQ26" i="34"/>
  <c r="AV40" i="34"/>
  <c r="H42" i="34"/>
  <c r="AQ44" i="34"/>
  <c r="BG47" i="34"/>
  <c r="AA47" i="34" s="1"/>
  <c r="AV77" i="34"/>
  <c r="AV83" i="34"/>
  <c r="AV97" i="34"/>
  <c r="H99" i="34"/>
  <c r="J111" i="34"/>
  <c r="AV112" i="34"/>
  <c r="AV137" i="34"/>
  <c r="AS44" i="34"/>
  <c r="J21" i="34"/>
  <c r="AU42" i="34"/>
  <c r="AV45" i="34"/>
  <c r="AT45" i="34" s="1"/>
  <c r="AV49" i="34"/>
  <c r="H51" i="34"/>
  <c r="AV55" i="34"/>
  <c r="H66" i="34"/>
  <c r="H65" i="34" s="1"/>
  <c r="BA68" i="34"/>
  <c r="AV69" i="34"/>
  <c r="I74" i="34"/>
  <c r="AQ96" i="34"/>
  <c r="AR96" i="34"/>
  <c r="J96" i="34"/>
  <c r="AV105" i="34"/>
  <c r="H107" i="34"/>
  <c r="I120" i="34"/>
  <c r="I119" i="34" s="1"/>
  <c r="AQ122" i="34"/>
  <c r="AR122" i="34"/>
  <c r="I136" i="34"/>
  <c r="I137" i="34"/>
  <c r="AU24" i="34"/>
  <c r="H13" i="34"/>
  <c r="AV19" i="34"/>
  <c r="H21" i="34"/>
  <c r="AV29" i="34"/>
  <c r="H31" i="34"/>
  <c r="AV33" i="34"/>
  <c r="H35" i="34"/>
  <c r="AU37" i="34"/>
  <c r="H47" i="34"/>
  <c r="AU51" i="34"/>
  <c r="AV53" i="34"/>
  <c r="AT53" i="34" s="1"/>
  <c r="AU63" i="34"/>
  <c r="J65" i="34"/>
  <c r="AQ65" i="34"/>
  <c r="AU66" i="34"/>
  <c r="AV68" i="34"/>
  <c r="AT68" i="34" s="1"/>
  <c r="J74" i="34"/>
  <c r="AQ74" i="34"/>
  <c r="AU75" i="34"/>
  <c r="J82" i="34"/>
  <c r="AT86" i="34"/>
  <c r="AV89" i="34"/>
  <c r="I101" i="34"/>
  <c r="H109" i="34"/>
  <c r="I112" i="34"/>
  <c r="H123" i="34"/>
  <c r="I125" i="34"/>
  <c r="I130" i="34"/>
  <c r="H135" i="34"/>
  <c r="J12" i="33"/>
  <c r="BA16" i="33"/>
  <c r="I28" i="33"/>
  <c r="H28" i="33"/>
  <c r="H15" i="33" s="1"/>
  <c r="BF28" i="33"/>
  <c r="Z28" i="33" s="1"/>
  <c r="AU28" i="33"/>
  <c r="J33" i="33"/>
  <c r="BG34" i="33"/>
  <c r="AA34" i="33" s="1"/>
  <c r="AV34" i="33"/>
  <c r="H42" i="33"/>
  <c r="AU42" i="33"/>
  <c r="BG49" i="33"/>
  <c r="AA49" i="33" s="1"/>
  <c r="AV49" i="33"/>
  <c r="AT49" i="33" s="1"/>
  <c r="I49" i="33"/>
  <c r="I48" i="33" s="1"/>
  <c r="J53" i="33"/>
  <c r="AQ53" i="33"/>
  <c r="BA54" i="33"/>
  <c r="BF58" i="33"/>
  <c r="Z58" i="33" s="1"/>
  <c r="BA62" i="33"/>
  <c r="BF66" i="33"/>
  <c r="Z66" i="33" s="1"/>
  <c r="I92" i="33"/>
  <c r="I91" i="33" s="1"/>
  <c r="BG92" i="33"/>
  <c r="AA92" i="33" s="1"/>
  <c r="AV92" i="33"/>
  <c r="BA92" i="33" s="1"/>
  <c r="BG120" i="33"/>
  <c r="AA120" i="33" s="1"/>
  <c r="AV120" i="33"/>
  <c r="AT120" i="33" s="1"/>
  <c r="I120" i="33"/>
  <c r="H143" i="33"/>
  <c r="BF143" i="33"/>
  <c r="Z143" i="33" s="1"/>
  <c r="AU143" i="33"/>
  <c r="BG185" i="33"/>
  <c r="I185" i="33"/>
  <c r="AV185" i="33"/>
  <c r="BF188" i="33"/>
  <c r="AU188" i="33"/>
  <c r="H188" i="33"/>
  <c r="AU31" i="33"/>
  <c r="BF31" i="33"/>
  <c r="Z31" i="33" s="1"/>
  <c r="BF40" i="33"/>
  <c r="Z40" i="33" s="1"/>
  <c r="AU40" i="33"/>
  <c r="AT40" i="33" s="1"/>
  <c r="BG42" i="33"/>
  <c r="AA42" i="33" s="1"/>
  <c r="AV42" i="33"/>
  <c r="AR53" i="33"/>
  <c r="BA77" i="33"/>
  <c r="AT77" i="33"/>
  <c r="AR94" i="33"/>
  <c r="AU137" i="33"/>
  <c r="AT137" i="33" s="1"/>
  <c r="BF137" i="33"/>
  <c r="Z137" i="33" s="1"/>
  <c r="H196" i="33"/>
  <c r="BF196" i="33"/>
  <c r="AU196" i="33"/>
  <c r="AQ15" i="33"/>
  <c r="AS15" i="33"/>
  <c r="AT18" i="33"/>
  <c r="AT22" i="33"/>
  <c r="BA24" i="33"/>
  <c r="BF24" i="33"/>
  <c r="Z24" i="33" s="1"/>
  <c r="BF26" i="33"/>
  <c r="Z26" i="33" s="1"/>
  <c r="AU26" i="33"/>
  <c r="BA26" i="33" s="1"/>
  <c r="H31" i="33"/>
  <c r="H30" i="33" s="1"/>
  <c r="AR33" i="33"/>
  <c r="H58" i="33"/>
  <c r="H53" i="33" s="1"/>
  <c r="H66" i="33"/>
  <c r="I76" i="33"/>
  <c r="J91" i="33"/>
  <c r="BF131" i="33"/>
  <c r="Z131" i="33" s="1"/>
  <c r="H131" i="33"/>
  <c r="H130" i="33" s="1"/>
  <c r="AU131" i="33"/>
  <c r="AV153" i="33"/>
  <c r="AT153" i="33" s="1"/>
  <c r="I153" i="33"/>
  <c r="BG153" i="33"/>
  <c r="BA194" i="33"/>
  <c r="AT194" i="33"/>
  <c r="BG20" i="33"/>
  <c r="AA20" i="33" s="1"/>
  <c r="AV20" i="33"/>
  <c r="AT20" i="33" s="1"/>
  <c r="I20" i="33"/>
  <c r="BG24" i="33"/>
  <c r="AA24" i="33" s="1"/>
  <c r="AT26" i="33"/>
  <c r="AJ31" i="33"/>
  <c r="AS30" i="33" s="1"/>
  <c r="J30" i="33"/>
  <c r="H34" i="33"/>
  <c r="AU34" i="33"/>
  <c r="BA34" i="33" s="1"/>
  <c r="AJ123" i="33"/>
  <c r="AS122" i="33" s="1"/>
  <c r="J122" i="33"/>
  <c r="BG133" i="33"/>
  <c r="AA133" i="33" s="1"/>
  <c r="AV133" i="33"/>
  <c r="AT133" i="33" s="1"/>
  <c r="I133" i="33"/>
  <c r="BA141" i="33"/>
  <c r="AT141" i="33"/>
  <c r="I156" i="33"/>
  <c r="AV156" i="33"/>
  <c r="BG175" i="33"/>
  <c r="AV175" i="33"/>
  <c r="I175" i="33"/>
  <c r="BF182" i="33"/>
  <c r="H182" i="33"/>
  <c r="AU182" i="33"/>
  <c r="AS76" i="33"/>
  <c r="AS125" i="33"/>
  <c r="J130" i="33"/>
  <c r="AR159" i="33"/>
  <c r="BF170" i="33"/>
  <c r="AD170" i="33" s="1"/>
  <c r="BF192" i="33"/>
  <c r="AR48" i="33"/>
  <c r="BA49" i="33"/>
  <c r="BF51" i="33"/>
  <c r="Z51" i="33" s="1"/>
  <c r="J76" i="33"/>
  <c r="AV84" i="33"/>
  <c r="AS86" i="33"/>
  <c r="J86" i="33"/>
  <c r="H101" i="33"/>
  <c r="AV105" i="33"/>
  <c r="H109" i="33"/>
  <c r="AV113" i="33"/>
  <c r="BA120" i="33"/>
  <c r="J125" i="33"/>
  <c r="BA133" i="33"/>
  <c r="BG137" i="33"/>
  <c r="AA137" i="33" s="1"/>
  <c r="BF145" i="33"/>
  <c r="Z145" i="33" s="1"/>
  <c r="BA153" i="33"/>
  <c r="AV191" i="33"/>
  <c r="AU200" i="33"/>
  <c r="AS48" i="33"/>
  <c r="BG51" i="33"/>
  <c r="AA51" i="33" s="1"/>
  <c r="H60" i="33"/>
  <c r="H68" i="33"/>
  <c r="J70" i="33"/>
  <c r="BF71" i="33"/>
  <c r="Z71" i="33" s="1"/>
  <c r="BG73" i="33"/>
  <c r="AA73" i="33" s="1"/>
  <c r="H76" i="33"/>
  <c r="J81" i="33"/>
  <c r="AU89" i="33"/>
  <c r="AV97" i="33"/>
  <c r="H103" i="33"/>
  <c r="H111" i="33"/>
  <c r="BG118" i="33"/>
  <c r="AA118" i="33" s="1"/>
  <c r="H123" i="33"/>
  <c r="H122" i="33" s="1"/>
  <c r="AR130" i="33"/>
  <c r="AV143" i="33"/>
  <c r="BG143" i="33"/>
  <c r="AA143" i="33" s="1"/>
  <c r="AV154" i="33"/>
  <c r="AS159" i="33"/>
  <c r="AV161" i="33"/>
  <c r="BG165" i="33"/>
  <c r="AV170" i="33"/>
  <c r="BA170" i="33" s="1"/>
  <c r="BG173" i="33"/>
  <c r="AU177" i="33"/>
  <c r="AU180" i="33"/>
  <c r="AV181" i="33"/>
  <c r="BG184" i="33"/>
  <c r="AV186" i="33"/>
  <c r="BG188" i="33"/>
  <c r="H192" i="33"/>
  <c r="AV192" i="33"/>
  <c r="AT192" i="33" s="1"/>
  <c r="AU193" i="33"/>
  <c r="I196" i="33"/>
  <c r="AV196" i="33"/>
  <c r="AQ12" i="45"/>
  <c r="AS12" i="43"/>
  <c r="H13" i="42"/>
  <c r="H12" i="42" s="1"/>
  <c r="AU13" i="42"/>
  <c r="AQ12" i="40"/>
  <c r="AS12" i="40"/>
  <c r="AU13" i="39"/>
  <c r="AS12" i="39"/>
  <c r="J12" i="38"/>
  <c r="BG13" i="38"/>
  <c r="AA13" i="38" s="1"/>
  <c r="AV13" i="37"/>
  <c r="AI13" i="36"/>
  <c r="AU13" i="36"/>
  <c r="AU13" i="35"/>
  <c r="BA13" i="35" s="1"/>
  <c r="AU13" i="34"/>
  <c r="BA13" i="34" s="1"/>
  <c r="AR12" i="34"/>
  <c r="I13" i="33"/>
  <c r="I12" i="33" s="1"/>
  <c r="AU13" i="33"/>
  <c r="BF13" i="33"/>
  <c r="Z13" i="33" s="1"/>
  <c r="AV13" i="33"/>
  <c r="J12" i="45"/>
  <c r="AQ29" i="45"/>
  <c r="AV30" i="45"/>
  <c r="AV32" i="45"/>
  <c r="AT32" i="45" s="1"/>
  <c r="J47" i="45"/>
  <c r="AV50" i="45"/>
  <c r="AQ52" i="45"/>
  <c r="AU86" i="45"/>
  <c r="H91" i="45"/>
  <c r="H94" i="45"/>
  <c r="H93" i="45" s="1"/>
  <c r="BD97" i="45"/>
  <c r="I104" i="45"/>
  <c r="AU106" i="45"/>
  <c r="AV114" i="45"/>
  <c r="J133" i="45"/>
  <c r="AQ133" i="45"/>
  <c r="AU136" i="45"/>
  <c r="H139" i="45"/>
  <c r="H138" i="45" s="1"/>
  <c r="BD142" i="45"/>
  <c r="I151" i="45"/>
  <c r="I29" i="45"/>
  <c r="BA37" i="45"/>
  <c r="BF37" i="45"/>
  <c r="Z37" i="45" s="1"/>
  <c r="AU43" i="45"/>
  <c r="J52" i="45"/>
  <c r="BF59" i="45"/>
  <c r="Z59" i="45" s="1"/>
  <c r="AV65" i="45"/>
  <c r="BA65" i="45" s="1"/>
  <c r="AU84" i="45"/>
  <c r="L88" i="45"/>
  <c r="AU131" i="45"/>
  <c r="AU145" i="45"/>
  <c r="L147" i="45"/>
  <c r="AQ157" i="45"/>
  <c r="AU159" i="45"/>
  <c r="I157" i="45"/>
  <c r="AS12" i="45"/>
  <c r="H37" i="45"/>
  <c r="H34" i="45" s="1"/>
  <c r="AR47" i="45"/>
  <c r="BF74" i="45"/>
  <c r="Z74" i="45" s="1"/>
  <c r="I86" i="45"/>
  <c r="I83" i="45" s="1"/>
  <c r="H89" i="45"/>
  <c r="J88" i="45"/>
  <c r="L93" i="45"/>
  <c r="J99" i="45"/>
  <c r="I106" i="45"/>
  <c r="I114" i="45"/>
  <c r="H122" i="45"/>
  <c r="J127" i="45"/>
  <c r="H131" i="45"/>
  <c r="H130" i="45" s="1"/>
  <c r="I136" i="45"/>
  <c r="I133" i="45" s="1"/>
  <c r="L138" i="45"/>
  <c r="BD148" i="45"/>
  <c r="AU151" i="45"/>
  <c r="AU156" i="45"/>
  <c r="I162" i="45"/>
  <c r="I161" i="45" s="1"/>
  <c r="J163" i="45"/>
  <c r="J29" i="45"/>
  <c r="AS34" i="45"/>
  <c r="AV13" i="45"/>
  <c r="AT13" i="45" s="1"/>
  <c r="AV17" i="45"/>
  <c r="BA17" i="45" s="1"/>
  <c r="AV21" i="45"/>
  <c r="BA21" i="45" s="1"/>
  <c r="AV25" i="45"/>
  <c r="AT25" i="45" s="1"/>
  <c r="H32" i="45"/>
  <c r="H29" i="45" s="1"/>
  <c r="AS29" i="45"/>
  <c r="I37" i="45"/>
  <c r="I34" i="45" s="1"/>
  <c r="AV43" i="45"/>
  <c r="AT43" i="45" s="1"/>
  <c r="AV48" i="45"/>
  <c r="L47" i="45"/>
  <c r="L52" i="45"/>
  <c r="AV53" i="45"/>
  <c r="I55" i="45"/>
  <c r="I61" i="45"/>
  <c r="AV63" i="45"/>
  <c r="AV69" i="45"/>
  <c r="I71" i="45"/>
  <c r="J73" i="45"/>
  <c r="AV76" i="45"/>
  <c r="I78" i="45"/>
  <c r="AU114" i="45"/>
  <c r="BD123" i="45"/>
  <c r="BD128" i="45"/>
  <c r="I153" i="45"/>
  <c r="I147" i="45" s="1"/>
  <c r="I154" i="45"/>
  <c r="I156" i="45"/>
  <c r="H159" i="45"/>
  <c r="H160" i="45"/>
  <c r="BD164" i="45"/>
  <c r="AV45" i="45"/>
  <c r="AT45" i="45" s="1"/>
  <c r="AS52" i="45"/>
  <c r="AU57" i="45"/>
  <c r="AT57" i="45" s="1"/>
  <c r="AV67" i="45"/>
  <c r="AS73" i="45"/>
  <c r="AV74" i="45"/>
  <c r="BA74" i="45" s="1"/>
  <c r="AV81" i="45"/>
  <c r="AT81" i="45" s="1"/>
  <c r="H83" i="45"/>
  <c r="J83" i="45"/>
  <c r="J96" i="45"/>
  <c r="H97" i="45"/>
  <c r="H96" i="45" s="1"/>
  <c r="AU97" i="45"/>
  <c r="L99" i="45"/>
  <c r="I100" i="45"/>
  <c r="H102" i="45"/>
  <c r="AU102" i="45"/>
  <c r="I108" i="45"/>
  <c r="H110" i="45"/>
  <c r="AU110" i="45"/>
  <c r="AU120" i="45"/>
  <c r="AU125" i="45"/>
  <c r="BD131" i="45"/>
  <c r="J141" i="45"/>
  <c r="H142" i="45"/>
  <c r="H141" i="45" s="1"/>
  <c r="AU142" i="45"/>
  <c r="L144" i="45"/>
  <c r="I145" i="45"/>
  <c r="I144" i="45" s="1"/>
  <c r="AU148" i="45"/>
  <c r="AU149" i="45"/>
  <c r="L157" i="45"/>
  <c r="AU162" i="45"/>
  <c r="AS147" i="45"/>
  <c r="AV15" i="45"/>
  <c r="AV19" i="45"/>
  <c r="AT19" i="45" s="1"/>
  <c r="AV23" i="45"/>
  <c r="BA23" i="45" s="1"/>
  <c r="AV27" i="45"/>
  <c r="AT27" i="45" s="1"/>
  <c r="J34" i="45"/>
  <c r="AV35" i="45"/>
  <c r="AV39" i="45"/>
  <c r="I48" i="45"/>
  <c r="I47" i="45" s="1"/>
  <c r="BD50" i="45"/>
  <c r="I53" i="45"/>
  <c r="AV55" i="45"/>
  <c r="AV57" i="45"/>
  <c r="AV61" i="45"/>
  <c r="I63" i="45"/>
  <c r="I69" i="45"/>
  <c r="AV71" i="45"/>
  <c r="I76" i="45"/>
  <c r="AV78" i="45"/>
  <c r="AU89" i="45"/>
  <c r="AU94" i="45"/>
  <c r="I102" i="45"/>
  <c r="AU104" i="45"/>
  <c r="I110" i="45"/>
  <c r="H112" i="45"/>
  <c r="AU112" i="45"/>
  <c r="H116" i="45"/>
  <c r="AU116" i="45"/>
  <c r="AU118" i="45"/>
  <c r="AU123" i="45"/>
  <c r="AU128" i="45"/>
  <c r="AU134" i="45"/>
  <c r="AU139" i="45"/>
  <c r="H148" i="45"/>
  <c r="H149" i="45"/>
  <c r="AU153" i="45"/>
  <c r="AU154" i="45"/>
  <c r="H162" i="45"/>
  <c r="H161" i="45" s="1"/>
  <c r="BA15" i="45"/>
  <c r="AT15" i="45"/>
  <c r="BA13" i="45"/>
  <c r="AR29" i="45"/>
  <c r="AT17" i="45"/>
  <c r="AR12" i="45"/>
  <c r="BA27" i="45"/>
  <c r="L12" i="45"/>
  <c r="BF15" i="45"/>
  <c r="Z15" i="45" s="1"/>
  <c r="BF17" i="45"/>
  <c r="Z17" i="45" s="1"/>
  <c r="BF21" i="45"/>
  <c r="Z21" i="45" s="1"/>
  <c r="AT59" i="45"/>
  <c r="BA59" i="45"/>
  <c r="AI86" i="45"/>
  <c r="AR83" i="45" s="1"/>
  <c r="AI89" i="45"/>
  <c r="AI94" i="45"/>
  <c r="AR93" i="45" s="1"/>
  <c r="AI104" i="45"/>
  <c r="AI108" i="45"/>
  <c r="AI110" i="45"/>
  <c r="AI112" i="45"/>
  <c r="AI114" i="45"/>
  <c r="AI134" i="45"/>
  <c r="AR133" i="45" s="1"/>
  <c r="AI139" i="45"/>
  <c r="AR138" i="45" s="1"/>
  <c r="J157" i="45"/>
  <c r="AI35" i="45"/>
  <c r="AI39" i="45"/>
  <c r="BA57" i="45"/>
  <c r="AU30" i="45"/>
  <c r="AU35" i="45"/>
  <c r="AU39" i="45"/>
  <c r="AU41" i="45"/>
  <c r="BF41" i="45"/>
  <c r="Z41" i="45" s="1"/>
  <c r="H48" i="45"/>
  <c r="H47" i="45" s="1"/>
  <c r="AU48" i="45"/>
  <c r="H55" i="45"/>
  <c r="AU55" i="45"/>
  <c r="H63" i="45"/>
  <c r="AU63" i="45"/>
  <c r="H71" i="45"/>
  <c r="AU71" i="45"/>
  <c r="AR73" i="45"/>
  <c r="H78" i="45"/>
  <c r="AU78" i="45"/>
  <c r="L83" i="45"/>
  <c r="AI159" i="45"/>
  <c r="AR157" i="45" s="1"/>
  <c r="BF13" i="45"/>
  <c r="Z13" i="45" s="1"/>
  <c r="BF19" i="45"/>
  <c r="Z19" i="45" s="1"/>
  <c r="BF23" i="45"/>
  <c r="Z23" i="45" s="1"/>
  <c r="BF25" i="45"/>
  <c r="Z25" i="45" s="1"/>
  <c r="BF27" i="45"/>
  <c r="Z27" i="45" s="1"/>
  <c r="BA45" i="45"/>
  <c r="AT67" i="45"/>
  <c r="BA67" i="45"/>
  <c r="AI91" i="45"/>
  <c r="AI102" i="45"/>
  <c r="AI145" i="45"/>
  <c r="AR144" i="45" s="1"/>
  <c r="BA43" i="45"/>
  <c r="AT50" i="45"/>
  <c r="BA50" i="45"/>
  <c r="AR52" i="45"/>
  <c r="AT65" i="45"/>
  <c r="L73" i="45"/>
  <c r="L80" i="45"/>
  <c r="BA91" i="45"/>
  <c r="L29" i="45"/>
  <c r="L34" i="45"/>
  <c r="AT37" i="45"/>
  <c r="H53" i="45"/>
  <c r="AU53" i="45"/>
  <c r="H61" i="45"/>
  <c r="AU61" i="45"/>
  <c r="H69" i="45"/>
  <c r="AU69" i="45"/>
  <c r="H76" i="45"/>
  <c r="AU76" i="45"/>
  <c r="AI116" i="45"/>
  <c r="AI153" i="45"/>
  <c r="AR147" i="45" s="1"/>
  <c r="AS157" i="45"/>
  <c r="BG84" i="45"/>
  <c r="AA84" i="45" s="1"/>
  <c r="AV84" i="45"/>
  <c r="AV86" i="45"/>
  <c r="AV89" i="45"/>
  <c r="AT89" i="45" s="1"/>
  <c r="AV91" i="45"/>
  <c r="AT91" i="45" s="1"/>
  <c r="AV94" i="45"/>
  <c r="AV97" i="45"/>
  <c r="AT97" i="45" s="1"/>
  <c r="AV100" i="45"/>
  <c r="AT100" i="45" s="1"/>
  <c r="AV102" i="45"/>
  <c r="AT102" i="45" s="1"/>
  <c r="AV104" i="45"/>
  <c r="AV106" i="45"/>
  <c r="AT106" i="45" s="1"/>
  <c r="AV108" i="45"/>
  <c r="AT108" i="45" s="1"/>
  <c r="AV110" i="45"/>
  <c r="AV112" i="45"/>
  <c r="AT112" i="45" s="1"/>
  <c r="AV118" i="45"/>
  <c r="AV120" i="45"/>
  <c r="AT120" i="45" s="1"/>
  <c r="AV123" i="45"/>
  <c r="AT123" i="45" s="1"/>
  <c r="AV125" i="45"/>
  <c r="BA125" i="45" s="1"/>
  <c r="AV128" i="45"/>
  <c r="BA128" i="45" s="1"/>
  <c r="AV131" i="45"/>
  <c r="AT131" i="45" s="1"/>
  <c r="AV134" i="45"/>
  <c r="AV136" i="45"/>
  <c r="AT136" i="45" s="1"/>
  <c r="AV139" i="45"/>
  <c r="BA139" i="45" s="1"/>
  <c r="AV142" i="45"/>
  <c r="AT142" i="45" s="1"/>
  <c r="AV145" i="45"/>
  <c r="AV148" i="45"/>
  <c r="BA148" i="45" s="1"/>
  <c r="AV149" i="45"/>
  <c r="BA149" i="45" s="1"/>
  <c r="AV151" i="45"/>
  <c r="AT151" i="45" s="1"/>
  <c r="AV153" i="45"/>
  <c r="AV154" i="45"/>
  <c r="AV156" i="45"/>
  <c r="AV158" i="45"/>
  <c r="AT158" i="45" s="1"/>
  <c r="AV159" i="45"/>
  <c r="AT159" i="45" s="1"/>
  <c r="AV160" i="45"/>
  <c r="BA160" i="45" s="1"/>
  <c r="AV162" i="45"/>
  <c r="AV164" i="45"/>
  <c r="AT164" i="45" s="1"/>
  <c r="AU13" i="44"/>
  <c r="BA13" i="44" s="1"/>
  <c r="L15" i="44"/>
  <c r="L40" i="44"/>
  <c r="I41" i="44"/>
  <c r="AU43" i="44"/>
  <c r="BA46" i="44"/>
  <c r="H52" i="44"/>
  <c r="H60" i="44"/>
  <c r="BA60" i="44"/>
  <c r="AU62" i="44"/>
  <c r="BA62" i="44" s="1"/>
  <c r="BD67" i="44"/>
  <c r="BG73" i="44"/>
  <c r="AA73" i="44" s="1"/>
  <c r="H76" i="44"/>
  <c r="H75" i="44" s="1"/>
  <c r="L80" i="44"/>
  <c r="BG84" i="44"/>
  <c r="AA84" i="44" s="1"/>
  <c r="AU90" i="44"/>
  <c r="AU94" i="44"/>
  <c r="L107" i="44"/>
  <c r="L112" i="44"/>
  <c r="AV148" i="44"/>
  <c r="AT148" i="44" s="1"/>
  <c r="AU157" i="44"/>
  <c r="AV159" i="44"/>
  <c r="BA159" i="44" s="1"/>
  <c r="H161" i="44"/>
  <c r="BA148" i="44"/>
  <c r="AU16" i="44"/>
  <c r="BA16" i="44" s="1"/>
  <c r="AU36" i="44"/>
  <c r="AU52" i="44"/>
  <c r="BA52" i="44" s="1"/>
  <c r="AU60" i="44"/>
  <c r="AU69" i="44"/>
  <c r="BA69" i="44" s="1"/>
  <c r="AU76" i="44"/>
  <c r="BA76" i="44" s="1"/>
  <c r="BG81" i="44"/>
  <c r="AA81" i="44" s="1"/>
  <c r="J83" i="44"/>
  <c r="L89" i="44"/>
  <c r="I90" i="44"/>
  <c r="I94" i="44"/>
  <c r="I98" i="44"/>
  <c r="I102" i="44"/>
  <c r="AU105" i="44"/>
  <c r="AU108" i="44"/>
  <c r="AI132" i="44"/>
  <c r="AR131" i="44" s="1"/>
  <c r="AU132" i="44"/>
  <c r="AU136" i="44"/>
  <c r="H146" i="44"/>
  <c r="H150" i="44"/>
  <c r="I152" i="44"/>
  <c r="I155" i="44"/>
  <c r="BA43" i="44"/>
  <c r="BA20" i="44"/>
  <c r="AU22" i="44"/>
  <c r="BA22" i="44" s="1"/>
  <c r="J45" i="44"/>
  <c r="J163" i="44" s="1"/>
  <c r="H48" i="44"/>
  <c r="BA48" i="44"/>
  <c r="AU50" i="44"/>
  <c r="BA50" i="44" s="1"/>
  <c r="H56" i="44"/>
  <c r="BA56" i="44"/>
  <c r="AU58" i="44"/>
  <c r="BA58" i="44" s="1"/>
  <c r="H64" i="44"/>
  <c r="BA64" i="44"/>
  <c r="AU67" i="44"/>
  <c r="BA67" i="44" s="1"/>
  <c r="BA70" i="44"/>
  <c r="AU110" i="44"/>
  <c r="AU115" i="44"/>
  <c r="AU119" i="44"/>
  <c r="AU123" i="44"/>
  <c r="AU127" i="44"/>
  <c r="H132" i="44"/>
  <c r="H131" i="44" s="1"/>
  <c r="AU135" i="44"/>
  <c r="H136" i="44"/>
  <c r="H134" i="44" s="1"/>
  <c r="I138" i="44"/>
  <c r="I134" i="44" s="1"/>
  <c r="AU140" i="44"/>
  <c r="AU142" i="44"/>
  <c r="L145" i="44"/>
  <c r="AU146" i="44"/>
  <c r="AU150" i="44"/>
  <c r="AV152" i="44"/>
  <c r="AT152" i="44" s="1"/>
  <c r="H154" i="44"/>
  <c r="AU154" i="44"/>
  <c r="AV155" i="44"/>
  <c r="AT155" i="44" s="1"/>
  <c r="H156" i="44"/>
  <c r="AU156" i="44"/>
  <c r="I158" i="44"/>
  <c r="AV158" i="44"/>
  <c r="AT158" i="44" s="1"/>
  <c r="AT159" i="44"/>
  <c r="AT18" i="44"/>
  <c r="AT28" i="44"/>
  <c r="AT36" i="44"/>
  <c r="BA36" i="44"/>
  <c r="AT16" i="44"/>
  <c r="BG16" i="44"/>
  <c r="AA16" i="44" s="1"/>
  <c r="BG20" i="44"/>
  <c r="AA20" i="44" s="1"/>
  <c r="BG34" i="44"/>
  <c r="AA34" i="44" s="1"/>
  <c r="AI123" i="44"/>
  <c r="AI13" i="44"/>
  <c r="AR12" i="44" s="1"/>
  <c r="AI16" i="44"/>
  <c r="AI18" i="44"/>
  <c r="AI20" i="44"/>
  <c r="AI22" i="44"/>
  <c r="AI25" i="44"/>
  <c r="AR24" i="44" s="1"/>
  <c r="AI28" i="44"/>
  <c r="AI30" i="44"/>
  <c r="AI32" i="44"/>
  <c r="AI34" i="44"/>
  <c r="AI36" i="44"/>
  <c r="AI38" i="44"/>
  <c r="AI41" i="44"/>
  <c r="AR40" i="44" s="1"/>
  <c r="AT41" i="44"/>
  <c r="AT48" i="44"/>
  <c r="BG48" i="44"/>
  <c r="AA48" i="44" s="1"/>
  <c r="AT52" i="44"/>
  <c r="BG52" i="44"/>
  <c r="AA52" i="44" s="1"/>
  <c r="AT56" i="44"/>
  <c r="BG56" i="44"/>
  <c r="AA56" i="44" s="1"/>
  <c r="AT60" i="44"/>
  <c r="BG60" i="44"/>
  <c r="AA60" i="44" s="1"/>
  <c r="AT64" i="44"/>
  <c r="BG64" i="44"/>
  <c r="AA64" i="44" s="1"/>
  <c r="AT67" i="44"/>
  <c r="BG67" i="44"/>
  <c r="AA67" i="44" s="1"/>
  <c r="BG69" i="44"/>
  <c r="AA69" i="44" s="1"/>
  <c r="BG70" i="44"/>
  <c r="AA70" i="44" s="1"/>
  <c r="AT76" i="44"/>
  <c r="AI92" i="44"/>
  <c r="J89" i="44"/>
  <c r="AI127" i="44"/>
  <c r="AI136" i="44"/>
  <c r="AI154" i="44"/>
  <c r="BG18" i="44"/>
  <c r="AA18" i="44" s="1"/>
  <c r="BG32" i="44"/>
  <c r="AA32" i="44" s="1"/>
  <c r="BG36" i="44"/>
  <c r="AA36" i="44" s="1"/>
  <c r="BG38" i="44"/>
  <c r="AA38" i="44" s="1"/>
  <c r="I76" i="44"/>
  <c r="I75" i="44" s="1"/>
  <c r="BG76" i="44"/>
  <c r="AA76" i="44" s="1"/>
  <c r="AU25" i="44"/>
  <c r="AU30" i="44"/>
  <c r="AU32" i="44"/>
  <c r="AU34" i="44"/>
  <c r="AU38" i="44"/>
  <c r="BG41" i="44"/>
  <c r="AA41" i="44" s="1"/>
  <c r="I43" i="44"/>
  <c r="I40" i="44" s="1"/>
  <c r="AT43" i="44"/>
  <c r="BG43" i="44"/>
  <c r="AA43" i="44" s="1"/>
  <c r="AR45" i="44"/>
  <c r="AT70" i="44"/>
  <c r="AI96" i="44"/>
  <c r="J112" i="44"/>
  <c r="AI115" i="44"/>
  <c r="J145" i="44"/>
  <c r="AI148" i="44"/>
  <c r="BG13" i="44"/>
  <c r="AA13" i="44" s="1"/>
  <c r="BG22" i="44"/>
  <c r="AA22" i="44" s="1"/>
  <c r="BG25" i="44"/>
  <c r="AA25" i="44" s="1"/>
  <c r="BG28" i="44"/>
  <c r="AA28" i="44" s="1"/>
  <c r="BG30" i="44"/>
  <c r="AA30" i="44" s="1"/>
  <c r="I48" i="44"/>
  <c r="BG50" i="44"/>
  <c r="AA50" i="44" s="1"/>
  <c r="I52" i="44"/>
  <c r="AT54" i="44"/>
  <c r="BG54" i="44"/>
  <c r="AA54" i="44" s="1"/>
  <c r="I56" i="44"/>
  <c r="AT58" i="44"/>
  <c r="BG58" i="44"/>
  <c r="AA58" i="44" s="1"/>
  <c r="I60" i="44"/>
  <c r="AT62" i="44"/>
  <c r="BG62" i="44"/>
  <c r="AA62" i="44" s="1"/>
  <c r="I64" i="44"/>
  <c r="I67" i="44"/>
  <c r="I66" i="44" s="1"/>
  <c r="BG78" i="44"/>
  <c r="AA78" i="44" s="1"/>
  <c r="BG87" i="44"/>
  <c r="AA87" i="44" s="1"/>
  <c r="AV87" i="44"/>
  <c r="AI100" i="44"/>
  <c r="AI108" i="44"/>
  <c r="AR107" i="44" s="1"/>
  <c r="J107" i="44"/>
  <c r="AI119" i="44"/>
  <c r="J134" i="44"/>
  <c r="AI69" i="44"/>
  <c r="AI70" i="44"/>
  <c r="AI73" i="44"/>
  <c r="AR72" i="44" s="1"/>
  <c r="AI76" i="44"/>
  <c r="AI78" i="44"/>
  <c r="AI87" i="44"/>
  <c r="AR86" i="44" s="1"/>
  <c r="AI105" i="44"/>
  <c r="AR104" i="44" s="1"/>
  <c r="AI143" i="44"/>
  <c r="AU73" i="44"/>
  <c r="AU78" i="44"/>
  <c r="AU81" i="44"/>
  <c r="AU84" i="44"/>
  <c r="J141" i="44"/>
  <c r="BA96" i="44"/>
  <c r="AI138" i="44"/>
  <c r="AR134" i="44" s="1"/>
  <c r="AI140" i="44"/>
  <c r="AI142" i="44"/>
  <c r="AI156" i="44"/>
  <c r="AI158" i="44"/>
  <c r="AI161" i="44"/>
  <c r="AU138" i="44"/>
  <c r="AV90" i="44"/>
  <c r="AT90" i="44" s="1"/>
  <c r="AV92" i="44"/>
  <c r="AT92" i="44" s="1"/>
  <c r="AV94" i="44"/>
  <c r="AT94" i="44" s="1"/>
  <c r="AV96" i="44"/>
  <c r="AT96" i="44" s="1"/>
  <c r="AV98" i="44"/>
  <c r="AT98" i="44" s="1"/>
  <c r="AV100" i="44"/>
  <c r="AT100" i="44" s="1"/>
  <c r="AV102" i="44"/>
  <c r="AT102" i="44" s="1"/>
  <c r="AV105" i="44"/>
  <c r="AT105" i="44" s="1"/>
  <c r="AV108" i="44"/>
  <c r="AT108" i="44" s="1"/>
  <c r="AV110" i="44"/>
  <c r="AT110" i="44" s="1"/>
  <c r="AV113" i="44"/>
  <c r="AT113" i="44" s="1"/>
  <c r="AV115" i="44"/>
  <c r="AT115" i="44" s="1"/>
  <c r="AV117" i="44"/>
  <c r="AT117" i="44" s="1"/>
  <c r="AV119" i="44"/>
  <c r="AT119" i="44" s="1"/>
  <c r="AV121" i="44"/>
  <c r="AT121" i="44" s="1"/>
  <c r="AV123" i="44"/>
  <c r="AT123" i="44" s="1"/>
  <c r="AV125" i="44"/>
  <c r="AT125" i="44" s="1"/>
  <c r="AV127" i="44"/>
  <c r="AT127" i="44" s="1"/>
  <c r="AV129" i="44"/>
  <c r="AT129" i="44" s="1"/>
  <c r="AV132" i="44"/>
  <c r="AT132" i="44" s="1"/>
  <c r="AV135" i="44"/>
  <c r="AT135" i="44" s="1"/>
  <c r="AV136" i="44"/>
  <c r="AT136" i="44" s="1"/>
  <c r="AV138" i="44"/>
  <c r="AV140" i="44"/>
  <c r="AT140" i="44" s="1"/>
  <c r="AV142" i="44"/>
  <c r="AT142" i="44" s="1"/>
  <c r="AV143" i="44"/>
  <c r="AT143" i="44" s="1"/>
  <c r="AV144" i="44"/>
  <c r="AT144" i="44" s="1"/>
  <c r="AV161" i="44"/>
  <c r="AT161" i="44" s="1"/>
  <c r="BF30" i="43"/>
  <c r="Z30" i="43" s="1"/>
  <c r="AU30" i="43"/>
  <c r="BF114" i="43"/>
  <c r="Z114" i="43" s="1"/>
  <c r="AU114" i="43"/>
  <c r="L129" i="43"/>
  <c r="BD130" i="43"/>
  <c r="BF151" i="43"/>
  <c r="H151" i="43"/>
  <c r="H150" i="43" s="1"/>
  <c r="AU151" i="43"/>
  <c r="BF170" i="43"/>
  <c r="AU170" i="43"/>
  <c r="H170" i="43"/>
  <c r="AU19" i="43"/>
  <c r="BD28" i="43"/>
  <c r="I32" i="43"/>
  <c r="BF41" i="43"/>
  <c r="Z41" i="43" s="1"/>
  <c r="AU41" i="43"/>
  <c r="AQ54" i="43"/>
  <c r="I96" i="43"/>
  <c r="I95" i="43" s="1"/>
  <c r="AV96" i="43"/>
  <c r="AT96" i="43" s="1"/>
  <c r="AU102" i="43"/>
  <c r="BF102" i="43"/>
  <c r="Z102" i="43" s="1"/>
  <c r="AR122" i="43"/>
  <c r="BF142" i="43"/>
  <c r="Z142" i="43" s="1"/>
  <c r="H142" i="43"/>
  <c r="AU142" i="43"/>
  <c r="H157" i="43"/>
  <c r="BG166" i="43"/>
  <c r="AV166" i="43"/>
  <c r="BA166" i="43" s="1"/>
  <c r="I166" i="43"/>
  <c r="BF176" i="43"/>
  <c r="AU176" i="43"/>
  <c r="H176" i="43"/>
  <c r="BG67" i="43"/>
  <c r="AA67" i="43" s="1"/>
  <c r="I67" i="43"/>
  <c r="AV67" i="43"/>
  <c r="BF90" i="43"/>
  <c r="Z90" i="43" s="1"/>
  <c r="AU90" i="43"/>
  <c r="H90" i="43"/>
  <c r="BF180" i="43"/>
  <c r="AU180" i="43"/>
  <c r="H180" i="43"/>
  <c r="AU25" i="43"/>
  <c r="BF33" i="43"/>
  <c r="Z33" i="43" s="1"/>
  <c r="AU33" i="43"/>
  <c r="BA33" i="43" s="1"/>
  <c r="L49" i="43"/>
  <c r="I61" i="43"/>
  <c r="AV61" i="43"/>
  <c r="AT61" i="43" s="1"/>
  <c r="AI85" i="43"/>
  <c r="AR84" i="43" s="1"/>
  <c r="J84" i="43"/>
  <c r="BG94" i="43"/>
  <c r="I94" i="43"/>
  <c r="BF120" i="43"/>
  <c r="Z120" i="43" s="1"/>
  <c r="AU120" i="43"/>
  <c r="AT120" i="43" s="1"/>
  <c r="H120" i="43"/>
  <c r="H119" i="43" s="1"/>
  <c r="BD125" i="43"/>
  <c r="BG148" i="43"/>
  <c r="AA148" i="43" s="1"/>
  <c r="I148" i="43"/>
  <c r="I147" i="43" s="1"/>
  <c r="BF164" i="43"/>
  <c r="AU164" i="43"/>
  <c r="H164" i="43"/>
  <c r="AI176" i="43"/>
  <c r="J161" i="43"/>
  <c r="J119" i="43"/>
  <c r="AI120" i="43"/>
  <c r="AR119" i="43" s="1"/>
  <c r="AV123" i="43"/>
  <c r="BA123" i="43" s="1"/>
  <c r="I123" i="43"/>
  <c r="I122" i="43" s="1"/>
  <c r="BG123" i="43"/>
  <c r="AA123" i="43" s="1"/>
  <c r="BD39" i="43"/>
  <c r="L32" i="43"/>
  <c r="AS32" i="43"/>
  <c r="H63" i="43"/>
  <c r="AU63" i="43"/>
  <c r="AT63" i="43" s="1"/>
  <c r="BF63" i="43"/>
  <c r="Z63" i="43" s="1"/>
  <c r="AU65" i="43"/>
  <c r="H65" i="43"/>
  <c r="BF82" i="43"/>
  <c r="Z82" i="43" s="1"/>
  <c r="AU82" i="43"/>
  <c r="BF106" i="43"/>
  <c r="Z106" i="43" s="1"/>
  <c r="AU106" i="43"/>
  <c r="H106" i="43"/>
  <c r="AV112" i="43"/>
  <c r="I112" i="43"/>
  <c r="BG112" i="43"/>
  <c r="AA112" i="43" s="1"/>
  <c r="BG138" i="43"/>
  <c r="AA138" i="43" s="1"/>
  <c r="I138" i="43"/>
  <c r="I129" i="43" s="1"/>
  <c r="BF140" i="43"/>
  <c r="Z140" i="43" s="1"/>
  <c r="AU140" i="43"/>
  <c r="H140" i="43"/>
  <c r="BF145" i="43"/>
  <c r="Z145" i="43" s="1"/>
  <c r="AU145" i="43"/>
  <c r="BD148" i="43"/>
  <c r="L147" i="43"/>
  <c r="AS157" i="43"/>
  <c r="BD162" i="43"/>
  <c r="BG182" i="43"/>
  <c r="AV182" i="43"/>
  <c r="AT182" i="43" s="1"/>
  <c r="I182" i="43"/>
  <c r="I75" i="43"/>
  <c r="BD82" i="43"/>
  <c r="L84" i="43"/>
  <c r="AS84" i="43"/>
  <c r="AQ89" i="43"/>
  <c r="AQ101" i="43"/>
  <c r="AU110" i="43"/>
  <c r="AU112" i="43"/>
  <c r="BA112" i="43" s="1"/>
  <c r="AU117" i="43"/>
  <c r="AU125" i="43"/>
  <c r="BG125" i="43"/>
  <c r="AA125" i="43" s="1"/>
  <c r="AV136" i="43"/>
  <c r="AT136" i="43" s="1"/>
  <c r="I154" i="43"/>
  <c r="I150" i="43" s="1"/>
  <c r="I159" i="43"/>
  <c r="I157" i="43" s="1"/>
  <c r="AU160" i="43"/>
  <c r="H162" i="43"/>
  <c r="AU162" i="43"/>
  <c r="AU168" i="43"/>
  <c r="H172" i="43"/>
  <c r="AU172" i="43"/>
  <c r="AV174" i="43"/>
  <c r="BA174" i="43" s="1"/>
  <c r="H178" i="43"/>
  <c r="AU178" i="43"/>
  <c r="BD50" i="43"/>
  <c r="AS54" i="43"/>
  <c r="L54" i="43"/>
  <c r="AR75" i="43"/>
  <c r="BF78" i="43"/>
  <c r="Z78" i="43" s="1"/>
  <c r="H112" i="43"/>
  <c r="BG120" i="43"/>
  <c r="AA120" i="43" s="1"/>
  <c r="AU39" i="43"/>
  <c r="BA39" i="43" s="1"/>
  <c r="AU47" i="43"/>
  <c r="BA47" i="43" s="1"/>
  <c r="AU52" i="43"/>
  <c r="BA52" i="43" s="1"/>
  <c r="BF61" i="43"/>
  <c r="Z61" i="43" s="1"/>
  <c r="AQ75" i="43"/>
  <c r="J81" i="43"/>
  <c r="AV82" i="43"/>
  <c r="L89" i="43"/>
  <c r="BA96" i="43"/>
  <c r="BF96" i="43"/>
  <c r="Z96" i="43" s="1"/>
  <c r="AT108" i="43"/>
  <c r="AU127" i="43"/>
  <c r="AU130" i="43"/>
  <c r="AU134" i="43"/>
  <c r="AU152" i="43"/>
  <c r="AU154" i="43"/>
  <c r="J157" i="43"/>
  <c r="AU158" i="43"/>
  <c r="AU159" i="43"/>
  <c r="AT30" i="43"/>
  <c r="BA30" i="43"/>
  <c r="BA35" i="43"/>
  <c r="AT35" i="43"/>
  <c r="AT43" i="43"/>
  <c r="BA43" i="43"/>
  <c r="AT17" i="43"/>
  <c r="BA17" i="43"/>
  <c r="BA23" i="43"/>
  <c r="AT23" i="43"/>
  <c r="BA28" i="43"/>
  <c r="AT28" i="43"/>
  <c r="BA41" i="43"/>
  <c r="AT41" i="43"/>
  <c r="BA61" i="43"/>
  <c r="AT25" i="43"/>
  <c r="BA25" i="43"/>
  <c r="AT21" i="43"/>
  <c r="BA21" i="43"/>
  <c r="AT39" i="43"/>
  <c r="AT52" i="43"/>
  <c r="AT19" i="43"/>
  <c r="BA19" i="43"/>
  <c r="AT37" i="43"/>
  <c r="BA37" i="43"/>
  <c r="BA45" i="43"/>
  <c r="AT45" i="43"/>
  <c r="AT50" i="43"/>
  <c r="BA50" i="43"/>
  <c r="BA55" i="43"/>
  <c r="AT55" i="43"/>
  <c r="BG13" i="43"/>
  <c r="AA13" i="43" s="1"/>
  <c r="BG19" i="43"/>
  <c r="AA19" i="43" s="1"/>
  <c r="BG21" i="43"/>
  <c r="AA21" i="43" s="1"/>
  <c r="BG23" i="43"/>
  <c r="AA23" i="43" s="1"/>
  <c r="BG28" i="43"/>
  <c r="AA28" i="43" s="1"/>
  <c r="BG33" i="43"/>
  <c r="AA33" i="43" s="1"/>
  <c r="BG35" i="43"/>
  <c r="AA35" i="43" s="1"/>
  <c r="BG41" i="43"/>
  <c r="AA41" i="43" s="1"/>
  <c r="BG45" i="43"/>
  <c r="AA45" i="43" s="1"/>
  <c r="BG47" i="43"/>
  <c r="AA47" i="43" s="1"/>
  <c r="BG55" i="43"/>
  <c r="AA55" i="43" s="1"/>
  <c r="AI13" i="43"/>
  <c r="AI15" i="43"/>
  <c r="AI17" i="43"/>
  <c r="AI19" i="43"/>
  <c r="AI21" i="43"/>
  <c r="AI23" i="43"/>
  <c r="AI25" i="43"/>
  <c r="AI28" i="43"/>
  <c r="AI30" i="43"/>
  <c r="AI33" i="43"/>
  <c r="AI35" i="43"/>
  <c r="AI37" i="43"/>
  <c r="AI39" i="43"/>
  <c r="AI41" i="43"/>
  <c r="AI43" i="43"/>
  <c r="AI45" i="43"/>
  <c r="AI47" i="43"/>
  <c r="AI50" i="43"/>
  <c r="AI52" i="43"/>
  <c r="AI55" i="43"/>
  <c r="AI57" i="43"/>
  <c r="AT69" i="43"/>
  <c r="BA69" i="43"/>
  <c r="BF71" i="43"/>
  <c r="Z71" i="43" s="1"/>
  <c r="AU71" i="43"/>
  <c r="AU73" i="43"/>
  <c r="H73" i="43"/>
  <c r="L75" i="43"/>
  <c r="AT82" i="43"/>
  <c r="BD102" i="43"/>
  <c r="L101" i="43"/>
  <c r="AI110" i="43"/>
  <c r="AV110" i="43"/>
  <c r="I110" i="43"/>
  <c r="BG110" i="43"/>
  <c r="AA110" i="43" s="1"/>
  <c r="BG15" i="43"/>
  <c r="AA15" i="43" s="1"/>
  <c r="BG17" i="43"/>
  <c r="AA17" i="43" s="1"/>
  <c r="BG25" i="43"/>
  <c r="AA25" i="43" s="1"/>
  <c r="BG30" i="43"/>
  <c r="AA30" i="43" s="1"/>
  <c r="BG37" i="43"/>
  <c r="AA37" i="43" s="1"/>
  <c r="BG39" i="43"/>
  <c r="AA39" i="43" s="1"/>
  <c r="BG43" i="43"/>
  <c r="AA43" i="43" s="1"/>
  <c r="BG50" i="43"/>
  <c r="AA50" i="43" s="1"/>
  <c r="BG52" i="43"/>
  <c r="AA52" i="43" s="1"/>
  <c r="BD63" i="43"/>
  <c r="AU76" i="43"/>
  <c r="H76" i="43"/>
  <c r="H75" i="43" s="1"/>
  <c r="AT78" i="43"/>
  <c r="BA78" i="43"/>
  <c r="AT85" i="43"/>
  <c r="BA85" i="43"/>
  <c r="BG87" i="43"/>
  <c r="AA87" i="43" s="1"/>
  <c r="AV87" i="43"/>
  <c r="AT87" i="43" s="1"/>
  <c r="I87" i="43"/>
  <c r="BG90" i="43"/>
  <c r="AA90" i="43" s="1"/>
  <c r="AV90" i="43"/>
  <c r="AT90" i="43" s="1"/>
  <c r="I90" i="43"/>
  <c r="AU13" i="43"/>
  <c r="AU15" i="43"/>
  <c r="AV57" i="43"/>
  <c r="BA57" i="43" s="1"/>
  <c r="H59" i="43"/>
  <c r="AU59" i="43"/>
  <c r="BA63" i="43"/>
  <c r="I65" i="43"/>
  <c r="AV65" i="43"/>
  <c r="AT65" i="43" s="1"/>
  <c r="H67" i="43"/>
  <c r="AU67" i="43"/>
  <c r="AV71" i="43"/>
  <c r="I71" i="43"/>
  <c r="BF73" i="43"/>
  <c r="Z73" i="43" s="1"/>
  <c r="AT79" i="43"/>
  <c r="BA79" i="43"/>
  <c r="BF92" i="43"/>
  <c r="Z92" i="43" s="1"/>
  <c r="AU92" i="43"/>
  <c r="H92" i="43"/>
  <c r="AI114" i="43"/>
  <c r="AV114" i="43"/>
  <c r="I114" i="43"/>
  <c r="BG114" i="43"/>
  <c r="AA114" i="43" s="1"/>
  <c r="AI134" i="43"/>
  <c r="J144" i="43"/>
  <c r="AI145" i="43"/>
  <c r="AR144" i="43" s="1"/>
  <c r="I59" i="43"/>
  <c r="I54" i="43" s="1"/>
  <c r="H61" i="43"/>
  <c r="AS75" i="43"/>
  <c r="I84" i="43"/>
  <c r="BD85" i="43"/>
  <c r="AI138" i="43"/>
  <c r="BD90" i="43"/>
  <c r="AV94" i="43"/>
  <c r="BA94" i="43" s="1"/>
  <c r="J95" i="43"/>
  <c r="AU99" i="43"/>
  <c r="BF99" i="43"/>
  <c r="Z99" i="43" s="1"/>
  <c r="H99" i="43"/>
  <c r="H98" i="43" s="1"/>
  <c r="AI159" i="43"/>
  <c r="AR157" i="43" s="1"/>
  <c r="AI164" i="43"/>
  <c r="AI170" i="43"/>
  <c r="AI180" i="43"/>
  <c r="AI99" i="43"/>
  <c r="AR98" i="43" s="1"/>
  <c r="J101" i="43"/>
  <c r="AI108" i="43"/>
  <c r="AI112" i="43"/>
  <c r="J116" i="43"/>
  <c r="J129" i="43"/>
  <c r="AI130" i="43"/>
  <c r="AI142" i="43"/>
  <c r="J150" i="43"/>
  <c r="BA87" i="43"/>
  <c r="AR89" i="43"/>
  <c r="AI96" i="43"/>
  <c r="AR95" i="43" s="1"/>
  <c r="BD99" i="43"/>
  <c r="L98" i="43"/>
  <c r="BG102" i="43"/>
  <c r="AA102" i="43" s="1"/>
  <c r="AV102" i="43"/>
  <c r="I102" i="43"/>
  <c r="AV104" i="43"/>
  <c r="I104" i="43"/>
  <c r="AV117" i="43"/>
  <c r="BG117" i="43"/>
  <c r="AA117" i="43" s="1"/>
  <c r="I117" i="43"/>
  <c r="I116" i="43" s="1"/>
  <c r="J122" i="43"/>
  <c r="AI136" i="43"/>
  <c r="AI151" i="43"/>
  <c r="AI154" i="43"/>
  <c r="AI162" i="43"/>
  <c r="AI172" i="43"/>
  <c r="AI178" i="43"/>
  <c r="BG127" i="43"/>
  <c r="AA127" i="43" s="1"/>
  <c r="AV127" i="43"/>
  <c r="BA130" i="43"/>
  <c r="AU104" i="43"/>
  <c r="AV130" i="43"/>
  <c r="AV132" i="43"/>
  <c r="AT132" i="43" s="1"/>
  <c r="AV134" i="43"/>
  <c r="AV138" i="43"/>
  <c r="AT138" i="43" s="1"/>
  <c r="AV140" i="43"/>
  <c r="AT140" i="43" s="1"/>
  <c r="AV142" i="43"/>
  <c r="AT142" i="43" s="1"/>
  <c r="AV145" i="43"/>
  <c r="AT145" i="43" s="1"/>
  <c r="AV148" i="43"/>
  <c r="AT148" i="43" s="1"/>
  <c r="AV151" i="43"/>
  <c r="AT151" i="43" s="1"/>
  <c r="AV152" i="43"/>
  <c r="AT152" i="43" s="1"/>
  <c r="AV154" i="43"/>
  <c r="AT154" i="43" s="1"/>
  <c r="AV156" i="43"/>
  <c r="AT156" i="43" s="1"/>
  <c r="AV158" i="43"/>
  <c r="AV159" i="43"/>
  <c r="AT159" i="43" s="1"/>
  <c r="J12" i="42"/>
  <c r="BD13" i="42"/>
  <c r="J15" i="42"/>
  <c r="AU18" i="42"/>
  <c r="AU20" i="42"/>
  <c r="AU22" i="42"/>
  <c r="AR31" i="42"/>
  <c r="AU32" i="42"/>
  <c r="AU40" i="42"/>
  <c r="BD49" i="42"/>
  <c r="J53" i="42"/>
  <c r="BD54" i="42"/>
  <c r="AU58" i="42"/>
  <c r="AU66" i="42"/>
  <c r="AR70" i="42"/>
  <c r="AU71" i="42"/>
  <c r="BD79" i="42"/>
  <c r="BD84" i="42"/>
  <c r="BF102" i="42"/>
  <c r="Z102" i="42" s="1"/>
  <c r="H106" i="42"/>
  <c r="H93" i="42" s="1"/>
  <c r="I116" i="42"/>
  <c r="AV150" i="42"/>
  <c r="I151" i="42"/>
  <c r="AV153" i="42"/>
  <c r="I155" i="42"/>
  <c r="L160" i="42"/>
  <c r="I165" i="42"/>
  <c r="AV173" i="42"/>
  <c r="H175" i="42"/>
  <c r="I180" i="42"/>
  <c r="AV184" i="42"/>
  <c r="H185" i="42"/>
  <c r="I188" i="42"/>
  <c r="AV192" i="42"/>
  <c r="H194" i="42"/>
  <c r="AU16" i="42"/>
  <c r="J28" i="42"/>
  <c r="AU38" i="42"/>
  <c r="AU46" i="42"/>
  <c r="AU51" i="42"/>
  <c r="AU56" i="42"/>
  <c r="AU64" i="42"/>
  <c r="J76" i="42"/>
  <c r="J81" i="42"/>
  <c r="AU91" i="42"/>
  <c r="AU98" i="42"/>
  <c r="AU102" i="42"/>
  <c r="AU104" i="42"/>
  <c r="AU109" i="42"/>
  <c r="AV112" i="42"/>
  <c r="BA112" i="42" s="1"/>
  <c r="AV114" i="42"/>
  <c r="BA114" i="42" s="1"/>
  <c r="H120" i="42"/>
  <c r="L146" i="42"/>
  <c r="H169" i="42"/>
  <c r="H171" i="42"/>
  <c r="H182" i="42"/>
  <c r="H183" i="42"/>
  <c r="H190" i="42"/>
  <c r="H191" i="42"/>
  <c r="AS15" i="42"/>
  <c r="I20" i="42"/>
  <c r="I15" i="42" s="1"/>
  <c r="I22" i="42"/>
  <c r="J31" i="42"/>
  <c r="AU44" i="42"/>
  <c r="AR48" i="42"/>
  <c r="AU49" i="42"/>
  <c r="AR53" i="42"/>
  <c r="AU54" i="42"/>
  <c r="AU62" i="42"/>
  <c r="J70" i="42"/>
  <c r="AU79" i="42"/>
  <c r="AU84" i="42"/>
  <c r="J87" i="42"/>
  <c r="AU96" i="42"/>
  <c r="AS93" i="42"/>
  <c r="AV102" i="42"/>
  <c r="AV104" i="42"/>
  <c r="AV109" i="42"/>
  <c r="L111" i="42"/>
  <c r="I112" i="42"/>
  <c r="AU116" i="42"/>
  <c r="BA116" i="42" s="1"/>
  <c r="AV147" i="42"/>
  <c r="I150" i="42"/>
  <c r="I149" i="42" s="1"/>
  <c r="AV151" i="42"/>
  <c r="BA151" i="42" s="1"/>
  <c r="I153" i="42"/>
  <c r="AV155" i="42"/>
  <c r="L156" i="42"/>
  <c r="AV159" i="42"/>
  <c r="AV165" i="42"/>
  <c r="H167" i="42"/>
  <c r="I173" i="42"/>
  <c r="AV180" i="42"/>
  <c r="H181" i="42"/>
  <c r="I184" i="42"/>
  <c r="AV188" i="42"/>
  <c r="H189" i="42"/>
  <c r="I192" i="42"/>
  <c r="I13" i="42"/>
  <c r="I12" i="42" s="1"/>
  <c r="AT13" i="42"/>
  <c r="BG13" i="42"/>
  <c r="AA13" i="42" s="1"/>
  <c r="AR15" i="42"/>
  <c r="BA13" i="42"/>
  <c r="BG16" i="42"/>
  <c r="AA16" i="42" s="1"/>
  <c r="AV16" i="42"/>
  <c r="BA16" i="42" s="1"/>
  <c r="AT125" i="42"/>
  <c r="BA125" i="42"/>
  <c r="BF125" i="42"/>
  <c r="Z125" i="42" s="1"/>
  <c r="AT133" i="42"/>
  <c r="BA133" i="42"/>
  <c r="BF133" i="42"/>
  <c r="Z133" i="42" s="1"/>
  <c r="AT141" i="42"/>
  <c r="BA141" i="42"/>
  <c r="BF141" i="42"/>
  <c r="Z141" i="42" s="1"/>
  <c r="L149" i="42"/>
  <c r="AT150" i="42"/>
  <c r="BA150" i="42"/>
  <c r="BF150" i="42"/>
  <c r="AT151" i="42"/>
  <c r="BF151" i="42"/>
  <c r="AT153" i="42"/>
  <c r="BA153" i="42"/>
  <c r="BF153" i="42"/>
  <c r="AT155" i="42"/>
  <c r="BA155" i="42"/>
  <c r="BF155" i="42"/>
  <c r="AV157" i="42"/>
  <c r="I157" i="42"/>
  <c r="I156" i="42" s="1"/>
  <c r="AI167" i="42"/>
  <c r="J160" i="42"/>
  <c r="AI189" i="42"/>
  <c r="AV18" i="42"/>
  <c r="AT18" i="42" s="1"/>
  <c r="AV20" i="42"/>
  <c r="AV22" i="42"/>
  <c r="AT22" i="42" s="1"/>
  <c r="AV24" i="42"/>
  <c r="BA24" i="42" s="1"/>
  <c r="AV26" i="42"/>
  <c r="AT26" i="42" s="1"/>
  <c r="AV29" i="42"/>
  <c r="AT29" i="42" s="1"/>
  <c r="AV32" i="42"/>
  <c r="AT32" i="42" s="1"/>
  <c r="AV34" i="42"/>
  <c r="AT34" i="42" s="1"/>
  <c r="AV36" i="42"/>
  <c r="AT36" i="42" s="1"/>
  <c r="AV38" i="42"/>
  <c r="AT38" i="42" s="1"/>
  <c r="AV40" i="42"/>
  <c r="AV42" i="42"/>
  <c r="AT42" i="42" s="1"/>
  <c r="AV44" i="42"/>
  <c r="AT44" i="42" s="1"/>
  <c r="AV46" i="42"/>
  <c r="AV49" i="42"/>
  <c r="BA49" i="42" s="1"/>
  <c r="AV51" i="42"/>
  <c r="AV54" i="42"/>
  <c r="AT54" i="42" s="1"/>
  <c r="AV56" i="42"/>
  <c r="AT56" i="42" s="1"/>
  <c r="AV58" i="42"/>
  <c r="AV60" i="42"/>
  <c r="BA60" i="42" s="1"/>
  <c r="AV62" i="42"/>
  <c r="BA62" i="42" s="1"/>
  <c r="AV64" i="42"/>
  <c r="BA64" i="42" s="1"/>
  <c r="AV66" i="42"/>
  <c r="BA66" i="42" s="1"/>
  <c r="AV68" i="42"/>
  <c r="BA68" i="42" s="1"/>
  <c r="AV71" i="42"/>
  <c r="BA71" i="42" s="1"/>
  <c r="AV73" i="42"/>
  <c r="BA73" i="42" s="1"/>
  <c r="AV74" i="42"/>
  <c r="BA74" i="42" s="1"/>
  <c r="AV77" i="42"/>
  <c r="BA77" i="42" s="1"/>
  <c r="AV79" i="42"/>
  <c r="BA79" i="42" s="1"/>
  <c r="AV82" i="42"/>
  <c r="BA82" i="42" s="1"/>
  <c r="AV84" i="42"/>
  <c r="BA84" i="42" s="1"/>
  <c r="AV86" i="42"/>
  <c r="BA86" i="42" s="1"/>
  <c r="AV88" i="42"/>
  <c r="BA88" i="42" s="1"/>
  <c r="AV91" i="42"/>
  <c r="BA91" i="42" s="1"/>
  <c r="L93" i="42"/>
  <c r="AV94" i="42"/>
  <c r="BA94" i="42" s="1"/>
  <c r="AV96" i="42"/>
  <c r="BA96" i="42" s="1"/>
  <c r="AV98" i="42"/>
  <c r="BA98" i="42" s="1"/>
  <c r="AV100" i="42"/>
  <c r="BA100" i="42" s="1"/>
  <c r="AT106" i="42"/>
  <c r="J111" i="42"/>
  <c r="AT112" i="42"/>
  <c r="AT118" i="42"/>
  <c r="BA118" i="42"/>
  <c r="BF118" i="42"/>
  <c r="Z118" i="42" s="1"/>
  <c r="AT123" i="42"/>
  <c r="BA123" i="42"/>
  <c r="BF123" i="42"/>
  <c r="Z123" i="42" s="1"/>
  <c r="AT131" i="42"/>
  <c r="BA131" i="42"/>
  <c r="BF131" i="42"/>
  <c r="Z131" i="42" s="1"/>
  <c r="AT139" i="42"/>
  <c r="BA139" i="42"/>
  <c r="BF139" i="42"/>
  <c r="Z139" i="42" s="1"/>
  <c r="AT144" i="42"/>
  <c r="BA144" i="42"/>
  <c r="BF144" i="42"/>
  <c r="Z144" i="42" s="1"/>
  <c r="AI185" i="42"/>
  <c r="BA29" i="42"/>
  <c r="BA34" i="42"/>
  <c r="BA38" i="42"/>
  <c r="BA42" i="42"/>
  <c r="BA46" i="42"/>
  <c r="BA51" i="42"/>
  <c r="BA56" i="42"/>
  <c r="AI118" i="42"/>
  <c r="AR111" i="42" s="1"/>
  <c r="AT121" i="42"/>
  <c r="BA121" i="42"/>
  <c r="BF121" i="42"/>
  <c r="Z121" i="42" s="1"/>
  <c r="AT129" i="42"/>
  <c r="BA129" i="42"/>
  <c r="BF129" i="42"/>
  <c r="Z129" i="42" s="1"/>
  <c r="AT137" i="42"/>
  <c r="BA137" i="42"/>
  <c r="BF137" i="42"/>
  <c r="Z137" i="42" s="1"/>
  <c r="AT147" i="42"/>
  <c r="BA147" i="42"/>
  <c r="BF147" i="42"/>
  <c r="Z147" i="42" s="1"/>
  <c r="AI181" i="42"/>
  <c r="AT104" i="42"/>
  <c r="AT109" i="42"/>
  <c r="L120" i="42"/>
  <c r="AT127" i="42"/>
  <c r="BA127" i="42"/>
  <c r="BF127" i="42"/>
  <c r="Z127" i="42" s="1"/>
  <c r="AT135" i="42"/>
  <c r="BA135" i="42"/>
  <c r="BF135" i="42"/>
  <c r="Z135" i="42" s="1"/>
  <c r="H150" i="42"/>
  <c r="H151" i="42"/>
  <c r="H153" i="42"/>
  <c r="H155" i="42"/>
  <c r="AI159" i="42"/>
  <c r="J156" i="42"/>
  <c r="AI175" i="42"/>
  <c r="AI194" i="42"/>
  <c r="AI157" i="42"/>
  <c r="AI165" i="42"/>
  <c r="AI173" i="42"/>
  <c r="AI180" i="42"/>
  <c r="AI184" i="42"/>
  <c r="AI188" i="42"/>
  <c r="AI192" i="42"/>
  <c r="AI121" i="42"/>
  <c r="AI123" i="42"/>
  <c r="AI125" i="42"/>
  <c r="AI127" i="42"/>
  <c r="AI129" i="42"/>
  <c r="AI131" i="42"/>
  <c r="AI133" i="42"/>
  <c r="AI135" i="42"/>
  <c r="AI137" i="42"/>
  <c r="AI139" i="42"/>
  <c r="AI141" i="42"/>
  <c r="AI144" i="42"/>
  <c r="AR143" i="42" s="1"/>
  <c r="AI147" i="42"/>
  <c r="AR146" i="42" s="1"/>
  <c r="AI150" i="42"/>
  <c r="AI151" i="42"/>
  <c r="AI153" i="42"/>
  <c r="AI155" i="42"/>
  <c r="BF157" i="42"/>
  <c r="AU157" i="42"/>
  <c r="BG158" i="42"/>
  <c r="AU158" i="42"/>
  <c r="AU159" i="42"/>
  <c r="AU161" i="42"/>
  <c r="AU163" i="42"/>
  <c r="AU165" i="42"/>
  <c r="AU167" i="42"/>
  <c r="AU169" i="42"/>
  <c r="AU171" i="42"/>
  <c r="AU173" i="42"/>
  <c r="AU175" i="42"/>
  <c r="AU177" i="42"/>
  <c r="AU179" i="42"/>
  <c r="AU180" i="42"/>
  <c r="AU181" i="42"/>
  <c r="AU182" i="42"/>
  <c r="AU183" i="42"/>
  <c r="AU184" i="42"/>
  <c r="AU185" i="42"/>
  <c r="AU186" i="42"/>
  <c r="AU187" i="42"/>
  <c r="AU188" i="42"/>
  <c r="AU189" i="42"/>
  <c r="AU190" i="42"/>
  <c r="AU191" i="42"/>
  <c r="AU192" i="42"/>
  <c r="AU194" i="42"/>
  <c r="AU196" i="42"/>
  <c r="BD94" i="41"/>
  <c r="L146" i="41"/>
  <c r="BD147" i="41"/>
  <c r="BF53" i="41"/>
  <c r="Z53" i="41" s="1"/>
  <c r="H53" i="41"/>
  <c r="AU53" i="41"/>
  <c r="BF94" i="41"/>
  <c r="Z94" i="41" s="1"/>
  <c r="AU94" i="41"/>
  <c r="H94" i="41"/>
  <c r="H93" i="41" s="1"/>
  <c r="BF116" i="41"/>
  <c r="Z116" i="41" s="1"/>
  <c r="AU116" i="41"/>
  <c r="H116" i="41"/>
  <c r="BD141" i="41"/>
  <c r="L140" i="41"/>
  <c r="J29" i="41"/>
  <c r="H30" i="41"/>
  <c r="H29" i="41" s="1"/>
  <c r="H32" i="41"/>
  <c r="AI53" i="41"/>
  <c r="J52" i="41"/>
  <c r="AS52" i="41"/>
  <c r="BF63" i="41"/>
  <c r="Z63" i="41" s="1"/>
  <c r="AU63" i="41"/>
  <c r="I83" i="41"/>
  <c r="BF84" i="41"/>
  <c r="Z84" i="41" s="1"/>
  <c r="H84" i="41"/>
  <c r="AU84" i="41"/>
  <c r="BG89" i="41"/>
  <c r="AA89" i="41" s="1"/>
  <c r="I89" i="41"/>
  <c r="BF91" i="41"/>
  <c r="Z91" i="41" s="1"/>
  <c r="AU91" i="41"/>
  <c r="H91" i="41"/>
  <c r="H88" i="41" s="1"/>
  <c r="AQ99" i="41"/>
  <c r="BG108" i="41"/>
  <c r="AA108" i="41" s="1"/>
  <c r="I108" i="41"/>
  <c r="BF110" i="41"/>
  <c r="Z110" i="41" s="1"/>
  <c r="AU110" i="41"/>
  <c r="H110" i="41"/>
  <c r="BG150" i="41"/>
  <c r="I150" i="41"/>
  <c r="BF152" i="41"/>
  <c r="AU152" i="41"/>
  <c r="H152" i="41"/>
  <c r="BF155" i="41"/>
  <c r="H155" i="41"/>
  <c r="AU155" i="41"/>
  <c r="BG74" i="41"/>
  <c r="AA74" i="41" s="1"/>
  <c r="I74" i="41"/>
  <c r="I73" i="41" s="1"/>
  <c r="BD97" i="41"/>
  <c r="L96" i="41"/>
  <c r="BF153" i="41"/>
  <c r="H153" i="41"/>
  <c r="AU153" i="41"/>
  <c r="BF161" i="41"/>
  <c r="H161" i="41"/>
  <c r="H160" i="41" s="1"/>
  <c r="AU161" i="41"/>
  <c r="BF45" i="41"/>
  <c r="Z45" i="41" s="1"/>
  <c r="AU45" i="41"/>
  <c r="BD131" i="41"/>
  <c r="L130" i="41"/>
  <c r="L162" i="41"/>
  <c r="BD163" i="41"/>
  <c r="AU13" i="41"/>
  <c r="AU15" i="41"/>
  <c r="AU17" i="41"/>
  <c r="AU19" i="41"/>
  <c r="AU21" i="41"/>
  <c r="AU23" i="41"/>
  <c r="AU25" i="41"/>
  <c r="AU27" i="41"/>
  <c r="L29" i="41"/>
  <c r="I30" i="41"/>
  <c r="I29" i="41" s="1"/>
  <c r="I32" i="41"/>
  <c r="AU35" i="41"/>
  <c r="AU37" i="41"/>
  <c r="AU39" i="41"/>
  <c r="AU41" i="41"/>
  <c r="AU43" i="41"/>
  <c r="BD48" i="41"/>
  <c r="L47" i="41"/>
  <c r="L52" i="41"/>
  <c r="I55" i="41"/>
  <c r="I52" i="41" s="1"/>
  <c r="BF55" i="41"/>
  <c r="Z55" i="41" s="1"/>
  <c r="H55" i="41"/>
  <c r="AU55" i="41"/>
  <c r="BD89" i="41"/>
  <c r="L88" i="41"/>
  <c r="BG97" i="41"/>
  <c r="AA97" i="41" s="1"/>
  <c r="I97" i="41"/>
  <c r="I96" i="41" s="1"/>
  <c r="AS99" i="41"/>
  <c r="BG102" i="41"/>
  <c r="AA102" i="41" s="1"/>
  <c r="I102" i="41"/>
  <c r="BF104" i="41"/>
  <c r="Z104" i="41" s="1"/>
  <c r="AU104" i="41"/>
  <c r="H104" i="41"/>
  <c r="BG131" i="41"/>
  <c r="AA131" i="41" s="1"/>
  <c r="I131" i="41"/>
  <c r="I130" i="41" s="1"/>
  <c r="BF133" i="41"/>
  <c r="Z133" i="41" s="1"/>
  <c r="AU133" i="41"/>
  <c r="H133" i="41"/>
  <c r="BG136" i="41"/>
  <c r="AA136" i="41" s="1"/>
  <c r="I136" i="41"/>
  <c r="I135" i="41" s="1"/>
  <c r="BF138" i="41"/>
  <c r="Z138" i="41" s="1"/>
  <c r="AU138" i="41"/>
  <c r="H138" i="41"/>
  <c r="H135" i="41" s="1"/>
  <c r="BG141" i="41"/>
  <c r="AA141" i="41" s="1"/>
  <c r="I141" i="41"/>
  <c r="I140" i="41" s="1"/>
  <c r="BD123" i="41"/>
  <c r="H131" i="41"/>
  <c r="AU131" i="41"/>
  <c r="L135" i="41"/>
  <c r="AU136" i="41"/>
  <c r="H141" i="41"/>
  <c r="H140" i="41" s="1"/>
  <c r="AU141" i="41"/>
  <c r="H150" i="41"/>
  <c r="AU150" i="41"/>
  <c r="L156" i="41"/>
  <c r="I158" i="41"/>
  <c r="AS156" i="41"/>
  <c r="J162" i="41"/>
  <c r="I94" i="41"/>
  <c r="I93" i="41" s="1"/>
  <c r="I116" i="41"/>
  <c r="H123" i="41"/>
  <c r="H122" i="41" s="1"/>
  <c r="I147" i="41"/>
  <c r="I148" i="41"/>
  <c r="I159" i="41"/>
  <c r="AU61" i="41"/>
  <c r="AU69" i="41"/>
  <c r="L73" i="41"/>
  <c r="H86" i="41"/>
  <c r="AU86" i="41"/>
  <c r="I91" i="41"/>
  <c r="I104" i="41"/>
  <c r="H106" i="41"/>
  <c r="AU106" i="41"/>
  <c r="I110" i="41"/>
  <c r="H112" i="41"/>
  <c r="AU112" i="41"/>
  <c r="H118" i="41"/>
  <c r="AU118" i="41"/>
  <c r="AU123" i="41"/>
  <c r="AI110" i="41"/>
  <c r="AI125" i="41"/>
  <c r="AR122" i="41" s="1"/>
  <c r="J122" i="41"/>
  <c r="AI138" i="41"/>
  <c r="AR135" i="41" s="1"/>
  <c r="J135" i="41"/>
  <c r="AR52" i="41"/>
  <c r="AI84" i="41"/>
  <c r="J83" i="41"/>
  <c r="AI89" i="41"/>
  <c r="J88" i="41"/>
  <c r="J73" i="41"/>
  <c r="AI76" i="41"/>
  <c r="AR73" i="41" s="1"/>
  <c r="AI102" i="41"/>
  <c r="J99" i="41"/>
  <c r="AI118" i="41"/>
  <c r="AI131" i="41"/>
  <c r="J130" i="41"/>
  <c r="AR12" i="41"/>
  <c r="AR34" i="41"/>
  <c r="AI81" i="41"/>
  <c r="AR80" i="41" s="1"/>
  <c r="AI86" i="41"/>
  <c r="AI106" i="41"/>
  <c r="AI114" i="41"/>
  <c r="AI128" i="41"/>
  <c r="AR127" i="41" s="1"/>
  <c r="AI141" i="41"/>
  <c r="AR140" i="41" s="1"/>
  <c r="J143" i="41"/>
  <c r="AI147" i="41"/>
  <c r="AI91" i="41"/>
  <c r="AI97" i="41"/>
  <c r="AR96" i="41" s="1"/>
  <c r="AI104" i="41"/>
  <c r="AI112" i="41"/>
  <c r="AI120" i="41"/>
  <c r="AI133" i="41"/>
  <c r="AI153" i="41"/>
  <c r="AI144" i="41"/>
  <c r="AR143" i="41" s="1"/>
  <c r="AS146" i="41"/>
  <c r="AI159" i="41"/>
  <c r="AR156" i="41" s="1"/>
  <c r="AV13" i="41"/>
  <c r="AV15" i="41"/>
  <c r="BA15" i="41" s="1"/>
  <c r="AV17" i="41"/>
  <c r="AT17" i="41" s="1"/>
  <c r="AV19" i="41"/>
  <c r="AV21" i="41"/>
  <c r="AV23" i="41"/>
  <c r="AT23" i="41" s="1"/>
  <c r="AV25" i="41"/>
  <c r="AT25" i="41" s="1"/>
  <c r="AV27" i="41"/>
  <c r="AV30" i="41"/>
  <c r="AT30" i="41" s="1"/>
  <c r="AV32" i="41"/>
  <c r="AT32" i="41" s="1"/>
  <c r="AV35" i="41"/>
  <c r="AV37" i="41"/>
  <c r="AV39" i="41"/>
  <c r="AV41" i="41"/>
  <c r="AT41" i="41" s="1"/>
  <c r="AV43" i="41"/>
  <c r="AV45" i="41"/>
  <c r="BA45" i="41" s="1"/>
  <c r="AV48" i="41"/>
  <c r="BA48" i="41" s="1"/>
  <c r="AV50" i="41"/>
  <c r="AT50" i="41" s="1"/>
  <c r="AV53" i="41"/>
  <c r="AV55" i="41"/>
  <c r="AT55" i="41" s="1"/>
  <c r="AV57" i="41"/>
  <c r="BA57" i="41" s="1"/>
  <c r="AV59" i="41"/>
  <c r="BA59" i="41" s="1"/>
  <c r="AV61" i="41"/>
  <c r="AV63" i="41"/>
  <c r="AV65" i="41"/>
  <c r="BA65" i="41" s="1"/>
  <c r="AV67" i="41"/>
  <c r="AT67" i="41" s="1"/>
  <c r="AV69" i="41"/>
  <c r="AV71" i="41"/>
  <c r="AT71" i="41" s="1"/>
  <c r="AV74" i="41"/>
  <c r="AT74" i="41" s="1"/>
  <c r="AV76" i="41"/>
  <c r="AT76" i="41" s="1"/>
  <c r="AV78" i="41"/>
  <c r="AT78" i="41" s="1"/>
  <c r="AV81" i="41"/>
  <c r="AT81" i="41" s="1"/>
  <c r="J156" i="41"/>
  <c r="BG84" i="41"/>
  <c r="AA84" i="41" s="1"/>
  <c r="AV84" i="41"/>
  <c r="AV86" i="41"/>
  <c r="AV89" i="41"/>
  <c r="AT89" i="41" s="1"/>
  <c r="AV91" i="41"/>
  <c r="AT91" i="41" s="1"/>
  <c r="AV94" i="41"/>
  <c r="AV97" i="41"/>
  <c r="AT97" i="41" s="1"/>
  <c r="AV100" i="41"/>
  <c r="AT100" i="41" s="1"/>
  <c r="AV102" i="41"/>
  <c r="AT102" i="41" s="1"/>
  <c r="AV104" i="41"/>
  <c r="AV106" i="41"/>
  <c r="AV108" i="41"/>
  <c r="AT108" i="41" s="1"/>
  <c r="AV110" i="41"/>
  <c r="AT110" i="41" s="1"/>
  <c r="AV112" i="41"/>
  <c r="AT112" i="41" s="1"/>
  <c r="AV114" i="41"/>
  <c r="AT114" i="41" s="1"/>
  <c r="AV116" i="41"/>
  <c r="AV118" i="41"/>
  <c r="AT118" i="41" s="1"/>
  <c r="AV120" i="41"/>
  <c r="AT120" i="41" s="1"/>
  <c r="AV123" i="41"/>
  <c r="AV125" i="41"/>
  <c r="AT125" i="41" s="1"/>
  <c r="AV128" i="41"/>
  <c r="AT128" i="41" s="1"/>
  <c r="AV131" i="41"/>
  <c r="AT131" i="41" s="1"/>
  <c r="AV133" i="41"/>
  <c r="AV136" i="41"/>
  <c r="AV138" i="41"/>
  <c r="AT138" i="41" s="1"/>
  <c r="AV141" i="41"/>
  <c r="AT141" i="41" s="1"/>
  <c r="AV144" i="41"/>
  <c r="AT144" i="41" s="1"/>
  <c r="AV147" i="41"/>
  <c r="BA147" i="41" s="1"/>
  <c r="AV148" i="41"/>
  <c r="AT148" i="41" s="1"/>
  <c r="AV150" i="41"/>
  <c r="AV152" i="41"/>
  <c r="AT152" i="41" s="1"/>
  <c r="AV153" i="41"/>
  <c r="AV155" i="41"/>
  <c r="AT155" i="41" s="1"/>
  <c r="AV157" i="41"/>
  <c r="AT157" i="41" s="1"/>
  <c r="AV158" i="41"/>
  <c r="AT158" i="41" s="1"/>
  <c r="AV159" i="41"/>
  <c r="BA159" i="41" s="1"/>
  <c r="AV161" i="41"/>
  <c r="BA161" i="41" s="1"/>
  <c r="AV163" i="41"/>
  <c r="AT163" i="41" s="1"/>
  <c r="BG92" i="40"/>
  <c r="AA92" i="40" s="1"/>
  <c r="I92" i="40"/>
  <c r="I91" i="40" s="1"/>
  <c r="BG147" i="40"/>
  <c r="I147" i="40"/>
  <c r="AR12" i="40"/>
  <c r="AU13" i="40"/>
  <c r="AT13" i="40" s="1"/>
  <c r="AU21" i="40"/>
  <c r="AT21" i="40" s="1"/>
  <c r="AU26" i="40"/>
  <c r="AT26" i="40" s="1"/>
  <c r="BG35" i="40"/>
  <c r="AA35" i="40" s="1"/>
  <c r="BF57" i="40"/>
  <c r="Z57" i="40" s="1"/>
  <c r="H57" i="40"/>
  <c r="BG61" i="40"/>
  <c r="AA61" i="40" s="1"/>
  <c r="I61" i="40"/>
  <c r="BF65" i="40"/>
  <c r="Z65" i="40" s="1"/>
  <c r="H65" i="40"/>
  <c r="BG69" i="40"/>
  <c r="AA69" i="40" s="1"/>
  <c r="I69" i="40"/>
  <c r="H85" i="40"/>
  <c r="AI92" i="40"/>
  <c r="AR91" i="40" s="1"/>
  <c r="J91" i="40"/>
  <c r="BG100" i="40"/>
  <c r="AA100" i="40" s="1"/>
  <c r="I100" i="40"/>
  <c r="BG113" i="40"/>
  <c r="AA113" i="40" s="1"/>
  <c r="I113" i="40"/>
  <c r="I112" i="40" s="1"/>
  <c r="H120" i="40"/>
  <c r="BF140" i="40"/>
  <c r="AU140" i="40"/>
  <c r="H140" i="40"/>
  <c r="AS139" i="40"/>
  <c r="BD147" i="40"/>
  <c r="L146" i="40"/>
  <c r="BG148" i="40"/>
  <c r="I148" i="40"/>
  <c r="BF151" i="40"/>
  <c r="AU151" i="40"/>
  <c r="H151" i="40"/>
  <c r="BG153" i="40"/>
  <c r="AV153" i="40"/>
  <c r="I153" i="40"/>
  <c r="I150" i="40" s="1"/>
  <c r="BG157" i="40"/>
  <c r="AV157" i="40"/>
  <c r="AT157" i="40" s="1"/>
  <c r="I157" i="40"/>
  <c r="BA26" i="40"/>
  <c r="BF39" i="40"/>
  <c r="Z39" i="40" s="1"/>
  <c r="H39" i="40"/>
  <c r="BF118" i="40"/>
  <c r="Z118" i="40" s="1"/>
  <c r="AU118" i="40"/>
  <c r="AU19" i="40"/>
  <c r="AT19" i="40" s="1"/>
  <c r="AU24" i="40"/>
  <c r="BA24" i="40" s="1"/>
  <c r="AU33" i="40"/>
  <c r="BA33" i="40" s="1"/>
  <c r="H35" i="40"/>
  <c r="AU35" i="40"/>
  <c r="AT35" i="40" s="1"/>
  <c r="AU39" i="40"/>
  <c r="BF43" i="40"/>
  <c r="Z43" i="40" s="1"/>
  <c r="H43" i="40"/>
  <c r="BG53" i="40"/>
  <c r="AA53" i="40" s="1"/>
  <c r="I53" i="40"/>
  <c r="I50" i="40" s="1"/>
  <c r="L71" i="40"/>
  <c r="BD72" i="40"/>
  <c r="BG78" i="40"/>
  <c r="AA78" i="40" s="1"/>
  <c r="I78" i="40"/>
  <c r="I77" i="40" s="1"/>
  <c r="BF83" i="40"/>
  <c r="Z83" i="40" s="1"/>
  <c r="AU83" i="40"/>
  <c r="L85" i="40"/>
  <c r="BD86" i="40"/>
  <c r="BG104" i="40"/>
  <c r="AA104" i="40" s="1"/>
  <c r="I104" i="40"/>
  <c r="I97" i="40" s="1"/>
  <c r="BG149" i="40"/>
  <c r="AV149" i="40"/>
  <c r="AT149" i="40" s="1"/>
  <c r="I149" i="40"/>
  <c r="AI151" i="40"/>
  <c r="J150" i="40"/>
  <c r="L150" i="40"/>
  <c r="BD153" i="40"/>
  <c r="AT153" i="40"/>
  <c r="BF159" i="40"/>
  <c r="AU159" i="40"/>
  <c r="H159" i="40"/>
  <c r="BG163" i="40"/>
  <c r="AV163" i="40"/>
  <c r="AT163" i="40" s="1"/>
  <c r="I163" i="40"/>
  <c r="BF46" i="40"/>
  <c r="Z46" i="40" s="1"/>
  <c r="H46" i="40"/>
  <c r="BD98" i="40"/>
  <c r="L97" i="40"/>
  <c r="J12" i="40"/>
  <c r="BA15" i="40"/>
  <c r="AT17" i="40"/>
  <c r="BA29" i="40"/>
  <c r="AS28" i="40"/>
  <c r="BF41" i="40"/>
  <c r="Z41" i="40" s="1"/>
  <c r="H41" i="40"/>
  <c r="BF48" i="40"/>
  <c r="Z48" i="40" s="1"/>
  <c r="H48" i="40"/>
  <c r="L50" i="40"/>
  <c r="AI53" i="40"/>
  <c r="J50" i="40"/>
  <c r="AI78" i="40"/>
  <c r="AR77" i="40" s="1"/>
  <c r="J77" i="40"/>
  <c r="BG108" i="40"/>
  <c r="AA108" i="40" s="1"/>
  <c r="I108" i="40"/>
  <c r="BF141" i="40"/>
  <c r="H141" i="40"/>
  <c r="AU141" i="40"/>
  <c r="AU59" i="40"/>
  <c r="H72" i="40"/>
  <c r="H71" i="40" s="1"/>
  <c r="AS71" i="40"/>
  <c r="I75" i="40"/>
  <c r="I71" i="40" s="1"/>
  <c r="I81" i="40"/>
  <c r="I80" i="40" s="1"/>
  <c r="J85" i="40"/>
  <c r="I90" i="40"/>
  <c r="I85" i="40" s="1"/>
  <c r="I95" i="40"/>
  <c r="I94" i="40" s="1"/>
  <c r="H98" i="40"/>
  <c r="H97" i="40" s="1"/>
  <c r="I121" i="40"/>
  <c r="I123" i="40"/>
  <c r="I125" i="40"/>
  <c r="I127" i="40"/>
  <c r="I129" i="40"/>
  <c r="I145" i="40"/>
  <c r="AU147" i="40"/>
  <c r="AU148" i="40"/>
  <c r="I155" i="40"/>
  <c r="AV155" i="40"/>
  <c r="BA155" i="40" s="1"/>
  <c r="AU161" i="40"/>
  <c r="AV165" i="40"/>
  <c r="AT165" i="40" s="1"/>
  <c r="H167" i="40"/>
  <c r="BA149" i="40"/>
  <c r="BA153" i="40"/>
  <c r="BA157" i="40"/>
  <c r="AU51" i="40"/>
  <c r="AU53" i="40"/>
  <c r="AU67" i="40"/>
  <c r="AT67" i="40" s="1"/>
  <c r="AU69" i="40"/>
  <c r="AR71" i="40"/>
  <c r="AU74" i="40"/>
  <c r="AU75" i="40"/>
  <c r="AT75" i="40" s="1"/>
  <c r="AU81" i="40"/>
  <c r="AU95" i="40"/>
  <c r="L112" i="40"/>
  <c r="H116" i="40"/>
  <c r="H115" i="40" s="1"/>
  <c r="AU116" i="40"/>
  <c r="AU121" i="40"/>
  <c r="AU123" i="40"/>
  <c r="AU125" i="40"/>
  <c r="AU127" i="40"/>
  <c r="I140" i="40"/>
  <c r="I139" i="40" s="1"/>
  <c r="AU143" i="40"/>
  <c r="AT29" i="40"/>
  <c r="AT31" i="40"/>
  <c r="BG19" i="40"/>
  <c r="AA19" i="40" s="1"/>
  <c r="BG21" i="40"/>
  <c r="AA21" i="40" s="1"/>
  <c r="BG29" i="40"/>
  <c r="AA29" i="40" s="1"/>
  <c r="AI41" i="40"/>
  <c r="AR28" i="40" s="1"/>
  <c r="AI46" i="40"/>
  <c r="AI48" i="40"/>
  <c r="AI110" i="40"/>
  <c r="J139" i="40"/>
  <c r="AI141" i="40"/>
  <c r="J28" i="40"/>
  <c r="AT33" i="40"/>
  <c r="AT37" i="40"/>
  <c r="BG17" i="40"/>
  <c r="AA17" i="40" s="1"/>
  <c r="BG24" i="40"/>
  <c r="AA24" i="40" s="1"/>
  <c r="BG26" i="40"/>
  <c r="AA26" i="40" s="1"/>
  <c r="BG31" i="40"/>
  <c r="AA31" i="40" s="1"/>
  <c r="BG33" i="40"/>
  <c r="AA33" i="40" s="1"/>
  <c r="BG37" i="40"/>
  <c r="AA37" i="40" s="1"/>
  <c r="BG39" i="40"/>
  <c r="AA39" i="40" s="1"/>
  <c r="AV39" i="40"/>
  <c r="BA39" i="40" s="1"/>
  <c r="AI102" i="40"/>
  <c r="J97" i="40"/>
  <c r="AI134" i="40"/>
  <c r="AR133" i="40" s="1"/>
  <c r="J133" i="40"/>
  <c r="AI145" i="40"/>
  <c r="AR139" i="40" s="1"/>
  <c r="BG13" i="40"/>
  <c r="AA13" i="40" s="1"/>
  <c r="BG15" i="40"/>
  <c r="AA15" i="40" s="1"/>
  <c r="AR50" i="40"/>
  <c r="AR85" i="40"/>
  <c r="AI106" i="40"/>
  <c r="J115" i="40"/>
  <c r="AI118" i="40"/>
  <c r="AR115" i="40" s="1"/>
  <c r="AV41" i="40"/>
  <c r="AT41" i="40" s="1"/>
  <c r="AV43" i="40"/>
  <c r="AT43" i="40" s="1"/>
  <c r="AV46" i="40"/>
  <c r="AT46" i="40" s="1"/>
  <c r="AV48" i="40"/>
  <c r="AT48" i="40" s="1"/>
  <c r="AV51" i="40"/>
  <c r="BA51" i="40" s="1"/>
  <c r="AV53" i="40"/>
  <c r="BA53" i="40" s="1"/>
  <c r="AV55" i="40"/>
  <c r="BA55" i="40" s="1"/>
  <c r="AV57" i="40"/>
  <c r="AT57" i="40" s="1"/>
  <c r="AV59" i="40"/>
  <c r="AV61" i="40"/>
  <c r="AT61" i="40" s="1"/>
  <c r="AV63" i="40"/>
  <c r="AT63" i="40" s="1"/>
  <c r="AV65" i="40"/>
  <c r="AT65" i="40" s="1"/>
  <c r="AV67" i="40"/>
  <c r="AV69" i="40"/>
  <c r="AT69" i="40" s="1"/>
  <c r="AV72" i="40"/>
  <c r="AT72" i="40" s="1"/>
  <c r="AV74" i="40"/>
  <c r="BA74" i="40" s="1"/>
  <c r="AV75" i="40"/>
  <c r="AV78" i="40"/>
  <c r="AT78" i="40" s="1"/>
  <c r="AV81" i="40"/>
  <c r="BA81" i="40" s="1"/>
  <c r="AV83" i="40"/>
  <c r="AT83" i="40" s="1"/>
  <c r="AV86" i="40"/>
  <c r="BA86" i="40" s="1"/>
  <c r="AI148" i="40"/>
  <c r="BG88" i="40"/>
  <c r="AA88" i="40" s="1"/>
  <c r="AV88" i="40"/>
  <c r="AT88" i="40" s="1"/>
  <c r="AI98" i="40"/>
  <c r="J112" i="40"/>
  <c r="J120" i="40"/>
  <c r="J146" i="40"/>
  <c r="AI113" i="40"/>
  <c r="AR112" i="40" s="1"/>
  <c r="AI121" i="40"/>
  <c r="AI125" i="40"/>
  <c r="AI129" i="40"/>
  <c r="AI149" i="40"/>
  <c r="AI155" i="40"/>
  <c r="AI159" i="40"/>
  <c r="AI163" i="40"/>
  <c r="AI167" i="40"/>
  <c r="AV90" i="40"/>
  <c r="AT90" i="40" s="1"/>
  <c r="AV92" i="40"/>
  <c r="AT92" i="40" s="1"/>
  <c r="AV95" i="40"/>
  <c r="AV98" i="40"/>
  <c r="AT98" i="40" s="1"/>
  <c r="AV100" i="40"/>
  <c r="AT100" i="40" s="1"/>
  <c r="AV102" i="40"/>
  <c r="AT102" i="40" s="1"/>
  <c r="AV104" i="40"/>
  <c r="AT104" i="40" s="1"/>
  <c r="AV106" i="40"/>
  <c r="AT106" i="40" s="1"/>
  <c r="AV108" i="40"/>
  <c r="AT108" i="40" s="1"/>
  <c r="AV110" i="40"/>
  <c r="AT110" i="40" s="1"/>
  <c r="AV113" i="40"/>
  <c r="AT113" i="40" s="1"/>
  <c r="AV116" i="40"/>
  <c r="AT116" i="40" s="1"/>
  <c r="AV118" i="40"/>
  <c r="AT118" i="40" s="1"/>
  <c r="AV121" i="40"/>
  <c r="AT121" i="40" s="1"/>
  <c r="AV123" i="40"/>
  <c r="AT123" i="40" s="1"/>
  <c r="AV125" i="40"/>
  <c r="AV127" i="40"/>
  <c r="AT127" i="40" s="1"/>
  <c r="AV129" i="40"/>
  <c r="AT129" i="40" s="1"/>
  <c r="AV131" i="40"/>
  <c r="AT131" i="40" s="1"/>
  <c r="AV134" i="40"/>
  <c r="AT134" i="40" s="1"/>
  <c r="AV137" i="40"/>
  <c r="AT137" i="40" s="1"/>
  <c r="AV140" i="40"/>
  <c r="AV141" i="40"/>
  <c r="AV143" i="40"/>
  <c r="AT143" i="40" s="1"/>
  <c r="AV145" i="40"/>
  <c r="AT145" i="40" s="1"/>
  <c r="AV147" i="40"/>
  <c r="AT147" i="40" s="1"/>
  <c r="AV148" i="40"/>
  <c r="AV167" i="40"/>
  <c r="AT167" i="40" s="1"/>
  <c r="AT162" i="39"/>
  <c r="BD15" i="39"/>
  <c r="AV50" i="39"/>
  <c r="AT50" i="39" s="1"/>
  <c r="AV52" i="39"/>
  <c r="AT52" i="39" s="1"/>
  <c r="AR54" i="39"/>
  <c r="AU55" i="39"/>
  <c r="AT55" i="39" s="1"/>
  <c r="AU57" i="39"/>
  <c r="AT57" i="39" s="1"/>
  <c r="AU59" i="39"/>
  <c r="AU61" i="39"/>
  <c r="AU63" i="39"/>
  <c r="AT63" i="39" s="1"/>
  <c r="AU65" i="39"/>
  <c r="AT65" i="39" s="1"/>
  <c r="AU67" i="39"/>
  <c r="AU69" i="39"/>
  <c r="AU71" i="39"/>
  <c r="AT71" i="39" s="1"/>
  <c r="AV82" i="39"/>
  <c r="AV85" i="39"/>
  <c r="AQ84" i="39"/>
  <c r="BF90" i="39"/>
  <c r="Z90" i="39" s="1"/>
  <c r="AU96" i="39"/>
  <c r="J101" i="39"/>
  <c r="L159" i="39"/>
  <c r="AV160" i="39"/>
  <c r="AT160" i="39" s="1"/>
  <c r="AV166" i="39"/>
  <c r="BA166" i="39" s="1"/>
  <c r="AU170" i="39"/>
  <c r="AV172" i="39"/>
  <c r="BA172" i="39" s="1"/>
  <c r="I178" i="39"/>
  <c r="J12" i="39"/>
  <c r="AU17" i="39"/>
  <c r="AU19" i="39"/>
  <c r="AU21" i="39"/>
  <c r="AT21" i="39" s="1"/>
  <c r="AU23" i="39"/>
  <c r="AU25" i="39"/>
  <c r="J27" i="39"/>
  <c r="AU33" i="39"/>
  <c r="AT33" i="39" s="1"/>
  <c r="AU35" i="39"/>
  <c r="AU37" i="39"/>
  <c r="AU39" i="39"/>
  <c r="AU41" i="39"/>
  <c r="AT41" i="39" s="1"/>
  <c r="AU43" i="39"/>
  <c r="BA43" i="39" s="1"/>
  <c r="AU45" i="39"/>
  <c r="AU47" i="39"/>
  <c r="AT47" i="39" s="1"/>
  <c r="J49" i="39"/>
  <c r="AV55" i="39"/>
  <c r="AV57" i="39"/>
  <c r="AV59" i="39"/>
  <c r="AV61" i="39"/>
  <c r="BA61" i="39" s="1"/>
  <c r="AV63" i="39"/>
  <c r="AV65" i="39"/>
  <c r="AV67" i="39"/>
  <c r="AV69" i="39"/>
  <c r="BA69" i="39" s="1"/>
  <c r="AV71" i="39"/>
  <c r="BG78" i="39"/>
  <c r="AA78" i="39" s="1"/>
  <c r="BF79" i="39"/>
  <c r="Z79" i="39" s="1"/>
  <c r="AV87" i="39"/>
  <c r="AT87" i="39" s="1"/>
  <c r="AU99" i="39"/>
  <c r="L101" i="39"/>
  <c r="AU117" i="39"/>
  <c r="L119" i="39"/>
  <c r="AU123" i="39"/>
  <c r="AU125" i="39"/>
  <c r="AU127" i="39"/>
  <c r="L129" i="39"/>
  <c r="AU143" i="39"/>
  <c r="BA143" i="39" s="1"/>
  <c r="L145" i="39"/>
  <c r="H149" i="39"/>
  <c r="H148" i="39" s="1"/>
  <c r="AU149" i="39"/>
  <c r="H168" i="39"/>
  <c r="H159" i="39" s="1"/>
  <c r="H174" i="39"/>
  <c r="I176" i="39"/>
  <c r="BG82" i="39"/>
  <c r="AA82" i="39" s="1"/>
  <c r="BG85" i="39"/>
  <c r="AA85" i="39" s="1"/>
  <c r="AU15" i="39"/>
  <c r="AV17" i="39"/>
  <c r="BA17" i="39" s="1"/>
  <c r="AV19" i="39"/>
  <c r="AV21" i="39"/>
  <c r="AV23" i="39"/>
  <c r="AV25" i="39"/>
  <c r="L27" i="39"/>
  <c r="AV33" i="39"/>
  <c r="AV35" i="39"/>
  <c r="AV37" i="39"/>
  <c r="AV39" i="39"/>
  <c r="AV41" i="39"/>
  <c r="AV43" i="39"/>
  <c r="AV45" i="39"/>
  <c r="BA45" i="39" s="1"/>
  <c r="J54" i="39"/>
  <c r="AQ75" i="39"/>
  <c r="I78" i="39"/>
  <c r="J81" i="39"/>
  <c r="BF82" i="39"/>
  <c r="Z82" i="39" s="1"/>
  <c r="BF85" i="39"/>
  <c r="Z85" i="39" s="1"/>
  <c r="BA94" i="39"/>
  <c r="BF94" i="39"/>
  <c r="H99" i="39"/>
  <c r="H98" i="39" s="1"/>
  <c r="H117" i="39"/>
  <c r="H116" i="39" s="1"/>
  <c r="H123" i="39"/>
  <c r="H125" i="39"/>
  <c r="H127" i="39"/>
  <c r="H143" i="39"/>
  <c r="H142" i="39" s="1"/>
  <c r="AU150" i="39"/>
  <c r="AU152" i="39"/>
  <c r="BA152" i="39" s="1"/>
  <c r="J155" i="39"/>
  <c r="AU156" i="39"/>
  <c r="AU157" i="39"/>
  <c r="I162" i="39"/>
  <c r="AV162" i="39"/>
  <c r="BA162" i="39" s="1"/>
  <c r="AU168" i="39"/>
  <c r="AT172" i="39"/>
  <c r="AU174" i="39"/>
  <c r="AV176" i="39"/>
  <c r="BA176" i="39" s="1"/>
  <c r="AR32" i="39"/>
  <c r="AT79" i="39"/>
  <c r="BA79" i="39"/>
  <c r="AR12" i="39"/>
  <c r="AT82" i="39"/>
  <c r="BA82" i="39"/>
  <c r="AT85" i="39"/>
  <c r="BA85" i="39"/>
  <c r="AI162" i="39"/>
  <c r="J159" i="39"/>
  <c r="AV13" i="39"/>
  <c r="AV15" i="39"/>
  <c r="BD76" i="39"/>
  <c r="L89" i="39"/>
  <c r="AU92" i="39"/>
  <c r="AR122" i="39"/>
  <c r="AT138" i="39"/>
  <c r="AI152" i="39"/>
  <c r="J148" i="39"/>
  <c r="BG96" i="39"/>
  <c r="AA96" i="39" s="1"/>
  <c r="AV96" i="39"/>
  <c r="BA96" i="39" s="1"/>
  <c r="AR148" i="39"/>
  <c r="BA19" i="39"/>
  <c r="BA23" i="39"/>
  <c r="BA25" i="39"/>
  <c r="BA28" i="39"/>
  <c r="BA30" i="39"/>
  <c r="BA35" i="39"/>
  <c r="BA37" i="39"/>
  <c r="BA47" i="39"/>
  <c r="BA50" i="39"/>
  <c r="BA52" i="39"/>
  <c r="BA57" i="39"/>
  <c r="BA59" i="39"/>
  <c r="BA65" i="39"/>
  <c r="BA67" i="39"/>
  <c r="I73" i="39"/>
  <c r="I54" i="39" s="1"/>
  <c r="AV73" i="39"/>
  <c r="AT73" i="39" s="1"/>
  <c r="I76" i="39"/>
  <c r="I75" i="39" s="1"/>
  <c r="AV76" i="39"/>
  <c r="BA76" i="39" s="1"/>
  <c r="H78" i="39"/>
  <c r="H75" i="39" s="1"/>
  <c r="AU78" i="39"/>
  <c r="AR89" i="39"/>
  <c r="BA90" i="39"/>
  <c r="I92" i="39"/>
  <c r="I89" i="39" s="1"/>
  <c r="AV92" i="39"/>
  <c r="AI178" i="39"/>
  <c r="I96" i="39"/>
  <c r="I95" i="39" s="1"/>
  <c r="AR75" i="39"/>
  <c r="AT94" i="39"/>
  <c r="AR101" i="39"/>
  <c r="AR129" i="39"/>
  <c r="AI170" i="39"/>
  <c r="BA156" i="39"/>
  <c r="AI157" i="39"/>
  <c r="AR155" i="39" s="1"/>
  <c r="AI160" i="39"/>
  <c r="AV99" i="39"/>
  <c r="AV102" i="39"/>
  <c r="BA102" i="39" s="1"/>
  <c r="AV104" i="39"/>
  <c r="AT104" i="39" s="1"/>
  <c r="AV106" i="39"/>
  <c r="BA106" i="39" s="1"/>
  <c r="AV108" i="39"/>
  <c r="BA108" i="39" s="1"/>
  <c r="AV110" i="39"/>
  <c r="BA110" i="39" s="1"/>
  <c r="AV112" i="39"/>
  <c r="AT112" i="39" s="1"/>
  <c r="AV114" i="39"/>
  <c r="AT114" i="39" s="1"/>
  <c r="AV117" i="39"/>
  <c r="AV120" i="39"/>
  <c r="AT120" i="39" s="1"/>
  <c r="AV123" i="39"/>
  <c r="AT123" i="39" s="1"/>
  <c r="AV125" i="39"/>
  <c r="AT125" i="39" s="1"/>
  <c r="AV127" i="39"/>
  <c r="AV130" i="39"/>
  <c r="BA130" i="39" s="1"/>
  <c r="AV132" i="39"/>
  <c r="AT132" i="39" s="1"/>
  <c r="AV134" i="39"/>
  <c r="AT134" i="39" s="1"/>
  <c r="AV136" i="39"/>
  <c r="BA136" i="39" s="1"/>
  <c r="AV138" i="39"/>
  <c r="BA138" i="39" s="1"/>
  <c r="AV140" i="39"/>
  <c r="AT140" i="39" s="1"/>
  <c r="AV143" i="39"/>
  <c r="AT143" i="39" s="1"/>
  <c r="AV146" i="39"/>
  <c r="BA146" i="39" s="1"/>
  <c r="AV149" i="39"/>
  <c r="AV150" i="39"/>
  <c r="AT150" i="39" s="1"/>
  <c r="AV152" i="39"/>
  <c r="AT152" i="39" s="1"/>
  <c r="AV154" i="39"/>
  <c r="AT154" i="39" s="1"/>
  <c r="AV156" i="39"/>
  <c r="AT156" i="39" s="1"/>
  <c r="AV157" i="39"/>
  <c r="AT157" i="39" s="1"/>
  <c r="AV178" i="39"/>
  <c r="AT178" i="39" s="1"/>
  <c r="I31" i="38"/>
  <c r="AJ82" i="38"/>
  <c r="AS81" i="38" s="1"/>
  <c r="J81" i="38"/>
  <c r="BF84" i="38"/>
  <c r="Z84" i="38" s="1"/>
  <c r="H84" i="38"/>
  <c r="AU84" i="38"/>
  <c r="I18" i="38"/>
  <c r="I15" i="38" s="1"/>
  <c r="BG18" i="38"/>
  <c r="AA18" i="38" s="1"/>
  <c r="I22" i="38"/>
  <c r="BG22" i="38"/>
  <c r="AA22" i="38" s="1"/>
  <c r="I26" i="38"/>
  <c r="BG26" i="38"/>
  <c r="AA26" i="38" s="1"/>
  <c r="J28" i="38"/>
  <c r="AV29" i="38"/>
  <c r="BA29" i="38" s="1"/>
  <c r="AU34" i="38"/>
  <c r="BG34" i="38"/>
  <c r="AA34" i="38" s="1"/>
  <c r="AU38" i="38"/>
  <c r="BG38" i="38"/>
  <c r="AA38" i="38" s="1"/>
  <c r="AU42" i="38"/>
  <c r="BG42" i="38"/>
  <c r="AA42" i="38" s="1"/>
  <c r="AU46" i="38"/>
  <c r="BG46" i="38"/>
  <c r="AA46" i="38" s="1"/>
  <c r="I49" i="38"/>
  <c r="BG49" i="38"/>
  <c r="AA49" i="38" s="1"/>
  <c r="I54" i="38"/>
  <c r="BG54" i="38"/>
  <c r="AA54" i="38" s="1"/>
  <c r="I56" i="38"/>
  <c r="H58" i="38"/>
  <c r="AU60" i="38"/>
  <c r="AU62" i="38"/>
  <c r="AU66" i="38"/>
  <c r="AS70" i="38"/>
  <c r="AS76" i="38"/>
  <c r="I81" i="38"/>
  <c r="J93" i="38"/>
  <c r="BF109" i="38"/>
  <c r="Z109" i="38" s="1"/>
  <c r="AU109" i="38"/>
  <c r="BA109" i="38" s="1"/>
  <c r="H109" i="38"/>
  <c r="H108" i="38" s="1"/>
  <c r="BG112" i="38"/>
  <c r="AA112" i="38" s="1"/>
  <c r="I112" i="38"/>
  <c r="AT131" i="38"/>
  <c r="BF146" i="38"/>
  <c r="H146" i="38"/>
  <c r="AU146" i="38"/>
  <c r="BG151" i="38"/>
  <c r="I151" i="38"/>
  <c r="AV151" i="38"/>
  <c r="BF155" i="38"/>
  <c r="H155" i="38"/>
  <c r="AU155" i="38"/>
  <c r="BA155" i="38" s="1"/>
  <c r="AR156" i="38"/>
  <c r="BG131" i="38"/>
  <c r="AA131" i="38" s="1"/>
  <c r="AV131" i="38"/>
  <c r="I131" i="38"/>
  <c r="AU16" i="38"/>
  <c r="AT16" i="38" s="1"/>
  <c r="AU20" i="38"/>
  <c r="AT20" i="38" s="1"/>
  <c r="AU24" i="38"/>
  <c r="AT24" i="38" s="1"/>
  <c r="L28" i="38"/>
  <c r="AJ34" i="38"/>
  <c r="AS31" i="38" s="1"/>
  <c r="AV34" i="38"/>
  <c r="BA34" i="38" s="1"/>
  <c r="AV38" i="38"/>
  <c r="AV42" i="38"/>
  <c r="AV46" i="38"/>
  <c r="AU51" i="38"/>
  <c r="AT51" i="38" s="1"/>
  <c r="BG56" i="38"/>
  <c r="AA56" i="38" s="1"/>
  <c r="I58" i="38"/>
  <c r="H60" i="38"/>
  <c r="AJ60" i="38"/>
  <c r="AS53" i="38" s="1"/>
  <c r="H62" i="38"/>
  <c r="H64" i="38"/>
  <c r="AU64" i="38"/>
  <c r="BG68" i="38"/>
  <c r="AA68" i="38" s="1"/>
  <c r="I68" i="38"/>
  <c r="BD74" i="38"/>
  <c r="L70" i="38"/>
  <c r="L93" i="38"/>
  <c r="BG96" i="38"/>
  <c r="AA96" i="38" s="1"/>
  <c r="I96" i="38"/>
  <c r="BF98" i="38"/>
  <c r="Z98" i="38" s="1"/>
  <c r="AU98" i="38"/>
  <c r="H98" i="38"/>
  <c r="AJ109" i="38"/>
  <c r="AS108" i="38" s="1"/>
  <c r="J108" i="38"/>
  <c r="BF121" i="38"/>
  <c r="Z121" i="38" s="1"/>
  <c r="H121" i="38"/>
  <c r="H118" i="38" s="1"/>
  <c r="BG123" i="38"/>
  <c r="AA123" i="38" s="1"/>
  <c r="AV123" i="38"/>
  <c r="L139" i="38"/>
  <c r="BD140" i="38"/>
  <c r="BG154" i="38"/>
  <c r="I154" i="38"/>
  <c r="I152" i="38" s="1"/>
  <c r="AV154" i="38"/>
  <c r="BG58" i="38"/>
  <c r="AA58" i="38" s="1"/>
  <c r="I62" i="38"/>
  <c r="BF82" i="38"/>
  <c r="Z82" i="38" s="1"/>
  <c r="AU82" i="38"/>
  <c r="H82" i="38"/>
  <c r="AR93" i="38"/>
  <c r="AQ93" i="38"/>
  <c r="BG104" i="38"/>
  <c r="AA104" i="38" s="1"/>
  <c r="I104" i="38"/>
  <c r="BF106" i="38"/>
  <c r="Z106" i="38" s="1"/>
  <c r="AU106" i="38"/>
  <c r="AT106" i="38" s="1"/>
  <c r="H106" i="38"/>
  <c r="H93" i="38" s="1"/>
  <c r="BG125" i="38"/>
  <c r="AA125" i="38" s="1"/>
  <c r="I125" i="38"/>
  <c r="I118" i="38" s="1"/>
  <c r="AV125" i="38"/>
  <c r="BG140" i="38"/>
  <c r="AA140" i="38" s="1"/>
  <c r="AV140" i="38"/>
  <c r="BA140" i="38" s="1"/>
  <c r="I140" i="38"/>
  <c r="I139" i="38" s="1"/>
  <c r="BD153" i="38"/>
  <c r="L152" i="38"/>
  <c r="BG157" i="38"/>
  <c r="AV157" i="38"/>
  <c r="I157" i="38"/>
  <c r="BG161" i="38"/>
  <c r="AV161" i="38"/>
  <c r="AT161" i="38" s="1"/>
  <c r="I161" i="38"/>
  <c r="BG165" i="38"/>
  <c r="AV165" i="38"/>
  <c r="AT165" i="38" s="1"/>
  <c r="I165" i="38"/>
  <c r="BG169" i="38"/>
  <c r="AV169" i="38"/>
  <c r="I169" i="38"/>
  <c r="BG172" i="38"/>
  <c r="AV172" i="38"/>
  <c r="BA172" i="38" s="1"/>
  <c r="I172" i="38"/>
  <c r="BG174" i="38"/>
  <c r="AV174" i="38"/>
  <c r="BA174" i="38" s="1"/>
  <c r="I174" i="38"/>
  <c r="BG176" i="38"/>
  <c r="AV176" i="38"/>
  <c r="AT176" i="38" s="1"/>
  <c r="I176" i="38"/>
  <c r="BG178" i="38"/>
  <c r="AV178" i="38"/>
  <c r="I178" i="38"/>
  <c r="BG181" i="38"/>
  <c r="AV181" i="38"/>
  <c r="BA181" i="38" s="1"/>
  <c r="I181" i="38"/>
  <c r="AJ88" i="38"/>
  <c r="AS87" i="38" s="1"/>
  <c r="AJ91" i="38"/>
  <c r="AS90" i="38" s="1"/>
  <c r="AJ94" i="38"/>
  <c r="AS93" i="38" s="1"/>
  <c r="AU96" i="38"/>
  <c r="AU104" i="38"/>
  <c r="AR111" i="38"/>
  <c r="AU127" i="38"/>
  <c r="AV133" i="38"/>
  <c r="BA133" i="38" s="1"/>
  <c r="AU135" i="38"/>
  <c r="I147" i="38"/>
  <c r="H149" i="38"/>
  <c r="BA151" i="38"/>
  <c r="H153" i="38"/>
  <c r="AV153" i="38"/>
  <c r="AT153" i="38" s="1"/>
  <c r="AU154" i="38"/>
  <c r="I159" i="38"/>
  <c r="AV159" i="38"/>
  <c r="BA159" i="38" s="1"/>
  <c r="I163" i="38"/>
  <c r="AV163" i="38"/>
  <c r="BA163" i="38" s="1"/>
  <c r="I167" i="38"/>
  <c r="AV167" i="38"/>
  <c r="BA167" i="38" s="1"/>
  <c r="I171" i="38"/>
  <c r="AV171" i="38"/>
  <c r="BA171" i="38" s="1"/>
  <c r="I173" i="38"/>
  <c r="AV173" i="38"/>
  <c r="BA173" i="38" s="1"/>
  <c r="I175" i="38"/>
  <c r="AV175" i="38"/>
  <c r="BA175" i="38" s="1"/>
  <c r="I177" i="38"/>
  <c r="AV177" i="38"/>
  <c r="BA177" i="38" s="1"/>
  <c r="I179" i="38"/>
  <c r="AV179" i="38"/>
  <c r="BA179" i="38" s="1"/>
  <c r="H111" i="38"/>
  <c r="BD143" i="38"/>
  <c r="BA178" i="38"/>
  <c r="AU71" i="38"/>
  <c r="AU77" i="38"/>
  <c r="AU79" i="38"/>
  <c r="AU129" i="38"/>
  <c r="BA129" i="38" s="1"/>
  <c r="AU143" i="38"/>
  <c r="BA143" i="38" s="1"/>
  <c r="AV146" i="38"/>
  <c r="AU147" i="38"/>
  <c r="BA147" i="38" s="1"/>
  <c r="H13" i="38"/>
  <c r="H12" i="38" s="1"/>
  <c r="BF16" i="38"/>
  <c r="Z16" i="38" s="1"/>
  <c r="H18" i="38"/>
  <c r="BF20" i="38"/>
  <c r="Z20" i="38" s="1"/>
  <c r="H22" i="38"/>
  <c r="BF24" i="38"/>
  <c r="Z24" i="38" s="1"/>
  <c r="H26" i="38"/>
  <c r="BF29" i="38"/>
  <c r="Z29" i="38" s="1"/>
  <c r="H32" i="38"/>
  <c r="BF34" i="38"/>
  <c r="Z34" i="38" s="1"/>
  <c r="H36" i="38"/>
  <c r="BF38" i="38"/>
  <c r="Z38" i="38" s="1"/>
  <c r="H40" i="38"/>
  <c r="BF42" i="38"/>
  <c r="Z42" i="38" s="1"/>
  <c r="H44" i="38"/>
  <c r="BF46" i="38"/>
  <c r="Z46" i="38" s="1"/>
  <c r="H49" i="38"/>
  <c r="H48" i="38" s="1"/>
  <c r="BF51" i="38"/>
  <c r="Z51" i="38" s="1"/>
  <c r="BG60" i="38"/>
  <c r="AA60" i="38" s="1"/>
  <c r="AV60" i="38"/>
  <c r="AT60" i="38" s="1"/>
  <c r="L118" i="38"/>
  <c r="AJ131" i="38"/>
  <c r="AJ140" i="38"/>
  <c r="AS139" i="38" s="1"/>
  <c r="AU13" i="38"/>
  <c r="BA16" i="38"/>
  <c r="AU18" i="38"/>
  <c r="AU22" i="38"/>
  <c r="BA24" i="38"/>
  <c r="AU26" i="38"/>
  <c r="AU32" i="38"/>
  <c r="AU36" i="38"/>
  <c r="BA38" i="38"/>
  <c r="AU40" i="38"/>
  <c r="BA42" i="38"/>
  <c r="AU44" i="38"/>
  <c r="BA46" i="38"/>
  <c r="AU49" i="38"/>
  <c r="BD114" i="38"/>
  <c r="L111" i="38"/>
  <c r="AR118" i="38"/>
  <c r="BA54" i="38"/>
  <c r="BA56" i="38"/>
  <c r="BA58" i="38"/>
  <c r="BF114" i="38"/>
  <c r="Z114" i="38" s="1"/>
  <c r="AU114" i="38"/>
  <c r="AJ116" i="38"/>
  <c r="AS111" i="38" s="1"/>
  <c r="BF119" i="38"/>
  <c r="Z119" i="38" s="1"/>
  <c r="AU119" i="38"/>
  <c r="J118" i="38"/>
  <c r="AJ121" i="38"/>
  <c r="BF123" i="38"/>
  <c r="Z123" i="38" s="1"/>
  <c r="AU123" i="38"/>
  <c r="AJ125" i="38"/>
  <c r="BA137" i="38"/>
  <c r="AT137" i="38"/>
  <c r="J139" i="38"/>
  <c r="AV62" i="38"/>
  <c r="AV64" i="38"/>
  <c r="AT64" i="38" s="1"/>
  <c r="AV66" i="38"/>
  <c r="AT66" i="38" s="1"/>
  <c r="AV68" i="38"/>
  <c r="BA68" i="38" s="1"/>
  <c r="AV71" i="38"/>
  <c r="BA71" i="38" s="1"/>
  <c r="AV73" i="38"/>
  <c r="AT73" i="38" s="1"/>
  <c r="AV74" i="38"/>
  <c r="AT74" i="38" s="1"/>
  <c r="AV77" i="38"/>
  <c r="BA77" i="38" s="1"/>
  <c r="AV79" i="38"/>
  <c r="AV82" i="38"/>
  <c r="AT82" i="38" s="1"/>
  <c r="AV84" i="38"/>
  <c r="AT84" i="38" s="1"/>
  <c r="AV86" i="38"/>
  <c r="AT86" i="38" s="1"/>
  <c r="AV88" i="38"/>
  <c r="BA88" i="38" s="1"/>
  <c r="AV91" i="38"/>
  <c r="BA91" i="38" s="1"/>
  <c r="AV94" i="38"/>
  <c r="AT94" i="38" s="1"/>
  <c r="AV96" i="38"/>
  <c r="AT96" i="38" s="1"/>
  <c r="AV98" i="38"/>
  <c r="AV100" i="38"/>
  <c r="AT100" i="38" s="1"/>
  <c r="AV102" i="38"/>
  <c r="AT102" i="38" s="1"/>
  <c r="AV104" i="38"/>
  <c r="AV106" i="38"/>
  <c r="BA106" i="38" s="1"/>
  <c r="AV109" i="38"/>
  <c r="AV112" i="38"/>
  <c r="AT112" i="38" s="1"/>
  <c r="AU116" i="38"/>
  <c r="AU121" i="38"/>
  <c r="AU125" i="38"/>
  <c r="AT133" i="38"/>
  <c r="AT149" i="38"/>
  <c r="AT151" i="38"/>
  <c r="AT155" i="38"/>
  <c r="AJ146" i="38"/>
  <c r="AJ147" i="38"/>
  <c r="AJ149" i="38"/>
  <c r="AJ151" i="38"/>
  <c r="AJ153" i="38"/>
  <c r="AJ154" i="38"/>
  <c r="AJ155" i="38"/>
  <c r="AJ157" i="38"/>
  <c r="AJ159" i="38"/>
  <c r="AJ161" i="38"/>
  <c r="AJ163" i="38"/>
  <c r="AJ165" i="38"/>
  <c r="AJ167" i="38"/>
  <c r="AJ169" i="38"/>
  <c r="AJ171" i="38"/>
  <c r="AJ172" i="38"/>
  <c r="AJ173" i="38"/>
  <c r="AJ174" i="38"/>
  <c r="AJ175" i="38"/>
  <c r="AJ176" i="38"/>
  <c r="AJ177" i="38"/>
  <c r="AJ178" i="38"/>
  <c r="AJ179" i="38"/>
  <c r="AJ181" i="38"/>
  <c r="J111" i="38"/>
  <c r="L57" i="37"/>
  <c r="AV78" i="37"/>
  <c r="L91" i="37"/>
  <c r="I98" i="37"/>
  <c r="H102" i="37"/>
  <c r="AV102" i="37"/>
  <c r="AV104" i="37"/>
  <c r="AV106" i="37"/>
  <c r="J120" i="37"/>
  <c r="AV126" i="37"/>
  <c r="AV130" i="37"/>
  <c r="AV134" i="37"/>
  <c r="AV137" i="37"/>
  <c r="AT137" i="37" s="1"/>
  <c r="AU141" i="37"/>
  <c r="AU143" i="37"/>
  <c r="I149" i="37"/>
  <c r="AU151" i="37"/>
  <c r="AU153" i="37"/>
  <c r="H157" i="37"/>
  <c r="AU163" i="37"/>
  <c r="I169" i="37"/>
  <c r="I165" i="37" s="1"/>
  <c r="H171" i="37"/>
  <c r="AV171" i="37"/>
  <c r="L172" i="37"/>
  <c r="I173" i="37"/>
  <c r="H174" i="37"/>
  <c r="H172" i="37" s="1"/>
  <c r="AV174" i="37"/>
  <c r="BA174" i="37" s="1"/>
  <c r="AU175" i="37"/>
  <c r="L176" i="37"/>
  <c r="AU177" i="37"/>
  <c r="H181" i="37"/>
  <c r="AU181" i="37"/>
  <c r="AV183" i="37"/>
  <c r="BA183" i="37" s="1"/>
  <c r="H187" i="37"/>
  <c r="AU187" i="37"/>
  <c r="AU192" i="37"/>
  <c r="H194" i="37"/>
  <c r="AU194" i="37"/>
  <c r="AV195" i="37"/>
  <c r="BA195" i="37" s="1"/>
  <c r="H196" i="37"/>
  <c r="AU196" i="37"/>
  <c r="I198" i="37"/>
  <c r="AV198" i="37"/>
  <c r="BA198" i="37" s="1"/>
  <c r="AU201" i="37"/>
  <c r="AV204" i="37"/>
  <c r="BA204" i="37" s="1"/>
  <c r="H206" i="37"/>
  <c r="BA171" i="37"/>
  <c r="L12" i="37"/>
  <c r="AV16" i="37"/>
  <c r="AT16" i="37" s="1"/>
  <c r="AV20" i="37"/>
  <c r="AT20" i="37" s="1"/>
  <c r="J32" i="37"/>
  <c r="J35" i="37"/>
  <c r="AR52" i="37"/>
  <c r="H77" i="37"/>
  <c r="L85" i="37"/>
  <c r="H90" i="37"/>
  <c r="J94" i="37"/>
  <c r="H95" i="37"/>
  <c r="H94" i="37" s="1"/>
  <c r="L120" i="37"/>
  <c r="I143" i="37"/>
  <c r="H145" i="37"/>
  <c r="AU145" i="37"/>
  <c r="I151" i="37"/>
  <c r="AV153" i="37"/>
  <c r="AT153" i="37" s="1"/>
  <c r="L162" i="37"/>
  <c r="I163" i="37"/>
  <c r="I162" i="37" s="1"/>
  <c r="AU166" i="37"/>
  <c r="AU167" i="37"/>
  <c r="BA167" i="37" s="1"/>
  <c r="AV175" i="37"/>
  <c r="H185" i="37"/>
  <c r="I191" i="37"/>
  <c r="H197" i="37"/>
  <c r="I199" i="37"/>
  <c r="AV68" i="37"/>
  <c r="BA68" i="37" s="1"/>
  <c r="H75" i="37"/>
  <c r="H74" i="37" s="1"/>
  <c r="I78" i="37"/>
  <c r="I74" i="37" s="1"/>
  <c r="H81" i="37"/>
  <c r="H80" i="37" s="1"/>
  <c r="AV86" i="37"/>
  <c r="H88" i="37"/>
  <c r="H85" i="37" s="1"/>
  <c r="AV98" i="37"/>
  <c r="I106" i="37"/>
  <c r="AV123" i="37"/>
  <c r="AV128" i="37"/>
  <c r="AT128" i="37" s="1"/>
  <c r="AV132" i="37"/>
  <c r="H136" i="37"/>
  <c r="AV139" i="37"/>
  <c r="I153" i="37"/>
  <c r="H155" i="37"/>
  <c r="AU160" i="37"/>
  <c r="H166" i="37"/>
  <c r="AS165" i="37"/>
  <c r="H167" i="37"/>
  <c r="BA169" i="37"/>
  <c r="BA173" i="37"/>
  <c r="I175" i="37"/>
  <c r="H179" i="37"/>
  <c r="AU179" i="37"/>
  <c r="AU185" i="37"/>
  <c r="H189" i="37"/>
  <c r="AU189" i="37"/>
  <c r="AV191" i="37"/>
  <c r="BA191" i="37" s="1"/>
  <c r="H193" i="37"/>
  <c r="AU193" i="37"/>
  <c r="AU197" i="37"/>
  <c r="AV199" i="37"/>
  <c r="AT199" i="37" s="1"/>
  <c r="H200" i="37"/>
  <c r="AU200" i="37"/>
  <c r="I202" i="37"/>
  <c r="AV202" i="37"/>
  <c r="AT202" i="37" s="1"/>
  <c r="AT58" i="37"/>
  <c r="BA58" i="37"/>
  <c r="AT13" i="37"/>
  <c r="BA13" i="37"/>
  <c r="AT18" i="37"/>
  <c r="BA18" i="37"/>
  <c r="AT26" i="37"/>
  <c r="BA26" i="37"/>
  <c r="AT33" i="37"/>
  <c r="BA33" i="37"/>
  <c r="AT40" i="37"/>
  <c r="BA40" i="37"/>
  <c r="AT48" i="37"/>
  <c r="BA48" i="37"/>
  <c r="AT55" i="37"/>
  <c r="BA55" i="37"/>
  <c r="AT64" i="37"/>
  <c r="BA64" i="37"/>
  <c r="AT42" i="37"/>
  <c r="BA42" i="37"/>
  <c r="BA16" i="37"/>
  <c r="AT24" i="37"/>
  <c r="BA24" i="37"/>
  <c r="AT38" i="37"/>
  <c r="BA38" i="37"/>
  <c r="AT46" i="37"/>
  <c r="BA46" i="37"/>
  <c r="AT53" i="37"/>
  <c r="BA53" i="37"/>
  <c r="AT62" i="37"/>
  <c r="BA62" i="37"/>
  <c r="BA20" i="37"/>
  <c r="AT28" i="37"/>
  <c r="BA28" i="37"/>
  <c r="AT50" i="37"/>
  <c r="BA50" i="37"/>
  <c r="AR15" i="37"/>
  <c r="AT22" i="37"/>
  <c r="BA22" i="37"/>
  <c r="AT30" i="37"/>
  <c r="BA30" i="37"/>
  <c r="AT36" i="37"/>
  <c r="BA36" i="37"/>
  <c r="AT44" i="37"/>
  <c r="BA44" i="37"/>
  <c r="AT60" i="37"/>
  <c r="BA60" i="37"/>
  <c r="BF13" i="37"/>
  <c r="Z13" i="37" s="1"/>
  <c r="BF16" i="37"/>
  <c r="Z16" i="37" s="1"/>
  <c r="BF22" i="37"/>
  <c r="Z22" i="37" s="1"/>
  <c r="BF26" i="37"/>
  <c r="Z26" i="37" s="1"/>
  <c r="BF30" i="37"/>
  <c r="Z30" i="37" s="1"/>
  <c r="BF44" i="37"/>
  <c r="Z44" i="37" s="1"/>
  <c r="BF55" i="37"/>
  <c r="Z55" i="37" s="1"/>
  <c r="BF60" i="37"/>
  <c r="Z60" i="37" s="1"/>
  <c r="BF68" i="37"/>
  <c r="Z68" i="37" s="1"/>
  <c r="BF72" i="37"/>
  <c r="Z72" i="37" s="1"/>
  <c r="J85" i="37"/>
  <c r="BF98" i="37"/>
  <c r="Z98" i="37" s="1"/>
  <c r="AU98" i="37"/>
  <c r="H98" i="37"/>
  <c r="BD102" i="37"/>
  <c r="L97" i="37"/>
  <c r="AT102" i="37"/>
  <c r="BA102" i="37"/>
  <c r="BF106" i="37"/>
  <c r="Z106" i="37" s="1"/>
  <c r="AU106" i="37"/>
  <c r="H106" i="37"/>
  <c r="BD137" i="37"/>
  <c r="L136" i="37"/>
  <c r="BF20" i="37"/>
  <c r="Z20" i="37" s="1"/>
  <c r="BF24" i="37"/>
  <c r="Z24" i="37" s="1"/>
  <c r="BF28" i="37"/>
  <c r="Z28" i="37" s="1"/>
  <c r="BF33" i="37"/>
  <c r="Z33" i="37" s="1"/>
  <c r="BF36" i="37"/>
  <c r="Z36" i="37" s="1"/>
  <c r="BF38" i="37"/>
  <c r="Z38" i="37" s="1"/>
  <c r="BF40" i="37"/>
  <c r="Z40" i="37" s="1"/>
  <c r="BF42" i="37"/>
  <c r="Z42" i="37" s="1"/>
  <c r="BF46" i="37"/>
  <c r="Z46" i="37" s="1"/>
  <c r="BF50" i="37"/>
  <c r="Z50" i="37" s="1"/>
  <c r="BF53" i="37"/>
  <c r="Z53" i="37" s="1"/>
  <c r="BF64" i="37"/>
  <c r="Z64" i="37" s="1"/>
  <c r="J57" i="37"/>
  <c r="H68" i="37"/>
  <c r="AI68" i="37"/>
  <c r="AT68" i="37"/>
  <c r="BA70" i="37"/>
  <c r="H72" i="37"/>
  <c r="AI72" i="37"/>
  <c r="AT72" i="37"/>
  <c r="J74" i="37"/>
  <c r="AI83" i="37"/>
  <c r="AR80" i="37" s="1"/>
  <c r="AI86" i="37"/>
  <c r="AI98" i="37"/>
  <c r="AR97" i="37" s="1"/>
  <c r="BF18" i="37"/>
  <c r="Z18" i="37" s="1"/>
  <c r="BF48" i="37"/>
  <c r="Z48" i="37" s="1"/>
  <c r="BF58" i="37"/>
  <c r="Z58" i="37" s="1"/>
  <c r="BF62" i="37"/>
  <c r="Z62" i="37" s="1"/>
  <c r="AU66" i="37"/>
  <c r="AI75" i="37"/>
  <c r="AR74" i="37" s="1"/>
  <c r="AI88" i="37"/>
  <c r="H125" i="37"/>
  <c r="BD126" i="37"/>
  <c r="L125" i="37"/>
  <c r="AI157" i="37"/>
  <c r="AR136" i="37" s="1"/>
  <c r="AU75" i="37"/>
  <c r="AU77" i="37"/>
  <c r="AU78" i="37"/>
  <c r="AU81" i="37"/>
  <c r="AU83" i="37"/>
  <c r="AU86" i="37"/>
  <c r="AU88" i="37"/>
  <c r="AU90" i="37"/>
  <c r="AU92" i="37"/>
  <c r="AU95" i="37"/>
  <c r="H100" i="37"/>
  <c r="AU100" i="37"/>
  <c r="H108" i="37"/>
  <c r="H121" i="37"/>
  <c r="H123" i="37"/>
  <c r="AT126" i="37"/>
  <c r="BA126" i="37"/>
  <c r="BF126" i="37"/>
  <c r="Z126" i="37" s="1"/>
  <c r="BF128" i="37"/>
  <c r="Z128" i="37" s="1"/>
  <c r="AT130" i="37"/>
  <c r="BA130" i="37"/>
  <c r="BF130" i="37"/>
  <c r="Z130" i="37" s="1"/>
  <c r="AT132" i="37"/>
  <c r="BA132" i="37"/>
  <c r="BF132" i="37"/>
  <c r="Z132" i="37" s="1"/>
  <c r="AT134" i="37"/>
  <c r="BA134" i="37"/>
  <c r="BF134" i="37"/>
  <c r="Z134" i="37" s="1"/>
  <c r="BF137" i="37"/>
  <c r="Z137" i="37" s="1"/>
  <c r="AT139" i="37"/>
  <c r="BA139" i="37"/>
  <c r="BF139" i="37"/>
  <c r="Z139" i="37" s="1"/>
  <c r="AS136" i="37"/>
  <c r="BA153" i="37"/>
  <c r="AI189" i="37"/>
  <c r="AT121" i="37"/>
  <c r="BA121" i="37"/>
  <c r="BF121" i="37"/>
  <c r="Z121" i="37" s="1"/>
  <c r="AT123" i="37"/>
  <c r="BA123" i="37"/>
  <c r="BF123" i="37"/>
  <c r="Z123" i="37" s="1"/>
  <c r="AI166" i="37"/>
  <c r="AR165" i="37" s="1"/>
  <c r="AT104" i="37"/>
  <c r="BA104" i="37"/>
  <c r="AT108" i="37"/>
  <c r="BA108" i="37"/>
  <c r="BF108" i="37"/>
  <c r="Z108" i="37" s="1"/>
  <c r="AT110" i="37"/>
  <c r="BA110" i="37"/>
  <c r="BF110" i="37"/>
  <c r="Z110" i="37" s="1"/>
  <c r="AT112" i="37"/>
  <c r="BA112" i="37"/>
  <c r="BF112" i="37"/>
  <c r="Z112" i="37" s="1"/>
  <c r="AT114" i="37"/>
  <c r="BA114" i="37"/>
  <c r="BF114" i="37"/>
  <c r="Z114" i="37" s="1"/>
  <c r="AT116" i="37"/>
  <c r="BA116" i="37"/>
  <c r="BF116" i="37"/>
  <c r="Z116" i="37" s="1"/>
  <c r="AT118" i="37"/>
  <c r="BA118" i="37"/>
  <c r="BF118" i="37"/>
  <c r="Z118" i="37" s="1"/>
  <c r="J162" i="37"/>
  <c r="AR172" i="37"/>
  <c r="J176" i="37"/>
  <c r="AI181" i="37"/>
  <c r="AI194" i="37"/>
  <c r="BG141" i="37"/>
  <c r="AA141" i="37" s="1"/>
  <c r="AV141" i="37"/>
  <c r="BA141" i="37" s="1"/>
  <c r="J136" i="37"/>
  <c r="AT169" i="37"/>
  <c r="AT171" i="37"/>
  <c r="AT173" i="37"/>
  <c r="AT174" i="37"/>
  <c r="AT175" i="37"/>
  <c r="AI179" i="37"/>
  <c r="AI187" i="37"/>
  <c r="AI193" i="37"/>
  <c r="AI196" i="37"/>
  <c r="AI198" i="37"/>
  <c r="AI200" i="37"/>
  <c r="AI202" i="37"/>
  <c r="AI206" i="37"/>
  <c r="AV143" i="37"/>
  <c r="AT143" i="37" s="1"/>
  <c r="AV145" i="37"/>
  <c r="AT145" i="37" s="1"/>
  <c r="AV147" i="37"/>
  <c r="BA147" i="37" s="1"/>
  <c r="AV149" i="37"/>
  <c r="AT149" i="37" s="1"/>
  <c r="AV151" i="37"/>
  <c r="AT151" i="37" s="1"/>
  <c r="AV155" i="37"/>
  <c r="AT155" i="37" s="1"/>
  <c r="AV157" i="37"/>
  <c r="AT157" i="37" s="1"/>
  <c r="AV160" i="37"/>
  <c r="AV163" i="37"/>
  <c r="AT163" i="37" s="1"/>
  <c r="AV166" i="37"/>
  <c r="BA166" i="37" s="1"/>
  <c r="AV206" i="37"/>
  <c r="AT206" i="37" s="1"/>
  <c r="AT72" i="36"/>
  <c r="BA72" i="36"/>
  <c r="AT25" i="36"/>
  <c r="BA25" i="36"/>
  <c r="AT43" i="36"/>
  <c r="BA43" i="36"/>
  <c r="BA17" i="36"/>
  <c r="AT17" i="36"/>
  <c r="BA32" i="36"/>
  <c r="AT32" i="36"/>
  <c r="BA39" i="36"/>
  <c r="AT39" i="36"/>
  <c r="AR12" i="36"/>
  <c r="AR34" i="36"/>
  <c r="BF17" i="36"/>
  <c r="Z17" i="36" s="1"/>
  <c r="BG27" i="36"/>
  <c r="AA27" i="36" s="1"/>
  <c r="BF32" i="36"/>
  <c r="Z32" i="36" s="1"/>
  <c r="BG41" i="36"/>
  <c r="AA41" i="36" s="1"/>
  <c r="AU115" i="36"/>
  <c r="BF115" i="36"/>
  <c r="Z115" i="36" s="1"/>
  <c r="H115" i="36"/>
  <c r="H94" i="36" s="1"/>
  <c r="I160" i="36"/>
  <c r="I159" i="36" s="1"/>
  <c r="AV160" i="36"/>
  <c r="BF15" i="36"/>
  <c r="Z15" i="36" s="1"/>
  <c r="H17" i="36"/>
  <c r="BG17" i="36"/>
  <c r="AA17" i="36" s="1"/>
  <c r="I19" i="36"/>
  <c r="BF23" i="36"/>
  <c r="Z23" i="36" s="1"/>
  <c r="I27" i="36"/>
  <c r="J29" i="36"/>
  <c r="H32" i="36"/>
  <c r="BG32" i="36"/>
  <c r="AA32" i="36" s="1"/>
  <c r="BF37" i="36"/>
  <c r="Z37" i="36" s="1"/>
  <c r="BG39" i="36"/>
  <c r="AA39" i="36" s="1"/>
  <c r="I41" i="36"/>
  <c r="I34" i="36" s="1"/>
  <c r="BA51" i="36"/>
  <c r="BA59" i="36"/>
  <c r="H71" i="36"/>
  <c r="BF74" i="36"/>
  <c r="Z74" i="36" s="1"/>
  <c r="AT76" i="36"/>
  <c r="AV123" i="36"/>
  <c r="BG123" i="36"/>
  <c r="AA123" i="36" s="1"/>
  <c r="I123" i="36"/>
  <c r="I122" i="36" s="1"/>
  <c r="I139" i="36"/>
  <c r="I138" i="36" s="1"/>
  <c r="BG139" i="36"/>
  <c r="AA139" i="36" s="1"/>
  <c r="AV139" i="36"/>
  <c r="BA139" i="36" s="1"/>
  <c r="AT145" i="36"/>
  <c r="BA145" i="36"/>
  <c r="AV13" i="36"/>
  <c r="AT13" i="36" s="1"/>
  <c r="BA15" i="36"/>
  <c r="AU19" i="36"/>
  <c r="AV21" i="36"/>
  <c r="AT21" i="36" s="1"/>
  <c r="BA23" i="36"/>
  <c r="I25" i="36"/>
  <c r="AU27" i="36"/>
  <c r="H30" i="36"/>
  <c r="BA30" i="36"/>
  <c r="AV35" i="36"/>
  <c r="AT35" i="36" s="1"/>
  <c r="BA37" i="36"/>
  <c r="AU41" i="36"/>
  <c r="L45" i="36"/>
  <c r="I46" i="36"/>
  <c r="I45" i="36" s="1"/>
  <c r="AI46" i="36"/>
  <c r="AR45" i="36" s="1"/>
  <c r="AU57" i="36"/>
  <c r="AU65" i="36"/>
  <c r="L71" i="36"/>
  <c r="AV74" i="36"/>
  <c r="BG74" i="36"/>
  <c r="AA74" i="36" s="1"/>
  <c r="I76" i="36"/>
  <c r="I71" i="36" s="1"/>
  <c r="BG76" i="36"/>
  <c r="AA76" i="36" s="1"/>
  <c r="J78" i="36"/>
  <c r="AU79" i="36"/>
  <c r="BF79" i="36"/>
  <c r="Z79" i="36" s="1"/>
  <c r="J81" i="36"/>
  <c r="H86" i="36"/>
  <c r="AT87" i="36"/>
  <c r="AR94" i="36"/>
  <c r="AT97" i="36"/>
  <c r="AU99" i="36"/>
  <c r="BF99" i="36"/>
  <c r="Z99" i="36" s="1"/>
  <c r="BF101" i="36"/>
  <c r="Z101" i="36" s="1"/>
  <c r="AT105" i="36"/>
  <c r="AU107" i="36"/>
  <c r="BF107" i="36"/>
  <c r="Z107" i="36" s="1"/>
  <c r="BF109" i="36"/>
  <c r="Z109" i="36" s="1"/>
  <c r="AT113" i="36"/>
  <c r="BF126" i="36"/>
  <c r="AB126" i="36" s="1"/>
  <c r="H126" i="36"/>
  <c r="H125" i="36" s="1"/>
  <c r="AU126" i="36"/>
  <c r="AV129" i="36"/>
  <c r="AT129" i="36" s="1"/>
  <c r="BG129" i="36"/>
  <c r="AA129" i="36" s="1"/>
  <c r="AI139" i="36"/>
  <c r="AR138" i="36" s="1"/>
  <c r="J138" i="36"/>
  <c r="AT139" i="36"/>
  <c r="H150" i="36"/>
  <c r="BF150" i="36"/>
  <c r="AU150" i="36"/>
  <c r="I151" i="36"/>
  <c r="BG151" i="36"/>
  <c r="AV151" i="36"/>
  <c r="AT151" i="36" s="1"/>
  <c r="J154" i="36"/>
  <c r="H154" i="36"/>
  <c r="BF156" i="36"/>
  <c r="BG19" i="36"/>
  <c r="AA19" i="36" s="1"/>
  <c r="BF25" i="36"/>
  <c r="Z25" i="36" s="1"/>
  <c r="BF39" i="36"/>
  <c r="Z39" i="36" s="1"/>
  <c r="AT74" i="36"/>
  <c r="AT92" i="36"/>
  <c r="BA92" i="36"/>
  <c r="BG134" i="36"/>
  <c r="AA134" i="36" s="1"/>
  <c r="AV134" i="36"/>
  <c r="AT134" i="36" s="1"/>
  <c r="I134" i="36"/>
  <c r="BG146" i="36"/>
  <c r="AV146" i="36"/>
  <c r="I146" i="36"/>
  <c r="H25" i="36"/>
  <c r="H39" i="36"/>
  <c r="BA67" i="36"/>
  <c r="I81" i="36"/>
  <c r="AQ144" i="36"/>
  <c r="AU153" i="36"/>
  <c r="BF153" i="36"/>
  <c r="H153" i="36"/>
  <c r="H144" i="36" s="1"/>
  <c r="AV158" i="36"/>
  <c r="BG158" i="36"/>
  <c r="I158" i="36"/>
  <c r="I157" i="36" s="1"/>
  <c r="H43" i="36"/>
  <c r="BG46" i="36"/>
  <c r="AA46" i="36" s="1"/>
  <c r="AU48" i="36"/>
  <c r="BF48" i="36"/>
  <c r="Z48" i="36" s="1"/>
  <c r="H51" i="36"/>
  <c r="AR50" i="36"/>
  <c r="BF51" i="36"/>
  <c r="Z51" i="36" s="1"/>
  <c r="AV57" i="36"/>
  <c r="H59" i="36"/>
  <c r="BF59" i="36"/>
  <c r="Z59" i="36" s="1"/>
  <c r="AV65" i="36"/>
  <c r="H67" i="36"/>
  <c r="BF67" i="36"/>
  <c r="Z67" i="36" s="1"/>
  <c r="AQ71" i="36"/>
  <c r="BA74" i="36"/>
  <c r="I86" i="36"/>
  <c r="BD92" i="36"/>
  <c r="I95" i="36"/>
  <c r="BG95" i="36"/>
  <c r="AA95" i="36" s="1"/>
  <c r="I103" i="36"/>
  <c r="BG103" i="36"/>
  <c r="AA103" i="36" s="1"/>
  <c r="I111" i="36"/>
  <c r="BG111" i="36"/>
  <c r="AA111" i="36" s="1"/>
  <c r="AT120" i="36"/>
  <c r="AI126" i="36"/>
  <c r="AR125" i="36" s="1"/>
  <c r="J125" i="36"/>
  <c r="I126" i="36"/>
  <c r="I125" i="36" s="1"/>
  <c r="AV126" i="36"/>
  <c r="L131" i="36"/>
  <c r="AQ131" i="36"/>
  <c r="AT132" i="36"/>
  <c r="BA132" i="36"/>
  <c r="BA134" i="36"/>
  <c r="AV136" i="36"/>
  <c r="BG136" i="36"/>
  <c r="AA136" i="36" s="1"/>
  <c r="I136" i="36"/>
  <c r="BD146" i="36"/>
  <c r="L144" i="36"/>
  <c r="AU146" i="36"/>
  <c r="BF146" i="36"/>
  <c r="BA151" i="36"/>
  <c r="AI160" i="36"/>
  <c r="AR159" i="36" s="1"/>
  <c r="J159" i="36"/>
  <c r="BF160" i="36"/>
  <c r="H160" i="36"/>
  <c r="H159" i="36" s="1"/>
  <c r="AU160" i="36"/>
  <c r="BG160" i="36"/>
  <c r="BG79" i="36"/>
  <c r="AA79" i="36" s="1"/>
  <c r="BF84" i="36"/>
  <c r="Z84" i="36" s="1"/>
  <c r="BG92" i="36"/>
  <c r="AA92" i="36" s="1"/>
  <c r="BF97" i="36"/>
  <c r="Z97" i="36" s="1"/>
  <c r="BG99" i="36"/>
  <c r="AA99" i="36" s="1"/>
  <c r="BF105" i="36"/>
  <c r="Z105" i="36" s="1"/>
  <c r="BG107" i="36"/>
  <c r="AA107" i="36" s="1"/>
  <c r="BF113" i="36"/>
  <c r="Z113" i="36" s="1"/>
  <c r="H131" i="36"/>
  <c r="I148" i="36"/>
  <c r="L154" i="36"/>
  <c r="AT25" i="35"/>
  <c r="BA25" i="35"/>
  <c r="AT32" i="35"/>
  <c r="AT18" i="35"/>
  <c r="BA18" i="35"/>
  <c r="BG13" i="35"/>
  <c r="AA13" i="35" s="1"/>
  <c r="AJ16" i="35"/>
  <c r="AS15" i="35" s="1"/>
  <c r="BF18" i="35"/>
  <c r="Z18" i="35" s="1"/>
  <c r="BG20" i="35"/>
  <c r="AA20" i="35" s="1"/>
  <c r="BF25" i="35"/>
  <c r="Z25" i="35" s="1"/>
  <c r="AJ30" i="35"/>
  <c r="AS27" i="35" s="1"/>
  <c r="BF32" i="35"/>
  <c r="Z32" i="35" s="1"/>
  <c r="BG34" i="35"/>
  <c r="AA34" i="35" s="1"/>
  <c r="BF40" i="35"/>
  <c r="Z40" i="35" s="1"/>
  <c r="BG42" i="35"/>
  <c r="AA42" i="35" s="1"/>
  <c r="BG49" i="35"/>
  <c r="AA49" i="35" s="1"/>
  <c r="AJ52" i="35"/>
  <c r="AS51" i="35" s="1"/>
  <c r="AJ57" i="35"/>
  <c r="AS56" i="35" s="1"/>
  <c r="AV67" i="35"/>
  <c r="I67" i="35"/>
  <c r="AV75" i="35"/>
  <c r="I75" i="35"/>
  <c r="AU80" i="35"/>
  <c r="H80" i="35"/>
  <c r="H77" i="35" s="1"/>
  <c r="BF80" i="35"/>
  <c r="Z80" i="35" s="1"/>
  <c r="AU92" i="35"/>
  <c r="H92" i="35"/>
  <c r="H91" i="35" s="1"/>
  <c r="BF92" i="35"/>
  <c r="Z92" i="35" s="1"/>
  <c r="BD99" i="35"/>
  <c r="L96" i="35"/>
  <c r="AU105" i="35"/>
  <c r="H105" i="35"/>
  <c r="H104" i="35" s="1"/>
  <c r="BF105" i="35"/>
  <c r="Z105" i="35" s="1"/>
  <c r="AT114" i="35"/>
  <c r="BA114" i="35"/>
  <c r="I13" i="35"/>
  <c r="I12" i="35" s="1"/>
  <c r="AV16" i="35"/>
  <c r="AT16" i="35" s="1"/>
  <c r="H18" i="35"/>
  <c r="H15" i="35" s="1"/>
  <c r="I20" i="35"/>
  <c r="I15" i="35" s="1"/>
  <c r="AU22" i="35"/>
  <c r="L24" i="35"/>
  <c r="H25" i="35"/>
  <c r="H24" i="35" s="1"/>
  <c r="AU28" i="35"/>
  <c r="BD28" i="35"/>
  <c r="AV30" i="35"/>
  <c r="AT30" i="35" s="1"/>
  <c r="H32" i="35"/>
  <c r="H27" i="35" s="1"/>
  <c r="I34" i="35"/>
  <c r="AU36" i="35"/>
  <c r="AV38" i="35"/>
  <c r="AT38" i="35" s="1"/>
  <c r="H40" i="35"/>
  <c r="I42" i="35"/>
  <c r="AU44" i="35"/>
  <c r="AV46" i="35"/>
  <c r="AT46" i="35" s="1"/>
  <c r="I49" i="35"/>
  <c r="I48" i="35" s="1"/>
  <c r="AV52" i="35"/>
  <c r="AT52" i="35" s="1"/>
  <c r="L56" i="35"/>
  <c r="AU65" i="35"/>
  <c r="H65" i="35"/>
  <c r="H56" i="35" s="1"/>
  <c r="BF65" i="35"/>
  <c r="Z65" i="35" s="1"/>
  <c r="AU73" i="35"/>
  <c r="H73" i="35"/>
  <c r="BF73" i="35"/>
  <c r="Z73" i="35" s="1"/>
  <c r="AJ78" i="35"/>
  <c r="AS77" i="35" s="1"/>
  <c r="AV87" i="35"/>
  <c r="I87" i="35"/>
  <c r="AU99" i="35"/>
  <c r="H99" i="35"/>
  <c r="H96" i="35" s="1"/>
  <c r="BF99" i="35"/>
  <c r="Z99" i="35" s="1"/>
  <c r="AT111" i="35"/>
  <c r="BA111" i="35"/>
  <c r="AV148" i="35"/>
  <c r="I148" i="35"/>
  <c r="I147" i="35" s="1"/>
  <c r="BG148" i="35"/>
  <c r="AA148" i="35" s="1"/>
  <c r="AJ13" i="35"/>
  <c r="AS12" i="35" s="1"/>
  <c r="L15" i="35"/>
  <c r="BG16" i="35"/>
  <c r="AA16" i="35" s="1"/>
  <c r="BF22" i="35"/>
  <c r="Z22" i="35" s="1"/>
  <c r="BF28" i="35"/>
  <c r="Z28" i="35" s="1"/>
  <c r="BG30" i="35"/>
  <c r="AA30" i="35" s="1"/>
  <c r="BF36" i="35"/>
  <c r="Z36" i="35" s="1"/>
  <c r="BG38" i="35"/>
  <c r="AA38" i="35" s="1"/>
  <c r="BF44" i="35"/>
  <c r="Z44" i="35" s="1"/>
  <c r="BA46" i="35"/>
  <c r="BG46" i="35"/>
  <c r="AA46" i="35" s="1"/>
  <c r="AJ49" i="35"/>
  <c r="AS48" i="35" s="1"/>
  <c r="L51" i="35"/>
  <c r="BA52" i="35"/>
  <c r="BG52" i="35"/>
  <c r="AA52" i="35" s="1"/>
  <c r="I54" i="35"/>
  <c r="I51" i="35" s="1"/>
  <c r="AV54" i="35"/>
  <c r="AT54" i="35" s="1"/>
  <c r="AU59" i="35"/>
  <c r="BF59" i="35"/>
  <c r="Z59" i="35" s="1"/>
  <c r="AQ104" i="35"/>
  <c r="J116" i="35"/>
  <c r="AT151" i="35"/>
  <c r="BA151" i="35"/>
  <c r="BD57" i="35"/>
  <c r="AV59" i="35"/>
  <c r="BG59" i="35"/>
  <c r="AA59" i="35" s="1"/>
  <c r="BG67" i="35"/>
  <c r="AA67" i="35" s="1"/>
  <c r="BG75" i="35"/>
  <c r="AA75" i="35" s="1"/>
  <c r="BD80" i="35"/>
  <c r="L77" i="35"/>
  <c r="AV81" i="35"/>
  <c r="I81" i="35"/>
  <c r="I77" i="35" s="1"/>
  <c r="AJ84" i="35"/>
  <c r="AS83" i="35" s="1"/>
  <c r="BD92" i="35"/>
  <c r="L91" i="35"/>
  <c r="AV94" i="35"/>
  <c r="BA94" i="35" s="1"/>
  <c r="I94" i="35"/>
  <c r="I91" i="35" s="1"/>
  <c r="BG94" i="35"/>
  <c r="AA94" i="35" s="1"/>
  <c r="BD105" i="35"/>
  <c r="L104" i="35"/>
  <c r="AV107" i="35"/>
  <c r="I107" i="35"/>
  <c r="I104" i="35" s="1"/>
  <c r="AT130" i="35"/>
  <c r="BA130" i="35"/>
  <c r="AU132" i="35"/>
  <c r="H132" i="35"/>
  <c r="BF132" i="35"/>
  <c r="Z132" i="35" s="1"/>
  <c r="AU196" i="35"/>
  <c r="H196" i="35"/>
  <c r="BF196" i="35"/>
  <c r="AU61" i="35"/>
  <c r="AV63" i="35"/>
  <c r="BA63" i="35" s="1"/>
  <c r="AU69" i="35"/>
  <c r="AV71" i="35"/>
  <c r="AT71" i="35" s="1"/>
  <c r="AV78" i="35"/>
  <c r="AT78" i="35" s="1"/>
  <c r="AV84" i="35"/>
  <c r="AU89" i="35"/>
  <c r="AV97" i="35"/>
  <c r="AT97" i="35" s="1"/>
  <c r="AJ102" i="35"/>
  <c r="AS101" i="35" s="1"/>
  <c r="BG105" i="35"/>
  <c r="AA105" i="35" s="1"/>
  <c r="BF111" i="35"/>
  <c r="Z111" i="35" s="1"/>
  <c r="AT117" i="35"/>
  <c r="BA117" i="35"/>
  <c r="AT145" i="35"/>
  <c r="BA145" i="35"/>
  <c r="AV154" i="35"/>
  <c r="I154" i="35"/>
  <c r="I153" i="35" s="1"/>
  <c r="AT157" i="35"/>
  <c r="BA157" i="35"/>
  <c r="AS160" i="35"/>
  <c r="AJ166" i="35"/>
  <c r="AS165" i="35" s="1"/>
  <c r="AU180" i="35"/>
  <c r="H180" i="35"/>
  <c r="BF180" i="35"/>
  <c r="AV61" i="35"/>
  <c r="AU67" i="35"/>
  <c r="AV69" i="35"/>
  <c r="AU75" i="35"/>
  <c r="AU81" i="35"/>
  <c r="AU87" i="35"/>
  <c r="AV89" i="35"/>
  <c r="AV102" i="35"/>
  <c r="AT102" i="35" s="1"/>
  <c r="AU107" i="35"/>
  <c r="AV109" i="35"/>
  <c r="AT109" i="35" s="1"/>
  <c r="AV120" i="35"/>
  <c r="I120" i="35"/>
  <c r="I119" i="35" s="1"/>
  <c r="H125" i="35"/>
  <c r="AV126" i="35"/>
  <c r="I126" i="35"/>
  <c r="I125" i="35" s="1"/>
  <c r="J134" i="35"/>
  <c r="AV141" i="35"/>
  <c r="I141" i="35"/>
  <c r="I134" i="35" s="1"/>
  <c r="BG154" i="35"/>
  <c r="J177" i="35"/>
  <c r="AJ178" i="35"/>
  <c r="AS177" i="35" s="1"/>
  <c r="AU207" i="35"/>
  <c r="H207" i="35"/>
  <c r="BF207" i="35"/>
  <c r="BG120" i="35"/>
  <c r="AC120" i="35" s="1"/>
  <c r="AT123" i="35"/>
  <c r="BA123" i="35"/>
  <c r="BG126" i="35"/>
  <c r="AA126" i="35" s="1"/>
  <c r="BA137" i="35"/>
  <c r="AU139" i="35"/>
  <c r="H139" i="35"/>
  <c r="H134" i="35" s="1"/>
  <c r="BF139" i="35"/>
  <c r="Z139" i="35" s="1"/>
  <c r="BG141" i="35"/>
  <c r="AA141" i="35" s="1"/>
  <c r="AR153" i="35"/>
  <c r="BF130" i="35"/>
  <c r="Z130" i="35" s="1"/>
  <c r="BG132" i="35"/>
  <c r="AA132" i="35" s="1"/>
  <c r="AJ135" i="35"/>
  <c r="AS134" i="35" s="1"/>
  <c r="BD135" i="35"/>
  <c r="BF137" i="35"/>
  <c r="Z137" i="35" s="1"/>
  <c r="BG139" i="35"/>
  <c r="AA139" i="35" s="1"/>
  <c r="BF145" i="35"/>
  <c r="Z145" i="35" s="1"/>
  <c r="BF151" i="35"/>
  <c r="Z151" i="35" s="1"/>
  <c r="BD180" i="35"/>
  <c r="L177" i="35"/>
  <c r="AV182" i="35"/>
  <c r="I182" i="35"/>
  <c r="AU188" i="35"/>
  <c r="H188" i="35"/>
  <c r="BF188" i="35"/>
  <c r="AV198" i="35"/>
  <c r="BA198" i="35" s="1"/>
  <c r="I198" i="35"/>
  <c r="BG198" i="35"/>
  <c r="AU201" i="35"/>
  <c r="H201" i="35"/>
  <c r="BF201" i="35"/>
  <c r="AV209" i="35"/>
  <c r="I209" i="35"/>
  <c r="BG209" i="35"/>
  <c r="BG117" i="35"/>
  <c r="AC117" i="35" s="1"/>
  <c r="AJ120" i="35"/>
  <c r="AS119" i="35" s="1"/>
  <c r="BG123" i="35"/>
  <c r="AA123" i="35" s="1"/>
  <c r="AJ126" i="35"/>
  <c r="AS125" i="35" s="1"/>
  <c r="BF128" i="35"/>
  <c r="Z128" i="35" s="1"/>
  <c r="BG130" i="35"/>
  <c r="AA130" i="35" s="1"/>
  <c r="BF135" i="35"/>
  <c r="Z135" i="35" s="1"/>
  <c r="BG137" i="35"/>
  <c r="AA137" i="35" s="1"/>
  <c r="BF143" i="35"/>
  <c r="Z143" i="35" s="1"/>
  <c r="BG145" i="35"/>
  <c r="AA145" i="35" s="1"/>
  <c r="AJ148" i="35"/>
  <c r="AS147" i="35" s="1"/>
  <c r="BG151" i="35"/>
  <c r="AA151" i="35" s="1"/>
  <c r="AJ154" i="35"/>
  <c r="AS153" i="35" s="1"/>
  <c r="BF155" i="35"/>
  <c r="H157" i="35"/>
  <c r="H153" i="35" s="1"/>
  <c r="BD173" i="35"/>
  <c r="L170" i="35"/>
  <c r="AV175" i="35"/>
  <c r="I175" i="35"/>
  <c r="I170" i="35" s="1"/>
  <c r="AV190" i="35"/>
  <c r="BA190" i="35" s="1"/>
  <c r="I190" i="35"/>
  <c r="BG190" i="35"/>
  <c r="AV202" i="35"/>
  <c r="BA202" i="35" s="1"/>
  <c r="I202" i="35"/>
  <c r="BG202" i="35"/>
  <c r="AV164" i="35"/>
  <c r="I164" i="35"/>
  <c r="I163" i="35" s="1"/>
  <c r="AV168" i="35"/>
  <c r="I168" i="35"/>
  <c r="I167" i="35" s="1"/>
  <c r="AU173" i="35"/>
  <c r="H173" i="35"/>
  <c r="H170" i="35" s="1"/>
  <c r="BF173" i="35"/>
  <c r="AD173" i="35" s="1"/>
  <c r="AT190" i="35"/>
  <c r="AT202" i="35"/>
  <c r="AV162" i="35"/>
  <c r="BA162" i="35" s="1"/>
  <c r="AV166" i="35"/>
  <c r="BA166" i="35" s="1"/>
  <c r="AV171" i="35"/>
  <c r="AV178" i="35"/>
  <c r="AT178" i="35" s="1"/>
  <c r="AU184" i="35"/>
  <c r="AV186" i="35"/>
  <c r="AU192" i="35"/>
  <c r="AV194" i="35"/>
  <c r="AT194" i="35" s="1"/>
  <c r="AU199" i="35"/>
  <c r="AV200" i="35"/>
  <c r="BA200" i="35" s="1"/>
  <c r="AU203" i="35"/>
  <c r="AV205" i="35"/>
  <c r="BA205" i="35" s="1"/>
  <c r="AU164" i="35"/>
  <c r="AU168" i="35"/>
  <c r="AU175" i="35"/>
  <c r="AU182" i="35"/>
  <c r="AV184" i="35"/>
  <c r="BF199" i="35"/>
  <c r="BG200" i="35"/>
  <c r="AT27" i="34"/>
  <c r="BA27" i="34"/>
  <c r="AT47" i="34"/>
  <c r="BA47" i="34"/>
  <c r="AT19" i="34"/>
  <c r="BA19" i="34"/>
  <c r="AT33" i="34"/>
  <c r="BA33" i="34"/>
  <c r="AT42" i="34"/>
  <c r="BA42" i="34"/>
  <c r="AT13" i="34"/>
  <c r="BA35" i="34"/>
  <c r="AT35" i="34"/>
  <c r="AT40" i="34"/>
  <c r="BA40" i="34"/>
  <c r="AJ24" i="34"/>
  <c r="AS21" i="34" s="1"/>
  <c r="BF33" i="34"/>
  <c r="Z33" i="34" s="1"/>
  <c r="BG35" i="34"/>
  <c r="AA35" i="34" s="1"/>
  <c r="BF40" i="34"/>
  <c r="Z40" i="34" s="1"/>
  <c r="BG42" i="34"/>
  <c r="AA42" i="34" s="1"/>
  <c r="AV51" i="34"/>
  <c r="I51" i="34"/>
  <c r="AV117" i="34"/>
  <c r="I117" i="34"/>
  <c r="I116" i="34" s="1"/>
  <c r="BG117" i="34"/>
  <c r="AE117" i="34" s="1"/>
  <c r="AU132" i="34"/>
  <c r="H132" i="34"/>
  <c r="I13" i="34"/>
  <c r="I12" i="34" s="1"/>
  <c r="AU15" i="34"/>
  <c r="AV17" i="34"/>
  <c r="AT17" i="34" s="1"/>
  <c r="H19" i="34"/>
  <c r="H12" i="34" s="1"/>
  <c r="AU22" i="34"/>
  <c r="BD22" i="34"/>
  <c r="AV24" i="34"/>
  <c r="BA24" i="34" s="1"/>
  <c r="I27" i="34"/>
  <c r="AU29" i="34"/>
  <c r="H33" i="34"/>
  <c r="H26" i="34" s="1"/>
  <c r="I35" i="34"/>
  <c r="L39" i="34"/>
  <c r="H40" i="34"/>
  <c r="H39" i="34" s="1"/>
  <c r="BG40" i="34"/>
  <c r="AA40" i="34" s="1"/>
  <c r="I42" i="34"/>
  <c r="I39" i="34" s="1"/>
  <c r="J44" i="34"/>
  <c r="BF45" i="34"/>
  <c r="Z45" i="34" s="1"/>
  <c r="AT49" i="34"/>
  <c r="BA49" i="34"/>
  <c r="BF49" i="34"/>
  <c r="Z49" i="34" s="1"/>
  <c r="BG51" i="34"/>
  <c r="AA51" i="34" s="1"/>
  <c r="AT63" i="34"/>
  <c r="BA63" i="34"/>
  <c r="BD89" i="34"/>
  <c r="L88" i="34"/>
  <c r="AU97" i="34"/>
  <c r="H97" i="34"/>
  <c r="H96" i="34" s="1"/>
  <c r="BF97" i="34"/>
  <c r="Z97" i="34" s="1"/>
  <c r="AU105" i="34"/>
  <c r="H105" i="34"/>
  <c r="BF105" i="34"/>
  <c r="Z105" i="34" s="1"/>
  <c r="BF19" i="34"/>
  <c r="Z19" i="34" s="1"/>
  <c r="AV66" i="34"/>
  <c r="I66" i="34"/>
  <c r="I65" i="34" s="1"/>
  <c r="BF132" i="34"/>
  <c r="AJ13" i="34"/>
  <c r="AS12" i="34" s="1"/>
  <c r="BF15" i="34"/>
  <c r="Z15" i="34" s="1"/>
  <c r="BG17" i="34"/>
  <c r="AA17" i="34" s="1"/>
  <c r="BF22" i="34"/>
  <c r="Z22" i="34" s="1"/>
  <c r="BG24" i="34"/>
  <c r="AA24" i="34" s="1"/>
  <c r="AJ27" i="34"/>
  <c r="AS26" i="34" s="1"/>
  <c r="BF29" i="34"/>
  <c r="Z29" i="34" s="1"/>
  <c r="BA31" i="34"/>
  <c r="BG31" i="34"/>
  <c r="AA31" i="34" s="1"/>
  <c r="BF37" i="34"/>
  <c r="Z37" i="34" s="1"/>
  <c r="BA45" i="34"/>
  <c r="AV72" i="34"/>
  <c r="I72" i="34"/>
  <c r="I71" i="34" s="1"/>
  <c r="AT75" i="34"/>
  <c r="BA75" i="34"/>
  <c r="AU77" i="34"/>
  <c r="H77" i="34"/>
  <c r="H74" i="34" s="1"/>
  <c r="BF77" i="34"/>
  <c r="Z77" i="34" s="1"/>
  <c r="AU89" i="34"/>
  <c r="H89" i="34"/>
  <c r="H88" i="34" s="1"/>
  <c r="BF89" i="34"/>
  <c r="Z89" i="34" s="1"/>
  <c r="I92" i="34"/>
  <c r="I91" i="34" s="1"/>
  <c r="BG92" i="34"/>
  <c r="AA92" i="34" s="1"/>
  <c r="AV92" i="34"/>
  <c r="BA92" i="34" s="1"/>
  <c r="BG13" i="34"/>
  <c r="AA13" i="34" s="1"/>
  <c r="BG27" i="34"/>
  <c r="AA27" i="34" s="1"/>
  <c r="AU57" i="34"/>
  <c r="H57" i="34"/>
  <c r="H44" i="34" s="1"/>
  <c r="AU83" i="34"/>
  <c r="H83" i="34"/>
  <c r="H82" i="34" s="1"/>
  <c r="AV129" i="34"/>
  <c r="I129" i="34"/>
  <c r="BG129" i="34"/>
  <c r="I45" i="34"/>
  <c r="AT55" i="34"/>
  <c r="BA55" i="34"/>
  <c r="AV59" i="34"/>
  <c r="I59" i="34"/>
  <c r="AT69" i="34"/>
  <c r="BA69" i="34"/>
  <c r="BG72" i="34"/>
  <c r="AA72" i="34" s="1"/>
  <c r="AJ75" i="34"/>
  <c r="AS74" i="34" s="1"/>
  <c r="BD83" i="34"/>
  <c r="L82" i="34"/>
  <c r="BD92" i="34"/>
  <c r="L91" i="34"/>
  <c r="AV113" i="34"/>
  <c r="I113" i="34"/>
  <c r="I111" i="34" s="1"/>
  <c r="BG113" i="34"/>
  <c r="BF63" i="34"/>
  <c r="Z63" i="34" s="1"/>
  <c r="BF69" i="34"/>
  <c r="Z69" i="34" s="1"/>
  <c r="BF75" i="34"/>
  <c r="Z75" i="34" s="1"/>
  <c r="BG77" i="34"/>
  <c r="AA77" i="34" s="1"/>
  <c r="AJ80" i="34"/>
  <c r="AS79" i="34" s="1"/>
  <c r="BG83" i="34"/>
  <c r="AA83" i="34" s="1"/>
  <c r="AJ86" i="34"/>
  <c r="AS85" i="34" s="1"/>
  <c r="BG89" i="34"/>
  <c r="AA89" i="34" s="1"/>
  <c r="BD112" i="34"/>
  <c r="L111" i="34"/>
  <c r="AJ115" i="34"/>
  <c r="AS114" i="34" s="1"/>
  <c r="AV134" i="34"/>
  <c r="I134" i="34"/>
  <c r="AU137" i="34"/>
  <c r="H137" i="34"/>
  <c r="BF137" i="34"/>
  <c r="BF53" i="34"/>
  <c r="Z53" i="34" s="1"/>
  <c r="BG55" i="34"/>
  <c r="AA55" i="34" s="1"/>
  <c r="BF61" i="34"/>
  <c r="Z61" i="34" s="1"/>
  <c r="BG63" i="34"/>
  <c r="AA63" i="34" s="1"/>
  <c r="AJ66" i="34"/>
  <c r="AS65" i="34" s="1"/>
  <c r="BF68" i="34"/>
  <c r="Z68" i="34" s="1"/>
  <c r="BG69" i="34"/>
  <c r="AA69" i="34" s="1"/>
  <c r="AJ72" i="34"/>
  <c r="AS71" i="34" s="1"/>
  <c r="BG75" i="34"/>
  <c r="AA75" i="34" s="1"/>
  <c r="BF80" i="34"/>
  <c r="Z80" i="34" s="1"/>
  <c r="BF86" i="34"/>
  <c r="Z86" i="34" s="1"/>
  <c r="J122" i="34"/>
  <c r="AJ127" i="34"/>
  <c r="AS122" i="34" s="1"/>
  <c r="AV139" i="34"/>
  <c r="I139" i="34"/>
  <c r="AT92" i="34"/>
  <c r="BD97" i="34"/>
  <c r="L96" i="34"/>
  <c r="AV99" i="34"/>
  <c r="I99" i="34"/>
  <c r="I96" i="34" s="1"/>
  <c r="AV107" i="34"/>
  <c r="I107" i="34"/>
  <c r="AU112" i="34"/>
  <c r="H112" i="34"/>
  <c r="H111" i="34" s="1"/>
  <c r="BF112" i="34"/>
  <c r="AV123" i="34"/>
  <c r="I123" i="34"/>
  <c r="AU128" i="34"/>
  <c r="H128" i="34"/>
  <c r="BF128" i="34"/>
  <c r="AU94" i="34"/>
  <c r="AU101" i="34"/>
  <c r="AV103" i="34"/>
  <c r="AT103" i="34" s="1"/>
  <c r="AU109" i="34"/>
  <c r="AV115" i="34"/>
  <c r="AT115" i="34" s="1"/>
  <c r="AV120" i="34"/>
  <c r="AT120" i="34" s="1"/>
  <c r="AU125" i="34"/>
  <c r="AV127" i="34"/>
  <c r="AT127" i="34" s="1"/>
  <c r="AU130" i="34"/>
  <c r="AV131" i="34"/>
  <c r="BA131" i="34" s="1"/>
  <c r="AU135" i="34"/>
  <c r="AV136" i="34"/>
  <c r="AT136" i="34" s="1"/>
  <c r="AV94" i="34"/>
  <c r="AU99" i="34"/>
  <c r="AV101" i="34"/>
  <c r="AU107" i="34"/>
  <c r="AV109" i="34"/>
  <c r="AU113" i="34"/>
  <c r="AU117" i="34"/>
  <c r="AU123" i="34"/>
  <c r="AV125" i="34"/>
  <c r="AU129" i="34"/>
  <c r="AV130" i="34"/>
  <c r="AU134" i="34"/>
  <c r="AV135" i="34"/>
  <c r="AU139" i="34"/>
  <c r="AT51" i="33"/>
  <c r="BA51" i="33"/>
  <c r="AJ71" i="33"/>
  <c r="AS70" i="33" s="1"/>
  <c r="AV82" i="33"/>
  <c r="BG82" i="33"/>
  <c r="AA82" i="33" s="1"/>
  <c r="I99" i="33"/>
  <c r="BG99" i="33"/>
  <c r="AA99" i="33" s="1"/>
  <c r="AV99" i="33"/>
  <c r="AT99" i="33" s="1"/>
  <c r="AJ118" i="33"/>
  <c r="AS117" i="33" s="1"/>
  <c r="H160" i="33"/>
  <c r="BF160" i="33"/>
  <c r="AU160" i="33"/>
  <c r="AS172" i="33"/>
  <c r="AU183" i="33"/>
  <c r="BF183" i="33"/>
  <c r="H183" i="33"/>
  <c r="BA40" i="33"/>
  <c r="BG87" i="33"/>
  <c r="AA87" i="33" s="1"/>
  <c r="AV87" i="33"/>
  <c r="AV95" i="33"/>
  <c r="BG95" i="33"/>
  <c r="AA95" i="33" s="1"/>
  <c r="H113" i="33"/>
  <c r="BF113" i="33"/>
  <c r="Z113" i="33" s="1"/>
  <c r="AU113" i="33"/>
  <c r="AV139" i="33"/>
  <c r="AT139" i="33" s="1"/>
  <c r="BG139" i="33"/>
  <c r="AA139" i="33" s="1"/>
  <c r="AT143" i="33"/>
  <c r="BA143" i="33"/>
  <c r="BA145" i="33"/>
  <c r="AR152" i="33"/>
  <c r="I183" i="33"/>
  <c r="AV183" i="33"/>
  <c r="L15" i="33"/>
  <c r="BF38" i="33"/>
  <c r="Z38" i="33" s="1"/>
  <c r="BD56" i="33"/>
  <c r="AV58" i="33"/>
  <c r="BF79" i="33"/>
  <c r="Z79" i="33" s="1"/>
  <c r="AU156" i="33"/>
  <c r="H156" i="33"/>
  <c r="H152" i="33" s="1"/>
  <c r="J159" i="33"/>
  <c r="J164" i="33"/>
  <c r="AU165" i="33"/>
  <c r="H165" i="33"/>
  <c r="H164" i="33" s="1"/>
  <c r="BG170" i="33"/>
  <c r="AE170" i="33" s="1"/>
  <c r="BA175" i="33"/>
  <c r="AT175" i="33"/>
  <c r="BD179" i="33"/>
  <c r="L172" i="33"/>
  <c r="BG179" i="33"/>
  <c r="AV179" i="33"/>
  <c r="I179" i="33"/>
  <c r="AU187" i="33"/>
  <c r="H187" i="33"/>
  <c r="BF187" i="33"/>
  <c r="H189" i="33"/>
  <c r="BF189" i="33"/>
  <c r="AU189" i="33"/>
  <c r="BA192" i="33"/>
  <c r="AV200" i="33"/>
  <c r="I200" i="33"/>
  <c r="AJ34" i="33"/>
  <c r="AS33" i="33" s="1"/>
  <c r="H84" i="33"/>
  <c r="H81" i="33" s="1"/>
  <c r="BF84" i="33"/>
  <c r="Z84" i="33" s="1"/>
  <c r="AU84" i="33"/>
  <c r="AU87" i="33"/>
  <c r="H87" i="33"/>
  <c r="H86" i="33" s="1"/>
  <c r="I115" i="33"/>
  <c r="BG115" i="33"/>
  <c r="AA115" i="33" s="1"/>
  <c r="AV115" i="33"/>
  <c r="AT115" i="33" s="1"/>
  <c r="I128" i="33"/>
  <c r="I125" i="33" s="1"/>
  <c r="AV128" i="33"/>
  <c r="AV147" i="33"/>
  <c r="AT147" i="33" s="1"/>
  <c r="BG147" i="33"/>
  <c r="AA147" i="33" s="1"/>
  <c r="I150" i="33"/>
  <c r="I149" i="33" s="1"/>
  <c r="BG150" i="33"/>
  <c r="AA150" i="33" s="1"/>
  <c r="AV150" i="33"/>
  <c r="BF191" i="33"/>
  <c r="AU191" i="33"/>
  <c r="H191" i="33"/>
  <c r="I18" i="33"/>
  <c r="I26" i="33"/>
  <c r="AT58" i="33"/>
  <c r="BF87" i="33"/>
  <c r="Z87" i="33" s="1"/>
  <c r="L94" i="33"/>
  <c r="H97" i="33"/>
  <c r="BF97" i="33"/>
  <c r="Z97" i="33" s="1"/>
  <c r="AU97" i="33"/>
  <c r="AV103" i="33"/>
  <c r="BG103" i="33"/>
  <c r="AA103" i="33" s="1"/>
  <c r="I103" i="33"/>
  <c r="I109" i="33"/>
  <c r="BG109" i="33"/>
  <c r="AA109" i="33" s="1"/>
  <c r="AV109" i="33"/>
  <c r="AT109" i="33" s="1"/>
  <c r="BA115" i="33"/>
  <c r="AT150" i="33"/>
  <c r="BA150" i="33"/>
  <c r="AV180" i="33"/>
  <c r="BG180" i="33"/>
  <c r="I180" i="33"/>
  <c r="H181" i="33"/>
  <c r="BF181" i="33"/>
  <c r="AU181" i="33"/>
  <c r="I15" i="33"/>
  <c r="BG18" i="33"/>
  <c r="AA18" i="33" s="1"/>
  <c r="BA22" i="33"/>
  <c r="BG26" i="33"/>
  <c r="AA26" i="33" s="1"/>
  <c r="AV31" i="33"/>
  <c r="AT31" i="33" s="1"/>
  <c r="BG31" i="33"/>
  <c r="AA31" i="33" s="1"/>
  <c r="AU36" i="33"/>
  <c r="AU44" i="33"/>
  <c r="BF46" i="33"/>
  <c r="Z46" i="33" s="1"/>
  <c r="I54" i="33"/>
  <c r="I53" i="33" s="1"/>
  <c r="AV60" i="33"/>
  <c r="AT60" i="33" s="1"/>
  <c r="BG60" i="33"/>
  <c r="AA60" i="33" s="1"/>
  <c r="I62" i="33"/>
  <c r="AV66" i="33"/>
  <c r="AT66" i="33" s="1"/>
  <c r="AV68" i="33"/>
  <c r="AT68" i="33" s="1"/>
  <c r="BG68" i="33"/>
  <c r="AA68" i="33" s="1"/>
  <c r="AU73" i="33"/>
  <c r="BF74" i="33"/>
  <c r="Z74" i="33" s="1"/>
  <c r="AV89" i="33"/>
  <c r="BA89" i="33" s="1"/>
  <c r="I89" i="33"/>
  <c r="I86" i="33" s="1"/>
  <c r="AT92" i="33"/>
  <c r="AQ94" i="33"/>
  <c r="I107" i="33"/>
  <c r="BG107" i="33"/>
  <c r="AA107" i="33" s="1"/>
  <c r="AV107" i="33"/>
  <c r="BA107" i="33" s="1"/>
  <c r="L125" i="33"/>
  <c r="BD126" i="33"/>
  <c r="BF126" i="33"/>
  <c r="Z126" i="33" s="1"/>
  <c r="AV131" i="33"/>
  <c r="AT131" i="33" s="1"/>
  <c r="BG131" i="33"/>
  <c r="AA131" i="33" s="1"/>
  <c r="AT135" i="33"/>
  <c r="BA135" i="33"/>
  <c r="BA137" i="33"/>
  <c r="BA147" i="33"/>
  <c r="I152" i="33"/>
  <c r="AS152" i="33"/>
  <c r="BF154" i="33"/>
  <c r="L30" i="33"/>
  <c r="AT34" i="33"/>
  <c r="BD34" i="33"/>
  <c r="H36" i="33"/>
  <c r="AV36" i="33"/>
  <c r="H38" i="33"/>
  <c r="AV38" i="33"/>
  <c r="AT38" i="33" s="1"/>
  <c r="I40" i="33"/>
  <c r="I33" i="33" s="1"/>
  <c r="AT42" i="33"/>
  <c r="H44" i="33"/>
  <c r="AV44" i="33"/>
  <c r="H46" i="33"/>
  <c r="AV46" i="33"/>
  <c r="AT46" i="33" s="1"/>
  <c r="AJ54" i="33"/>
  <c r="AS53" i="33" s="1"/>
  <c r="BG54" i="33"/>
  <c r="AA54" i="33" s="1"/>
  <c r="AU56" i="33"/>
  <c r="BF56" i="33"/>
  <c r="Z56" i="33" s="1"/>
  <c r="BA58" i="33"/>
  <c r="BG58" i="33"/>
  <c r="AA58" i="33" s="1"/>
  <c r="BG62" i="33"/>
  <c r="AA62" i="33" s="1"/>
  <c r="AU64" i="33"/>
  <c r="BF64" i="33"/>
  <c r="Z64" i="33" s="1"/>
  <c r="BA66" i="33"/>
  <c r="BG66" i="33"/>
  <c r="AA66" i="33" s="1"/>
  <c r="AT71" i="33"/>
  <c r="BD71" i="33"/>
  <c r="H73" i="33"/>
  <c r="H70" i="33" s="1"/>
  <c r="AV73" i="33"/>
  <c r="H74" i="33"/>
  <c r="AV74" i="33"/>
  <c r="AT74" i="33" s="1"/>
  <c r="AV79" i="33"/>
  <c r="BA79" i="33" s="1"/>
  <c r="BG79" i="33"/>
  <c r="AA79" i="33" s="1"/>
  <c r="I82" i="33"/>
  <c r="I81" i="33" s="1"/>
  <c r="AT89" i="33"/>
  <c r="BG89" i="33"/>
  <c r="AA89" i="33" s="1"/>
  <c r="BF92" i="33"/>
  <c r="Z92" i="33" s="1"/>
  <c r="I101" i="33"/>
  <c r="BG101" i="33"/>
  <c r="AA101" i="33" s="1"/>
  <c r="AV101" i="33"/>
  <c r="AT101" i="33" s="1"/>
  <c r="H105" i="33"/>
  <c r="BF105" i="33"/>
  <c r="Z105" i="33" s="1"/>
  <c r="AU105" i="33"/>
  <c r="AT107" i="33"/>
  <c r="AV111" i="33"/>
  <c r="BG111" i="33"/>
  <c r="AA111" i="33" s="1"/>
  <c r="I111" i="33"/>
  <c r="I117" i="33"/>
  <c r="AR117" i="33"/>
  <c r="AT118" i="33"/>
  <c r="BD123" i="33"/>
  <c r="L122" i="33"/>
  <c r="BG123" i="33"/>
  <c r="AC123" i="33" s="1"/>
  <c r="AV123" i="33"/>
  <c r="AT123" i="33" s="1"/>
  <c r="I123" i="33"/>
  <c r="I122" i="33" s="1"/>
  <c r="AU126" i="33"/>
  <c r="BF128" i="33"/>
  <c r="Z128" i="33" s="1"/>
  <c r="H128" i="33"/>
  <c r="H125" i="33" s="1"/>
  <c r="AU128" i="33"/>
  <c r="BG128" i="33"/>
  <c r="AA128" i="33" s="1"/>
  <c r="L130" i="33"/>
  <c r="AQ130" i="33"/>
  <c r="BA139" i="33"/>
  <c r="I147" i="33"/>
  <c r="I130" i="33" s="1"/>
  <c r="BD150" i="33"/>
  <c r="J152" i="33"/>
  <c r="J202" i="33" s="1"/>
  <c r="AU154" i="33"/>
  <c r="BF161" i="33"/>
  <c r="AU161" i="33"/>
  <c r="H161" i="33"/>
  <c r="AJ163" i="33"/>
  <c r="AS162" i="33" s="1"/>
  <c r="AR172" i="33"/>
  <c r="AT173" i="33"/>
  <c r="BG183" i="33"/>
  <c r="BA184" i="33"/>
  <c r="H185" i="33"/>
  <c r="AU185" i="33"/>
  <c r="BF185" i="33"/>
  <c r="AV193" i="33"/>
  <c r="AT193" i="33" s="1"/>
  <c r="I193" i="33"/>
  <c r="BG193" i="33"/>
  <c r="AT196" i="33"/>
  <c r="BA196" i="33"/>
  <c r="AT198" i="33"/>
  <c r="BA198" i="33"/>
  <c r="AJ131" i="33"/>
  <c r="AS130" i="33" s="1"/>
  <c r="BF158" i="33"/>
  <c r="AU158" i="33"/>
  <c r="I177" i="33"/>
  <c r="BG177" i="33"/>
  <c r="AU186" i="33"/>
  <c r="H186" i="33"/>
  <c r="I198" i="33"/>
  <c r="BG198" i="33"/>
  <c r="AV198" i="33"/>
  <c r="AJ82" i="33"/>
  <c r="AS81" i="33" s="1"/>
  <c r="AJ95" i="33"/>
  <c r="AS94" i="33" s="1"/>
  <c r="AV163" i="33"/>
  <c r="BA163" i="33" s="1"/>
  <c r="I163" i="33"/>
  <c r="I162" i="33" s="1"/>
  <c r="AV167" i="33"/>
  <c r="BA167" i="33" s="1"/>
  <c r="I167" i="33"/>
  <c r="I166" i="33" s="1"/>
  <c r="AT170" i="33"/>
  <c r="AQ172" i="33"/>
  <c r="AT177" i="33"/>
  <c r="BA177" i="33"/>
  <c r="I182" i="33"/>
  <c r="AV182" i="33"/>
  <c r="BA182" i="33" s="1"/>
  <c r="BF186" i="33"/>
  <c r="BA193" i="33"/>
  <c r="L159" i="33"/>
  <c r="J172" i="33"/>
  <c r="AT20" i="55" l="1"/>
  <c r="BA56" i="55"/>
  <c r="J80" i="55"/>
  <c r="AT27" i="55"/>
  <c r="BA13" i="55"/>
  <c r="AT31" i="55"/>
  <c r="BA31" i="55"/>
  <c r="BA54" i="55"/>
  <c r="AT54" i="55"/>
  <c r="BA33" i="55"/>
  <c r="AT33" i="55"/>
  <c r="AT29" i="55"/>
  <c r="BA29" i="55"/>
  <c r="AT58" i="55"/>
  <c r="BA58" i="55"/>
  <c r="BA70" i="55"/>
  <c r="AT60" i="55"/>
  <c r="BA60" i="55"/>
  <c r="AT44" i="55"/>
  <c r="BA44" i="55"/>
  <c r="BA68" i="55"/>
  <c r="AT68" i="55"/>
  <c r="AT36" i="55"/>
  <c r="BA36" i="55"/>
  <c r="BA27" i="55"/>
  <c r="AT73" i="55"/>
  <c r="BA73" i="55"/>
  <c r="AT38" i="55"/>
  <c r="BA38" i="55"/>
  <c r="BA62" i="55"/>
  <c r="AT62" i="55"/>
  <c r="BA46" i="55"/>
  <c r="AT46" i="55"/>
  <c r="BA25" i="55"/>
  <c r="AT25" i="55"/>
  <c r="I43" i="55"/>
  <c r="AT65" i="55"/>
  <c r="BA65" i="55"/>
  <c r="BA41" i="55"/>
  <c r="BA48" i="55"/>
  <c r="AT52" i="55"/>
  <c r="BA52" i="55"/>
  <c r="AT50" i="55"/>
  <c r="BA50" i="55"/>
  <c r="BA16" i="55"/>
  <c r="AT16" i="55"/>
  <c r="BA48" i="54"/>
  <c r="AT23" i="54"/>
  <c r="BA63" i="54"/>
  <c r="AT63" i="54"/>
  <c r="BA25" i="54"/>
  <c r="AT25" i="54"/>
  <c r="BA30" i="54"/>
  <c r="AT30" i="54"/>
  <c r="H37" i="54"/>
  <c r="AT40" i="54"/>
  <c r="AT44" i="54"/>
  <c r="BA44" i="54"/>
  <c r="BA33" i="54"/>
  <c r="AT16" i="54"/>
  <c r="BA16" i="54"/>
  <c r="BA46" i="54"/>
  <c r="AT46" i="54"/>
  <c r="BA38" i="54"/>
  <c r="AT38" i="54"/>
  <c r="BA18" i="54"/>
  <c r="AT18" i="54"/>
  <c r="AT21" i="54"/>
  <c r="BA21" i="54"/>
  <c r="AT58" i="54"/>
  <c r="BA58" i="54"/>
  <c r="BA53" i="54"/>
  <c r="AT53" i="54"/>
  <c r="H120" i="52"/>
  <c r="BA112" i="52"/>
  <c r="AT42" i="52"/>
  <c r="AT151" i="52"/>
  <c r="AT17" i="52"/>
  <c r="AT123" i="52"/>
  <c r="H88" i="52"/>
  <c r="AT13" i="52"/>
  <c r="AT158" i="52"/>
  <c r="BA158" i="52"/>
  <c r="BA97" i="52"/>
  <c r="AT97" i="52"/>
  <c r="AT133" i="52"/>
  <c r="BA133" i="52"/>
  <c r="BA21" i="52"/>
  <c r="AT37" i="52"/>
  <c r="BA37" i="52"/>
  <c r="AT35" i="52"/>
  <c r="AT159" i="52"/>
  <c r="BA159" i="52"/>
  <c r="BA181" i="52"/>
  <c r="AT171" i="52"/>
  <c r="BA171" i="52"/>
  <c r="AT178" i="52"/>
  <c r="BA178" i="52"/>
  <c r="AT153" i="52"/>
  <c r="BA153" i="52"/>
  <c r="AT163" i="52"/>
  <c r="BA163" i="52"/>
  <c r="BA118" i="52"/>
  <c r="AT118" i="52"/>
  <c r="BA131" i="52"/>
  <c r="BA139" i="52"/>
  <c r="AT114" i="52"/>
  <c r="BA114" i="52"/>
  <c r="AT107" i="52"/>
  <c r="BA107" i="52"/>
  <c r="AT93" i="52"/>
  <c r="BA93" i="52"/>
  <c r="AT69" i="52"/>
  <c r="BA69" i="52"/>
  <c r="BA33" i="52"/>
  <c r="AT33" i="52"/>
  <c r="BA19" i="52"/>
  <c r="AT19" i="52"/>
  <c r="AT165" i="52"/>
  <c r="BA165" i="52"/>
  <c r="AT127" i="52"/>
  <c r="BA127" i="52"/>
  <c r="BA129" i="52"/>
  <c r="AT129" i="52"/>
  <c r="BA125" i="52"/>
  <c r="AT125" i="52"/>
  <c r="BA77" i="52"/>
  <c r="AT77" i="52"/>
  <c r="AT141" i="52"/>
  <c r="BA141" i="52"/>
  <c r="AT184" i="52"/>
  <c r="BA184" i="52"/>
  <c r="AT173" i="52"/>
  <c r="BA173" i="52"/>
  <c r="AT155" i="52"/>
  <c r="BA155" i="52"/>
  <c r="AT135" i="52"/>
  <c r="BA135" i="52"/>
  <c r="BA137" i="52"/>
  <c r="AT137" i="52"/>
  <c r="I160" i="52"/>
  <c r="BA157" i="52"/>
  <c r="AT147" i="52"/>
  <c r="BA147" i="52"/>
  <c r="BA167" i="52"/>
  <c r="AT182" i="52"/>
  <c r="BA182" i="52"/>
  <c r="BA104" i="52"/>
  <c r="AT104" i="52"/>
  <c r="BA89" i="52"/>
  <c r="AT89" i="52"/>
  <c r="AT101" i="52"/>
  <c r="BA101" i="52"/>
  <c r="BA175" i="52"/>
  <c r="BA99" i="52"/>
  <c r="AT116" i="52"/>
  <c r="AT95" i="52"/>
  <c r="BA91" i="52"/>
  <c r="AT86" i="52"/>
  <c r="BA86" i="52"/>
  <c r="BA63" i="52"/>
  <c r="AT63" i="52"/>
  <c r="BA55" i="52"/>
  <c r="AT55" i="52"/>
  <c r="BA47" i="52"/>
  <c r="AT47" i="52"/>
  <c r="BA13" i="52"/>
  <c r="AT179" i="52"/>
  <c r="BA179" i="52"/>
  <c r="BA144" i="52"/>
  <c r="AT144" i="52"/>
  <c r="H160" i="52"/>
  <c r="BA110" i="52"/>
  <c r="AT110" i="52"/>
  <c r="BA180" i="52"/>
  <c r="AT180" i="52"/>
  <c r="BA150" i="52"/>
  <c r="AT150" i="52"/>
  <c r="AT75" i="52"/>
  <c r="BA75" i="52"/>
  <c r="BA83" i="52"/>
  <c r="AT83" i="52"/>
  <c r="AT121" i="52"/>
  <c r="BA121" i="52"/>
  <c r="AT80" i="52"/>
  <c r="BA80" i="52"/>
  <c r="BA40" i="52"/>
  <c r="AT40" i="52"/>
  <c r="AT29" i="52"/>
  <c r="BA29" i="52"/>
  <c r="AT15" i="52"/>
  <c r="BA15" i="52"/>
  <c r="J186" i="52"/>
  <c r="F50" i="50" s="1"/>
  <c r="G50" i="50" s="1"/>
  <c r="H50" i="50" s="1"/>
  <c r="I109" i="51"/>
  <c r="H37" i="51"/>
  <c r="AT114" i="51"/>
  <c r="BA60" i="51"/>
  <c r="H59" i="51"/>
  <c r="I59" i="51"/>
  <c r="H19" i="51"/>
  <c r="J209" i="51"/>
  <c r="F51" i="50" s="1"/>
  <c r="G51" i="50" s="1"/>
  <c r="H51" i="50" s="1"/>
  <c r="I183" i="51"/>
  <c r="BA174" i="51"/>
  <c r="AT174" i="51"/>
  <c r="AT188" i="51"/>
  <c r="BA188" i="51"/>
  <c r="AT176" i="51"/>
  <c r="BA176" i="51"/>
  <c r="BA155" i="51"/>
  <c r="AT155" i="51"/>
  <c r="AT139" i="51"/>
  <c r="BA139" i="51"/>
  <c r="AT118" i="51"/>
  <c r="BA118" i="51"/>
  <c r="AT166" i="51"/>
  <c r="AT158" i="51"/>
  <c r="BA158" i="51"/>
  <c r="BA126" i="51"/>
  <c r="AT126" i="51"/>
  <c r="BA172" i="51"/>
  <c r="BA190" i="51"/>
  <c r="AT153" i="51"/>
  <c r="BA153" i="51"/>
  <c r="AT135" i="51"/>
  <c r="AT79" i="51"/>
  <c r="BA79" i="51"/>
  <c r="AT64" i="51"/>
  <c r="BA64" i="51"/>
  <c r="BA93" i="51"/>
  <c r="AT93" i="51"/>
  <c r="BA74" i="51"/>
  <c r="AT74" i="51"/>
  <c r="BA48" i="51"/>
  <c r="AT48" i="51"/>
  <c r="BA38" i="51"/>
  <c r="AT38" i="51"/>
  <c r="BA26" i="51"/>
  <c r="AT26" i="51"/>
  <c r="BA100" i="51"/>
  <c r="AT88" i="51"/>
  <c r="I37" i="51"/>
  <c r="BA128" i="51"/>
  <c r="AT102" i="51"/>
  <c r="BA102" i="51"/>
  <c r="H183" i="51"/>
  <c r="AT181" i="51"/>
  <c r="BA181" i="51"/>
  <c r="AT200" i="51"/>
  <c r="H175" i="51"/>
  <c r="AT132" i="51"/>
  <c r="BA132" i="51"/>
  <c r="BA141" i="51"/>
  <c r="AT141" i="51"/>
  <c r="BA120" i="51"/>
  <c r="AT120" i="51"/>
  <c r="BA151" i="51"/>
  <c r="AT145" i="51"/>
  <c r="BA145" i="51"/>
  <c r="H134" i="51"/>
  <c r="AT91" i="51"/>
  <c r="BA91" i="51"/>
  <c r="BA112" i="51"/>
  <c r="BA46" i="51"/>
  <c r="AT46" i="51"/>
  <c r="BA24" i="51"/>
  <c r="AT24" i="51"/>
  <c r="BA13" i="51"/>
  <c r="AT13" i="51"/>
  <c r="BA107" i="51"/>
  <c r="BA95" i="51"/>
  <c r="BA33" i="51"/>
  <c r="AT169" i="51"/>
  <c r="AT163" i="51"/>
  <c r="AT147" i="51"/>
  <c r="BA147" i="51"/>
  <c r="AT199" i="51"/>
  <c r="BA199" i="51"/>
  <c r="AT179" i="51"/>
  <c r="BA143" i="51"/>
  <c r="AT137" i="51"/>
  <c r="BA137" i="51"/>
  <c r="AT104" i="51"/>
  <c r="BA104" i="51"/>
  <c r="AT72" i="51"/>
  <c r="BA72" i="51"/>
  <c r="BA86" i="51"/>
  <c r="AT86" i="51"/>
  <c r="BA66" i="51"/>
  <c r="AT66" i="51"/>
  <c r="AT116" i="51"/>
  <c r="BA116" i="51"/>
  <c r="AT57" i="51"/>
  <c r="AT130" i="51"/>
  <c r="BA130" i="51"/>
  <c r="AT83" i="51"/>
  <c r="BA83" i="51"/>
  <c r="AT70" i="51"/>
  <c r="BA70" i="51"/>
  <c r="BA55" i="51"/>
  <c r="AT55" i="51"/>
  <c r="AT207" i="51"/>
  <c r="BA207" i="51"/>
  <c r="BA178" i="51"/>
  <c r="AT178" i="51"/>
  <c r="BA161" i="51"/>
  <c r="AT161" i="51"/>
  <c r="AT195" i="51"/>
  <c r="BA195" i="51"/>
  <c r="AT203" i="51"/>
  <c r="BA203" i="51"/>
  <c r="BA149" i="51"/>
  <c r="AT149" i="51"/>
  <c r="AT170" i="51"/>
  <c r="BA170" i="51"/>
  <c r="AT97" i="51"/>
  <c r="BA97" i="51"/>
  <c r="BA80" i="51"/>
  <c r="AT80" i="51"/>
  <c r="AT52" i="51"/>
  <c r="BA52" i="51"/>
  <c r="AT62" i="51"/>
  <c r="BA62" i="51"/>
  <c r="BA17" i="51"/>
  <c r="AT17" i="51"/>
  <c r="AT123" i="51"/>
  <c r="BA123" i="51"/>
  <c r="AT77" i="51"/>
  <c r="BA77" i="51"/>
  <c r="BA40" i="51"/>
  <c r="G48" i="50"/>
  <c r="H48" i="50" s="1"/>
  <c r="G46" i="50"/>
  <c r="H46" i="50" s="1"/>
  <c r="G37" i="50"/>
  <c r="H37" i="50" s="1"/>
  <c r="G44" i="50"/>
  <c r="H44" i="50" s="1"/>
  <c r="G30" i="50"/>
  <c r="H30" i="50" s="1"/>
  <c r="G32" i="50"/>
  <c r="H32" i="50" s="1"/>
  <c r="AT148" i="45"/>
  <c r="AT160" i="45"/>
  <c r="AT74" i="45"/>
  <c r="BA19" i="45"/>
  <c r="BA153" i="45"/>
  <c r="H99" i="45"/>
  <c r="BA156" i="45"/>
  <c r="H133" i="45"/>
  <c r="J166" i="45"/>
  <c r="AR66" i="44"/>
  <c r="BA155" i="44"/>
  <c r="AT69" i="44"/>
  <c r="AT13" i="44"/>
  <c r="BA127" i="44"/>
  <c r="BA152" i="44"/>
  <c r="BA136" i="43"/>
  <c r="J184" i="43"/>
  <c r="BA152" i="43"/>
  <c r="BA82" i="43"/>
  <c r="H101" i="43"/>
  <c r="H89" i="43"/>
  <c r="AR49" i="43"/>
  <c r="H160" i="42"/>
  <c r="BA102" i="42"/>
  <c r="AT84" i="42"/>
  <c r="BA109" i="42"/>
  <c r="BA54" i="42"/>
  <c r="BA44" i="42"/>
  <c r="AT16" i="42"/>
  <c r="BA40" i="42"/>
  <c r="BA20" i="42"/>
  <c r="J198" i="42"/>
  <c r="BA106" i="42"/>
  <c r="AT116" i="41"/>
  <c r="H99" i="41"/>
  <c r="AT136" i="41"/>
  <c r="AT133" i="41"/>
  <c r="AT106" i="41"/>
  <c r="AT86" i="41"/>
  <c r="AT63" i="41"/>
  <c r="BA37" i="41"/>
  <c r="J165" i="41"/>
  <c r="I34" i="41"/>
  <c r="AT150" i="41"/>
  <c r="AT84" i="41"/>
  <c r="AT69" i="41"/>
  <c r="AT61" i="41"/>
  <c r="AT53" i="41"/>
  <c r="I99" i="41"/>
  <c r="H130" i="41"/>
  <c r="I88" i="41"/>
  <c r="AT24" i="40"/>
  <c r="AR120" i="40"/>
  <c r="AT95" i="40"/>
  <c r="BA141" i="40"/>
  <c r="H28" i="40"/>
  <c r="AT125" i="40"/>
  <c r="BA163" i="40"/>
  <c r="H45" i="40"/>
  <c r="J169" i="40"/>
  <c r="H50" i="40"/>
  <c r="BA55" i="39"/>
  <c r="BA15" i="39"/>
  <c r="AT166" i="39"/>
  <c r="BA127" i="39"/>
  <c r="BA117" i="39"/>
  <c r="AT99" i="39"/>
  <c r="BA73" i="39"/>
  <c r="BA63" i="39"/>
  <c r="BA13" i="39"/>
  <c r="BA39" i="39"/>
  <c r="BA160" i="39"/>
  <c r="BA114" i="39"/>
  <c r="BA71" i="39"/>
  <c r="I159" i="39"/>
  <c r="J180" i="39"/>
  <c r="AT98" i="38"/>
  <c r="AT174" i="38"/>
  <c r="AT79" i="38"/>
  <c r="H152" i="38"/>
  <c r="BA153" i="38"/>
  <c r="AT29" i="38"/>
  <c r="BA146" i="38"/>
  <c r="I111" i="38"/>
  <c r="AT140" i="38"/>
  <c r="AT62" i="38"/>
  <c r="BA60" i="38"/>
  <c r="AT91" i="38"/>
  <c r="AT129" i="38"/>
  <c r="AT178" i="38"/>
  <c r="AT169" i="38"/>
  <c r="H81" i="38"/>
  <c r="I93" i="38"/>
  <c r="H53" i="38"/>
  <c r="BA51" i="38"/>
  <c r="BA100" i="38"/>
  <c r="BA161" i="38"/>
  <c r="BA154" i="38"/>
  <c r="BA157" i="38"/>
  <c r="I145" i="38"/>
  <c r="I48" i="38"/>
  <c r="J183" i="38"/>
  <c r="BA202" i="37"/>
  <c r="AT191" i="37"/>
  <c r="BA157" i="37"/>
  <c r="AT195" i="37"/>
  <c r="H176" i="37"/>
  <c r="AR176" i="37"/>
  <c r="AT141" i="37"/>
  <c r="BA206" i="37"/>
  <c r="BA151" i="37"/>
  <c r="J208" i="37"/>
  <c r="AT198" i="37"/>
  <c r="I136" i="37"/>
  <c r="H34" i="36"/>
  <c r="H12" i="36"/>
  <c r="BA84" i="36"/>
  <c r="AT84" i="36"/>
  <c r="BA69" i="36"/>
  <c r="AT69" i="36"/>
  <c r="AT46" i="36"/>
  <c r="BA46" i="36"/>
  <c r="I94" i="36"/>
  <c r="I131" i="36"/>
  <c r="H29" i="36"/>
  <c r="BA118" i="36"/>
  <c r="AT118" i="36"/>
  <c r="BA55" i="36"/>
  <c r="AT55" i="36"/>
  <c r="I50" i="36"/>
  <c r="I12" i="36"/>
  <c r="AT148" i="36"/>
  <c r="BA148" i="36"/>
  <c r="BA142" i="36"/>
  <c r="AT142" i="36"/>
  <c r="J164" i="36"/>
  <c r="AT159" i="35"/>
  <c r="AT84" i="35"/>
  <c r="I86" i="35"/>
  <c r="BA40" i="35"/>
  <c r="AT20" i="35"/>
  <c r="BA135" i="35"/>
  <c r="AT135" i="35"/>
  <c r="BA171" i="35"/>
  <c r="AT186" i="35"/>
  <c r="AT198" i="35"/>
  <c r="AT57" i="35"/>
  <c r="BA30" i="35"/>
  <c r="BA16" i="35"/>
  <c r="I56" i="35"/>
  <c r="AT49" i="35"/>
  <c r="BA143" i="35"/>
  <c r="AT143" i="35"/>
  <c r="J211" i="35"/>
  <c r="E28" i="50" s="1"/>
  <c r="G28" i="50" s="1"/>
  <c r="H28" i="50" s="1"/>
  <c r="BA38" i="35"/>
  <c r="I27" i="35"/>
  <c r="AT13" i="35"/>
  <c r="BA115" i="34"/>
  <c r="H122" i="34"/>
  <c r="BA37" i="34"/>
  <c r="AT37" i="34"/>
  <c r="BA53" i="34"/>
  <c r="BA127" i="34"/>
  <c r="J141" i="34"/>
  <c r="BA131" i="33"/>
  <c r="BA46" i="33"/>
  <c r="AT188" i="33"/>
  <c r="BA188" i="33"/>
  <c r="BA28" i="33"/>
  <c r="AT28" i="33"/>
  <c r="BA68" i="33"/>
  <c r="H172" i="33"/>
  <c r="AT182" i="33"/>
  <c r="BA20" i="33"/>
  <c r="I172" i="33"/>
  <c r="BA42" i="33"/>
  <c r="BA13" i="33"/>
  <c r="AT13" i="33"/>
  <c r="AT156" i="45"/>
  <c r="BA25" i="45"/>
  <c r="BA32" i="45"/>
  <c r="BA154" i="45"/>
  <c r="AT104" i="45"/>
  <c r="AT94" i="45"/>
  <c r="AR99" i="45"/>
  <c r="AR34" i="45"/>
  <c r="AT21" i="45"/>
  <c r="AT23" i="45"/>
  <c r="H147" i="45"/>
  <c r="AT149" i="45"/>
  <c r="AT86" i="45"/>
  <c r="AT145" i="45"/>
  <c r="AT84" i="45"/>
  <c r="H88" i="45"/>
  <c r="AT162" i="45"/>
  <c r="AT139" i="45"/>
  <c r="AT118" i="45"/>
  <c r="H73" i="45"/>
  <c r="BA81" i="45"/>
  <c r="I52" i="45"/>
  <c r="I99" i="45"/>
  <c r="H157" i="45"/>
  <c r="BA159" i="45"/>
  <c r="I73" i="45"/>
  <c r="BA116" i="45"/>
  <c r="AT116" i="45"/>
  <c r="AT153" i="45"/>
  <c r="AT134" i="45"/>
  <c r="AT110" i="45"/>
  <c r="BA123" i="45"/>
  <c r="BA114" i="45"/>
  <c r="AT114" i="45"/>
  <c r="BA108" i="45"/>
  <c r="BA120" i="45"/>
  <c r="AT128" i="45"/>
  <c r="AT154" i="45"/>
  <c r="BA142" i="45"/>
  <c r="BA104" i="45"/>
  <c r="BA86" i="45"/>
  <c r="AT63" i="45"/>
  <c r="BA63" i="45"/>
  <c r="AT48" i="45"/>
  <c r="BA48" i="45"/>
  <c r="BA39" i="45"/>
  <c r="AT39" i="45"/>
  <c r="BA102" i="45"/>
  <c r="BA89" i="45"/>
  <c r="AT41" i="45"/>
  <c r="BA41" i="45"/>
  <c r="BA164" i="45"/>
  <c r="BA118" i="45"/>
  <c r="AT69" i="45"/>
  <c r="BA69" i="45"/>
  <c r="AT53" i="45"/>
  <c r="BA53" i="45"/>
  <c r="BA136" i="45"/>
  <c r="BA112" i="45"/>
  <c r="BA100" i="45"/>
  <c r="AT125" i="45"/>
  <c r="BA84" i="45"/>
  <c r="BA35" i="45"/>
  <c r="AT35" i="45"/>
  <c r="BA145" i="45"/>
  <c r="AR88" i="45"/>
  <c r="BA151" i="45"/>
  <c r="AT76" i="45"/>
  <c r="BA76" i="45"/>
  <c r="AT61" i="45"/>
  <c r="BA61" i="45"/>
  <c r="BA131" i="45"/>
  <c r="AT78" i="45"/>
  <c r="BA78" i="45"/>
  <c r="BA162" i="45"/>
  <c r="BA158" i="45"/>
  <c r="H52" i="45"/>
  <c r="BA134" i="45"/>
  <c r="BA110" i="45"/>
  <c r="BA94" i="45"/>
  <c r="AT71" i="45"/>
  <c r="BA71" i="45"/>
  <c r="AT55" i="45"/>
  <c r="BA55" i="45"/>
  <c r="BA30" i="45"/>
  <c r="AT30" i="45"/>
  <c r="BA106" i="45"/>
  <c r="BA97" i="45"/>
  <c r="BA136" i="44"/>
  <c r="BA92" i="44"/>
  <c r="BA121" i="44"/>
  <c r="AT50" i="44"/>
  <c r="AT22" i="44"/>
  <c r="H145" i="44"/>
  <c r="AR145" i="44"/>
  <c r="AR141" i="44"/>
  <c r="I45" i="44"/>
  <c r="AR112" i="44"/>
  <c r="BA150" i="44"/>
  <c r="AT150" i="44"/>
  <c r="H45" i="44"/>
  <c r="I89" i="44"/>
  <c r="BA157" i="44"/>
  <c r="AT157" i="44"/>
  <c r="BA156" i="44"/>
  <c r="AT156" i="44"/>
  <c r="BA146" i="44"/>
  <c r="AT146" i="44"/>
  <c r="BA119" i="44"/>
  <c r="BA105" i="44"/>
  <c r="AR89" i="44"/>
  <c r="BA154" i="44"/>
  <c r="AT154" i="44"/>
  <c r="BA158" i="44"/>
  <c r="I145" i="44"/>
  <c r="AT73" i="44"/>
  <c r="BA73" i="44"/>
  <c r="BA90" i="44"/>
  <c r="BA140" i="44"/>
  <c r="BA30" i="44"/>
  <c r="AT30" i="44"/>
  <c r="BA138" i="44"/>
  <c r="AT138" i="44"/>
  <c r="BA115" i="44"/>
  <c r="BA135" i="44"/>
  <c r="AT84" i="44"/>
  <c r="BA84" i="44"/>
  <c r="BA117" i="44"/>
  <c r="BA102" i="44"/>
  <c r="AT38" i="44"/>
  <c r="BA38" i="44"/>
  <c r="BA25" i="44"/>
  <c r="AT25" i="44"/>
  <c r="AR27" i="44"/>
  <c r="BA161" i="44"/>
  <c r="BA108" i="44"/>
  <c r="BA132" i="44"/>
  <c r="AT81" i="44"/>
  <c r="BA81" i="44"/>
  <c r="BA129" i="44"/>
  <c r="BA113" i="44"/>
  <c r="BA98" i="44"/>
  <c r="BA87" i="44"/>
  <c r="AT87" i="44"/>
  <c r="BA34" i="44"/>
  <c r="AT34" i="44"/>
  <c r="AR15" i="44"/>
  <c r="BA144" i="44"/>
  <c r="BA123" i="44"/>
  <c r="BA100" i="44"/>
  <c r="BA143" i="44"/>
  <c r="AT78" i="44"/>
  <c r="BA78" i="44"/>
  <c r="BA125" i="44"/>
  <c r="BA110" i="44"/>
  <c r="BA94" i="44"/>
  <c r="AR75" i="44"/>
  <c r="BA142" i="44"/>
  <c r="BA32" i="44"/>
  <c r="AT32" i="44"/>
  <c r="AT57" i="43"/>
  <c r="BA168" i="43"/>
  <c r="AT168" i="43"/>
  <c r="BA125" i="43"/>
  <c r="AT125" i="43"/>
  <c r="AT112" i="43"/>
  <c r="BA180" i="43"/>
  <c r="AT180" i="43"/>
  <c r="AT47" i="43"/>
  <c r="AT33" i="43"/>
  <c r="BA162" i="43"/>
  <c r="AT162" i="43"/>
  <c r="AT123" i="43"/>
  <c r="H129" i="43"/>
  <c r="AT166" i="43"/>
  <c r="AT174" i="43"/>
  <c r="BA170" i="43"/>
  <c r="AT170" i="43"/>
  <c r="BA182" i="43"/>
  <c r="BA172" i="43"/>
  <c r="AT172" i="43"/>
  <c r="H161" i="43"/>
  <c r="BA120" i="43"/>
  <c r="AT106" i="43"/>
  <c r="BA106" i="43"/>
  <c r="AT134" i="43"/>
  <c r="AT158" i="43"/>
  <c r="AT130" i="43"/>
  <c r="AR129" i="43"/>
  <c r="AR101" i="43"/>
  <c r="BA138" i="43"/>
  <c r="H54" i="43"/>
  <c r="I89" i="43"/>
  <c r="BA178" i="43"/>
  <c r="AT178" i="43"/>
  <c r="BA160" i="43"/>
  <c r="AT160" i="43"/>
  <c r="BA164" i="43"/>
  <c r="AT164" i="43"/>
  <c r="BA176" i="43"/>
  <c r="AT176" i="43"/>
  <c r="I161" i="43"/>
  <c r="BA154" i="43"/>
  <c r="BA127" i="43"/>
  <c r="AT127" i="43"/>
  <c r="BA142" i="43"/>
  <c r="BA159" i="43"/>
  <c r="BA132" i="43"/>
  <c r="AT99" i="43"/>
  <c r="BA99" i="43"/>
  <c r="AT114" i="43"/>
  <c r="BA114" i="43"/>
  <c r="AT94" i="43"/>
  <c r="AR12" i="43"/>
  <c r="BA145" i="43"/>
  <c r="BA117" i="43"/>
  <c r="AT117" i="43"/>
  <c r="BA151" i="43"/>
  <c r="AR150" i="43"/>
  <c r="BA140" i="43"/>
  <c r="BA90" i="43"/>
  <c r="BA158" i="43"/>
  <c r="BA65" i="43"/>
  <c r="AT67" i="43"/>
  <c r="BA67" i="43"/>
  <c r="AT15" i="43"/>
  <c r="BA15" i="43"/>
  <c r="AT73" i="43"/>
  <c r="BA73" i="43"/>
  <c r="AR54" i="43"/>
  <c r="AR27" i="43"/>
  <c r="BA102" i="43"/>
  <c r="AT102" i="43"/>
  <c r="AT110" i="43"/>
  <c r="BA110" i="43"/>
  <c r="AR32" i="43"/>
  <c r="BA104" i="43"/>
  <c r="AT104" i="43"/>
  <c r="BA134" i="43"/>
  <c r="AR161" i="43"/>
  <c r="BA148" i="43"/>
  <c r="I101" i="43"/>
  <c r="BA156" i="43"/>
  <c r="AT92" i="43"/>
  <c r="BA92" i="43"/>
  <c r="AT59" i="43"/>
  <c r="BA59" i="43"/>
  <c r="AT13" i="43"/>
  <c r="BA13" i="43"/>
  <c r="AT76" i="43"/>
  <c r="BA76" i="43"/>
  <c r="AT71" i="43"/>
  <c r="BA71" i="43"/>
  <c r="AT79" i="42"/>
  <c r="I160" i="42"/>
  <c r="AR160" i="42"/>
  <c r="AT100" i="42"/>
  <c r="BA36" i="42"/>
  <c r="AT116" i="42"/>
  <c r="AT102" i="42"/>
  <c r="AT51" i="42"/>
  <c r="AT49" i="42"/>
  <c r="AR149" i="42"/>
  <c r="AT114" i="42"/>
  <c r="BA58" i="42"/>
  <c r="AT40" i="42"/>
  <c r="BA26" i="42"/>
  <c r="BA32" i="42"/>
  <c r="AT46" i="42"/>
  <c r="AT20" i="42"/>
  <c r="I111" i="42"/>
  <c r="BA104" i="42"/>
  <c r="BA191" i="42"/>
  <c r="AT191" i="42"/>
  <c r="BA187" i="42"/>
  <c r="AT187" i="42"/>
  <c r="BA183" i="42"/>
  <c r="AT183" i="42"/>
  <c r="BA179" i="42"/>
  <c r="AT179" i="42"/>
  <c r="BA171" i="42"/>
  <c r="AT171" i="42"/>
  <c r="BA163" i="42"/>
  <c r="AT163" i="42"/>
  <c r="AT96" i="42"/>
  <c r="AT64" i="42"/>
  <c r="BA18" i="42"/>
  <c r="AT73" i="42"/>
  <c r="AT24" i="42"/>
  <c r="BA22" i="42"/>
  <c r="BA196" i="42"/>
  <c r="AT196" i="42"/>
  <c r="BA190" i="42"/>
  <c r="AT190" i="42"/>
  <c r="BA186" i="42"/>
  <c r="AT186" i="42"/>
  <c r="BA182" i="42"/>
  <c r="AT182" i="42"/>
  <c r="BA177" i="42"/>
  <c r="AT177" i="42"/>
  <c r="BA169" i="42"/>
  <c r="AT169" i="42"/>
  <c r="BA161" i="42"/>
  <c r="AT161" i="42"/>
  <c r="BA157" i="42"/>
  <c r="AT157" i="42"/>
  <c r="AT91" i="42"/>
  <c r="AT94" i="42"/>
  <c r="AT62" i="42"/>
  <c r="AT71" i="42"/>
  <c r="AT88" i="42"/>
  <c r="BA194" i="42"/>
  <c r="AT194" i="42"/>
  <c r="BA189" i="42"/>
  <c r="AT189" i="42"/>
  <c r="BA185" i="42"/>
  <c r="AT185" i="42"/>
  <c r="BA181" i="42"/>
  <c r="AT181" i="42"/>
  <c r="BA175" i="42"/>
  <c r="AT175" i="42"/>
  <c r="BA167" i="42"/>
  <c r="AT167" i="42"/>
  <c r="BA159" i="42"/>
  <c r="AT159" i="42"/>
  <c r="AT68" i="42"/>
  <c r="AT60" i="42"/>
  <c r="AT86" i="42"/>
  <c r="BA192" i="42"/>
  <c r="AT192" i="42"/>
  <c r="BA188" i="42"/>
  <c r="AT188" i="42"/>
  <c r="BA184" i="42"/>
  <c r="AT184" i="42"/>
  <c r="BA180" i="42"/>
  <c r="AT180" i="42"/>
  <c r="BA173" i="42"/>
  <c r="AT173" i="42"/>
  <c r="BA165" i="42"/>
  <c r="AT165" i="42"/>
  <c r="BA158" i="42"/>
  <c r="AT158" i="42"/>
  <c r="AR120" i="42"/>
  <c r="AR156" i="42"/>
  <c r="H149" i="42"/>
  <c r="AT82" i="42"/>
  <c r="AT98" i="42"/>
  <c r="AT66" i="42"/>
  <c r="AT58" i="42"/>
  <c r="AT74" i="42"/>
  <c r="AT77" i="42"/>
  <c r="BA153" i="41"/>
  <c r="AT39" i="41"/>
  <c r="AT21" i="41"/>
  <c r="AT13" i="41"/>
  <c r="I146" i="41"/>
  <c r="AT123" i="41"/>
  <c r="BA27" i="41"/>
  <c r="BA19" i="41"/>
  <c r="AR99" i="41"/>
  <c r="H146" i="41"/>
  <c r="AT104" i="41"/>
  <c r="AT94" i="41"/>
  <c r="AT43" i="41"/>
  <c r="AT35" i="41"/>
  <c r="I156" i="41"/>
  <c r="H83" i="41"/>
  <c r="H52" i="41"/>
  <c r="BA148" i="41"/>
  <c r="BA144" i="41"/>
  <c r="BA133" i="41"/>
  <c r="BA123" i="41"/>
  <c r="BA114" i="41"/>
  <c r="BA106" i="41"/>
  <c r="BA97" i="41"/>
  <c r="BA86" i="41"/>
  <c r="BA69" i="41"/>
  <c r="BA61" i="41"/>
  <c r="BA53" i="41"/>
  <c r="BA43" i="41"/>
  <c r="BA35" i="41"/>
  <c r="BA25" i="41"/>
  <c r="BA17" i="41"/>
  <c r="AT161" i="41"/>
  <c r="AR130" i="41"/>
  <c r="AT48" i="41"/>
  <c r="AT15" i="41"/>
  <c r="AT59" i="41"/>
  <c r="AT27" i="41"/>
  <c r="BA163" i="41"/>
  <c r="BA150" i="41"/>
  <c r="BA141" i="41"/>
  <c r="BA131" i="41"/>
  <c r="BA120" i="41"/>
  <c r="BA112" i="41"/>
  <c r="BA104" i="41"/>
  <c r="BA94" i="41"/>
  <c r="BA84" i="41"/>
  <c r="AT153" i="41"/>
  <c r="BA67" i="41"/>
  <c r="BA50" i="41"/>
  <c r="BA41" i="41"/>
  <c r="BA32" i="41"/>
  <c r="BA23" i="41"/>
  <c r="BA78" i="41"/>
  <c r="AT159" i="41"/>
  <c r="AT45" i="41"/>
  <c r="AT57" i="41"/>
  <c r="AT19" i="41"/>
  <c r="BA71" i="41"/>
  <c r="AT65" i="41"/>
  <c r="BA158" i="41"/>
  <c r="BA138" i="41"/>
  <c r="BA128" i="41"/>
  <c r="BA118" i="41"/>
  <c r="BA110" i="41"/>
  <c r="BA102" i="41"/>
  <c r="BA91" i="41"/>
  <c r="BA76" i="41"/>
  <c r="AT147" i="41"/>
  <c r="BA81" i="41"/>
  <c r="BA39" i="41"/>
  <c r="BA30" i="41"/>
  <c r="BA21" i="41"/>
  <c r="BA13" i="41"/>
  <c r="AR146" i="41"/>
  <c r="BA74" i="41"/>
  <c r="AT37" i="41"/>
  <c r="BA155" i="41"/>
  <c r="BA157" i="41"/>
  <c r="BA152" i="41"/>
  <c r="BA136" i="41"/>
  <c r="BA125" i="41"/>
  <c r="BA116" i="41"/>
  <c r="BA108" i="41"/>
  <c r="BA100" i="41"/>
  <c r="BA89" i="41"/>
  <c r="BA63" i="41"/>
  <c r="BA55" i="41"/>
  <c r="AR88" i="41"/>
  <c r="AR83" i="41"/>
  <c r="BA57" i="40"/>
  <c r="BA165" i="40"/>
  <c r="BA151" i="40"/>
  <c r="AT151" i="40"/>
  <c r="AT148" i="40"/>
  <c r="AT141" i="40"/>
  <c r="BA95" i="40"/>
  <c r="AT81" i="40"/>
  <c r="AT55" i="40"/>
  <c r="AT86" i="40"/>
  <c r="BA35" i="40"/>
  <c r="BA161" i="40"/>
  <c r="AT161" i="40"/>
  <c r="BA159" i="40"/>
  <c r="AT159" i="40"/>
  <c r="AT155" i="40"/>
  <c r="AT140" i="40"/>
  <c r="AR150" i="40"/>
  <c r="BA106" i="40"/>
  <c r="BA100" i="40"/>
  <c r="BA13" i="40"/>
  <c r="I146" i="40"/>
  <c r="BA21" i="40"/>
  <c r="AT74" i="40"/>
  <c r="BA167" i="40"/>
  <c r="AT39" i="40"/>
  <c r="BA75" i="40"/>
  <c r="BA67" i="40"/>
  <c r="AT59" i="40"/>
  <c r="AT51" i="40"/>
  <c r="I120" i="40"/>
  <c r="H150" i="40"/>
  <c r="H139" i="40"/>
  <c r="BA19" i="40"/>
  <c r="BA69" i="40"/>
  <c r="BA134" i="40"/>
  <c r="BA118" i="40"/>
  <c r="BA102" i="40"/>
  <c r="BA90" i="40"/>
  <c r="BA131" i="40"/>
  <c r="BA116" i="40"/>
  <c r="BA88" i="40"/>
  <c r="BA63" i="40"/>
  <c r="AT53" i="40"/>
  <c r="BA78" i="40"/>
  <c r="BA147" i="40"/>
  <c r="BA83" i="40"/>
  <c r="BA59" i="40"/>
  <c r="BA48" i="40"/>
  <c r="BA41" i="40"/>
  <c r="BA129" i="40"/>
  <c r="BA92" i="40"/>
  <c r="BA98" i="40"/>
  <c r="BA148" i="40"/>
  <c r="BA127" i="40"/>
  <c r="AR146" i="40"/>
  <c r="BA108" i="40"/>
  <c r="BA121" i="40"/>
  <c r="BA65" i="40"/>
  <c r="BA72" i="40"/>
  <c r="BA61" i="40"/>
  <c r="BA113" i="40"/>
  <c r="BA46" i="40"/>
  <c r="BA140" i="40"/>
  <c r="BA145" i="40"/>
  <c r="BA110" i="40"/>
  <c r="BA123" i="40"/>
  <c r="AR97" i="40"/>
  <c r="BA143" i="40"/>
  <c r="BA104" i="40"/>
  <c r="BA137" i="40"/>
  <c r="BA125" i="40"/>
  <c r="BA43" i="40"/>
  <c r="AR45" i="40"/>
  <c r="AT117" i="39"/>
  <c r="AT96" i="39"/>
  <c r="AT108" i="39"/>
  <c r="AR159" i="39"/>
  <c r="BA134" i="39"/>
  <c r="BA87" i="39"/>
  <c r="AT15" i="39"/>
  <c r="BA168" i="39"/>
  <c r="AT168" i="39"/>
  <c r="AT39" i="39"/>
  <c r="AT19" i="39"/>
  <c r="AT69" i="39"/>
  <c r="AT61" i="39"/>
  <c r="AT176" i="39"/>
  <c r="BA125" i="39"/>
  <c r="BA41" i="39"/>
  <c r="BA33" i="39"/>
  <c r="AT110" i="39"/>
  <c r="H122" i="39"/>
  <c r="AT45" i="39"/>
  <c r="AT37" i="39"/>
  <c r="AT25" i="39"/>
  <c r="AT17" i="39"/>
  <c r="BA170" i="39"/>
  <c r="AT170" i="39"/>
  <c r="AT67" i="39"/>
  <c r="AT59" i="39"/>
  <c r="AT149" i="39"/>
  <c r="BA21" i="39"/>
  <c r="BA99" i="39"/>
  <c r="BA174" i="39"/>
  <c r="AT174" i="39"/>
  <c r="AT43" i="39"/>
  <c r="AT35" i="39"/>
  <c r="AT23" i="39"/>
  <c r="BA140" i="39"/>
  <c r="BA132" i="39"/>
  <c r="BA123" i="39"/>
  <c r="BA112" i="39"/>
  <c r="BA149" i="39"/>
  <c r="AT136" i="39"/>
  <c r="AT130" i="39"/>
  <c r="AT102" i="39"/>
  <c r="AT76" i="39"/>
  <c r="AT13" i="39"/>
  <c r="BA150" i="39"/>
  <c r="BA104" i="39"/>
  <c r="BA120" i="39"/>
  <c r="AT106" i="39"/>
  <c r="AT146" i="39"/>
  <c r="AT78" i="39"/>
  <c r="BA78" i="39"/>
  <c r="AT127" i="39"/>
  <c r="AT92" i="39"/>
  <c r="BA92" i="39"/>
  <c r="BA178" i="39"/>
  <c r="BA154" i="39"/>
  <c r="BA157" i="39"/>
  <c r="AT179" i="38"/>
  <c r="AT175" i="38"/>
  <c r="AT171" i="38"/>
  <c r="AT163" i="38"/>
  <c r="AT157" i="38"/>
  <c r="AT181" i="38"/>
  <c r="AT154" i="38"/>
  <c r="AT147" i="38"/>
  <c r="AT109" i="38"/>
  <c r="AS118" i="38"/>
  <c r="H15" i="38"/>
  <c r="BA176" i="38"/>
  <c r="BA165" i="38"/>
  <c r="H145" i="38"/>
  <c r="I53" i="38"/>
  <c r="AT46" i="38"/>
  <c r="AT38" i="38"/>
  <c r="AT146" i="38"/>
  <c r="BA98" i="38"/>
  <c r="BA79" i="38"/>
  <c r="BA62" i="38"/>
  <c r="AT88" i="38"/>
  <c r="BA20" i="38"/>
  <c r="AT71" i="38"/>
  <c r="BA135" i="38"/>
  <c r="AT135" i="38"/>
  <c r="AT177" i="38"/>
  <c r="AT173" i="38"/>
  <c r="AT167" i="38"/>
  <c r="AT159" i="38"/>
  <c r="AT172" i="38"/>
  <c r="BA127" i="38"/>
  <c r="AT127" i="38"/>
  <c r="AS152" i="38"/>
  <c r="AS145" i="38"/>
  <c r="AT143" i="38"/>
  <c r="AT104" i="38"/>
  <c r="H31" i="38"/>
  <c r="I156" i="38"/>
  <c r="AT42" i="38"/>
  <c r="AT34" i="38"/>
  <c r="AT77" i="38"/>
  <c r="AS156" i="38"/>
  <c r="BA82" i="38"/>
  <c r="BA73" i="38"/>
  <c r="BA64" i="38"/>
  <c r="BA112" i="38"/>
  <c r="BA102" i="38"/>
  <c r="BA94" i="38"/>
  <c r="AT44" i="38"/>
  <c r="BA44" i="38"/>
  <c r="AT36" i="38"/>
  <c r="BA36" i="38"/>
  <c r="AT26" i="38"/>
  <c r="BA26" i="38"/>
  <c r="AT18" i="38"/>
  <c r="BA18" i="38"/>
  <c r="BA84" i="38"/>
  <c r="BA74" i="38"/>
  <c r="BA66" i="38"/>
  <c r="BA96" i="38"/>
  <c r="AT68" i="38"/>
  <c r="BA125" i="38"/>
  <c r="AT125" i="38"/>
  <c r="BA123" i="38"/>
  <c r="AT123" i="38"/>
  <c r="BA104" i="38"/>
  <c r="BA86" i="38"/>
  <c r="BA116" i="38"/>
  <c r="AT116" i="38"/>
  <c r="BA121" i="38"/>
  <c r="AT121" i="38"/>
  <c r="BA119" i="38"/>
  <c r="AT119" i="38"/>
  <c r="BA114" i="38"/>
  <c r="AT114" i="38"/>
  <c r="AT49" i="38"/>
  <c r="BA49" i="38"/>
  <c r="AT40" i="38"/>
  <c r="BA40" i="38"/>
  <c r="AT32" i="38"/>
  <c r="BA32" i="38"/>
  <c r="AT22" i="38"/>
  <c r="BA22" i="38"/>
  <c r="AT13" i="38"/>
  <c r="BA13" i="38"/>
  <c r="H57" i="37"/>
  <c r="BA185" i="37"/>
  <c r="AT185" i="37"/>
  <c r="BA196" i="37"/>
  <c r="AT196" i="37"/>
  <c r="I172" i="37"/>
  <c r="AT160" i="37"/>
  <c r="BA149" i="37"/>
  <c r="BA200" i="37"/>
  <c r="AT200" i="37"/>
  <c r="BA197" i="37"/>
  <c r="AT197" i="37"/>
  <c r="AT183" i="37"/>
  <c r="H165" i="37"/>
  <c r="BA199" i="37"/>
  <c r="I176" i="37"/>
  <c r="BA201" i="37"/>
  <c r="AT201" i="37"/>
  <c r="BA192" i="37"/>
  <c r="AT192" i="37"/>
  <c r="BA181" i="37"/>
  <c r="AT181" i="37"/>
  <c r="BA175" i="37"/>
  <c r="I97" i="37"/>
  <c r="AT167" i="37"/>
  <c r="BA137" i="37"/>
  <c r="BA128" i="37"/>
  <c r="AT147" i="37"/>
  <c r="AT204" i="37"/>
  <c r="BA189" i="37"/>
  <c r="AT189" i="37"/>
  <c r="BA179" i="37"/>
  <c r="AT179" i="37"/>
  <c r="BA187" i="37"/>
  <c r="AT187" i="37"/>
  <c r="BA143" i="37"/>
  <c r="AR57" i="37"/>
  <c r="BA193" i="37"/>
  <c r="AT193" i="37"/>
  <c r="BA194" i="37"/>
  <c r="AT194" i="37"/>
  <c r="BA177" i="37"/>
  <c r="AT177" i="37"/>
  <c r="BA83" i="37"/>
  <c r="AT83" i="37"/>
  <c r="BA75" i="37"/>
  <c r="AT75" i="37"/>
  <c r="BA90" i="37"/>
  <c r="AT90" i="37"/>
  <c r="BA163" i="37"/>
  <c r="AT166" i="37"/>
  <c r="BA145" i="37"/>
  <c r="BA88" i="37"/>
  <c r="AT88" i="37"/>
  <c r="BA78" i="37"/>
  <c r="AT78" i="37"/>
  <c r="H97" i="37"/>
  <c r="BA92" i="37"/>
  <c r="AT92" i="37"/>
  <c r="AR85" i="37"/>
  <c r="AT106" i="37"/>
  <c r="BA106" i="37"/>
  <c r="BA155" i="37"/>
  <c r="AT100" i="37"/>
  <c r="BA100" i="37"/>
  <c r="BA81" i="37"/>
  <c r="AT81" i="37"/>
  <c r="BA160" i="37"/>
  <c r="H120" i="37"/>
  <c r="BA95" i="37"/>
  <c r="AT95" i="37"/>
  <c r="BA86" i="37"/>
  <c r="AT86" i="37"/>
  <c r="BA77" i="37"/>
  <c r="AT77" i="37"/>
  <c r="BA66" i="37"/>
  <c r="AT66" i="37"/>
  <c r="AT98" i="37"/>
  <c r="BA98" i="37"/>
  <c r="H50" i="36"/>
  <c r="I144" i="36"/>
  <c r="AT126" i="36"/>
  <c r="BA126" i="36"/>
  <c r="AT65" i="36"/>
  <c r="BA65" i="36"/>
  <c r="AT123" i="36"/>
  <c r="BA123" i="36"/>
  <c r="BA129" i="36"/>
  <c r="BA21" i="36"/>
  <c r="AT136" i="36"/>
  <c r="BA136" i="36"/>
  <c r="AT158" i="36"/>
  <c r="BA158" i="36"/>
  <c r="AT115" i="36"/>
  <c r="BA115" i="36"/>
  <c r="AT79" i="36"/>
  <c r="BA79" i="36"/>
  <c r="AT57" i="36"/>
  <c r="BA57" i="36"/>
  <c r="AT41" i="36"/>
  <c r="BA41" i="36"/>
  <c r="AT160" i="36"/>
  <c r="BA160" i="36"/>
  <c r="AT146" i="36"/>
  <c r="BA146" i="36"/>
  <c r="BA48" i="36"/>
  <c r="AT48" i="36"/>
  <c r="AT153" i="36"/>
  <c r="BA153" i="36"/>
  <c r="BA150" i="36"/>
  <c r="AT150" i="36"/>
  <c r="AT107" i="36"/>
  <c r="BA107" i="36"/>
  <c r="AT99" i="36"/>
  <c r="BA99" i="36"/>
  <c r="AT27" i="36"/>
  <c r="BA27" i="36"/>
  <c r="AT19" i="36"/>
  <c r="BA19" i="36"/>
  <c r="BA35" i="36"/>
  <c r="BA13" i="36"/>
  <c r="AT168" i="35"/>
  <c r="BA168" i="35"/>
  <c r="AT200" i="35"/>
  <c r="AT166" i="35"/>
  <c r="AT205" i="35"/>
  <c r="AT201" i="35"/>
  <c r="BA201" i="35"/>
  <c r="AT162" i="35"/>
  <c r="AT139" i="35"/>
  <c r="BA139" i="35"/>
  <c r="AT120" i="35"/>
  <c r="BA120" i="35"/>
  <c r="H177" i="35"/>
  <c r="BA102" i="35"/>
  <c r="AT148" i="35"/>
  <c r="BA148" i="35"/>
  <c r="BA97" i="35"/>
  <c r="AT63" i="35"/>
  <c r="AT92" i="35"/>
  <c r="BA92" i="35"/>
  <c r="BA78" i="35"/>
  <c r="AT164" i="35"/>
  <c r="BA164" i="35"/>
  <c r="BA199" i="35"/>
  <c r="AT199" i="35"/>
  <c r="BA184" i="35"/>
  <c r="AT184" i="35"/>
  <c r="BA194" i="35"/>
  <c r="AT209" i="35"/>
  <c r="BA209" i="35"/>
  <c r="AT207" i="35"/>
  <c r="BA207" i="35"/>
  <c r="AT126" i="35"/>
  <c r="BA126" i="35"/>
  <c r="AT87" i="35"/>
  <c r="BA87" i="35"/>
  <c r="AT67" i="35"/>
  <c r="BA67" i="35"/>
  <c r="AT180" i="35"/>
  <c r="BA180" i="35"/>
  <c r="BA89" i="35"/>
  <c r="AT89" i="35"/>
  <c r="BA69" i="35"/>
  <c r="AT69" i="35"/>
  <c r="AT132" i="35"/>
  <c r="BA132" i="35"/>
  <c r="AT59" i="35"/>
  <c r="BA59" i="35"/>
  <c r="AT73" i="35"/>
  <c r="BA73" i="35"/>
  <c r="BA44" i="35"/>
  <c r="AT44" i="35"/>
  <c r="BA36" i="35"/>
  <c r="AT36" i="35"/>
  <c r="BA22" i="35"/>
  <c r="AT22" i="35"/>
  <c r="AT94" i="35"/>
  <c r="AT182" i="35"/>
  <c r="BA182" i="35"/>
  <c r="AT173" i="35"/>
  <c r="BA173" i="35"/>
  <c r="BA178" i="35"/>
  <c r="AT188" i="35"/>
  <c r="BA188" i="35"/>
  <c r="AT141" i="35"/>
  <c r="BA141" i="35"/>
  <c r="AT107" i="35"/>
  <c r="BA107" i="35"/>
  <c r="AT81" i="35"/>
  <c r="BA81" i="35"/>
  <c r="AT196" i="35"/>
  <c r="BA196" i="35"/>
  <c r="BA84" i="35"/>
  <c r="BA71" i="35"/>
  <c r="AT65" i="35"/>
  <c r="BA65" i="35"/>
  <c r="BA28" i="35"/>
  <c r="AT28" i="35"/>
  <c r="AT105" i="35"/>
  <c r="BA105" i="35"/>
  <c r="AT175" i="35"/>
  <c r="BA175" i="35"/>
  <c r="BA203" i="35"/>
  <c r="AT203" i="35"/>
  <c r="BA192" i="35"/>
  <c r="AT192" i="35"/>
  <c r="I177" i="35"/>
  <c r="AT75" i="35"/>
  <c r="BA75" i="35"/>
  <c r="AT154" i="35"/>
  <c r="BA154" i="35"/>
  <c r="BA61" i="35"/>
  <c r="AT61" i="35"/>
  <c r="BA109" i="35"/>
  <c r="AT99" i="35"/>
  <c r="BA99" i="35"/>
  <c r="AT80" i="35"/>
  <c r="BA80" i="35"/>
  <c r="BA54" i="35"/>
  <c r="AT139" i="34"/>
  <c r="BA139" i="34"/>
  <c r="AT99" i="34"/>
  <c r="BA99" i="34"/>
  <c r="BA101" i="34"/>
  <c r="AT101" i="34"/>
  <c r="AT66" i="34"/>
  <c r="BA66" i="34"/>
  <c r="AT24" i="34"/>
  <c r="BA130" i="34"/>
  <c r="AT130" i="34"/>
  <c r="BA94" i="34"/>
  <c r="AT94" i="34"/>
  <c r="BA120" i="34"/>
  <c r="AT112" i="34"/>
  <c r="BA112" i="34"/>
  <c r="AT137" i="34"/>
  <c r="BA137" i="34"/>
  <c r="I44" i="34"/>
  <c r="BA103" i="34"/>
  <c r="AT97" i="34"/>
  <c r="BA97" i="34"/>
  <c r="BA15" i="34"/>
  <c r="AT15" i="34"/>
  <c r="AT129" i="34"/>
  <c r="BA129" i="34"/>
  <c r="AT131" i="34"/>
  <c r="AT57" i="34"/>
  <c r="BA57" i="34"/>
  <c r="AT134" i="34"/>
  <c r="BA134" i="34"/>
  <c r="AT123" i="34"/>
  <c r="BA123" i="34"/>
  <c r="AT107" i="34"/>
  <c r="BA107" i="34"/>
  <c r="BA109" i="34"/>
  <c r="AT109" i="34"/>
  <c r="BA136" i="34"/>
  <c r="AT128" i="34"/>
  <c r="BA128" i="34"/>
  <c r="AT59" i="34"/>
  <c r="BA59" i="34"/>
  <c r="AT83" i="34"/>
  <c r="BA83" i="34"/>
  <c r="BA17" i="34"/>
  <c r="BA29" i="34"/>
  <c r="AT29" i="34"/>
  <c r="BA22" i="34"/>
  <c r="AT22" i="34"/>
  <c r="AT113" i="34"/>
  <c r="BA113" i="34"/>
  <c r="AT89" i="34"/>
  <c r="BA89" i="34"/>
  <c r="AT105" i="34"/>
  <c r="BA105" i="34"/>
  <c r="AT132" i="34"/>
  <c r="BA132" i="34"/>
  <c r="AT117" i="34"/>
  <c r="BA117" i="34"/>
  <c r="BA135" i="34"/>
  <c r="AT135" i="34"/>
  <c r="BA125" i="34"/>
  <c r="AT125" i="34"/>
  <c r="I122" i="34"/>
  <c r="AT77" i="34"/>
  <c r="BA77" i="34"/>
  <c r="AT72" i="34"/>
  <c r="BA72" i="34"/>
  <c r="I26" i="34"/>
  <c r="AT51" i="34"/>
  <c r="BA51" i="34"/>
  <c r="BA154" i="33"/>
  <c r="AT154" i="33"/>
  <c r="AT128" i="33"/>
  <c r="BA128" i="33"/>
  <c r="BA200" i="33"/>
  <c r="AT200" i="33"/>
  <c r="BA109" i="33"/>
  <c r="AT191" i="33"/>
  <c r="BA191" i="33"/>
  <c r="AT79" i="33"/>
  <c r="BA82" i="33"/>
  <c r="AT82" i="33"/>
  <c r="BA97" i="33"/>
  <c r="AT97" i="33"/>
  <c r="BA38" i="33"/>
  <c r="BA185" i="33"/>
  <c r="AT185" i="33"/>
  <c r="BA105" i="33"/>
  <c r="AT105" i="33"/>
  <c r="AT73" i="33"/>
  <c r="BA73" i="33"/>
  <c r="AT103" i="33"/>
  <c r="BA103" i="33"/>
  <c r="BA84" i="33"/>
  <c r="AT84" i="33"/>
  <c r="BA158" i="33"/>
  <c r="AT158" i="33"/>
  <c r="AT161" i="33"/>
  <c r="BA161" i="33"/>
  <c r="AT111" i="33"/>
  <c r="BA111" i="33"/>
  <c r="BA64" i="33"/>
  <c r="AT64" i="33"/>
  <c r="AT44" i="33"/>
  <c r="BA44" i="33"/>
  <c r="BA181" i="33"/>
  <c r="AT181" i="33"/>
  <c r="BA99" i="33"/>
  <c r="H94" i="33"/>
  <c r="BA189" i="33"/>
  <c r="AT189" i="33"/>
  <c r="BA179" i="33"/>
  <c r="AT179" i="33"/>
  <c r="AT165" i="33"/>
  <c r="BA165" i="33"/>
  <c r="BA113" i="33"/>
  <c r="AT113" i="33"/>
  <c r="AT95" i="33"/>
  <c r="BA95" i="33"/>
  <c r="AT183" i="33"/>
  <c r="BA183" i="33"/>
  <c r="H159" i="33"/>
  <c r="BA74" i="33"/>
  <c r="BA60" i="33"/>
  <c r="AT163" i="33"/>
  <c r="BA160" i="33"/>
  <c r="AT160" i="33"/>
  <c r="AT186" i="33"/>
  <c r="BA186" i="33"/>
  <c r="AT167" i="33"/>
  <c r="BA126" i="33"/>
  <c r="AT126" i="33"/>
  <c r="BA56" i="33"/>
  <c r="AT56" i="33"/>
  <c r="H33" i="33"/>
  <c r="BA123" i="33"/>
  <c r="BA101" i="33"/>
  <c r="AT36" i="33"/>
  <c r="BA36" i="33"/>
  <c r="BA180" i="33"/>
  <c r="AT180" i="33"/>
  <c r="BA87" i="33"/>
  <c r="AT87" i="33"/>
  <c r="AT187" i="33"/>
  <c r="BA187" i="33"/>
  <c r="AT156" i="33"/>
  <c r="BA156" i="33"/>
  <c r="I94" i="33"/>
  <c r="BA31" i="33"/>
  <c r="BU302" i="31" l="1"/>
  <c r="BH302" i="31"/>
  <c r="BG302" i="31"/>
  <c r="BB302" i="31"/>
  <c r="AN302" i="31"/>
  <c r="AM302" i="31"/>
  <c r="BF302" i="31" s="1"/>
  <c r="AI302" i="31"/>
  <c r="AH302" i="31"/>
  <c r="AF302" i="31"/>
  <c r="AE302" i="31"/>
  <c r="AD302" i="31"/>
  <c r="AC302" i="31"/>
  <c r="AB302" i="31"/>
  <c r="AA302" i="31"/>
  <c r="Z302" i="31"/>
  <c r="X302" i="31"/>
  <c r="L302" i="31"/>
  <c r="BD302" i="31" s="1"/>
  <c r="J302" i="31"/>
  <c r="AJ302" i="31" s="1"/>
  <c r="H302" i="31"/>
  <c r="BU300" i="31"/>
  <c r="BH300" i="31"/>
  <c r="BB300" i="31"/>
  <c r="AN300" i="31"/>
  <c r="AM300" i="31"/>
  <c r="AI300" i="31"/>
  <c r="AH300" i="31"/>
  <c r="AF300" i="31"/>
  <c r="AE300" i="31"/>
  <c r="AD300" i="31"/>
  <c r="AC300" i="31"/>
  <c r="AB300" i="31"/>
  <c r="AA300" i="31"/>
  <c r="Z300" i="31"/>
  <c r="X300" i="31"/>
  <c r="L300" i="31"/>
  <c r="BD300" i="31" s="1"/>
  <c r="J300" i="31"/>
  <c r="AJ300" i="31" s="1"/>
  <c r="BU298" i="31"/>
  <c r="BH298" i="31"/>
  <c r="BD298" i="31"/>
  <c r="BB298" i="31"/>
  <c r="AU298" i="31"/>
  <c r="AN298" i="31"/>
  <c r="AM298" i="31"/>
  <c r="BF298" i="31" s="1"/>
  <c r="AI298" i="31"/>
  <c r="AH298" i="31"/>
  <c r="AF298" i="31"/>
  <c r="AE298" i="31"/>
  <c r="AD298" i="31"/>
  <c r="AC298" i="31"/>
  <c r="AB298" i="31"/>
  <c r="AA298" i="31"/>
  <c r="Z298" i="31"/>
  <c r="X298" i="31"/>
  <c r="L298" i="31"/>
  <c r="J298" i="31"/>
  <c r="AJ298" i="31" s="1"/>
  <c r="H298" i="31"/>
  <c r="BU296" i="31"/>
  <c r="BH296" i="31"/>
  <c r="AF296" i="31" s="1"/>
  <c r="BB296" i="31"/>
  <c r="AN296" i="31"/>
  <c r="BG296" i="31" s="1"/>
  <c r="AM296" i="31"/>
  <c r="AI296" i="31"/>
  <c r="AH296" i="31"/>
  <c r="AE296" i="31"/>
  <c r="AD296" i="31"/>
  <c r="AC296" i="31"/>
  <c r="AB296" i="31"/>
  <c r="AA296" i="31"/>
  <c r="Z296" i="31"/>
  <c r="X296" i="31"/>
  <c r="L296" i="31"/>
  <c r="BD296" i="31" s="1"/>
  <c r="J296" i="31"/>
  <c r="AJ296" i="31" s="1"/>
  <c r="I296" i="31"/>
  <c r="BU294" i="31"/>
  <c r="BH294" i="31"/>
  <c r="AF294" i="31" s="1"/>
  <c r="BG294" i="31"/>
  <c r="BB294" i="31"/>
  <c r="AN294" i="31"/>
  <c r="AM294" i="31"/>
  <c r="BF294" i="31" s="1"/>
  <c r="AI294" i="31"/>
  <c r="AH294" i="31"/>
  <c r="AE294" i="31"/>
  <c r="AD294" i="31"/>
  <c r="AC294" i="31"/>
  <c r="AB294" i="31"/>
  <c r="AA294" i="31"/>
  <c r="Z294" i="31"/>
  <c r="X294" i="31"/>
  <c r="L294" i="31"/>
  <c r="BD294" i="31" s="1"/>
  <c r="J294" i="31"/>
  <c r="AJ294" i="31" s="1"/>
  <c r="H294" i="31"/>
  <c r="BU293" i="31"/>
  <c r="BH293" i="31"/>
  <c r="BB293" i="31"/>
  <c r="AV293" i="31"/>
  <c r="AN293" i="31"/>
  <c r="BG293" i="31" s="1"/>
  <c r="AM293" i="31"/>
  <c r="AI293" i="31"/>
  <c r="AH293" i="31"/>
  <c r="AF293" i="31"/>
  <c r="AE293" i="31"/>
  <c r="AD293" i="31"/>
  <c r="AC293" i="31"/>
  <c r="AB293" i="31"/>
  <c r="AA293" i="31"/>
  <c r="Z293" i="31"/>
  <c r="X293" i="31"/>
  <c r="L293" i="31"/>
  <c r="BD293" i="31" s="1"/>
  <c r="J293" i="31"/>
  <c r="AJ293" i="31" s="1"/>
  <c r="I293" i="31"/>
  <c r="BU292" i="31"/>
  <c r="BH292" i="31"/>
  <c r="BD292" i="31"/>
  <c r="BB292" i="31"/>
  <c r="AU292" i="31"/>
  <c r="AN292" i="31"/>
  <c r="BG292" i="31" s="1"/>
  <c r="AM292" i="31"/>
  <c r="BF292" i="31" s="1"/>
  <c r="AI292" i="31"/>
  <c r="AH292" i="31"/>
  <c r="AF292" i="31"/>
  <c r="AE292" i="31"/>
  <c r="AD292" i="31"/>
  <c r="AC292" i="31"/>
  <c r="AB292" i="31"/>
  <c r="AA292" i="31"/>
  <c r="Z292" i="31"/>
  <c r="X292" i="31"/>
  <c r="L292" i="31"/>
  <c r="J292" i="31"/>
  <c r="AJ292" i="31" s="1"/>
  <c r="I292" i="31"/>
  <c r="H292" i="31"/>
  <c r="BU291" i="31"/>
  <c r="BH291" i="31"/>
  <c r="AF291" i="31" s="1"/>
  <c r="BB291" i="31"/>
  <c r="AN291" i="31"/>
  <c r="AM291" i="31"/>
  <c r="BF291" i="31" s="1"/>
  <c r="AI291" i="31"/>
  <c r="AH291" i="31"/>
  <c r="AE291" i="31"/>
  <c r="AD291" i="31"/>
  <c r="AC291" i="31"/>
  <c r="AB291" i="31"/>
  <c r="AA291" i="31"/>
  <c r="Z291" i="31"/>
  <c r="X291" i="31"/>
  <c r="L291" i="31"/>
  <c r="BD291" i="31" s="1"/>
  <c r="J291" i="31"/>
  <c r="AJ291" i="31" s="1"/>
  <c r="H291" i="31"/>
  <c r="BU289" i="31"/>
  <c r="BH289" i="31"/>
  <c r="AF289" i="31" s="1"/>
  <c r="BB289" i="31"/>
  <c r="AN289" i="31"/>
  <c r="AM289" i="31"/>
  <c r="BF289" i="31" s="1"/>
  <c r="AI289" i="31"/>
  <c r="AH289" i="31"/>
  <c r="AE289" i="31"/>
  <c r="AD289" i="31"/>
  <c r="AC289" i="31"/>
  <c r="AB289" i="31"/>
  <c r="AA289" i="31"/>
  <c r="Z289" i="31"/>
  <c r="X289" i="31"/>
  <c r="L289" i="31"/>
  <c r="BD289" i="31" s="1"/>
  <c r="J289" i="31"/>
  <c r="AJ289" i="31" s="1"/>
  <c r="H289" i="31"/>
  <c r="BU288" i="31"/>
  <c r="BH288" i="31"/>
  <c r="BB288" i="31"/>
  <c r="AV288" i="31"/>
  <c r="AN288" i="31"/>
  <c r="BG288" i="31" s="1"/>
  <c r="AM288" i="31"/>
  <c r="AI288" i="31"/>
  <c r="AH288" i="31"/>
  <c r="AF288" i="31"/>
  <c r="AE288" i="31"/>
  <c r="AD288" i="31"/>
  <c r="AC288" i="31"/>
  <c r="AB288" i="31"/>
  <c r="AA288" i="31"/>
  <c r="Z288" i="31"/>
  <c r="X288" i="31"/>
  <c r="L288" i="31"/>
  <c r="BD288" i="31" s="1"/>
  <c r="J288" i="31"/>
  <c r="AJ288" i="31" s="1"/>
  <c r="I288" i="31"/>
  <c r="BU287" i="31"/>
  <c r="BH287" i="31"/>
  <c r="BD287" i="31"/>
  <c r="BB287" i="31"/>
  <c r="AU287" i="31"/>
  <c r="AN287" i="31"/>
  <c r="BG287" i="31" s="1"/>
  <c r="AM287" i="31"/>
  <c r="BF287" i="31" s="1"/>
  <c r="AI287" i="31"/>
  <c r="AH287" i="31"/>
  <c r="AF287" i="31"/>
  <c r="AE287" i="31"/>
  <c r="AD287" i="31"/>
  <c r="AC287" i="31"/>
  <c r="AB287" i="31"/>
  <c r="AA287" i="31"/>
  <c r="Z287" i="31"/>
  <c r="X287" i="31"/>
  <c r="L287" i="31"/>
  <c r="J287" i="31"/>
  <c r="AJ287" i="31" s="1"/>
  <c r="I287" i="31"/>
  <c r="H287" i="31"/>
  <c r="BU286" i="31"/>
  <c r="BH286" i="31"/>
  <c r="AF286" i="31" s="1"/>
  <c r="BB286" i="31"/>
  <c r="AN286" i="31"/>
  <c r="AM286" i="31"/>
  <c r="BF286" i="31" s="1"/>
  <c r="AI286" i="31"/>
  <c r="AH286" i="31"/>
  <c r="AE286" i="31"/>
  <c r="AD286" i="31"/>
  <c r="AC286" i="31"/>
  <c r="AB286" i="31"/>
  <c r="AA286" i="31"/>
  <c r="Z286" i="31"/>
  <c r="X286" i="31"/>
  <c r="L286" i="31"/>
  <c r="BD286" i="31" s="1"/>
  <c r="J286" i="31"/>
  <c r="AJ286" i="31" s="1"/>
  <c r="H286" i="31"/>
  <c r="BU285" i="31"/>
  <c r="BH285" i="31"/>
  <c r="AF285" i="31" s="1"/>
  <c r="BB285" i="31"/>
  <c r="AN285" i="31"/>
  <c r="AM285" i="31"/>
  <c r="AI285" i="31"/>
  <c r="AH285" i="31"/>
  <c r="AE285" i="31"/>
  <c r="AD285" i="31"/>
  <c r="AC285" i="31"/>
  <c r="AB285" i="31"/>
  <c r="AA285" i="31"/>
  <c r="Z285" i="31"/>
  <c r="X285" i="31"/>
  <c r="L285" i="31"/>
  <c r="BD285" i="31" s="1"/>
  <c r="J285" i="31"/>
  <c r="AJ285" i="31" s="1"/>
  <c r="BU284" i="31"/>
  <c r="BH284" i="31"/>
  <c r="AF284" i="31" s="1"/>
  <c r="BB284" i="31"/>
  <c r="AN284" i="31"/>
  <c r="BG284" i="31" s="1"/>
  <c r="AM284" i="31"/>
  <c r="AI284" i="31"/>
  <c r="AH284" i="31"/>
  <c r="AE284" i="31"/>
  <c r="AD284" i="31"/>
  <c r="AC284" i="31"/>
  <c r="AB284" i="31"/>
  <c r="AA284" i="31"/>
  <c r="Z284" i="31"/>
  <c r="X284" i="31"/>
  <c r="L284" i="31"/>
  <c r="BD284" i="31" s="1"/>
  <c r="J284" i="31"/>
  <c r="AJ284" i="31" s="1"/>
  <c r="I284" i="31"/>
  <c r="BU283" i="31"/>
  <c r="BH283" i="31"/>
  <c r="AF283" i="31" s="1"/>
  <c r="BD283" i="31"/>
  <c r="BB283" i="31"/>
  <c r="AN283" i="31"/>
  <c r="BG283" i="31" s="1"/>
  <c r="AM283" i="31"/>
  <c r="BF283" i="31" s="1"/>
  <c r="AJ283" i="31"/>
  <c r="AI283" i="31"/>
  <c r="AH283" i="31"/>
  <c r="AE283" i="31"/>
  <c r="AD283" i="31"/>
  <c r="AC283" i="31"/>
  <c r="AB283" i="31"/>
  <c r="AA283" i="31"/>
  <c r="Z283" i="31"/>
  <c r="X283" i="31"/>
  <c r="L283" i="31"/>
  <c r="J283" i="31"/>
  <c r="I283" i="31"/>
  <c r="BU282" i="31"/>
  <c r="BH282" i="31"/>
  <c r="AF282" i="31" s="1"/>
  <c r="BB282" i="31"/>
  <c r="AN282" i="31"/>
  <c r="BG282" i="31" s="1"/>
  <c r="AM282" i="31"/>
  <c r="BF282" i="31" s="1"/>
  <c r="AI282" i="31"/>
  <c r="AH282" i="31"/>
  <c r="AE282" i="31"/>
  <c r="AD282" i="31"/>
  <c r="AC282" i="31"/>
  <c r="AB282" i="31"/>
  <c r="AA282" i="31"/>
  <c r="Z282" i="31"/>
  <c r="X282" i="31"/>
  <c r="L282" i="31"/>
  <c r="BD282" i="31" s="1"/>
  <c r="J282" i="31"/>
  <c r="AJ282" i="31" s="1"/>
  <c r="I282" i="31"/>
  <c r="H282" i="31"/>
  <c r="BU281" i="31"/>
  <c r="BH281" i="31"/>
  <c r="BB281" i="31"/>
  <c r="AN281" i="31"/>
  <c r="BG281" i="31" s="1"/>
  <c r="AM281" i="31"/>
  <c r="BF281" i="31" s="1"/>
  <c r="AI281" i="31"/>
  <c r="AH281" i="31"/>
  <c r="AF281" i="31"/>
  <c r="AE281" i="31"/>
  <c r="AD281" i="31"/>
  <c r="AC281" i="31"/>
  <c r="AB281" i="31"/>
  <c r="AA281" i="31"/>
  <c r="Z281" i="31"/>
  <c r="X281" i="31"/>
  <c r="L281" i="31"/>
  <c r="BD281" i="31" s="1"/>
  <c r="J281" i="31"/>
  <c r="AJ281" i="31" s="1"/>
  <c r="H281" i="31"/>
  <c r="BU280" i="31"/>
  <c r="BH280" i="31"/>
  <c r="AF280" i="31" s="1"/>
  <c r="BB280" i="31"/>
  <c r="AN280" i="31"/>
  <c r="BG280" i="31" s="1"/>
  <c r="AM280" i="31"/>
  <c r="AI280" i="31"/>
  <c r="AH280" i="31"/>
  <c r="AE280" i="31"/>
  <c r="AD280" i="31"/>
  <c r="AC280" i="31"/>
  <c r="AB280" i="31"/>
  <c r="AA280" i="31"/>
  <c r="Z280" i="31"/>
  <c r="X280" i="31"/>
  <c r="L280" i="31"/>
  <c r="BD280" i="31" s="1"/>
  <c r="J280" i="31"/>
  <c r="AJ280" i="31" s="1"/>
  <c r="BU279" i="31"/>
  <c r="BH279" i="31"/>
  <c r="AF279" i="31" s="1"/>
  <c r="BD279" i="31"/>
  <c r="BB279" i="31"/>
  <c r="AN279" i="31"/>
  <c r="BG279" i="31" s="1"/>
  <c r="AM279" i="31"/>
  <c r="AI279" i="31"/>
  <c r="AH279" i="31"/>
  <c r="AE279" i="31"/>
  <c r="AD279" i="31"/>
  <c r="AC279" i="31"/>
  <c r="AB279" i="31"/>
  <c r="AA279" i="31"/>
  <c r="Z279" i="31"/>
  <c r="X279" i="31"/>
  <c r="L279" i="31"/>
  <c r="J279" i="31"/>
  <c r="AJ279" i="31" s="1"/>
  <c r="BU278" i="31"/>
  <c r="BH278" i="31"/>
  <c r="AF278" i="31" s="1"/>
  <c r="BB278" i="31"/>
  <c r="AN278" i="31"/>
  <c r="BG278" i="31" s="1"/>
  <c r="AM278" i="31"/>
  <c r="BF278" i="31" s="1"/>
  <c r="AI278" i="31"/>
  <c r="AH278" i="31"/>
  <c r="AE278" i="31"/>
  <c r="AD278" i="31"/>
  <c r="AC278" i="31"/>
  <c r="AB278" i="31"/>
  <c r="AA278" i="31"/>
  <c r="Z278" i="31"/>
  <c r="X278" i="31"/>
  <c r="L278" i="31"/>
  <c r="BD278" i="31" s="1"/>
  <c r="J278" i="31"/>
  <c r="AJ278" i="31" s="1"/>
  <c r="I278" i="31"/>
  <c r="H278" i="31"/>
  <c r="BU277" i="31"/>
  <c r="BH277" i="31"/>
  <c r="BG277" i="31"/>
  <c r="BB277" i="31"/>
  <c r="AN277" i="31"/>
  <c r="AM277" i="31"/>
  <c r="BF277" i="31" s="1"/>
  <c r="AI277" i="31"/>
  <c r="AH277" i="31"/>
  <c r="AF277" i="31"/>
  <c r="AE277" i="31"/>
  <c r="AD277" i="31"/>
  <c r="AC277" i="31"/>
  <c r="AB277" i="31"/>
  <c r="AA277" i="31"/>
  <c r="Z277" i="31"/>
  <c r="X277" i="31"/>
  <c r="L277" i="31"/>
  <c r="BD277" i="31" s="1"/>
  <c r="J277" i="31"/>
  <c r="AJ277" i="31" s="1"/>
  <c r="H277" i="31"/>
  <c r="BU276" i="31"/>
  <c r="BH276" i="31"/>
  <c r="BB276" i="31"/>
  <c r="AN276" i="31"/>
  <c r="AM276" i="31"/>
  <c r="AI276" i="31"/>
  <c r="AH276" i="31"/>
  <c r="AF276" i="31"/>
  <c r="AE276" i="31"/>
  <c r="AD276" i="31"/>
  <c r="AC276" i="31"/>
  <c r="AB276" i="31"/>
  <c r="AA276" i="31"/>
  <c r="Z276" i="31"/>
  <c r="X276" i="31"/>
  <c r="L276" i="31"/>
  <c r="BD276" i="31" s="1"/>
  <c r="J276" i="31"/>
  <c r="AJ276" i="31" s="1"/>
  <c r="BU275" i="31"/>
  <c r="BH275" i="31"/>
  <c r="AF275" i="31" s="1"/>
  <c r="BD275" i="31"/>
  <c r="BB275" i="31"/>
  <c r="AU275" i="31"/>
  <c r="AN275" i="31"/>
  <c r="AM275" i="31"/>
  <c r="BF275" i="31" s="1"/>
  <c r="AI275" i="31"/>
  <c r="AH275" i="31"/>
  <c r="AE275" i="31"/>
  <c r="AD275" i="31"/>
  <c r="AC275" i="31"/>
  <c r="AB275" i="31"/>
  <c r="AA275" i="31"/>
  <c r="Z275" i="31"/>
  <c r="X275" i="31"/>
  <c r="L275" i="31"/>
  <c r="J275" i="31"/>
  <c r="AJ275" i="31" s="1"/>
  <c r="H275" i="31"/>
  <c r="BU274" i="31"/>
  <c r="BH274" i="31"/>
  <c r="AF274" i="31" s="1"/>
  <c r="BB274" i="31"/>
  <c r="AN274" i="31"/>
  <c r="BG274" i="31" s="1"/>
  <c r="AM274" i="31"/>
  <c r="AI274" i="31"/>
  <c r="AH274" i="31"/>
  <c r="AE274" i="31"/>
  <c r="AD274" i="31"/>
  <c r="AC274" i="31"/>
  <c r="AB274" i="31"/>
  <c r="AA274" i="31"/>
  <c r="Z274" i="31"/>
  <c r="X274" i="31"/>
  <c r="L274" i="31"/>
  <c r="BD274" i="31" s="1"/>
  <c r="J274" i="31"/>
  <c r="AJ274" i="31" s="1"/>
  <c r="I274" i="31"/>
  <c r="BU273" i="31"/>
  <c r="BH273" i="31"/>
  <c r="AF273" i="31" s="1"/>
  <c r="BG273" i="31"/>
  <c r="BB273" i="31"/>
  <c r="AN273" i="31"/>
  <c r="AM273" i="31"/>
  <c r="BF273" i="31" s="1"/>
  <c r="AI273" i="31"/>
  <c r="AH273" i="31"/>
  <c r="AE273" i="31"/>
  <c r="AD273" i="31"/>
  <c r="AC273" i="31"/>
  <c r="AB273" i="31"/>
  <c r="AA273" i="31"/>
  <c r="Z273" i="31"/>
  <c r="X273" i="31"/>
  <c r="L273" i="31"/>
  <c r="BD273" i="31" s="1"/>
  <c r="J273" i="31"/>
  <c r="AJ273" i="31" s="1"/>
  <c r="H273" i="31"/>
  <c r="BU272" i="31"/>
  <c r="BH272" i="31"/>
  <c r="BB272" i="31"/>
  <c r="AV272" i="31"/>
  <c r="AN272" i="31"/>
  <c r="BG272" i="31" s="1"/>
  <c r="AM272" i="31"/>
  <c r="AI272" i="31"/>
  <c r="AH272" i="31"/>
  <c r="AF272" i="31"/>
  <c r="AE272" i="31"/>
  <c r="AD272" i="31"/>
  <c r="AC272" i="31"/>
  <c r="AB272" i="31"/>
  <c r="AA272" i="31"/>
  <c r="Z272" i="31"/>
  <c r="X272" i="31"/>
  <c r="L272" i="31"/>
  <c r="BD272" i="31" s="1"/>
  <c r="J272" i="31"/>
  <c r="AJ272" i="31" s="1"/>
  <c r="I272" i="31"/>
  <c r="BU271" i="31"/>
  <c r="BH271" i="31"/>
  <c r="AF271" i="31" s="1"/>
  <c r="BD271" i="31"/>
  <c r="BB271" i="31"/>
  <c r="AU271" i="31"/>
  <c r="AN271" i="31"/>
  <c r="BG271" i="31" s="1"/>
  <c r="AM271" i="31"/>
  <c r="BF271" i="31" s="1"/>
  <c r="AJ271" i="31"/>
  <c r="AI271" i="31"/>
  <c r="AH271" i="31"/>
  <c r="AE271" i="31"/>
  <c r="AD271" i="31"/>
  <c r="AC271" i="31"/>
  <c r="AB271" i="31"/>
  <c r="AA271" i="31"/>
  <c r="Z271" i="31"/>
  <c r="X271" i="31"/>
  <c r="L271" i="31"/>
  <c r="J271" i="31"/>
  <c r="I271" i="31"/>
  <c r="H271" i="31"/>
  <c r="BU270" i="31"/>
  <c r="BH270" i="31"/>
  <c r="AF270" i="31" s="1"/>
  <c r="BB270" i="31"/>
  <c r="AN270" i="31"/>
  <c r="I270" i="31" s="1"/>
  <c r="AM270" i="31"/>
  <c r="BF270" i="31" s="1"/>
  <c r="AI270" i="31"/>
  <c r="AH270" i="31"/>
  <c r="AE270" i="31"/>
  <c r="AD270" i="31"/>
  <c r="AC270" i="31"/>
  <c r="AB270" i="31"/>
  <c r="AA270" i="31"/>
  <c r="Z270" i="31"/>
  <c r="X270" i="31"/>
  <c r="L270" i="31"/>
  <c r="BD270" i="31" s="1"/>
  <c r="J270" i="31"/>
  <c r="AJ270" i="31" s="1"/>
  <c r="BU269" i="31"/>
  <c r="BH269" i="31"/>
  <c r="AF269" i="31" s="1"/>
  <c r="BB269" i="31"/>
  <c r="AN269" i="31"/>
  <c r="I269" i="31" s="1"/>
  <c r="AM269" i="31"/>
  <c r="AI269" i="31"/>
  <c r="AH269" i="31"/>
  <c r="AE269" i="31"/>
  <c r="AD269" i="31"/>
  <c r="AC269" i="31"/>
  <c r="AB269" i="31"/>
  <c r="AA269" i="31"/>
  <c r="Z269" i="31"/>
  <c r="X269" i="31"/>
  <c r="L269" i="31"/>
  <c r="BD269" i="31" s="1"/>
  <c r="J269" i="31"/>
  <c r="AJ269" i="31" s="1"/>
  <c r="BU268" i="31"/>
  <c r="BH268" i="31"/>
  <c r="AF268" i="31" s="1"/>
  <c r="BB268" i="31"/>
  <c r="AV268" i="31"/>
  <c r="AN268" i="31"/>
  <c r="BG268" i="31" s="1"/>
  <c r="AM268" i="31"/>
  <c r="AI268" i="31"/>
  <c r="AH268" i="31"/>
  <c r="AE268" i="31"/>
  <c r="AD268" i="31"/>
  <c r="AC268" i="31"/>
  <c r="AB268" i="31"/>
  <c r="AA268" i="31"/>
  <c r="Z268" i="31"/>
  <c r="X268" i="31"/>
  <c r="L268" i="31"/>
  <c r="BD268" i="31" s="1"/>
  <c r="J268" i="31"/>
  <c r="AJ268" i="31" s="1"/>
  <c r="BU267" i="31"/>
  <c r="BH267" i="31"/>
  <c r="AF267" i="31" s="1"/>
  <c r="BD267" i="31"/>
  <c r="BB267" i="31"/>
  <c r="AU267" i="31"/>
  <c r="BA267" i="31" s="1"/>
  <c r="AN267" i="31"/>
  <c r="AV267" i="31" s="1"/>
  <c r="AM267" i="31"/>
  <c r="BF267" i="31" s="1"/>
  <c r="AI267" i="31"/>
  <c r="AH267" i="31"/>
  <c r="AE267" i="31"/>
  <c r="AD267" i="31"/>
  <c r="AC267" i="31"/>
  <c r="AB267" i="31"/>
  <c r="AA267" i="31"/>
  <c r="Z267" i="31"/>
  <c r="X267" i="31"/>
  <c r="L267" i="31"/>
  <c r="J267" i="31"/>
  <c r="AJ267" i="31" s="1"/>
  <c r="H267" i="31"/>
  <c r="BU266" i="31"/>
  <c r="BH266" i="31"/>
  <c r="AF266" i="31" s="1"/>
  <c r="BB266" i="31"/>
  <c r="AN266" i="31"/>
  <c r="BG266" i="31" s="1"/>
  <c r="AM266" i="31"/>
  <c r="AI266" i="31"/>
  <c r="AH266" i="31"/>
  <c r="AE266" i="31"/>
  <c r="AD266" i="31"/>
  <c r="AC266" i="31"/>
  <c r="AB266" i="31"/>
  <c r="AA266" i="31"/>
  <c r="Z266" i="31"/>
  <c r="X266" i="31"/>
  <c r="L266" i="31"/>
  <c r="BD266" i="31" s="1"/>
  <c r="J266" i="31"/>
  <c r="AJ266" i="31" s="1"/>
  <c r="BU264" i="31"/>
  <c r="BH264" i="31"/>
  <c r="AF264" i="31" s="1"/>
  <c r="BB264" i="31"/>
  <c r="AN264" i="31"/>
  <c r="BG264" i="31" s="1"/>
  <c r="AM264" i="31"/>
  <c r="H264" i="31" s="1"/>
  <c r="AI264" i="31"/>
  <c r="AH264" i="31"/>
  <c r="AE264" i="31"/>
  <c r="AD264" i="31"/>
  <c r="AC264" i="31"/>
  <c r="AB264" i="31"/>
  <c r="AA264" i="31"/>
  <c r="Z264" i="31"/>
  <c r="X264" i="31"/>
  <c r="L264" i="31"/>
  <c r="BD264" i="31" s="1"/>
  <c r="J264" i="31"/>
  <c r="AJ264" i="31" s="1"/>
  <c r="I264" i="31"/>
  <c r="BU262" i="31"/>
  <c r="BH262" i="31"/>
  <c r="AF262" i="31" s="1"/>
  <c r="BD262" i="31"/>
  <c r="BB262" i="31"/>
  <c r="AU262" i="31"/>
  <c r="AN262" i="31"/>
  <c r="AM262" i="31"/>
  <c r="BF262" i="31" s="1"/>
  <c r="AI262" i="31"/>
  <c r="AH262" i="31"/>
  <c r="AE262" i="31"/>
  <c r="AD262" i="31"/>
  <c r="AC262" i="31"/>
  <c r="AB262" i="31"/>
  <c r="AA262" i="31"/>
  <c r="Z262" i="31"/>
  <c r="X262" i="31"/>
  <c r="L262" i="31"/>
  <c r="J262" i="31"/>
  <c r="AJ262" i="31" s="1"/>
  <c r="H262" i="31"/>
  <c r="BU260" i="31"/>
  <c r="BH260" i="31"/>
  <c r="BB260" i="31"/>
  <c r="AN260" i="31"/>
  <c r="AM260" i="31"/>
  <c r="AI260" i="31"/>
  <c r="AH260" i="31"/>
  <c r="AF260" i="31"/>
  <c r="AE260" i="31"/>
  <c r="AD260" i="31"/>
  <c r="AC260" i="31"/>
  <c r="AB260" i="31"/>
  <c r="AA260" i="31"/>
  <c r="Z260" i="31"/>
  <c r="X260" i="31"/>
  <c r="L260" i="31"/>
  <c r="BD260" i="31" s="1"/>
  <c r="J260" i="31"/>
  <c r="AJ260" i="31" s="1"/>
  <c r="BU258" i="31"/>
  <c r="BH258" i="31"/>
  <c r="AF258" i="31" s="1"/>
  <c r="BD258" i="31"/>
  <c r="BB258" i="31"/>
  <c r="AN258" i="31"/>
  <c r="I258" i="31" s="1"/>
  <c r="AM258" i="31"/>
  <c r="BF258" i="31" s="1"/>
  <c r="AI258" i="31"/>
  <c r="AH258" i="31"/>
  <c r="AE258" i="31"/>
  <c r="AD258" i="31"/>
  <c r="AC258" i="31"/>
  <c r="AB258" i="31"/>
  <c r="AA258" i="31"/>
  <c r="Z258" i="31"/>
  <c r="X258" i="31"/>
  <c r="L258" i="31"/>
  <c r="J258" i="31"/>
  <c r="AJ258" i="31" s="1"/>
  <c r="BU256" i="31"/>
  <c r="BH256" i="31"/>
  <c r="AF256" i="31" s="1"/>
  <c r="BB256" i="31"/>
  <c r="AN256" i="31"/>
  <c r="BG256" i="31" s="1"/>
  <c r="AM256" i="31"/>
  <c r="H256" i="31" s="1"/>
  <c r="AI256" i="31"/>
  <c r="AH256" i="31"/>
  <c r="AE256" i="31"/>
  <c r="AD256" i="31"/>
  <c r="AC256" i="31"/>
  <c r="AB256" i="31"/>
  <c r="AA256" i="31"/>
  <c r="Z256" i="31"/>
  <c r="X256" i="31"/>
  <c r="L256" i="31"/>
  <c r="BD256" i="31" s="1"/>
  <c r="J256" i="31"/>
  <c r="AJ256" i="31" s="1"/>
  <c r="I256" i="31"/>
  <c r="BU254" i="31"/>
  <c r="BH254" i="31"/>
  <c r="AF254" i="31" s="1"/>
  <c r="BD254" i="31"/>
  <c r="BB254" i="31"/>
  <c r="AN254" i="31"/>
  <c r="BG254" i="31" s="1"/>
  <c r="AM254" i="31"/>
  <c r="AI254" i="31"/>
  <c r="AH254" i="31"/>
  <c r="AE254" i="31"/>
  <c r="AD254" i="31"/>
  <c r="AC254" i="31"/>
  <c r="AB254" i="31"/>
  <c r="AA254" i="31"/>
  <c r="Z254" i="31"/>
  <c r="X254" i="31"/>
  <c r="L254" i="31"/>
  <c r="J254" i="31"/>
  <c r="AJ254" i="31" s="1"/>
  <c r="H254" i="31"/>
  <c r="BU252" i="31"/>
  <c r="BH252" i="31"/>
  <c r="BB252" i="31"/>
  <c r="AV252" i="31"/>
  <c r="AN252" i="31"/>
  <c r="BG252" i="31" s="1"/>
  <c r="AM252" i="31"/>
  <c r="AI252" i="31"/>
  <c r="AH252" i="31"/>
  <c r="AF252" i="31"/>
  <c r="AE252" i="31"/>
  <c r="AD252" i="31"/>
  <c r="AC252" i="31"/>
  <c r="AB252" i="31"/>
  <c r="AA252" i="31"/>
  <c r="Z252" i="31"/>
  <c r="X252" i="31"/>
  <c r="L252" i="31"/>
  <c r="BD252" i="31" s="1"/>
  <c r="J252" i="31"/>
  <c r="AJ252" i="31" s="1"/>
  <c r="BU250" i="31"/>
  <c r="BH250" i="31"/>
  <c r="BD250" i="31"/>
  <c r="BB250" i="31"/>
  <c r="AU250" i="31"/>
  <c r="AN250" i="31"/>
  <c r="I250" i="31" s="1"/>
  <c r="AM250" i="31"/>
  <c r="BF250" i="31" s="1"/>
  <c r="AI250" i="31"/>
  <c r="AH250" i="31"/>
  <c r="AF250" i="31"/>
  <c r="AE250" i="31"/>
  <c r="AD250" i="31"/>
  <c r="AC250" i="31"/>
  <c r="AB250" i="31"/>
  <c r="AA250" i="31"/>
  <c r="Z250" i="31"/>
  <c r="X250" i="31"/>
  <c r="L250" i="31"/>
  <c r="J250" i="31"/>
  <c r="AJ250" i="31" s="1"/>
  <c r="H250" i="31"/>
  <c r="BU248" i="31"/>
  <c r="BH248" i="31"/>
  <c r="AF248" i="31" s="1"/>
  <c r="BB248" i="31"/>
  <c r="AN248" i="31"/>
  <c r="AM248" i="31"/>
  <c r="H248" i="31" s="1"/>
  <c r="AI248" i="31"/>
  <c r="AH248" i="31"/>
  <c r="AE248" i="31"/>
  <c r="AD248" i="31"/>
  <c r="AC248" i="31"/>
  <c r="AB248" i="31"/>
  <c r="AA248" i="31"/>
  <c r="Z248" i="31"/>
  <c r="X248" i="31"/>
  <c r="L248" i="31"/>
  <c r="BD248" i="31" s="1"/>
  <c r="J248" i="31"/>
  <c r="AJ248" i="31" s="1"/>
  <c r="BU246" i="31"/>
  <c r="BH246" i="31"/>
  <c r="AF246" i="31" s="1"/>
  <c r="BD246" i="31"/>
  <c r="BB246" i="31"/>
  <c r="AN246" i="31"/>
  <c r="AM246" i="31"/>
  <c r="AI246" i="31"/>
  <c r="AH246" i="31"/>
  <c r="AE246" i="31"/>
  <c r="AD246" i="31"/>
  <c r="AC246" i="31"/>
  <c r="AB246" i="31"/>
  <c r="AA246" i="31"/>
  <c r="Z246" i="31"/>
  <c r="X246" i="31"/>
  <c r="L246" i="31"/>
  <c r="J246" i="31"/>
  <c r="AJ246" i="31" s="1"/>
  <c r="H246" i="31"/>
  <c r="BU244" i="31"/>
  <c r="BH244" i="31"/>
  <c r="BB244" i="31"/>
  <c r="AV244" i="31"/>
  <c r="AN244" i="31"/>
  <c r="BG244" i="31" s="1"/>
  <c r="AM244" i="31"/>
  <c r="AI244" i="31"/>
  <c r="AH244" i="31"/>
  <c r="AF244" i="31"/>
  <c r="AE244" i="31"/>
  <c r="AD244" i="31"/>
  <c r="AC244" i="31"/>
  <c r="AB244" i="31"/>
  <c r="AA244" i="31"/>
  <c r="Z244" i="31"/>
  <c r="X244" i="31"/>
  <c r="L244" i="31"/>
  <c r="J244" i="31"/>
  <c r="AJ244" i="31" s="1"/>
  <c r="BU242" i="31"/>
  <c r="BH242" i="31"/>
  <c r="BD242" i="31"/>
  <c r="BB242" i="31"/>
  <c r="AU242" i="31"/>
  <c r="AN242" i="31"/>
  <c r="I242" i="31" s="1"/>
  <c r="AM242" i="31"/>
  <c r="BF242" i="31" s="1"/>
  <c r="AI242" i="31"/>
  <c r="AH242" i="31"/>
  <c r="AF242" i="31"/>
  <c r="AE242" i="31"/>
  <c r="AD242" i="31"/>
  <c r="AC242" i="31"/>
  <c r="AB242" i="31"/>
  <c r="AA242" i="31"/>
  <c r="Z242" i="31"/>
  <c r="X242" i="31"/>
  <c r="L242" i="31"/>
  <c r="J242" i="31"/>
  <c r="H242" i="31"/>
  <c r="BU239" i="31"/>
  <c r="BH239" i="31"/>
  <c r="BD239" i="31"/>
  <c r="BB239" i="31"/>
  <c r="AU239" i="31"/>
  <c r="AN239" i="31"/>
  <c r="AM239" i="31"/>
  <c r="BF239" i="31" s="1"/>
  <c r="AD239" i="31" s="1"/>
  <c r="AI239" i="31"/>
  <c r="AH239" i="31"/>
  <c r="AF239" i="31"/>
  <c r="AC239" i="31"/>
  <c r="AB239" i="31"/>
  <c r="AA239" i="31"/>
  <c r="Z239" i="31"/>
  <c r="X239" i="31"/>
  <c r="L239" i="31"/>
  <c r="J239" i="31"/>
  <c r="AJ239" i="31" s="1"/>
  <c r="H239" i="31"/>
  <c r="BU237" i="31"/>
  <c r="BH237" i="31"/>
  <c r="BB237" i="31"/>
  <c r="AV237" i="31"/>
  <c r="AN237" i="31"/>
  <c r="BG237" i="31" s="1"/>
  <c r="AE237" i="31" s="1"/>
  <c r="AM237" i="31"/>
  <c r="AI237" i="31"/>
  <c r="AH237" i="31"/>
  <c r="AF237" i="31"/>
  <c r="AC237" i="31"/>
  <c r="AB237" i="31"/>
  <c r="AA237" i="31"/>
  <c r="Z237" i="31"/>
  <c r="X237" i="31"/>
  <c r="L237" i="31"/>
  <c r="BD237" i="31" s="1"/>
  <c r="J237" i="31"/>
  <c r="AJ237" i="31" s="1"/>
  <c r="I237" i="31"/>
  <c r="BU235" i="31"/>
  <c r="BH235" i="31"/>
  <c r="BD235" i="31"/>
  <c r="BB235" i="31"/>
  <c r="AN235" i="31"/>
  <c r="I235" i="31" s="1"/>
  <c r="AM235" i="31"/>
  <c r="BF235" i="31" s="1"/>
  <c r="AD235" i="31" s="1"/>
  <c r="AI235" i="31"/>
  <c r="AH235" i="31"/>
  <c r="AF235" i="31"/>
  <c r="AC235" i="31"/>
  <c r="AB235" i="31"/>
  <c r="AA235" i="31"/>
  <c r="Z235" i="31"/>
  <c r="X235" i="31"/>
  <c r="L235" i="31"/>
  <c r="J235" i="31"/>
  <c r="AJ235" i="31" s="1"/>
  <c r="H235" i="31"/>
  <c r="BU233" i="31"/>
  <c r="BH233" i="31"/>
  <c r="BB233" i="31"/>
  <c r="AV233" i="31"/>
  <c r="AN233" i="31"/>
  <c r="BG233" i="31" s="1"/>
  <c r="AE233" i="31" s="1"/>
  <c r="AM233" i="31"/>
  <c r="H233" i="31" s="1"/>
  <c r="AI233" i="31"/>
  <c r="AH233" i="31"/>
  <c r="AF233" i="31"/>
  <c r="AC233" i="31"/>
  <c r="AB233" i="31"/>
  <c r="AA233" i="31"/>
  <c r="Z233" i="31"/>
  <c r="X233" i="31"/>
  <c r="L233" i="31"/>
  <c r="BD233" i="31" s="1"/>
  <c r="J233" i="31"/>
  <c r="AJ233" i="31" s="1"/>
  <c r="I233" i="31"/>
  <c r="BU231" i="31"/>
  <c r="BH231" i="31"/>
  <c r="BD231" i="31"/>
  <c r="BB231" i="31"/>
  <c r="AN231" i="31"/>
  <c r="AM231" i="31"/>
  <c r="BF231" i="31" s="1"/>
  <c r="AD231" i="31" s="1"/>
  <c r="AI231" i="31"/>
  <c r="AH231" i="31"/>
  <c r="AF231" i="31"/>
  <c r="AC231" i="31"/>
  <c r="AB231" i="31"/>
  <c r="AA231" i="31"/>
  <c r="Z231" i="31"/>
  <c r="X231" i="31"/>
  <c r="L231" i="31"/>
  <c r="J231" i="31"/>
  <c r="H231" i="31"/>
  <c r="L230" i="31"/>
  <c r="BU228" i="31"/>
  <c r="BH228" i="31"/>
  <c r="BD228" i="31"/>
  <c r="BB228" i="31"/>
  <c r="AN228" i="31"/>
  <c r="I228" i="31" s="1"/>
  <c r="AM228" i="31"/>
  <c r="AJ228" i="31"/>
  <c r="AS227" i="31" s="1"/>
  <c r="AI228" i="31"/>
  <c r="AH228" i="31"/>
  <c r="AQ227" i="31" s="1"/>
  <c r="AF228" i="31"/>
  <c r="AC228" i="31"/>
  <c r="AB228" i="31"/>
  <c r="AA228" i="31"/>
  <c r="Z228" i="31"/>
  <c r="X228" i="31"/>
  <c r="L228" i="31"/>
  <c r="J228" i="31"/>
  <c r="J227" i="31" s="1"/>
  <c r="H228" i="31"/>
  <c r="H227" i="31" s="1"/>
  <c r="AR227" i="31"/>
  <c r="L227" i="31"/>
  <c r="I227" i="31"/>
  <c r="BU226" i="31"/>
  <c r="BH226" i="31"/>
  <c r="BD226" i="31"/>
  <c r="BB226" i="31"/>
  <c r="AU226" i="31"/>
  <c r="AN226" i="31"/>
  <c r="AM226" i="31"/>
  <c r="BF226" i="31" s="1"/>
  <c r="AI226" i="31"/>
  <c r="AR225" i="31" s="1"/>
  <c r="AH226" i="31"/>
  <c r="AQ225" i="31" s="1"/>
  <c r="AF226" i="31"/>
  <c r="AE226" i="31"/>
  <c r="AD226" i="31"/>
  <c r="AC226" i="31"/>
  <c r="AB226" i="31"/>
  <c r="AA226" i="31"/>
  <c r="Z226" i="31"/>
  <c r="X226" i="31"/>
  <c r="L226" i="31"/>
  <c r="J226" i="31"/>
  <c r="AJ226" i="31" s="1"/>
  <c r="AS225" i="31" s="1"/>
  <c r="H226" i="31"/>
  <c r="H225" i="31" s="1"/>
  <c r="L225" i="31"/>
  <c r="J225" i="31"/>
  <c r="BU224" i="31"/>
  <c r="BH224" i="31"/>
  <c r="X224" i="31" s="1"/>
  <c r="BD224" i="31"/>
  <c r="BB224" i="31"/>
  <c r="AU224" i="31"/>
  <c r="AN224" i="31"/>
  <c r="BG224" i="31" s="1"/>
  <c r="AM224" i="31"/>
  <c r="H224" i="31" s="1"/>
  <c r="AI224" i="31"/>
  <c r="AR223" i="31" s="1"/>
  <c r="AH224" i="31"/>
  <c r="AQ223" i="31" s="1"/>
  <c r="AF224" i="31"/>
  <c r="AE224" i="31"/>
  <c r="AD224" i="31"/>
  <c r="AC224" i="31"/>
  <c r="AB224" i="31"/>
  <c r="AA224" i="31"/>
  <c r="Z224" i="31"/>
  <c r="L224" i="31"/>
  <c r="L223" i="31" s="1"/>
  <c r="J224" i="31"/>
  <c r="J223" i="31" s="1"/>
  <c r="H223" i="31"/>
  <c r="BU222" i="31"/>
  <c r="BH222" i="31"/>
  <c r="BB222" i="31"/>
  <c r="AV222" i="31"/>
  <c r="AN222" i="31"/>
  <c r="I222" i="31" s="1"/>
  <c r="AM222" i="31"/>
  <c r="AI222" i="31"/>
  <c r="AH222" i="31"/>
  <c r="AF222" i="31"/>
  <c r="AE222" i="31"/>
  <c r="AD222" i="31"/>
  <c r="AC222" i="31"/>
  <c r="AB222" i="31"/>
  <c r="AA222" i="31"/>
  <c r="Z222" i="31"/>
  <c r="X222" i="31"/>
  <c r="L222" i="31"/>
  <c r="BD222" i="31" s="1"/>
  <c r="J222" i="31"/>
  <c r="AJ222" i="31" s="1"/>
  <c r="BU221" i="31"/>
  <c r="BH221" i="31"/>
  <c r="BD221" i="31"/>
  <c r="BB221" i="31"/>
  <c r="AU221" i="31"/>
  <c r="AN221" i="31"/>
  <c r="AM221" i="31"/>
  <c r="BF221" i="31" s="1"/>
  <c r="AI221" i="31"/>
  <c r="AH221" i="31"/>
  <c r="AQ220" i="31" s="1"/>
  <c r="AF221" i="31"/>
  <c r="AE221" i="31"/>
  <c r="AD221" i="31"/>
  <c r="AC221" i="31"/>
  <c r="AB221" i="31"/>
  <c r="AA221" i="31"/>
  <c r="Z221" i="31"/>
  <c r="X221" i="31"/>
  <c r="L221" i="31"/>
  <c r="L220" i="31" s="1"/>
  <c r="J221" i="31"/>
  <c r="J220" i="31" s="1"/>
  <c r="H221" i="31"/>
  <c r="AR220" i="31"/>
  <c r="BU219" i="31"/>
  <c r="BH219" i="31"/>
  <c r="X219" i="31" s="1"/>
  <c r="BB219" i="31"/>
  <c r="AN219" i="31"/>
  <c r="AM219" i="31"/>
  <c r="AI219" i="31"/>
  <c r="AH219" i="31"/>
  <c r="AF219" i="31"/>
  <c r="AE219" i="31"/>
  <c r="AD219" i="31"/>
  <c r="AC219" i="31"/>
  <c r="AB219" i="31"/>
  <c r="AA219" i="31"/>
  <c r="Z219" i="31"/>
  <c r="L219" i="31"/>
  <c r="BD219" i="31" s="1"/>
  <c r="J219" i="31"/>
  <c r="AJ219" i="31" s="1"/>
  <c r="H219" i="31"/>
  <c r="BU217" i="31"/>
  <c r="BH217" i="31"/>
  <c r="BB217" i="31"/>
  <c r="AV217" i="31"/>
  <c r="AN217" i="31"/>
  <c r="BG217" i="31" s="1"/>
  <c r="AM217" i="31"/>
  <c r="AI217" i="31"/>
  <c r="AH217" i="31"/>
  <c r="AF217" i="31"/>
  <c r="AE217" i="31"/>
  <c r="AD217" i="31"/>
  <c r="AC217" i="31"/>
  <c r="AB217" i="31"/>
  <c r="AA217" i="31"/>
  <c r="Z217" i="31"/>
  <c r="X217" i="31"/>
  <c r="L217" i="31"/>
  <c r="BD217" i="31" s="1"/>
  <c r="J217" i="31"/>
  <c r="AJ217" i="31" s="1"/>
  <c r="I217" i="31"/>
  <c r="BU215" i="31"/>
  <c r="BH215" i="31"/>
  <c r="BD215" i="31"/>
  <c r="BB215" i="31"/>
  <c r="AU215" i="31"/>
  <c r="AN215" i="31"/>
  <c r="BG215" i="31" s="1"/>
  <c r="AM215" i="31"/>
  <c r="BF215" i="31" s="1"/>
  <c r="AI215" i="31"/>
  <c r="AH215" i="31"/>
  <c r="AF215" i="31"/>
  <c r="AE215" i="31"/>
  <c r="AD215" i="31"/>
  <c r="AC215" i="31"/>
  <c r="AB215" i="31"/>
  <c r="AA215" i="31"/>
  <c r="Z215" i="31"/>
  <c r="X215" i="31"/>
  <c r="L215" i="31"/>
  <c r="J215" i="31"/>
  <c r="I215" i="31"/>
  <c r="H215" i="31"/>
  <c r="BU214" i="31"/>
  <c r="BH214" i="31"/>
  <c r="X214" i="31" s="1"/>
  <c r="BB214" i="31"/>
  <c r="AV214" i="31"/>
  <c r="AN214" i="31"/>
  <c r="BG214" i="31" s="1"/>
  <c r="AM214" i="31"/>
  <c r="BF214" i="31" s="1"/>
  <c r="AI214" i="31"/>
  <c r="AR213" i="31" s="1"/>
  <c r="AH214" i="31"/>
  <c r="AF214" i="31"/>
  <c r="AE214" i="31"/>
  <c r="AD214" i="31"/>
  <c r="AC214" i="31"/>
  <c r="AB214" i="31"/>
  <c r="AA214" i="31"/>
  <c r="Z214" i="31"/>
  <c r="L214" i="31"/>
  <c r="L213" i="31" s="1"/>
  <c r="J214" i="31"/>
  <c r="AJ214" i="31" s="1"/>
  <c r="I214" i="31"/>
  <c r="H214" i="31"/>
  <c r="AQ213" i="31"/>
  <c r="BU211" i="31"/>
  <c r="BH211" i="31"/>
  <c r="BB211" i="31"/>
  <c r="AV211" i="31"/>
  <c r="AN211" i="31"/>
  <c r="BG211" i="31" s="1"/>
  <c r="AA211" i="31" s="1"/>
  <c r="AM211" i="31"/>
  <c r="AI211" i="31"/>
  <c r="AR210" i="31" s="1"/>
  <c r="AH211" i="31"/>
  <c r="AF211" i="31"/>
  <c r="AE211" i="31"/>
  <c r="AD211" i="31"/>
  <c r="AC211" i="31"/>
  <c r="AB211" i="31"/>
  <c r="X211" i="31"/>
  <c r="L211" i="31"/>
  <c r="J211" i="31"/>
  <c r="AJ211" i="31" s="1"/>
  <c r="AS210" i="31" s="1"/>
  <c r="I211" i="31"/>
  <c r="I210" i="31" s="1"/>
  <c r="AQ210" i="31"/>
  <c r="BU208" i="31"/>
  <c r="BH208" i="31"/>
  <c r="BB208" i="31"/>
  <c r="AV208" i="31"/>
  <c r="AN208" i="31"/>
  <c r="BG208" i="31" s="1"/>
  <c r="AA208" i="31" s="1"/>
  <c r="AM208" i="31"/>
  <c r="BF208" i="31" s="1"/>
  <c r="AI208" i="31"/>
  <c r="AH208" i="31"/>
  <c r="AF208" i="31"/>
  <c r="AE208" i="31"/>
  <c r="AD208" i="31"/>
  <c r="AC208" i="31"/>
  <c r="AB208" i="31"/>
  <c r="Z208" i="31"/>
  <c r="X208" i="31"/>
  <c r="L208" i="31"/>
  <c r="BD208" i="31" s="1"/>
  <c r="J208" i="31"/>
  <c r="AJ208" i="31" s="1"/>
  <c r="I208" i="31"/>
  <c r="H208" i="31"/>
  <c r="BU206" i="31"/>
  <c r="BH206" i="31"/>
  <c r="BB206" i="31"/>
  <c r="AU206" i="31"/>
  <c r="AN206" i="31"/>
  <c r="AM206" i="31"/>
  <c r="BF206" i="31" s="1"/>
  <c r="Z206" i="31" s="1"/>
  <c r="AI206" i="31"/>
  <c r="AH206" i="31"/>
  <c r="AF206" i="31"/>
  <c r="AE206" i="31"/>
  <c r="AD206" i="31"/>
  <c r="AC206" i="31"/>
  <c r="AB206" i="31"/>
  <c r="X206" i="31"/>
  <c r="L206" i="31"/>
  <c r="BD206" i="31" s="1"/>
  <c r="J206" i="31"/>
  <c r="AJ206" i="31" s="1"/>
  <c r="H206" i="31"/>
  <c r="BU204" i="31"/>
  <c r="BH204" i="31"/>
  <c r="BB204" i="31"/>
  <c r="AV204" i="31"/>
  <c r="AN204" i="31"/>
  <c r="BG204" i="31" s="1"/>
  <c r="AA204" i="31" s="1"/>
  <c r="AM204" i="31"/>
  <c r="AI204" i="31"/>
  <c r="AH204" i="31"/>
  <c r="AF204" i="31"/>
  <c r="AE204" i="31"/>
  <c r="AD204" i="31"/>
  <c r="AC204" i="31"/>
  <c r="AB204" i="31"/>
  <c r="X204" i="31"/>
  <c r="L204" i="31"/>
  <c r="BD204" i="31" s="1"/>
  <c r="J204" i="31"/>
  <c r="AJ204" i="31" s="1"/>
  <c r="I204" i="31"/>
  <c r="BU202" i="31"/>
  <c r="BH202" i="31"/>
  <c r="BD202" i="31"/>
  <c r="BB202" i="31"/>
  <c r="AN202" i="31"/>
  <c r="AM202" i="31"/>
  <c r="AI202" i="31"/>
  <c r="AH202" i="31"/>
  <c r="AF202" i="31"/>
  <c r="AE202" i="31"/>
  <c r="AD202" i="31"/>
  <c r="AC202" i="31"/>
  <c r="AB202" i="31"/>
  <c r="X202" i="31"/>
  <c r="L202" i="31"/>
  <c r="J202" i="31"/>
  <c r="AJ202" i="31" s="1"/>
  <c r="BU200" i="31"/>
  <c r="BH200" i="31"/>
  <c r="BB200" i="31"/>
  <c r="AN200" i="31"/>
  <c r="BG200" i="31" s="1"/>
  <c r="AA200" i="31" s="1"/>
  <c r="AM200" i="31"/>
  <c r="BF200" i="31" s="1"/>
  <c r="AI200" i="31"/>
  <c r="AH200" i="31"/>
  <c r="AF200" i="31"/>
  <c r="AE200" i="31"/>
  <c r="AD200" i="31"/>
  <c r="AC200" i="31"/>
  <c r="AB200" i="31"/>
  <c r="Z200" i="31"/>
  <c r="X200" i="31"/>
  <c r="L200" i="31"/>
  <c r="BD200" i="31" s="1"/>
  <c r="J200" i="31"/>
  <c r="AJ200" i="31" s="1"/>
  <c r="I200" i="31"/>
  <c r="H200" i="31"/>
  <c r="BU198" i="31"/>
  <c r="BH198" i="31"/>
  <c r="BG198" i="31"/>
  <c r="AA198" i="31" s="1"/>
  <c r="BB198" i="31"/>
  <c r="AN198" i="31"/>
  <c r="AM198" i="31"/>
  <c r="BF198" i="31" s="1"/>
  <c r="Z198" i="31" s="1"/>
  <c r="AI198" i="31"/>
  <c r="AH198" i="31"/>
  <c r="AF198" i="31"/>
  <c r="AE198" i="31"/>
  <c r="AD198" i="31"/>
  <c r="AC198" i="31"/>
  <c r="AB198" i="31"/>
  <c r="X198" i="31"/>
  <c r="L198" i="31"/>
  <c r="BD198" i="31" s="1"/>
  <c r="J198" i="31"/>
  <c r="AJ198" i="31" s="1"/>
  <c r="BU196" i="31"/>
  <c r="BH196" i="31"/>
  <c r="BB196" i="31"/>
  <c r="AN196" i="31"/>
  <c r="BG196" i="31" s="1"/>
  <c r="AA196" i="31" s="1"/>
  <c r="AM196" i="31"/>
  <c r="AI196" i="31"/>
  <c r="AH196" i="31"/>
  <c r="AF196" i="31"/>
  <c r="AE196" i="31"/>
  <c r="AD196" i="31"/>
  <c r="AC196" i="31"/>
  <c r="AB196" i="31"/>
  <c r="X196" i="31"/>
  <c r="L196" i="31"/>
  <c r="BD196" i="31" s="1"/>
  <c r="J196" i="31"/>
  <c r="AJ196" i="31" s="1"/>
  <c r="I196" i="31"/>
  <c r="BU194" i="31"/>
  <c r="BH194" i="31"/>
  <c r="BD194" i="31"/>
  <c r="BB194" i="31"/>
  <c r="AU194" i="31"/>
  <c r="AN194" i="31"/>
  <c r="AM194" i="31"/>
  <c r="BF194" i="31" s="1"/>
  <c r="Z194" i="31" s="1"/>
  <c r="AJ194" i="31"/>
  <c r="AI194" i="31"/>
  <c r="AH194" i="31"/>
  <c r="AF194" i="31"/>
  <c r="AE194" i="31"/>
  <c r="AD194" i="31"/>
  <c r="AC194" i="31"/>
  <c r="AB194" i="31"/>
  <c r="X194" i="31"/>
  <c r="L194" i="31"/>
  <c r="J194" i="31"/>
  <c r="H194" i="31"/>
  <c r="BU192" i="31"/>
  <c r="BH192" i="31"/>
  <c r="BB192" i="31"/>
  <c r="AN192" i="31"/>
  <c r="BG192" i="31" s="1"/>
  <c r="AA192" i="31" s="1"/>
  <c r="AM192" i="31"/>
  <c r="AI192" i="31"/>
  <c r="AH192" i="31"/>
  <c r="AF192" i="31"/>
  <c r="AE192" i="31"/>
  <c r="AD192" i="31"/>
  <c r="AC192" i="31"/>
  <c r="AB192" i="31"/>
  <c r="X192" i="31"/>
  <c r="L192" i="31"/>
  <c r="BD192" i="31" s="1"/>
  <c r="J192" i="31"/>
  <c r="AJ192" i="31" s="1"/>
  <c r="I192" i="31"/>
  <c r="BU190" i="31"/>
  <c r="BH190" i="31"/>
  <c r="BG190" i="31"/>
  <c r="AA190" i="31" s="1"/>
  <c r="BB190" i="31"/>
  <c r="AN190" i="31"/>
  <c r="AM190" i="31"/>
  <c r="AI190" i="31"/>
  <c r="AH190" i="31"/>
  <c r="AF190" i="31"/>
  <c r="AE190" i="31"/>
  <c r="AD190" i="31"/>
  <c r="AC190" i="31"/>
  <c r="AB190" i="31"/>
  <c r="X190" i="31"/>
  <c r="L190" i="31"/>
  <c r="BD190" i="31" s="1"/>
  <c r="J190" i="31"/>
  <c r="AJ190" i="31" s="1"/>
  <c r="BU188" i="31"/>
  <c r="BH188" i="31"/>
  <c r="BB188" i="31"/>
  <c r="AN188" i="31"/>
  <c r="AM188" i="31"/>
  <c r="AI188" i="31"/>
  <c r="AH188" i="31"/>
  <c r="AF188" i="31"/>
  <c r="AE188" i="31"/>
  <c r="AD188" i="31"/>
  <c r="AC188" i="31"/>
  <c r="AB188" i="31"/>
  <c r="X188" i="31"/>
  <c r="L188" i="31"/>
  <c r="BD188" i="31" s="1"/>
  <c r="J188" i="31"/>
  <c r="AJ188" i="31" s="1"/>
  <c r="I188" i="31"/>
  <c r="BU186" i="31"/>
  <c r="BH186" i="31"/>
  <c r="BD186" i="31"/>
  <c r="BB186" i="31"/>
  <c r="AU186" i="31"/>
  <c r="AN186" i="31"/>
  <c r="BG186" i="31" s="1"/>
  <c r="AM186" i="31"/>
  <c r="BF186" i="31" s="1"/>
  <c r="Z186" i="31" s="1"/>
  <c r="AJ186" i="31"/>
  <c r="AI186" i="31"/>
  <c r="AH186" i="31"/>
  <c r="AF186" i="31"/>
  <c r="AE186" i="31"/>
  <c r="AD186" i="31"/>
  <c r="AC186" i="31"/>
  <c r="AB186" i="31"/>
  <c r="AA186" i="31"/>
  <c r="X186" i="31"/>
  <c r="L186" i="31"/>
  <c r="J186" i="31"/>
  <c r="I186" i="31"/>
  <c r="H186" i="31"/>
  <c r="BU184" i="31"/>
  <c r="BH184" i="31"/>
  <c r="BB184" i="31"/>
  <c r="AN184" i="31"/>
  <c r="AM184" i="31"/>
  <c r="BF184" i="31" s="1"/>
  <c r="AI184" i="31"/>
  <c r="AH184" i="31"/>
  <c r="AF184" i="31"/>
  <c r="AE184" i="31"/>
  <c r="AD184" i="31"/>
  <c r="AC184" i="31"/>
  <c r="AB184" i="31"/>
  <c r="Z184" i="31"/>
  <c r="X184" i="31"/>
  <c r="L184" i="31"/>
  <c r="BD184" i="31" s="1"/>
  <c r="J184" i="31"/>
  <c r="AJ184" i="31" s="1"/>
  <c r="H184" i="31"/>
  <c r="BU182" i="31"/>
  <c r="BH182" i="31"/>
  <c r="BB182" i="31"/>
  <c r="AN182" i="31"/>
  <c r="BG182" i="31" s="1"/>
  <c r="AA182" i="31" s="1"/>
  <c r="AM182" i="31"/>
  <c r="BF182" i="31" s="1"/>
  <c r="Z182" i="31" s="1"/>
  <c r="AI182" i="31"/>
  <c r="AH182" i="31"/>
  <c r="AF182" i="31"/>
  <c r="AE182" i="31"/>
  <c r="AD182" i="31"/>
  <c r="AC182" i="31"/>
  <c r="AB182" i="31"/>
  <c r="X182" i="31"/>
  <c r="L182" i="31"/>
  <c r="BD182" i="31" s="1"/>
  <c r="J182" i="31"/>
  <c r="AJ182" i="31" s="1"/>
  <c r="H182" i="31"/>
  <c r="BU180" i="31"/>
  <c r="BH180" i="31"/>
  <c r="BB180" i="31"/>
  <c r="AV180" i="31"/>
  <c r="AN180" i="31"/>
  <c r="BG180" i="31" s="1"/>
  <c r="AA180" i="31" s="1"/>
  <c r="AM180" i="31"/>
  <c r="AI180" i="31"/>
  <c r="AH180" i="31"/>
  <c r="AQ175" i="31" s="1"/>
  <c r="AF180" i="31"/>
  <c r="AE180" i="31"/>
  <c r="AD180" i="31"/>
  <c r="AC180" i="31"/>
  <c r="AB180" i="31"/>
  <c r="X180" i="31"/>
  <c r="L180" i="31"/>
  <c r="J180" i="31"/>
  <c r="AJ180" i="31" s="1"/>
  <c r="I180" i="31"/>
  <c r="BU178" i="31"/>
  <c r="BH178" i="31"/>
  <c r="BD178" i="31"/>
  <c r="BB178" i="31"/>
  <c r="AN178" i="31"/>
  <c r="BG178" i="31" s="1"/>
  <c r="AM178" i="31"/>
  <c r="AJ178" i="31"/>
  <c r="AI178" i="31"/>
  <c r="AH178" i="31"/>
  <c r="AF178" i="31"/>
  <c r="AE178" i="31"/>
  <c r="AD178" i="31"/>
  <c r="AC178" i="31"/>
  <c r="AB178" i="31"/>
  <c r="AA178" i="31"/>
  <c r="X178" i="31"/>
  <c r="L178" i="31"/>
  <c r="J178" i="31"/>
  <c r="I178" i="31"/>
  <c r="BU176" i="31"/>
  <c r="BH176" i="31"/>
  <c r="BB176" i="31"/>
  <c r="AN176" i="31"/>
  <c r="BG176" i="31" s="1"/>
  <c r="AA176" i="31" s="1"/>
  <c r="AM176" i="31"/>
  <c r="BF176" i="31" s="1"/>
  <c r="AI176" i="31"/>
  <c r="AR175" i="31" s="1"/>
  <c r="AH176" i="31"/>
  <c r="AF176" i="31"/>
  <c r="AE176" i="31"/>
  <c r="AD176" i="31"/>
  <c r="AC176" i="31"/>
  <c r="AB176" i="31"/>
  <c r="Z176" i="31"/>
  <c r="X176" i="31"/>
  <c r="L176" i="31"/>
  <c r="BD176" i="31" s="1"/>
  <c r="J176" i="31"/>
  <c r="AJ176" i="31" s="1"/>
  <c r="I176" i="31"/>
  <c r="H176" i="31"/>
  <c r="BU173" i="31"/>
  <c r="BH173" i="31"/>
  <c r="BB173" i="31"/>
  <c r="AV173" i="31"/>
  <c r="AN173" i="31"/>
  <c r="BG173" i="31" s="1"/>
  <c r="AA173" i="31" s="1"/>
  <c r="AM173" i="31"/>
  <c r="AI173" i="31"/>
  <c r="AH173" i="31"/>
  <c r="AF173" i="31"/>
  <c r="AE173" i="31"/>
  <c r="AD173" i="31"/>
  <c r="AC173" i="31"/>
  <c r="AB173" i="31"/>
  <c r="X173" i="31"/>
  <c r="L173" i="31"/>
  <c r="BD173" i="31" s="1"/>
  <c r="J173" i="31"/>
  <c r="AJ173" i="31" s="1"/>
  <c r="I173" i="31"/>
  <c r="BU171" i="31"/>
  <c r="BH171" i="31"/>
  <c r="BD171" i="31"/>
  <c r="BB171" i="31"/>
  <c r="AN171" i="31"/>
  <c r="AM171" i="31"/>
  <c r="AI171" i="31"/>
  <c r="AH171" i="31"/>
  <c r="AF171" i="31"/>
  <c r="AE171" i="31"/>
  <c r="AD171" i="31"/>
  <c r="AC171" i="31"/>
  <c r="AB171" i="31"/>
  <c r="X171" i="31"/>
  <c r="L171" i="31"/>
  <c r="J171" i="31"/>
  <c r="AJ171" i="31" s="1"/>
  <c r="BU169" i="31"/>
  <c r="BH169" i="31"/>
  <c r="BB169" i="31"/>
  <c r="AN169" i="31"/>
  <c r="BG169" i="31" s="1"/>
  <c r="AA169" i="31" s="1"/>
  <c r="AM169" i="31"/>
  <c r="BF169" i="31" s="1"/>
  <c r="AI169" i="31"/>
  <c r="AH169" i="31"/>
  <c r="AF169" i="31"/>
  <c r="AE169" i="31"/>
  <c r="AD169" i="31"/>
  <c r="AC169" i="31"/>
  <c r="AB169" i="31"/>
  <c r="Z169" i="31"/>
  <c r="X169" i="31"/>
  <c r="L169" i="31"/>
  <c r="BD169" i="31" s="1"/>
  <c r="J169" i="31"/>
  <c r="AJ169" i="31" s="1"/>
  <c r="I169" i="31"/>
  <c r="H169" i="31"/>
  <c r="BU167" i="31"/>
  <c r="BH167" i="31"/>
  <c r="BB167" i="31"/>
  <c r="AN167" i="31"/>
  <c r="I167" i="31" s="1"/>
  <c r="AM167" i="31"/>
  <c r="AI167" i="31"/>
  <c r="AH167" i="31"/>
  <c r="AF167" i="31"/>
  <c r="AE167" i="31"/>
  <c r="AD167" i="31"/>
  <c r="AC167" i="31"/>
  <c r="AB167" i="31"/>
  <c r="X167" i="31"/>
  <c r="L167" i="31"/>
  <c r="BD167" i="31" s="1"/>
  <c r="J167" i="31"/>
  <c r="AJ167" i="31" s="1"/>
  <c r="BU165" i="31"/>
  <c r="BH165" i="31"/>
  <c r="BB165" i="31"/>
  <c r="AV165" i="31"/>
  <c r="AN165" i="31"/>
  <c r="BG165" i="31" s="1"/>
  <c r="AM165" i="31"/>
  <c r="AI165" i="31"/>
  <c r="AH165" i="31"/>
  <c r="AF165" i="31"/>
  <c r="AE165" i="31"/>
  <c r="AD165" i="31"/>
  <c r="AC165" i="31"/>
  <c r="AB165" i="31"/>
  <c r="AA165" i="31"/>
  <c r="X165" i="31"/>
  <c r="L165" i="31"/>
  <c r="BD165" i="31" s="1"/>
  <c r="J165" i="31"/>
  <c r="AJ165" i="31" s="1"/>
  <c r="I165" i="31"/>
  <c r="BU163" i="31"/>
  <c r="BH163" i="31"/>
  <c r="BD163" i="31"/>
  <c r="BB163" i="31"/>
  <c r="AV163" i="31"/>
  <c r="AN163" i="31"/>
  <c r="BG163" i="31" s="1"/>
  <c r="AA163" i="31" s="1"/>
  <c r="AM163" i="31"/>
  <c r="AI163" i="31"/>
  <c r="AH163" i="31"/>
  <c r="AF163" i="31"/>
  <c r="AE163" i="31"/>
  <c r="AD163" i="31"/>
  <c r="AC163" i="31"/>
  <c r="AB163" i="31"/>
  <c r="X163" i="31"/>
  <c r="L163" i="31"/>
  <c r="L162" i="31" s="1"/>
  <c r="J163" i="31"/>
  <c r="I163" i="31"/>
  <c r="AQ162" i="31"/>
  <c r="BU160" i="31"/>
  <c r="BH160" i="31"/>
  <c r="BB160" i="31"/>
  <c r="AV160" i="31"/>
  <c r="AN160" i="31"/>
  <c r="I160" i="31" s="1"/>
  <c r="AM160" i="31"/>
  <c r="AI160" i="31"/>
  <c r="AH160" i="31"/>
  <c r="AF160" i="31"/>
  <c r="AE160" i="31"/>
  <c r="AD160" i="31"/>
  <c r="AC160" i="31"/>
  <c r="AB160" i="31"/>
  <c r="X160" i="31"/>
  <c r="L160" i="31"/>
  <c r="BD160" i="31" s="1"/>
  <c r="J160" i="31"/>
  <c r="AJ160" i="31" s="1"/>
  <c r="BU158" i="31"/>
  <c r="BH158" i="31"/>
  <c r="BD158" i="31"/>
  <c r="BB158" i="31"/>
  <c r="AN158" i="31"/>
  <c r="AM158" i="31"/>
  <c r="AI158" i="31"/>
  <c r="AH158" i="31"/>
  <c r="AQ155" i="31" s="1"/>
  <c r="AF158" i="31"/>
  <c r="AE158" i="31"/>
  <c r="AD158" i="31"/>
  <c r="AC158" i="31"/>
  <c r="AB158" i="31"/>
  <c r="X158" i="31"/>
  <c r="L158" i="31"/>
  <c r="J158" i="31"/>
  <c r="AJ158" i="31" s="1"/>
  <c r="BU156" i="31"/>
  <c r="BH156" i="31"/>
  <c r="BD156" i="31"/>
  <c r="BB156" i="31"/>
  <c r="AN156" i="31"/>
  <c r="BG156" i="31" s="1"/>
  <c r="AA156" i="31" s="1"/>
  <c r="AM156" i="31"/>
  <c r="AI156" i="31"/>
  <c r="AH156" i="31"/>
  <c r="AF156" i="31"/>
  <c r="AE156" i="31"/>
  <c r="AD156" i="31"/>
  <c r="AC156" i="31"/>
  <c r="AB156" i="31"/>
  <c r="X156" i="31"/>
  <c r="L156" i="31"/>
  <c r="L155" i="31" s="1"/>
  <c r="J156" i="31"/>
  <c r="I156" i="31"/>
  <c r="BU153" i="31"/>
  <c r="BH153" i="31"/>
  <c r="BB153" i="31"/>
  <c r="AV153" i="31"/>
  <c r="AN153" i="31"/>
  <c r="I153" i="31" s="1"/>
  <c r="AM153" i="31"/>
  <c r="AI153" i="31"/>
  <c r="AH153" i="31"/>
  <c r="AF153" i="31"/>
  <c r="AE153" i="31"/>
  <c r="AD153" i="31"/>
  <c r="AA153" i="31"/>
  <c r="Z153" i="31"/>
  <c r="X153" i="31"/>
  <c r="L153" i="31"/>
  <c r="BD153" i="31" s="1"/>
  <c r="J153" i="31"/>
  <c r="AJ153" i="31" s="1"/>
  <c r="BU151" i="31"/>
  <c r="BH151" i="31"/>
  <c r="BD151" i="31"/>
  <c r="BB151" i="31"/>
  <c r="AN151" i="31"/>
  <c r="AM151" i="31"/>
  <c r="AI151" i="31"/>
  <c r="AH151" i="31"/>
  <c r="AF151" i="31"/>
  <c r="AE151" i="31"/>
  <c r="AD151" i="31"/>
  <c r="AA151" i="31"/>
  <c r="Z151" i="31"/>
  <c r="X151" i="31"/>
  <c r="L151" i="31"/>
  <c r="J151" i="31"/>
  <c r="AJ151" i="31" s="1"/>
  <c r="BU149" i="31"/>
  <c r="BH149" i="31"/>
  <c r="BD149" i="31"/>
  <c r="BB149" i="31"/>
  <c r="AV149" i="31"/>
  <c r="AN149" i="31"/>
  <c r="BG149" i="31" s="1"/>
  <c r="AC149" i="31" s="1"/>
  <c r="AM149" i="31"/>
  <c r="AI149" i="31"/>
  <c r="AH149" i="31"/>
  <c r="AF149" i="31"/>
  <c r="AE149" i="31"/>
  <c r="AD149" i="31"/>
  <c r="AA149" i="31"/>
  <c r="Z149" i="31"/>
  <c r="X149" i="31"/>
  <c r="L149" i="31"/>
  <c r="L148" i="31" s="1"/>
  <c r="J149" i="31"/>
  <c r="I149" i="31"/>
  <c r="AQ148" i="31"/>
  <c r="BU146" i="31"/>
  <c r="BH146" i="31"/>
  <c r="BB146" i="31"/>
  <c r="AV146" i="31"/>
  <c r="AN146" i="31"/>
  <c r="I146" i="31" s="1"/>
  <c r="I145" i="31" s="1"/>
  <c r="AM146" i="31"/>
  <c r="AI146" i="31"/>
  <c r="AR145" i="31" s="1"/>
  <c r="AH146" i="31"/>
  <c r="AQ145" i="31" s="1"/>
  <c r="AF146" i="31"/>
  <c r="AE146" i="31"/>
  <c r="AD146" i="31"/>
  <c r="AA146" i="31"/>
  <c r="Z146" i="31"/>
  <c r="X146" i="31"/>
  <c r="L146" i="31"/>
  <c r="J146" i="31"/>
  <c r="BU143" i="31"/>
  <c r="BH143" i="31"/>
  <c r="BD143" i="31"/>
  <c r="BB143" i="31"/>
  <c r="AV143" i="31"/>
  <c r="AU143" i="31"/>
  <c r="AN143" i="31"/>
  <c r="BG143" i="31" s="1"/>
  <c r="AA143" i="31" s="1"/>
  <c r="AM143" i="31"/>
  <c r="H143" i="31" s="1"/>
  <c r="AI143" i="31"/>
  <c r="AH143" i="31"/>
  <c r="AF143" i="31"/>
  <c r="AE143" i="31"/>
  <c r="AD143" i="31"/>
  <c r="AC143" i="31"/>
  <c r="AB143" i="31"/>
  <c r="X143" i="31"/>
  <c r="L143" i="31"/>
  <c r="J143" i="31"/>
  <c r="AJ143" i="31" s="1"/>
  <c r="I143" i="31"/>
  <c r="BU141" i="31"/>
  <c r="BH141" i="31"/>
  <c r="BD141" i="31"/>
  <c r="BB141" i="31"/>
  <c r="AU141" i="31"/>
  <c r="AN141" i="31"/>
  <c r="AM141" i="31"/>
  <c r="BF141" i="31" s="1"/>
  <c r="Z141" i="31" s="1"/>
  <c r="AI141" i="31"/>
  <c r="AH141" i="31"/>
  <c r="AQ140" i="31" s="1"/>
  <c r="AF141" i="31"/>
  <c r="AE141" i="31"/>
  <c r="AD141" i="31"/>
  <c r="AC141" i="31"/>
  <c r="AB141" i="31"/>
  <c r="X141" i="31"/>
  <c r="L141" i="31"/>
  <c r="J141" i="31"/>
  <c r="J140" i="31" s="1"/>
  <c r="H141" i="31"/>
  <c r="L140" i="31"/>
  <c r="BU138" i="31"/>
  <c r="BH138" i="31"/>
  <c r="BD138" i="31"/>
  <c r="BB138" i="31"/>
  <c r="AU138" i="31"/>
  <c r="AN138" i="31"/>
  <c r="AM138" i="31"/>
  <c r="H138" i="31" s="1"/>
  <c r="AI138" i="31"/>
  <c r="AH138" i="31"/>
  <c r="AF138" i="31"/>
  <c r="AE138" i="31"/>
  <c r="AD138" i="31"/>
  <c r="AC138" i="31"/>
  <c r="AB138" i="31"/>
  <c r="X138" i="31"/>
  <c r="L138" i="31"/>
  <c r="J138" i="31"/>
  <c r="AJ138" i="31" s="1"/>
  <c r="BU136" i="31"/>
  <c r="BH136" i="31"/>
  <c r="BD136" i="31"/>
  <c r="BB136" i="31"/>
  <c r="AU136" i="31"/>
  <c r="AN136" i="31"/>
  <c r="AM136" i="31"/>
  <c r="H136" i="31" s="1"/>
  <c r="AI136" i="31"/>
  <c r="AH136" i="31"/>
  <c r="AF136" i="31"/>
  <c r="AE136" i="31"/>
  <c r="AD136" i="31"/>
  <c r="AC136" i="31"/>
  <c r="AB136" i="31"/>
  <c r="X136" i="31"/>
  <c r="L136" i="31"/>
  <c r="J136" i="31"/>
  <c r="AJ136" i="31" s="1"/>
  <c r="I136" i="31"/>
  <c r="BU134" i="31"/>
  <c r="BH134" i="31"/>
  <c r="BD134" i="31"/>
  <c r="BB134" i="31"/>
  <c r="AN134" i="31"/>
  <c r="AM134" i="31"/>
  <c r="AI134" i="31"/>
  <c r="AH134" i="31"/>
  <c r="AF134" i="31"/>
  <c r="AE134" i="31"/>
  <c r="AD134" i="31"/>
  <c r="AC134" i="31"/>
  <c r="AB134" i="31"/>
  <c r="X134" i="31"/>
  <c r="L134" i="31"/>
  <c r="J134" i="31"/>
  <c r="AJ134" i="31" s="1"/>
  <c r="BU132" i="31"/>
  <c r="BH132" i="31"/>
  <c r="BB132" i="31"/>
  <c r="AN132" i="31"/>
  <c r="AM132" i="31"/>
  <c r="AI132" i="31"/>
  <c r="AH132" i="31"/>
  <c r="AF132" i="31"/>
  <c r="AE132" i="31"/>
  <c r="AD132" i="31"/>
  <c r="AC132" i="31"/>
  <c r="AB132" i="31"/>
  <c r="X132" i="31"/>
  <c r="L132" i="31"/>
  <c r="BD132" i="31" s="1"/>
  <c r="J132" i="31"/>
  <c r="AJ132" i="31" s="1"/>
  <c r="BU130" i="31"/>
  <c r="BH130" i="31"/>
  <c r="BD130" i="31"/>
  <c r="BB130" i="31"/>
  <c r="AV130" i="31"/>
  <c r="AU130" i="31"/>
  <c r="AN130" i="31"/>
  <c r="I130" i="31" s="1"/>
  <c r="AM130" i="31"/>
  <c r="H130" i="31" s="1"/>
  <c r="AJ130" i="31"/>
  <c r="AI130" i="31"/>
  <c r="AH130" i="31"/>
  <c r="AF130" i="31"/>
  <c r="AE130" i="31"/>
  <c r="AD130" i="31"/>
  <c r="AC130" i="31"/>
  <c r="AB130" i="31"/>
  <c r="X130" i="31"/>
  <c r="L130" i="31"/>
  <c r="J130" i="31"/>
  <c r="BU128" i="31"/>
  <c r="BH128" i="31"/>
  <c r="BD128" i="31"/>
  <c r="BB128" i="31"/>
  <c r="AV128" i="31"/>
  <c r="AU128" i="31"/>
  <c r="BA128" i="31" s="1"/>
  <c r="AN128" i="31"/>
  <c r="BG128" i="31" s="1"/>
  <c r="AA128" i="31" s="1"/>
  <c r="AM128" i="31"/>
  <c r="H128" i="31" s="1"/>
  <c r="AI128" i="31"/>
  <c r="AH128" i="31"/>
  <c r="AF128" i="31"/>
  <c r="AE128" i="31"/>
  <c r="AD128" i="31"/>
  <c r="AC128" i="31"/>
  <c r="AB128" i="31"/>
  <c r="X128" i="31"/>
  <c r="L128" i="31"/>
  <c r="J128" i="31"/>
  <c r="AJ128" i="31" s="1"/>
  <c r="I128" i="31"/>
  <c r="BU126" i="31"/>
  <c r="BH126" i="31"/>
  <c r="BD126" i="31"/>
  <c r="BB126" i="31"/>
  <c r="AN126" i="31"/>
  <c r="BG126" i="31" s="1"/>
  <c r="AA126" i="31" s="1"/>
  <c r="AM126" i="31"/>
  <c r="AI126" i="31"/>
  <c r="AH126" i="31"/>
  <c r="AF126" i="31"/>
  <c r="AE126" i="31"/>
  <c r="AD126" i="31"/>
  <c r="AC126" i="31"/>
  <c r="AB126" i="31"/>
  <c r="X126" i="31"/>
  <c r="L126" i="31"/>
  <c r="J126" i="31"/>
  <c r="AJ126" i="31" s="1"/>
  <c r="BU124" i="31"/>
  <c r="BH124" i="31"/>
  <c r="BB124" i="31"/>
  <c r="AN124" i="31"/>
  <c r="I124" i="31" s="1"/>
  <c r="AM124" i="31"/>
  <c r="AI124" i="31"/>
  <c r="AH124" i="31"/>
  <c r="AF124" i="31"/>
  <c r="AE124" i="31"/>
  <c r="AD124" i="31"/>
  <c r="AC124" i="31"/>
  <c r="AB124" i="31"/>
  <c r="X124" i="31"/>
  <c r="L124" i="31"/>
  <c r="BD124" i="31" s="1"/>
  <c r="J124" i="31"/>
  <c r="AJ124" i="31" s="1"/>
  <c r="BU122" i="31"/>
  <c r="BH122" i="31"/>
  <c r="BD122" i="31"/>
  <c r="BB122" i="31"/>
  <c r="AV122" i="31"/>
  <c r="AN122" i="31"/>
  <c r="I122" i="31" s="1"/>
  <c r="AM122" i="31"/>
  <c r="AJ122" i="31"/>
  <c r="AI122" i="31"/>
  <c r="AH122" i="31"/>
  <c r="AF122" i="31"/>
  <c r="AE122" i="31"/>
  <c r="AD122" i="31"/>
  <c r="AC122" i="31"/>
  <c r="AB122" i="31"/>
  <c r="X122" i="31"/>
  <c r="L122" i="31"/>
  <c r="J122" i="31"/>
  <c r="BU120" i="31"/>
  <c r="BH120" i="31"/>
  <c r="BD120" i="31"/>
  <c r="BB120" i="31"/>
  <c r="AU120" i="31"/>
  <c r="AN120" i="31"/>
  <c r="BG120" i="31" s="1"/>
  <c r="AA120" i="31" s="1"/>
  <c r="AM120" i="31"/>
  <c r="H120" i="31" s="1"/>
  <c r="AI120" i="31"/>
  <c r="AH120" i="31"/>
  <c r="AF120" i="31"/>
  <c r="AE120" i="31"/>
  <c r="AD120" i="31"/>
  <c r="AC120" i="31"/>
  <c r="AB120" i="31"/>
  <c r="X120" i="31"/>
  <c r="L120" i="31"/>
  <c r="J120" i="31"/>
  <c r="AJ120" i="31" s="1"/>
  <c r="I120" i="31"/>
  <c r="BU118" i="31"/>
  <c r="BH118" i="31"/>
  <c r="BD118" i="31"/>
  <c r="BB118" i="31"/>
  <c r="AU118" i="31"/>
  <c r="AN118" i="31"/>
  <c r="AM118" i="31"/>
  <c r="BF118" i="31" s="1"/>
  <c r="Z118" i="31" s="1"/>
  <c r="AI118" i="31"/>
  <c r="AR117" i="31" s="1"/>
  <c r="AH118" i="31"/>
  <c r="AF118" i="31"/>
  <c r="AE118" i="31"/>
  <c r="AD118" i="31"/>
  <c r="AC118" i="31"/>
  <c r="AB118" i="31"/>
  <c r="X118" i="31"/>
  <c r="L118" i="31"/>
  <c r="J118" i="31"/>
  <c r="H118" i="31"/>
  <c r="BU115" i="31"/>
  <c r="BH115" i="31"/>
  <c r="BD115" i="31"/>
  <c r="BB115" i="31"/>
  <c r="AN115" i="31"/>
  <c r="AM115" i="31"/>
  <c r="H115" i="31" s="1"/>
  <c r="H114" i="31" s="1"/>
  <c r="AI115" i="31"/>
  <c r="AH115" i="31"/>
  <c r="AQ114" i="31" s="1"/>
  <c r="AF115" i="31"/>
  <c r="AE115" i="31"/>
  <c r="AD115" i="31"/>
  <c r="AC115" i="31"/>
  <c r="AB115" i="31"/>
  <c r="X115" i="31"/>
  <c r="L115" i="31"/>
  <c r="L114" i="31" s="1"/>
  <c r="J115" i="31"/>
  <c r="AR114" i="31"/>
  <c r="BU112" i="31"/>
  <c r="BH112" i="31"/>
  <c r="BB112" i="31"/>
  <c r="AU112" i="31"/>
  <c r="AN112" i="31"/>
  <c r="BG112" i="31" s="1"/>
  <c r="AA112" i="31" s="1"/>
  <c r="AM112" i="31"/>
  <c r="AI112" i="31"/>
  <c r="AH112" i="31"/>
  <c r="AF112" i="31"/>
  <c r="AE112" i="31"/>
  <c r="AD112" i="31"/>
  <c r="AC112" i="31"/>
  <c r="AB112" i="31"/>
  <c r="X112" i="31"/>
  <c r="L112" i="31"/>
  <c r="BD112" i="31" s="1"/>
  <c r="J112" i="31"/>
  <c r="AJ112" i="31" s="1"/>
  <c r="AS109" i="31" s="1"/>
  <c r="BU110" i="31"/>
  <c r="BH110" i="31"/>
  <c r="BB110" i="31"/>
  <c r="AN110" i="31"/>
  <c r="AM110" i="31"/>
  <c r="AI110" i="31"/>
  <c r="AR109" i="31" s="1"/>
  <c r="AH110" i="31"/>
  <c r="AF110" i="31"/>
  <c r="AE110" i="31"/>
  <c r="AD110" i="31"/>
  <c r="AC110" i="31"/>
  <c r="AB110" i="31"/>
  <c r="X110" i="31"/>
  <c r="L110" i="31"/>
  <c r="J110" i="31"/>
  <c r="AJ110" i="31" s="1"/>
  <c r="J109" i="31"/>
  <c r="BU107" i="31"/>
  <c r="BH107" i="31"/>
  <c r="BD107" i="31"/>
  <c r="BB107" i="31"/>
  <c r="AN107" i="31"/>
  <c r="BG107" i="31" s="1"/>
  <c r="AA107" i="31" s="1"/>
  <c r="AM107" i="31"/>
  <c r="H107" i="31" s="1"/>
  <c r="AI107" i="31"/>
  <c r="AH107" i="31"/>
  <c r="AF107" i="31"/>
  <c r="AE107" i="31"/>
  <c r="AD107" i="31"/>
  <c r="AC107" i="31"/>
  <c r="AB107" i="31"/>
  <c r="X107" i="31"/>
  <c r="L107" i="31"/>
  <c r="J107" i="31"/>
  <c r="AJ107" i="31" s="1"/>
  <c r="I107" i="31"/>
  <c r="BU105" i="31"/>
  <c r="BH105" i="31"/>
  <c r="BB105" i="31"/>
  <c r="AU105" i="31"/>
  <c r="AN105" i="31"/>
  <c r="AM105" i="31"/>
  <c r="BF105" i="31" s="1"/>
  <c r="Z105" i="31" s="1"/>
  <c r="AI105" i="31"/>
  <c r="AH105" i="31"/>
  <c r="AQ104" i="31" s="1"/>
  <c r="AF105" i="31"/>
  <c r="AE105" i="31"/>
  <c r="AD105" i="31"/>
  <c r="AC105" i="31"/>
  <c r="AB105" i="31"/>
  <c r="X105" i="31"/>
  <c r="L105" i="31"/>
  <c r="BD105" i="31" s="1"/>
  <c r="J105" i="31"/>
  <c r="J104" i="31" s="1"/>
  <c r="H105" i="31"/>
  <c r="L104" i="31"/>
  <c r="BU102" i="31"/>
  <c r="BH102" i="31"/>
  <c r="BD102" i="31"/>
  <c r="BB102" i="31"/>
  <c r="AN102" i="31"/>
  <c r="AM102" i="31"/>
  <c r="H102" i="31" s="1"/>
  <c r="AI102" i="31"/>
  <c r="AH102" i="31"/>
  <c r="AF102" i="31"/>
  <c r="AE102" i="31"/>
  <c r="AD102" i="31"/>
  <c r="AC102" i="31"/>
  <c r="AB102" i="31"/>
  <c r="X102" i="31"/>
  <c r="L102" i="31"/>
  <c r="J102" i="31"/>
  <c r="AJ102" i="31" s="1"/>
  <c r="I102" i="31"/>
  <c r="BU100" i="31"/>
  <c r="BH100" i="31"/>
  <c r="BD100" i="31"/>
  <c r="BB100" i="31"/>
  <c r="AV100" i="31"/>
  <c r="AN100" i="31"/>
  <c r="BG100" i="31" s="1"/>
  <c r="AA100" i="31" s="1"/>
  <c r="AM100" i="31"/>
  <c r="AI100" i="31"/>
  <c r="AR99" i="31" s="1"/>
  <c r="AH100" i="31"/>
  <c r="AF100" i="31"/>
  <c r="AE100" i="31"/>
  <c r="AD100" i="31"/>
  <c r="AC100" i="31"/>
  <c r="AB100" i="31"/>
  <c r="X100" i="31"/>
  <c r="L100" i="31"/>
  <c r="L99" i="31" s="1"/>
  <c r="J100" i="31"/>
  <c r="AQ99" i="31"/>
  <c r="BU97" i="31"/>
  <c r="BH97" i="31"/>
  <c r="BB97" i="31"/>
  <c r="AV97" i="31"/>
  <c r="AN97" i="31"/>
  <c r="I97" i="31" s="1"/>
  <c r="I96" i="31" s="1"/>
  <c r="AM97" i="31"/>
  <c r="AI97" i="31"/>
  <c r="AH97" i="31"/>
  <c r="AQ96" i="31" s="1"/>
  <c r="AF97" i="31"/>
  <c r="AE97" i="31"/>
  <c r="AD97" i="31"/>
  <c r="AC97" i="31"/>
  <c r="AB97" i="31"/>
  <c r="X97" i="31"/>
  <c r="L97" i="31"/>
  <c r="J97" i="31"/>
  <c r="AR96" i="31"/>
  <c r="BU94" i="31"/>
  <c r="BH94" i="31"/>
  <c r="BB94" i="31"/>
  <c r="AN94" i="31"/>
  <c r="BG94" i="31" s="1"/>
  <c r="AA94" i="31" s="1"/>
  <c r="AM94" i="31"/>
  <c r="AI94" i="31"/>
  <c r="AR90" i="31" s="1"/>
  <c r="AH94" i="31"/>
  <c r="AF94" i="31"/>
  <c r="AE94" i="31"/>
  <c r="AD94" i="31"/>
  <c r="AC94" i="31"/>
  <c r="AB94" i="31"/>
  <c r="X94" i="31"/>
  <c r="L94" i="31"/>
  <c r="BD94" i="31" s="1"/>
  <c r="J94" i="31"/>
  <c r="AJ94" i="31" s="1"/>
  <c r="H94" i="31"/>
  <c r="BU93" i="31"/>
  <c r="BH93" i="31"/>
  <c r="BG93" i="31"/>
  <c r="AA93" i="31" s="1"/>
  <c r="BB93" i="31"/>
  <c r="AN93" i="31"/>
  <c r="AM93" i="31"/>
  <c r="AI93" i="31"/>
  <c r="AH93" i="31"/>
  <c r="AQ90" i="31" s="1"/>
  <c r="AF93" i="31"/>
  <c r="AE93" i="31"/>
  <c r="AD93" i="31"/>
  <c r="AC93" i="31"/>
  <c r="AB93" i="31"/>
  <c r="X93" i="31"/>
  <c r="L93" i="31"/>
  <c r="BD93" i="31" s="1"/>
  <c r="J93" i="31"/>
  <c r="AJ93" i="31" s="1"/>
  <c r="BU91" i="31"/>
  <c r="BH91" i="31"/>
  <c r="BB91" i="31"/>
  <c r="AN91" i="31"/>
  <c r="AM91" i="31"/>
  <c r="AI91" i="31"/>
  <c r="AH91" i="31"/>
  <c r="AF91" i="31"/>
  <c r="AE91" i="31"/>
  <c r="AD91" i="31"/>
  <c r="AC91" i="31"/>
  <c r="AB91" i="31"/>
  <c r="X91" i="31"/>
  <c r="L91" i="31"/>
  <c r="J91" i="31"/>
  <c r="AJ91" i="31" s="1"/>
  <c r="I91" i="31"/>
  <c r="BU88" i="31"/>
  <c r="BH88" i="31"/>
  <c r="BB88" i="31"/>
  <c r="AN88" i="31"/>
  <c r="BG88" i="31" s="1"/>
  <c r="AA88" i="31" s="1"/>
  <c r="AM88" i="31"/>
  <c r="AI88" i="31"/>
  <c r="AH88" i="31"/>
  <c r="AF88" i="31"/>
  <c r="AE88" i="31"/>
  <c r="AD88" i="31"/>
  <c r="AC88" i="31"/>
  <c r="AB88" i="31"/>
  <c r="X88" i="31"/>
  <c r="L88" i="31"/>
  <c r="BD88" i="31" s="1"/>
  <c r="J88" i="31"/>
  <c r="AJ88" i="31" s="1"/>
  <c r="I88" i="31"/>
  <c r="BU86" i="31"/>
  <c r="BH86" i="31"/>
  <c r="BB86" i="31"/>
  <c r="AN86" i="31"/>
  <c r="AM86" i="31"/>
  <c r="AI86" i="31"/>
  <c r="AH86" i="31"/>
  <c r="AF86" i="31"/>
  <c r="AE86" i="31"/>
  <c r="AD86" i="31"/>
  <c r="AC86" i="31"/>
  <c r="AB86" i="31"/>
  <c r="X86" i="31"/>
  <c r="L86" i="31"/>
  <c r="BD86" i="31" s="1"/>
  <c r="J86" i="31"/>
  <c r="AJ86" i="31" s="1"/>
  <c r="BU84" i="31"/>
  <c r="BH84" i="31"/>
  <c r="BB84" i="31"/>
  <c r="AN84" i="31"/>
  <c r="AM84" i="31"/>
  <c r="AI84" i="31"/>
  <c r="AH84" i="31"/>
  <c r="AF84" i="31"/>
  <c r="AE84" i="31"/>
  <c r="AD84" i="31"/>
  <c r="AC84" i="31"/>
  <c r="AB84" i="31"/>
  <c r="X84" i="31"/>
  <c r="L84" i="31"/>
  <c r="BD84" i="31" s="1"/>
  <c r="J84" i="31"/>
  <c r="AJ84" i="31" s="1"/>
  <c r="I84" i="31"/>
  <c r="BU82" i="31"/>
  <c r="BH82" i="31"/>
  <c r="BD82" i="31"/>
  <c r="BB82" i="31"/>
  <c r="AU82" i="31"/>
  <c r="AN82" i="31"/>
  <c r="AM82" i="31"/>
  <c r="BF82" i="31" s="1"/>
  <c r="Z82" i="31" s="1"/>
  <c r="AJ82" i="31"/>
  <c r="AI82" i="31"/>
  <c r="AH82" i="31"/>
  <c r="AF82" i="31"/>
  <c r="AE82" i="31"/>
  <c r="AD82" i="31"/>
  <c r="AC82" i="31"/>
  <c r="AB82" i="31"/>
  <c r="X82" i="31"/>
  <c r="L82" i="31"/>
  <c r="J82" i="31"/>
  <c r="H82" i="31"/>
  <c r="BU80" i="31"/>
  <c r="BH80" i="31"/>
  <c r="BB80" i="31"/>
  <c r="AN80" i="31"/>
  <c r="BG80" i="31" s="1"/>
  <c r="AA80" i="31" s="1"/>
  <c r="AM80" i="31"/>
  <c r="BF80" i="31" s="1"/>
  <c r="AI80" i="31"/>
  <c r="AH80" i="31"/>
  <c r="AF80" i="31"/>
  <c r="AE80" i="31"/>
  <c r="AD80" i="31"/>
  <c r="AC80" i="31"/>
  <c r="AB80" i="31"/>
  <c r="Z80" i="31"/>
  <c r="X80" i="31"/>
  <c r="L80" i="31"/>
  <c r="BD80" i="31" s="1"/>
  <c r="J80" i="31"/>
  <c r="AJ80" i="31" s="1"/>
  <c r="H80" i="31"/>
  <c r="BU78" i="31"/>
  <c r="BH78" i="31"/>
  <c r="BB78" i="31"/>
  <c r="AN78" i="31"/>
  <c r="AM78" i="31"/>
  <c r="BF78" i="31" s="1"/>
  <c r="Z78" i="31" s="1"/>
  <c r="AI78" i="31"/>
  <c r="AH78" i="31"/>
  <c r="AF78" i="31"/>
  <c r="AE78" i="31"/>
  <c r="AD78" i="31"/>
  <c r="AC78" i="31"/>
  <c r="AB78" i="31"/>
  <c r="X78" i="31"/>
  <c r="L78" i="31"/>
  <c r="BD78" i="31" s="1"/>
  <c r="J78" i="31"/>
  <c r="AJ78" i="31" s="1"/>
  <c r="H78" i="31"/>
  <c r="BU76" i="31"/>
  <c r="BH76" i="31"/>
  <c r="BB76" i="31"/>
  <c r="AV76" i="31"/>
  <c r="AN76" i="31"/>
  <c r="BG76" i="31" s="1"/>
  <c r="AA76" i="31" s="1"/>
  <c r="AM76" i="31"/>
  <c r="AI76" i="31"/>
  <c r="AH76" i="31"/>
  <c r="AF76" i="31"/>
  <c r="AE76" i="31"/>
  <c r="AD76" i="31"/>
  <c r="AC76" i="31"/>
  <c r="AB76" i="31"/>
  <c r="X76" i="31"/>
  <c r="L76" i="31"/>
  <c r="BD76" i="31" s="1"/>
  <c r="J76" i="31"/>
  <c r="AJ76" i="31" s="1"/>
  <c r="I76" i="31"/>
  <c r="BU74" i="31"/>
  <c r="BH74" i="31"/>
  <c r="BD74" i="31"/>
  <c r="BB74" i="31"/>
  <c r="AU74" i="31"/>
  <c r="AN74" i="31"/>
  <c r="BG74" i="31" s="1"/>
  <c r="AA74" i="31" s="1"/>
  <c r="AM74" i="31"/>
  <c r="AI74" i="31"/>
  <c r="AH74" i="31"/>
  <c r="AF74" i="31"/>
  <c r="AE74" i="31"/>
  <c r="AD74" i="31"/>
  <c r="AC74" i="31"/>
  <c r="AB74" i="31"/>
  <c r="X74" i="31"/>
  <c r="L74" i="31"/>
  <c r="J74" i="31"/>
  <c r="I74" i="31"/>
  <c r="BU72" i="31"/>
  <c r="BH72" i="31"/>
  <c r="BB72" i="31"/>
  <c r="AN72" i="31"/>
  <c r="BG72" i="31" s="1"/>
  <c r="AA72" i="31" s="1"/>
  <c r="AM72" i="31"/>
  <c r="BF72" i="31" s="1"/>
  <c r="AI72" i="31"/>
  <c r="AH72" i="31"/>
  <c r="AF72" i="31"/>
  <c r="AE72" i="31"/>
  <c r="AD72" i="31"/>
  <c r="AC72" i="31"/>
  <c r="AB72" i="31"/>
  <c r="Z72" i="31"/>
  <c r="X72" i="31"/>
  <c r="L72" i="31"/>
  <c r="BD72" i="31" s="1"/>
  <c r="J72" i="31"/>
  <c r="AJ72" i="31" s="1"/>
  <c r="I72" i="31"/>
  <c r="BU70" i="31"/>
  <c r="BH70" i="31"/>
  <c r="BB70" i="31"/>
  <c r="AN70" i="31"/>
  <c r="AM70" i="31"/>
  <c r="BF70" i="31" s="1"/>
  <c r="Z70" i="31" s="1"/>
  <c r="AI70" i="31"/>
  <c r="AH70" i="31"/>
  <c r="AF70" i="31"/>
  <c r="AE70" i="31"/>
  <c r="AD70" i="31"/>
  <c r="AC70" i="31"/>
  <c r="AB70" i="31"/>
  <c r="X70" i="31"/>
  <c r="L70" i="31"/>
  <c r="BD70" i="31" s="1"/>
  <c r="J70" i="31"/>
  <c r="AJ70" i="31" s="1"/>
  <c r="BU67" i="31"/>
  <c r="BH67" i="31"/>
  <c r="BD67" i="31"/>
  <c r="BB67" i="31"/>
  <c r="AU67" i="31"/>
  <c r="AN67" i="31"/>
  <c r="BG67" i="31" s="1"/>
  <c r="AA67" i="31" s="1"/>
  <c r="AM67" i="31"/>
  <c r="BF67" i="31" s="1"/>
  <c r="Z67" i="31" s="1"/>
  <c r="AI67" i="31"/>
  <c r="AH67" i="31"/>
  <c r="AQ64" i="31" s="1"/>
  <c r="AF67" i="31"/>
  <c r="AE67" i="31"/>
  <c r="AD67" i="31"/>
  <c r="AC67" i="31"/>
  <c r="AB67" i="31"/>
  <c r="X67" i="31"/>
  <c r="L67" i="31"/>
  <c r="J67" i="31"/>
  <c r="J64" i="31" s="1"/>
  <c r="I67" i="31"/>
  <c r="H67" i="31"/>
  <c r="BU65" i="31"/>
  <c r="BH65" i="31"/>
  <c r="BB65" i="31"/>
  <c r="AN65" i="31"/>
  <c r="BG65" i="31" s="1"/>
  <c r="AA65" i="31" s="1"/>
  <c r="AM65" i="31"/>
  <c r="BF65" i="31" s="1"/>
  <c r="AI65" i="31"/>
  <c r="AR64" i="31" s="1"/>
  <c r="AH65" i="31"/>
  <c r="AF65" i="31"/>
  <c r="AE65" i="31"/>
  <c r="AD65" i="31"/>
  <c r="AC65" i="31"/>
  <c r="AB65" i="31"/>
  <c r="Z65" i="31"/>
  <c r="X65" i="31"/>
  <c r="L65" i="31"/>
  <c r="BD65" i="31" s="1"/>
  <c r="J65" i="31"/>
  <c r="AJ65" i="31" s="1"/>
  <c r="H65" i="31"/>
  <c r="H64" i="31" s="1"/>
  <c r="L64" i="31"/>
  <c r="BU62" i="31"/>
  <c r="BH62" i="31"/>
  <c r="BB62" i="31"/>
  <c r="AV62" i="31"/>
  <c r="AN62" i="31"/>
  <c r="BG62" i="31" s="1"/>
  <c r="AA62" i="31" s="1"/>
  <c r="AM62" i="31"/>
  <c r="AI62" i="31"/>
  <c r="AH62" i="31"/>
  <c r="AQ61" i="31" s="1"/>
  <c r="AF62" i="31"/>
  <c r="AE62" i="31"/>
  <c r="AD62" i="31"/>
  <c r="AC62" i="31"/>
  <c r="AB62" i="31"/>
  <c r="X62" i="31"/>
  <c r="L62" i="31"/>
  <c r="J62" i="31"/>
  <c r="AJ62" i="31" s="1"/>
  <c r="AS61" i="31" s="1"/>
  <c r="I62" i="31"/>
  <c r="I61" i="31" s="1"/>
  <c r="AR61" i="31"/>
  <c r="J61" i="31"/>
  <c r="BU59" i="31"/>
  <c r="BH59" i="31"/>
  <c r="BB59" i="31"/>
  <c r="AN59" i="31"/>
  <c r="BG59" i="31" s="1"/>
  <c r="AA59" i="31" s="1"/>
  <c r="AM59" i="31"/>
  <c r="BF59" i="31" s="1"/>
  <c r="AI59" i="31"/>
  <c r="AH59" i="31"/>
  <c r="AF59" i="31"/>
  <c r="AE59" i="31"/>
  <c r="AD59" i="31"/>
  <c r="AC59" i="31"/>
  <c r="AB59" i="31"/>
  <c r="Z59" i="31"/>
  <c r="X59" i="31"/>
  <c r="L59" i="31"/>
  <c r="BD59" i="31" s="1"/>
  <c r="J59" i="31"/>
  <c r="AJ59" i="31" s="1"/>
  <c r="I59" i="31"/>
  <c r="H59" i="31"/>
  <c r="BU57" i="31"/>
  <c r="BH57" i="31"/>
  <c r="BB57" i="31"/>
  <c r="AN57" i="31"/>
  <c r="AM57" i="31"/>
  <c r="BF57" i="31" s="1"/>
  <c r="Z57" i="31" s="1"/>
  <c r="AI57" i="31"/>
  <c r="AH57" i="31"/>
  <c r="AF57" i="31"/>
  <c r="AE57" i="31"/>
  <c r="AD57" i="31"/>
  <c r="AC57" i="31"/>
  <c r="AB57" i="31"/>
  <c r="X57" i="31"/>
  <c r="L57" i="31"/>
  <c r="BD57" i="31" s="1"/>
  <c r="J57" i="31"/>
  <c r="AJ57" i="31" s="1"/>
  <c r="H57" i="31"/>
  <c r="BU55" i="31"/>
  <c r="BH55" i="31"/>
  <c r="BB55" i="31"/>
  <c r="AV55" i="31"/>
  <c r="AN55" i="31"/>
  <c r="BG55" i="31" s="1"/>
  <c r="AA55" i="31" s="1"/>
  <c r="AM55" i="31"/>
  <c r="AI55" i="31"/>
  <c r="AH55" i="31"/>
  <c r="AF55" i="31"/>
  <c r="AE55" i="31"/>
  <c r="AD55" i="31"/>
  <c r="AC55" i="31"/>
  <c r="AB55" i="31"/>
  <c r="X55" i="31"/>
  <c r="L55" i="31"/>
  <c r="BD55" i="31" s="1"/>
  <c r="J55" i="31"/>
  <c r="AJ55" i="31" s="1"/>
  <c r="I55" i="31"/>
  <c r="BU53" i="31"/>
  <c r="BH53" i="31"/>
  <c r="BD53" i="31"/>
  <c r="BB53" i="31"/>
  <c r="AN53" i="31"/>
  <c r="AV53" i="31" s="1"/>
  <c r="AM53" i="31"/>
  <c r="AI53" i="31"/>
  <c r="AH53" i="31"/>
  <c r="AF53" i="31"/>
  <c r="AE53" i="31"/>
  <c r="AD53" i="31"/>
  <c r="AC53" i="31"/>
  <c r="AB53" i="31"/>
  <c r="X53" i="31"/>
  <c r="L53" i="31"/>
  <c r="J53" i="31"/>
  <c r="AJ53" i="31" s="1"/>
  <c r="H53" i="31"/>
  <c r="BU51" i="31"/>
  <c r="BH51" i="31"/>
  <c r="BF51" i="31"/>
  <c r="BB51" i="31"/>
  <c r="AV51" i="31"/>
  <c r="AN51" i="31"/>
  <c r="BG51" i="31" s="1"/>
  <c r="AA51" i="31" s="1"/>
  <c r="AM51" i="31"/>
  <c r="AU51" i="31" s="1"/>
  <c r="AI51" i="31"/>
  <c r="AH51" i="31"/>
  <c r="AF51" i="31"/>
  <c r="AE51" i="31"/>
  <c r="AD51" i="31"/>
  <c r="AC51" i="31"/>
  <c r="AB51" i="31"/>
  <c r="Z51" i="31"/>
  <c r="X51" i="31"/>
  <c r="L51" i="31"/>
  <c r="BD51" i="31" s="1"/>
  <c r="J51" i="31"/>
  <c r="AJ51" i="31" s="1"/>
  <c r="I51" i="31"/>
  <c r="BU49" i="31"/>
  <c r="BH49" i="31"/>
  <c r="BD49" i="31"/>
  <c r="BB49" i="31"/>
  <c r="AN49" i="31"/>
  <c r="AV49" i="31" s="1"/>
  <c r="AM49" i="31"/>
  <c r="BF49" i="31" s="1"/>
  <c r="Z49" i="31" s="1"/>
  <c r="AI49" i="31"/>
  <c r="AH49" i="31"/>
  <c r="AF49" i="31"/>
  <c r="AE49" i="31"/>
  <c r="AD49" i="31"/>
  <c r="AC49" i="31"/>
  <c r="AB49" i="31"/>
  <c r="X49" i="31"/>
  <c r="L49" i="31"/>
  <c r="J49" i="31"/>
  <c r="AJ49" i="31" s="1"/>
  <c r="H49" i="31"/>
  <c r="BU47" i="31"/>
  <c r="BH47" i="31"/>
  <c r="BB47" i="31"/>
  <c r="AV47" i="31"/>
  <c r="AN47" i="31"/>
  <c r="I47" i="31" s="1"/>
  <c r="AM47" i="31"/>
  <c r="AU47" i="31" s="1"/>
  <c r="AI47" i="31"/>
  <c r="AH47" i="31"/>
  <c r="AF47" i="31"/>
  <c r="AE47" i="31"/>
  <c r="AD47" i="31"/>
  <c r="AC47" i="31"/>
  <c r="AB47" i="31"/>
  <c r="X47" i="31"/>
  <c r="L47" i="31"/>
  <c r="BD47" i="31" s="1"/>
  <c r="J47" i="31"/>
  <c r="AJ47" i="31" s="1"/>
  <c r="BU45" i="31"/>
  <c r="BH45" i="31"/>
  <c r="BD45" i="31"/>
  <c r="BB45" i="31"/>
  <c r="AV45" i="31"/>
  <c r="AU45" i="31"/>
  <c r="AT45" i="31" s="1"/>
  <c r="AN45" i="31"/>
  <c r="I45" i="31" s="1"/>
  <c r="AM45" i="31"/>
  <c r="H45" i="31" s="1"/>
  <c r="AI45" i="31"/>
  <c r="AH45" i="31"/>
  <c r="AF45" i="31"/>
  <c r="AE45" i="31"/>
  <c r="AD45" i="31"/>
  <c r="AC45" i="31"/>
  <c r="AB45" i="31"/>
  <c r="X45" i="31"/>
  <c r="L45" i="31"/>
  <c r="J45" i="31"/>
  <c r="AJ45" i="31" s="1"/>
  <c r="BU43" i="31"/>
  <c r="BH43" i="31"/>
  <c r="BD43" i="31"/>
  <c r="BB43" i="31"/>
  <c r="AU43" i="31"/>
  <c r="AN43" i="31"/>
  <c r="BG43" i="31" s="1"/>
  <c r="AA43" i="31" s="1"/>
  <c r="AM43" i="31"/>
  <c r="H43" i="31" s="1"/>
  <c r="AI43" i="31"/>
  <c r="AH43" i="31"/>
  <c r="AF43" i="31"/>
  <c r="AE43" i="31"/>
  <c r="AD43" i="31"/>
  <c r="AC43" i="31"/>
  <c r="AB43" i="31"/>
  <c r="X43" i="31"/>
  <c r="L43" i="31"/>
  <c r="J43" i="31"/>
  <c r="AJ43" i="31" s="1"/>
  <c r="I43" i="31"/>
  <c r="BU41" i="31"/>
  <c r="BH41" i="31"/>
  <c r="BB41" i="31"/>
  <c r="AU41" i="31"/>
  <c r="AN41" i="31"/>
  <c r="AV41" i="31" s="1"/>
  <c r="AM41" i="31"/>
  <c r="BF41" i="31" s="1"/>
  <c r="Z41" i="31" s="1"/>
  <c r="AI41" i="31"/>
  <c r="AH41" i="31"/>
  <c r="AQ40" i="31" s="1"/>
  <c r="AF41" i="31"/>
  <c r="AE41" i="31"/>
  <c r="AD41" i="31"/>
  <c r="AC41" i="31"/>
  <c r="AB41" i="31"/>
  <c r="X41" i="31"/>
  <c r="L41" i="31"/>
  <c r="BD41" i="31" s="1"/>
  <c r="J41" i="31"/>
  <c r="J40" i="31" s="1"/>
  <c r="L40" i="31"/>
  <c r="BU38" i="31"/>
  <c r="BH38" i="31"/>
  <c r="BD38" i="31"/>
  <c r="BB38" i="31"/>
  <c r="AV38" i="31"/>
  <c r="AU38" i="31"/>
  <c r="AT38" i="31" s="1"/>
  <c r="AN38" i="31"/>
  <c r="I38" i="31" s="1"/>
  <c r="AM38" i="31"/>
  <c r="H38" i="31" s="1"/>
  <c r="AI38" i="31"/>
  <c r="AH38" i="31"/>
  <c r="AF38" i="31"/>
  <c r="AE38" i="31"/>
  <c r="AD38" i="31"/>
  <c r="AC38" i="31"/>
  <c r="AB38" i="31"/>
  <c r="X38" i="31"/>
  <c r="L38" i="31"/>
  <c r="J38" i="31"/>
  <c r="AJ38" i="31" s="1"/>
  <c r="BU36" i="31"/>
  <c r="BH36" i="31"/>
  <c r="BD36" i="31"/>
  <c r="BB36" i="31"/>
  <c r="AU36" i="31"/>
  <c r="AN36" i="31"/>
  <c r="BG36" i="31" s="1"/>
  <c r="AA36" i="31" s="1"/>
  <c r="AM36" i="31"/>
  <c r="H36" i="31" s="1"/>
  <c r="AI36" i="31"/>
  <c r="AR35" i="31" s="1"/>
  <c r="AH36" i="31"/>
  <c r="AQ35" i="31" s="1"/>
  <c r="AF36" i="31"/>
  <c r="AE36" i="31"/>
  <c r="AD36" i="31"/>
  <c r="AC36" i="31"/>
  <c r="AB36" i="31"/>
  <c r="X36" i="31"/>
  <c r="L36" i="31"/>
  <c r="L35" i="31" s="1"/>
  <c r="J36" i="31"/>
  <c r="I36" i="31"/>
  <c r="I35" i="31" s="1"/>
  <c r="BU33" i="31"/>
  <c r="BH33" i="31"/>
  <c r="BB33" i="31"/>
  <c r="AN33" i="31"/>
  <c r="I33" i="31" s="1"/>
  <c r="AM33" i="31"/>
  <c r="AU33" i="31" s="1"/>
  <c r="AI33" i="31"/>
  <c r="AH33" i="31"/>
  <c r="AF33" i="31"/>
  <c r="AE33" i="31"/>
  <c r="AD33" i="31"/>
  <c r="AC33" i="31"/>
  <c r="AB33" i="31"/>
  <c r="X33" i="31"/>
  <c r="L33" i="31"/>
  <c r="BD33" i="31" s="1"/>
  <c r="J33" i="31"/>
  <c r="AJ33" i="31" s="1"/>
  <c r="BU31" i="31"/>
  <c r="BH31" i="31"/>
  <c r="BD31" i="31"/>
  <c r="BB31" i="31"/>
  <c r="AU31" i="31"/>
  <c r="AN31" i="31"/>
  <c r="BG31" i="31" s="1"/>
  <c r="AA31" i="31" s="1"/>
  <c r="AM31" i="31"/>
  <c r="H31" i="31" s="1"/>
  <c r="AI31" i="31"/>
  <c r="AH31" i="31"/>
  <c r="AF31" i="31"/>
  <c r="AE31" i="31"/>
  <c r="AD31" i="31"/>
  <c r="AC31" i="31"/>
  <c r="AB31" i="31"/>
  <c r="X31" i="31"/>
  <c r="L31" i="31"/>
  <c r="J31" i="31"/>
  <c r="AJ31" i="31" s="1"/>
  <c r="I31" i="31"/>
  <c r="BU29" i="31"/>
  <c r="BH29" i="31"/>
  <c r="BD29" i="31"/>
  <c r="BB29" i="31"/>
  <c r="AU29" i="31"/>
  <c r="AN29" i="31"/>
  <c r="BG29" i="31" s="1"/>
  <c r="AA29" i="31" s="1"/>
  <c r="AM29" i="31"/>
  <c r="BF29" i="31" s="1"/>
  <c r="Z29" i="31" s="1"/>
  <c r="AI29" i="31"/>
  <c r="AH29" i="31"/>
  <c r="AF29" i="31"/>
  <c r="AE29" i="31"/>
  <c r="AD29" i="31"/>
  <c r="AC29" i="31"/>
  <c r="AB29" i="31"/>
  <c r="X29" i="31"/>
  <c r="L29" i="31"/>
  <c r="J29" i="31"/>
  <c r="AJ29" i="31" s="1"/>
  <c r="I29" i="31"/>
  <c r="H29" i="31"/>
  <c r="BU27" i="31"/>
  <c r="BH27" i="31"/>
  <c r="BB27" i="31"/>
  <c r="AN27" i="31"/>
  <c r="AV27" i="31" s="1"/>
  <c r="AM27" i="31"/>
  <c r="BF27" i="31" s="1"/>
  <c r="Z27" i="31" s="1"/>
  <c r="AI27" i="31"/>
  <c r="AH27" i="31"/>
  <c r="AF27" i="31"/>
  <c r="AE27" i="31"/>
  <c r="AD27" i="31"/>
  <c r="AC27" i="31"/>
  <c r="AB27" i="31"/>
  <c r="X27" i="31"/>
  <c r="L27" i="31"/>
  <c r="BD27" i="31" s="1"/>
  <c r="J27" i="31"/>
  <c r="AJ27" i="31" s="1"/>
  <c r="H27" i="31"/>
  <c r="BU25" i="31"/>
  <c r="BH25" i="31"/>
  <c r="BB25" i="31"/>
  <c r="AV25" i="31"/>
  <c r="AN25" i="31"/>
  <c r="I25" i="31" s="1"/>
  <c r="AM25" i="31"/>
  <c r="AU25" i="31" s="1"/>
  <c r="AI25" i="31"/>
  <c r="AH25" i="31"/>
  <c r="AF25" i="31"/>
  <c r="AE25" i="31"/>
  <c r="AD25" i="31"/>
  <c r="AC25" i="31"/>
  <c r="AB25" i="31"/>
  <c r="X25" i="31"/>
  <c r="L25" i="31"/>
  <c r="BD25" i="31" s="1"/>
  <c r="J25" i="31"/>
  <c r="AJ25" i="31" s="1"/>
  <c r="BU23" i="31"/>
  <c r="BH23" i="31"/>
  <c r="BD23" i="31"/>
  <c r="BB23" i="31"/>
  <c r="AV23" i="31"/>
  <c r="AU23" i="31"/>
  <c r="AT23" i="31" s="1"/>
  <c r="AN23" i="31"/>
  <c r="BG23" i="31" s="1"/>
  <c r="AA23" i="31" s="1"/>
  <c r="AM23" i="31"/>
  <c r="H23" i="31" s="1"/>
  <c r="AI23" i="31"/>
  <c r="AH23" i="31"/>
  <c r="AF23" i="31"/>
  <c r="AE23" i="31"/>
  <c r="AD23" i="31"/>
  <c r="AC23" i="31"/>
  <c r="AB23" i="31"/>
  <c r="X23" i="31"/>
  <c r="L23" i="31"/>
  <c r="J23" i="31"/>
  <c r="J18" i="31" s="1"/>
  <c r="I23" i="31"/>
  <c r="BU21" i="31"/>
  <c r="BH21" i="31"/>
  <c r="BD21" i="31"/>
  <c r="BB21" i="31"/>
  <c r="AN21" i="31"/>
  <c r="BG21" i="31" s="1"/>
  <c r="AA21" i="31" s="1"/>
  <c r="AM21" i="31"/>
  <c r="BF21" i="31" s="1"/>
  <c r="Z21" i="31" s="1"/>
  <c r="AI21" i="31"/>
  <c r="AH21" i="31"/>
  <c r="AF21" i="31"/>
  <c r="AE21" i="31"/>
  <c r="AD21" i="31"/>
  <c r="AC21" i="31"/>
  <c r="AB21" i="31"/>
  <c r="X21" i="31"/>
  <c r="L21" i="31"/>
  <c r="J21" i="31"/>
  <c r="AJ21" i="31" s="1"/>
  <c r="I21" i="31"/>
  <c r="H21" i="31"/>
  <c r="BU19" i="31"/>
  <c r="BH19" i="31"/>
  <c r="BB19" i="31"/>
  <c r="AN19" i="31"/>
  <c r="AV19" i="31" s="1"/>
  <c r="AM19" i="31"/>
  <c r="BF19" i="31" s="1"/>
  <c r="Z19" i="31" s="1"/>
  <c r="AI19" i="31"/>
  <c r="AH19" i="31"/>
  <c r="AF19" i="31"/>
  <c r="AE19" i="31"/>
  <c r="AD19" i="31"/>
  <c r="AC19" i="31"/>
  <c r="AB19" i="31"/>
  <c r="X19" i="31"/>
  <c r="L19" i="31"/>
  <c r="BD19" i="31" s="1"/>
  <c r="J19" i="31"/>
  <c r="AJ19" i="31" s="1"/>
  <c r="H19" i="31"/>
  <c r="L18" i="31"/>
  <c r="BU16" i="31"/>
  <c r="BH16" i="31"/>
  <c r="BD16" i="31"/>
  <c r="BB16" i="31"/>
  <c r="AU16" i="31"/>
  <c r="AN16" i="31"/>
  <c r="BG16" i="31" s="1"/>
  <c r="AA16" i="31" s="1"/>
  <c r="AM16" i="31"/>
  <c r="H16" i="31" s="1"/>
  <c r="H15" i="31" s="1"/>
  <c r="AI16" i="31"/>
  <c r="AR15" i="31" s="1"/>
  <c r="AH16" i="31"/>
  <c r="AQ15" i="31" s="1"/>
  <c r="AF16" i="31"/>
  <c r="AE16" i="31"/>
  <c r="AD16" i="31"/>
  <c r="AC16" i="31"/>
  <c r="AB16" i="31"/>
  <c r="X16" i="31"/>
  <c r="L16" i="31"/>
  <c r="L15" i="31" s="1"/>
  <c r="J16" i="31"/>
  <c r="J15" i="31" s="1"/>
  <c r="I16" i="31"/>
  <c r="I15" i="31" s="1"/>
  <c r="BU13" i="31"/>
  <c r="BH13" i="31"/>
  <c r="BB13" i="31"/>
  <c r="AN13" i="31"/>
  <c r="AV13" i="31" s="1"/>
  <c r="AM13" i="31"/>
  <c r="BF13" i="31" s="1"/>
  <c r="Z13" i="31" s="1"/>
  <c r="AI13" i="31"/>
  <c r="AR12" i="31" s="1"/>
  <c r="AH13" i="31"/>
  <c r="AQ12" i="31" s="1"/>
  <c r="AF13" i="31"/>
  <c r="AE13" i="31"/>
  <c r="AD13" i="31"/>
  <c r="AC13" i="31"/>
  <c r="AB13" i="31"/>
  <c r="X13" i="31"/>
  <c r="L13" i="31"/>
  <c r="BD13" i="31" s="1"/>
  <c r="J13" i="31"/>
  <c r="AJ13" i="31" s="1"/>
  <c r="AS12" i="31" s="1"/>
  <c r="L12" i="31"/>
  <c r="AS1" i="31"/>
  <c r="AR1" i="31"/>
  <c r="AQ1" i="31"/>
  <c r="BU40" i="30"/>
  <c r="BH40" i="30"/>
  <c r="AF40" i="30" s="1"/>
  <c r="BB40" i="30"/>
  <c r="AU40" i="30"/>
  <c r="AN40" i="30"/>
  <c r="BG40" i="30" s="1"/>
  <c r="AM40" i="30"/>
  <c r="BF40" i="30" s="1"/>
  <c r="AI40" i="30"/>
  <c r="AH40" i="30"/>
  <c r="AQ39" i="30" s="1"/>
  <c r="AE40" i="30"/>
  <c r="AD40" i="30"/>
  <c r="AC40" i="30"/>
  <c r="AB40" i="30"/>
  <c r="AA40" i="30"/>
  <c r="Z40" i="30"/>
  <c r="X40" i="30"/>
  <c r="L40" i="30"/>
  <c r="BD40" i="30" s="1"/>
  <c r="J40" i="30"/>
  <c r="AJ40" i="30" s="1"/>
  <c r="AS39" i="30" s="1"/>
  <c r="I40" i="30"/>
  <c r="AR39" i="30"/>
  <c r="J39" i="30"/>
  <c r="I39" i="30"/>
  <c r="BU37" i="30"/>
  <c r="BH37" i="30"/>
  <c r="X37" i="30" s="1"/>
  <c r="BB37" i="30"/>
  <c r="AN37" i="30"/>
  <c r="BG37" i="30" s="1"/>
  <c r="AM37" i="30"/>
  <c r="BF37" i="30" s="1"/>
  <c r="AI37" i="30"/>
  <c r="AR34" i="30" s="1"/>
  <c r="AH37" i="30"/>
  <c r="AF37" i="30"/>
  <c r="AE37" i="30"/>
  <c r="AD37" i="30"/>
  <c r="AC37" i="30"/>
  <c r="AB37" i="30"/>
  <c r="AA37" i="30"/>
  <c r="Z37" i="30"/>
  <c r="L37" i="30"/>
  <c r="BD37" i="30" s="1"/>
  <c r="J37" i="30"/>
  <c r="AJ37" i="30" s="1"/>
  <c r="I37" i="30"/>
  <c r="H37" i="30"/>
  <c r="BU35" i="30"/>
  <c r="BH35" i="30"/>
  <c r="X35" i="30" s="1"/>
  <c r="BB35" i="30"/>
  <c r="AU35" i="30"/>
  <c r="AN35" i="30"/>
  <c r="BG35" i="30" s="1"/>
  <c r="AM35" i="30"/>
  <c r="BF35" i="30" s="1"/>
  <c r="AI35" i="30"/>
  <c r="AH35" i="30"/>
  <c r="AQ34" i="30" s="1"/>
  <c r="AF35" i="30"/>
  <c r="AE35" i="30"/>
  <c r="AD35" i="30"/>
  <c r="AC35" i="30"/>
  <c r="AB35" i="30"/>
  <c r="AA35" i="30"/>
  <c r="Z35" i="30"/>
  <c r="L35" i="30"/>
  <c r="BD35" i="30" s="1"/>
  <c r="J35" i="30"/>
  <c r="AJ35" i="30" s="1"/>
  <c r="J34" i="30"/>
  <c r="BU32" i="30"/>
  <c r="BH32" i="30"/>
  <c r="BB32" i="30"/>
  <c r="AN32" i="30"/>
  <c r="BG32" i="30" s="1"/>
  <c r="AA32" i="30" s="1"/>
  <c r="AM32" i="30"/>
  <c r="BF32" i="30" s="1"/>
  <c r="Z32" i="30" s="1"/>
  <c r="AI32" i="30"/>
  <c r="AH32" i="30"/>
  <c r="AF32" i="30"/>
  <c r="AE32" i="30"/>
  <c r="AD32" i="30"/>
  <c r="AC32" i="30"/>
  <c r="AB32" i="30"/>
  <c r="X32" i="30"/>
  <c r="L32" i="30"/>
  <c r="BD32" i="30" s="1"/>
  <c r="J32" i="30"/>
  <c r="AJ32" i="30" s="1"/>
  <c r="I32" i="30"/>
  <c r="H32" i="30"/>
  <c r="H23" i="30" s="1"/>
  <c r="BU30" i="30"/>
  <c r="BH30" i="30"/>
  <c r="BB30" i="30"/>
  <c r="AN30" i="30"/>
  <c r="BG30" i="30" s="1"/>
  <c r="AA30" i="30" s="1"/>
  <c r="AM30" i="30"/>
  <c r="BF30" i="30" s="1"/>
  <c r="Z30" i="30" s="1"/>
  <c r="AI30" i="30"/>
  <c r="AH30" i="30"/>
  <c r="AF30" i="30"/>
  <c r="AE30" i="30"/>
  <c r="AD30" i="30"/>
  <c r="AC30" i="30"/>
  <c r="AB30" i="30"/>
  <c r="X30" i="30"/>
  <c r="L30" i="30"/>
  <c r="BD30" i="30" s="1"/>
  <c r="J30" i="30"/>
  <c r="AJ30" i="30" s="1"/>
  <c r="I30" i="30"/>
  <c r="H30" i="30"/>
  <c r="BU28" i="30"/>
  <c r="BH28" i="30"/>
  <c r="BB28" i="30"/>
  <c r="AN28" i="30"/>
  <c r="BG28" i="30" s="1"/>
  <c r="AA28" i="30" s="1"/>
  <c r="AM28" i="30"/>
  <c r="BF28" i="30" s="1"/>
  <c r="Z28" i="30" s="1"/>
  <c r="AI28" i="30"/>
  <c r="AH28" i="30"/>
  <c r="AF28" i="30"/>
  <c r="AE28" i="30"/>
  <c r="AD28" i="30"/>
  <c r="AC28" i="30"/>
  <c r="AB28" i="30"/>
  <c r="X28" i="30"/>
  <c r="L28" i="30"/>
  <c r="BD28" i="30" s="1"/>
  <c r="J28" i="30"/>
  <c r="AJ28" i="30" s="1"/>
  <c r="I28" i="30"/>
  <c r="H28" i="30"/>
  <c r="BU26" i="30"/>
  <c r="BH26" i="30"/>
  <c r="BB26" i="30"/>
  <c r="AN26" i="30"/>
  <c r="BG26" i="30" s="1"/>
  <c r="AA26" i="30" s="1"/>
  <c r="AM26" i="30"/>
  <c r="BF26" i="30" s="1"/>
  <c r="Z26" i="30" s="1"/>
  <c r="AI26" i="30"/>
  <c r="AH26" i="30"/>
  <c r="AF26" i="30"/>
  <c r="AE26" i="30"/>
  <c r="AD26" i="30"/>
  <c r="AC26" i="30"/>
  <c r="AB26" i="30"/>
  <c r="X26" i="30"/>
  <c r="L26" i="30"/>
  <c r="BD26" i="30" s="1"/>
  <c r="J26" i="30"/>
  <c r="AJ26" i="30" s="1"/>
  <c r="I26" i="30"/>
  <c r="H26" i="30"/>
  <c r="BU24" i="30"/>
  <c r="BH24" i="30"/>
  <c r="BB24" i="30"/>
  <c r="AN24" i="30"/>
  <c r="BG24" i="30" s="1"/>
  <c r="AA24" i="30" s="1"/>
  <c r="AM24" i="30"/>
  <c r="BF24" i="30" s="1"/>
  <c r="Z24" i="30" s="1"/>
  <c r="AI24" i="30"/>
  <c r="AH24" i="30"/>
  <c r="AF24" i="30"/>
  <c r="AE24" i="30"/>
  <c r="AD24" i="30"/>
  <c r="AC24" i="30"/>
  <c r="AB24" i="30"/>
  <c r="X24" i="30"/>
  <c r="L24" i="30"/>
  <c r="BD24" i="30" s="1"/>
  <c r="J24" i="30"/>
  <c r="AJ24" i="30" s="1"/>
  <c r="I24" i="30"/>
  <c r="H24" i="30"/>
  <c r="BU21" i="30"/>
  <c r="BH21" i="30"/>
  <c r="BB21" i="30"/>
  <c r="AN21" i="30"/>
  <c r="BG21" i="30" s="1"/>
  <c r="AA21" i="30" s="1"/>
  <c r="AM21" i="30"/>
  <c r="BF21" i="30" s="1"/>
  <c r="Z21" i="30" s="1"/>
  <c r="AI21" i="30"/>
  <c r="AH21" i="30"/>
  <c r="AF21" i="30"/>
  <c r="AE21" i="30"/>
  <c r="AD21" i="30"/>
  <c r="AC21" i="30"/>
  <c r="AB21" i="30"/>
  <c r="X21" i="30"/>
  <c r="L21" i="30"/>
  <c r="BD21" i="30" s="1"/>
  <c r="J21" i="30"/>
  <c r="AJ21" i="30" s="1"/>
  <c r="I21" i="30"/>
  <c r="H21" i="30"/>
  <c r="BU19" i="30"/>
  <c r="BH19" i="30"/>
  <c r="BB19" i="30"/>
  <c r="AN19" i="30"/>
  <c r="BG19" i="30" s="1"/>
  <c r="AA19" i="30" s="1"/>
  <c r="AM19" i="30"/>
  <c r="BF19" i="30" s="1"/>
  <c r="Z19" i="30" s="1"/>
  <c r="AI19" i="30"/>
  <c r="AH19" i="30"/>
  <c r="AF19" i="30"/>
  <c r="AE19" i="30"/>
  <c r="AD19" i="30"/>
  <c r="AC19" i="30"/>
  <c r="AB19" i="30"/>
  <c r="X19" i="30"/>
  <c r="L19" i="30"/>
  <c r="BD19" i="30" s="1"/>
  <c r="J19" i="30"/>
  <c r="AJ19" i="30" s="1"/>
  <c r="I19" i="30"/>
  <c r="I18" i="30" s="1"/>
  <c r="H19" i="30"/>
  <c r="AR18" i="30"/>
  <c r="BU16" i="30"/>
  <c r="BH16" i="30"/>
  <c r="BB16" i="30"/>
  <c r="AN16" i="30"/>
  <c r="BG16" i="30" s="1"/>
  <c r="AA16" i="30" s="1"/>
  <c r="AM16" i="30"/>
  <c r="BF16" i="30" s="1"/>
  <c r="Z16" i="30" s="1"/>
  <c r="AI16" i="30"/>
  <c r="AR15" i="30" s="1"/>
  <c r="AH16" i="30"/>
  <c r="AF16" i="30"/>
  <c r="AE16" i="30"/>
  <c r="AD16" i="30"/>
  <c r="AC16" i="30"/>
  <c r="AB16" i="30"/>
  <c r="X16" i="30"/>
  <c r="L16" i="30"/>
  <c r="L15" i="30" s="1"/>
  <c r="J16" i="30"/>
  <c r="AJ16" i="30" s="1"/>
  <c r="AS15" i="30" s="1"/>
  <c r="I16" i="30"/>
  <c r="H16" i="30"/>
  <c r="AQ15" i="30"/>
  <c r="I15" i="30"/>
  <c r="H15" i="30"/>
  <c r="BU13" i="30"/>
  <c r="BH13" i="30"/>
  <c r="BB13" i="30"/>
  <c r="AN13" i="30"/>
  <c r="BG13" i="30" s="1"/>
  <c r="AA13" i="30" s="1"/>
  <c r="AM13" i="30"/>
  <c r="BF13" i="30" s="1"/>
  <c r="Z13" i="30" s="1"/>
  <c r="AI13" i="30"/>
  <c r="AH13" i="30"/>
  <c r="AF13" i="30"/>
  <c r="AE13" i="30"/>
  <c r="AD13" i="30"/>
  <c r="AC13" i="30"/>
  <c r="AB13" i="30"/>
  <c r="X13" i="30"/>
  <c r="L13" i="30"/>
  <c r="L12" i="30" s="1"/>
  <c r="J13" i="30"/>
  <c r="AJ13" i="30" s="1"/>
  <c r="AS12" i="30" s="1"/>
  <c r="I13" i="30"/>
  <c r="I12" i="30" s="1"/>
  <c r="H13" i="30"/>
  <c r="H12" i="30" s="1"/>
  <c r="AR12" i="30"/>
  <c r="AQ12" i="30"/>
  <c r="AS1" i="30"/>
  <c r="AR1" i="30"/>
  <c r="AQ1" i="30"/>
  <c r="AU24" i="30" l="1"/>
  <c r="H40" i="30"/>
  <c r="H39" i="30" s="1"/>
  <c r="AQ18" i="30"/>
  <c r="AU21" i="30"/>
  <c r="H18" i="30"/>
  <c r="H55" i="31"/>
  <c r="AU55" i="31"/>
  <c r="AJ97" i="31"/>
  <c r="AS96" i="31" s="1"/>
  <c r="J96" i="31"/>
  <c r="I110" i="31"/>
  <c r="AV110" i="31"/>
  <c r="BF126" i="31"/>
  <c r="Z126" i="31" s="1"/>
  <c r="AU126" i="31"/>
  <c r="BF171" i="31"/>
  <c r="Z171" i="31" s="1"/>
  <c r="AU171" i="31"/>
  <c r="H171" i="31"/>
  <c r="BF192" i="31"/>
  <c r="Z192" i="31" s="1"/>
  <c r="H192" i="31"/>
  <c r="BF228" i="31"/>
  <c r="AD228" i="31" s="1"/>
  <c r="AU228" i="31"/>
  <c r="BG276" i="31"/>
  <c r="I276" i="31"/>
  <c r="AV276" i="31"/>
  <c r="BF279" i="31"/>
  <c r="AU279" i="31"/>
  <c r="H279" i="31"/>
  <c r="H13" i="31"/>
  <c r="H12" i="31" s="1"/>
  <c r="AQ18" i="31"/>
  <c r="AT31" i="31"/>
  <c r="J35" i="31"/>
  <c r="AR40" i="31"/>
  <c r="BA51" i="31"/>
  <c r="BF55" i="31"/>
  <c r="Z55" i="31" s="1"/>
  <c r="I65" i="31"/>
  <c r="I64" i="31" s="1"/>
  <c r="H70" i="31"/>
  <c r="H72" i="31"/>
  <c r="AR69" i="31"/>
  <c r="BG82" i="31"/>
  <c r="AA82" i="31" s="1"/>
  <c r="I82" i="31"/>
  <c r="BF86" i="31"/>
  <c r="Z86" i="31" s="1"/>
  <c r="H86" i="31"/>
  <c r="I94" i="31"/>
  <c r="BF94" i="31"/>
  <c r="Z94" i="31" s="1"/>
  <c r="AU94" i="31"/>
  <c r="I100" i="31"/>
  <c r="I99" i="31" s="1"/>
  <c r="BF100" i="31"/>
  <c r="Z100" i="31" s="1"/>
  <c r="AU100" i="31"/>
  <c r="H100" i="31"/>
  <c r="BG102" i="31"/>
  <c r="AA102" i="31" s="1"/>
  <c r="AV102" i="31"/>
  <c r="J114" i="31"/>
  <c r="AJ115" i="31"/>
  <c r="AS114" i="31" s="1"/>
  <c r="AU115" i="31"/>
  <c r="AV124" i="31"/>
  <c r="H126" i="31"/>
  <c r="H117" i="31" s="1"/>
  <c r="H140" i="31"/>
  <c r="H156" i="31"/>
  <c r="AU156" i="31"/>
  <c r="I162" i="31"/>
  <c r="BG171" i="31"/>
  <c r="AA171" i="31" s="1"/>
  <c r="I171" i="31"/>
  <c r="BG202" i="31"/>
  <c r="AA202" i="31" s="1"/>
  <c r="I202" i="31"/>
  <c r="BG248" i="31"/>
  <c r="I248" i="31"/>
  <c r="AV248" i="31"/>
  <c r="BG260" i="31"/>
  <c r="I260" i="31"/>
  <c r="AV260" i="31"/>
  <c r="BG275" i="31"/>
  <c r="I275" i="31"/>
  <c r="BF285" i="31"/>
  <c r="H285" i="31"/>
  <c r="AU285" i="31"/>
  <c r="BG291" i="31"/>
  <c r="I291" i="31"/>
  <c r="BG300" i="31"/>
  <c r="I300" i="31"/>
  <c r="AV300" i="31"/>
  <c r="BG91" i="31"/>
  <c r="AA91" i="31" s="1"/>
  <c r="AV91" i="31"/>
  <c r="I115" i="31"/>
  <c r="I114" i="31" s="1"/>
  <c r="AV115" i="31"/>
  <c r="I132" i="31"/>
  <c r="AV132" i="31"/>
  <c r="BG136" i="31"/>
  <c r="AA136" i="31" s="1"/>
  <c r="AV136" i="31"/>
  <c r="AT136" i="31" s="1"/>
  <c r="I151" i="31"/>
  <c r="AV151" i="31"/>
  <c r="BF53" i="31"/>
  <c r="Z53" i="31" s="1"/>
  <c r="AU53" i="31"/>
  <c r="BA53" i="31" s="1"/>
  <c r="BF74" i="31"/>
  <c r="Z74" i="31" s="1"/>
  <c r="H74" i="31"/>
  <c r="BF93" i="31"/>
  <c r="Z93" i="31" s="1"/>
  <c r="H93" i="31"/>
  <c r="BG298" i="31"/>
  <c r="I298" i="31"/>
  <c r="J69" i="31"/>
  <c r="AJ74" i="31"/>
  <c r="AS69" i="31" s="1"/>
  <c r="H99" i="31"/>
  <c r="BA143" i="31"/>
  <c r="AT143" i="31"/>
  <c r="H163" i="31"/>
  <c r="AU163" i="31"/>
  <c r="BG188" i="31"/>
  <c r="AA188" i="31" s="1"/>
  <c r="AV188" i="31"/>
  <c r="BF202" i="31"/>
  <c r="Z202" i="31" s="1"/>
  <c r="AU202" i="31"/>
  <c r="H202" i="31"/>
  <c r="AV16" i="31"/>
  <c r="AT16" i="31" s="1"/>
  <c r="AR18" i="31"/>
  <c r="AU21" i="31"/>
  <c r="AV31" i="31"/>
  <c r="BA36" i="31"/>
  <c r="BA43" i="31"/>
  <c r="AQ69" i="31"/>
  <c r="BF88" i="31"/>
  <c r="Z88" i="31" s="1"/>
  <c r="H88" i="31"/>
  <c r="AU102" i="31"/>
  <c r="AU107" i="31"/>
  <c r="BF112" i="31"/>
  <c r="Z112" i="31" s="1"/>
  <c r="H112" i="31"/>
  <c r="AV120" i="31"/>
  <c r="BA120" i="31" s="1"/>
  <c r="H122" i="31"/>
  <c r="AU122" i="31"/>
  <c r="BF134" i="31"/>
  <c r="Z134" i="31" s="1"/>
  <c r="AU134" i="31"/>
  <c r="H134" i="31"/>
  <c r="I138" i="31"/>
  <c r="AV138" i="31"/>
  <c r="AT138" i="31" s="1"/>
  <c r="AJ146" i="31"/>
  <c r="AS145" i="31" s="1"/>
  <c r="J145" i="31"/>
  <c r="H149" i="31"/>
  <c r="AU149" i="31"/>
  <c r="H158" i="31"/>
  <c r="AU158" i="31"/>
  <c r="BF190" i="31"/>
  <c r="Z190" i="31" s="1"/>
  <c r="H190" i="31"/>
  <c r="BG194" i="31"/>
  <c r="AA194" i="31" s="1"/>
  <c r="I194" i="31"/>
  <c r="BF219" i="31"/>
  <c r="AU219" i="31"/>
  <c r="AR230" i="31"/>
  <c r="AU27" i="31"/>
  <c r="AV29" i="31"/>
  <c r="BA29" i="31" s="1"/>
  <c r="AV33" i="31"/>
  <c r="AT33" i="31" s="1"/>
  <c r="AV36" i="31"/>
  <c r="AT36" i="31" s="1"/>
  <c r="H41" i="31"/>
  <c r="AV43" i="31"/>
  <c r="AT43" i="31" s="1"/>
  <c r="AU49" i="31"/>
  <c r="BA49" i="31" s="1"/>
  <c r="AT51" i="31"/>
  <c r="I80" i="31"/>
  <c r="BG84" i="31"/>
  <c r="AA84" i="31" s="1"/>
  <c r="AV84" i="31"/>
  <c r="J90" i="31"/>
  <c r="AV107" i="31"/>
  <c r="AT128" i="31"/>
  <c r="H151" i="31"/>
  <c r="AU151" i="31"/>
  <c r="AV156" i="31"/>
  <c r="I158" i="31"/>
  <c r="I155" i="31" s="1"/>
  <c r="AV158" i="31"/>
  <c r="H165" i="31"/>
  <c r="AU165" i="31"/>
  <c r="BF165" i="31"/>
  <c r="Z165" i="31" s="1"/>
  <c r="J175" i="31"/>
  <c r="BF178" i="31"/>
  <c r="Z178" i="31" s="1"/>
  <c r="AU178" i="31"/>
  <c r="H178" i="31"/>
  <c r="BG184" i="31"/>
  <c r="AA184" i="31" s="1"/>
  <c r="I184" i="31"/>
  <c r="J210" i="31"/>
  <c r="I221" i="31"/>
  <c r="I220" i="31" s="1"/>
  <c r="AV221" i="31"/>
  <c r="BF246" i="31"/>
  <c r="AU246" i="31"/>
  <c r="BF254" i="31"/>
  <c r="AU254" i="31"/>
  <c r="BF274" i="31"/>
  <c r="H274" i="31"/>
  <c r="AR241" i="31"/>
  <c r="BG286" i="31"/>
  <c r="I286" i="31"/>
  <c r="BF296" i="31"/>
  <c r="H296" i="31"/>
  <c r="AR140" i="31"/>
  <c r="J148" i="31"/>
  <c r="J155" i="31"/>
  <c r="J213" i="31"/>
  <c r="J230" i="31"/>
  <c r="AQ230" i="31"/>
  <c r="AU231" i="31"/>
  <c r="AU235" i="31"/>
  <c r="I244" i="31"/>
  <c r="I252" i="31"/>
  <c r="AU258" i="31"/>
  <c r="AS90" i="31"/>
  <c r="AR104" i="31"/>
  <c r="AR148" i="31"/>
  <c r="AR155" i="31"/>
  <c r="AR162" i="31"/>
  <c r="AV196" i="31"/>
  <c r="H198" i="31"/>
  <c r="I224" i="31"/>
  <c r="I223" i="31" s="1"/>
  <c r="AV224" i="31"/>
  <c r="AT224" i="31" s="1"/>
  <c r="J241" i="31"/>
  <c r="AV256" i="31"/>
  <c r="H258" i="31"/>
  <c r="AV264" i="31"/>
  <c r="I268" i="31"/>
  <c r="H270" i="31"/>
  <c r="AV280" i="31"/>
  <c r="AT267" i="31"/>
  <c r="BG269" i="31"/>
  <c r="I279" i="31"/>
  <c r="I280" i="31"/>
  <c r="H283" i="31"/>
  <c r="AU283" i="31"/>
  <c r="AV284" i="31"/>
  <c r="J12" i="31"/>
  <c r="BA27" i="31"/>
  <c r="AT27" i="31"/>
  <c r="H35" i="31"/>
  <c r="BA41" i="31"/>
  <c r="AT41" i="31"/>
  <c r="AT25" i="31"/>
  <c r="BA25" i="31"/>
  <c r="AT47" i="31"/>
  <c r="BA47" i="31"/>
  <c r="AT49" i="31"/>
  <c r="AJ16" i="31"/>
  <c r="AS15" i="31" s="1"/>
  <c r="BG19" i="31"/>
  <c r="AA19" i="31" s="1"/>
  <c r="BG27" i="31"/>
  <c r="AA27" i="31" s="1"/>
  <c r="BG41" i="31"/>
  <c r="AA41" i="31" s="1"/>
  <c r="BG49" i="31"/>
  <c r="AA49" i="31" s="1"/>
  <c r="AU97" i="31"/>
  <c r="H97" i="31"/>
  <c r="H96" i="31" s="1"/>
  <c r="BD110" i="31"/>
  <c r="L109" i="31"/>
  <c r="AV141" i="31"/>
  <c r="I141" i="31"/>
  <c r="I140" i="31" s="1"/>
  <c r="AU217" i="31"/>
  <c r="H217" i="31"/>
  <c r="H213" i="31" s="1"/>
  <c r="BF217" i="31"/>
  <c r="I13" i="31"/>
  <c r="I12" i="31" s="1"/>
  <c r="BF16" i="31"/>
  <c r="Z16" i="31" s="1"/>
  <c r="I19" i="31"/>
  <c r="BF23" i="31"/>
  <c r="Z23" i="31" s="1"/>
  <c r="H25" i="31"/>
  <c r="BG25" i="31"/>
  <c r="AA25" i="31" s="1"/>
  <c r="I27" i="31"/>
  <c r="BF31" i="31"/>
  <c r="Z31" i="31" s="1"/>
  <c r="H33" i="31"/>
  <c r="BG33" i="31"/>
  <c r="AA33" i="31" s="1"/>
  <c r="AJ36" i="31"/>
  <c r="AS35" i="31" s="1"/>
  <c r="BF38" i="31"/>
  <c r="Z38" i="31" s="1"/>
  <c r="I41" i="31"/>
  <c r="BF45" i="31"/>
  <c r="Z45" i="31" s="1"/>
  <c r="H47" i="31"/>
  <c r="BG47" i="31"/>
  <c r="AA47" i="31" s="1"/>
  <c r="I49" i="31"/>
  <c r="I53" i="31"/>
  <c r="AU62" i="31"/>
  <c r="H62" i="31"/>
  <c r="H61" i="31" s="1"/>
  <c r="BF62" i="31"/>
  <c r="Z62" i="31" s="1"/>
  <c r="AU76" i="31"/>
  <c r="H76" i="31"/>
  <c r="BF76" i="31"/>
  <c r="Z76" i="31" s="1"/>
  <c r="AU84" i="31"/>
  <c r="H84" i="31"/>
  <c r="H69" i="31" s="1"/>
  <c r="BF84" i="31"/>
  <c r="Z84" i="31" s="1"/>
  <c r="BD91" i="31"/>
  <c r="L90" i="31"/>
  <c r="AV93" i="31"/>
  <c r="I93" i="31"/>
  <c r="I90" i="31" s="1"/>
  <c r="H104" i="31"/>
  <c r="AV105" i="31"/>
  <c r="I105" i="31"/>
  <c r="I104" i="31" s="1"/>
  <c r="BG105" i="31"/>
  <c r="AA105" i="31" s="1"/>
  <c r="AU110" i="31"/>
  <c r="H110" i="31"/>
  <c r="BF110" i="31"/>
  <c r="Z110" i="31" s="1"/>
  <c r="L117" i="31"/>
  <c r="AT122" i="31"/>
  <c r="BA122" i="31"/>
  <c r="AU124" i="31"/>
  <c r="H124" i="31"/>
  <c r="BF124" i="31"/>
  <c r="Z124" i="31" s="1"/>
  <c r="BA138" i="31"/>
  <c r="BG141" i="31"/>
  <c r="AA141" i="31" s="1"/>
  <c r="AU153" i="31"/>
  <c r="H153" i="31"/>
  <c r="H148" i="31" s="1"/>
  <c r="BF153" i="31"/>
  <c r="AB153" i="31" s="1"/>
  <c r="AT158" i="31"/>
  <c r="BA158" i="31"/>
  <c r="AU160" i="31"/>
  <c r="H160" i="31"/>
  <c r="H155" i="31" s="1"/>
  <c r="BF160" i="31"/>
  <c r="Z160" i="31" s="1"/>
  <c r="AU180" i="31"/>
  <c r="H180" i="31"/>
  <c r="BF180" i="31"/>
  <c r="Z180" i="31" s="1"/>
  <c r="AU188" i="31"/>
  <c r="H188" i="31"/>
  <c r="BF188" i="31"/>
  <c r="Z188" i="31" s="1"/>
  <c r="BA194" i="31"/>
  <c r="AU196" i="31"/>
  <c r="H196" i="31"/>
  <c r="BF196" i="31"/>
  <c r="Z196" i="31" s="1"/>
  <c r="AU204" i="31"/>
  <c r="H204" i="31"/>
  <c r="BF204" i="31"/>
  <c r="Z204" i="31" s="1"/>
  <c r="AV57" i="31"/>
  <c r="I57" i="31"/>
  <c r="BD62" i="31"/>
  <c r="L61" i="31"/>
  <c r="AV70" i="31"/>
  <c r="I70" i="31"/>
  <c r="AV78" i="31"/>
  <c r="I78" i="31"/>
  <c r="BF97" i="31"/>
  <c r="Z97" i="31" s="1"/>
  <c r="AV126" i="31"/>
  <c r="I126" i="31"/>
  <c r="AU13" i="31"/>
  <c r="BA16" i="31"/>
  <c r="AU19" i="31"/>
  <c r="AV21" i="31"/>
  <c r="AT21" i="31" s="1"/>
  <c r="BA23" i="31"/>
  <c r="BA31" i="31"/>
  <c r="BF36" i="31"/>
  <c r="Z36" i="31" s="1"/>
  <c r="BA38" i="31"/>
  <c r="BG38" i="31"/>
  <c r="AA38" i="31" s="1"/>
  <c r="AJ41" i="31"/>
  <c r="AS40" i="31" s="1"/>
  <c r="BF43" i="31"/>
  <c r="Z43" i="31" s="1"/>
  <c r="BA45" i="31"/>
  <c r="BG45" i="31"/>
  <c r="AA45" i="31" s="1"/>
  <c r="BG53" i="31"/>
  <c r="AA53" i="31" s="1"/>
  <c r="AU91" i="31"/>
  <c r="H91" i="31"/>
  <c r="BF91" i="31"/>
  <c r="Z91" i="31" s="1"/>
  <c r="AT102" i="31"/>
  <c r="BA102" i="31"/>
  <c r="AV118" i="31"/>
  <c r="I118" i="31"/>
  <c r="AV134" i="31"/>
  <c r="I134" i="31"/>
  <c r="AU146" i="31"/>
  <c r="H146" i="31"/>
  <c r="H145" i="31" s="1"/>
  <c r="BF146" i="31"/>
  <c r="AB146" i="31" s="1"/>
  <c r="BA165" i="31"/>
  <c r="AT165" i="31"/>
  <c r="AU167" i="31"/>
  <c r="H167" i="31"/>
  <c r="BF167" i="31"/>
  <c r="Z167" i="31" s="1"/>
  <c r="AU173" i="31"/>
  <c r="H173" i="31"/>
  <c r="BF173" i="31"/>
  <c r="Z173" i="31" s="1"/>
  <c r="AU211" i="31"/>
  <c r="H211" i="31"/>
  <c r="H210" i="31" s="1"/>
  <c r="BF211" i="31"/>
  <c r="Z211" i="31" s="1"/>
  <c r="AJ221" i="31"/>
  <c r="AS220" i="31" s="1"/>
  <c r="AU260" i="31"/>
  <c r="H260" i="31"/>
  <c r="BF260" i="31"/>
  <c r="AV262" i="31"/>
  <c r="BA262" i="31" s="1"/>
  <c r="I262" i="31"/>
  <c r="BG262" i="31"/>
  <c r="BG13" i="31"/>
  <c r="AA13" i="31" s="1"/>
  <c r="AJ23" i="31"/>
  <c r="AS18" i="31" s="1"/>
  <c r="BF25" i="31"/>
  <c r="Z25" i="31" s="1"/>
  <c r="BF33" i="31"/>
  <c r="Z33" i="31" s="1"/>
  <c r="BF47" i="31"/>
  <c r="Z47" i="31" s="1"/>
  <c r="AV86" i="31"/>
  <c r="I86" i="31"/>
  <c r="AV112" i="31"/>
  <c r="I112" i="31"/>
  <c r="I109" i="31" s="1"/>
  <c r="BD146" i="31"/>
  <c r="L145" i="31"/>
  <c r="AT151" i="31"/>
  <c r="BA151" i="31"/>
  <c r="H51" i="31"/>
  <c r="BG57" i="31"/>
  <c r="AA57" i="31" s="1"/>
  <c r="AJ67" i="31"/>
  <c r="AS64" i="31" s="1"/>
  <c r="L69" i="31"/>
  <c r="BG70" i="31"/>
  <c r="AA70" i="31" s="1"/>
  <c r="BG78" i="31"/>
  <c r="AA78" i="31" s="1"/>
  <c r="BG86" i="31"/>
  <c r="AA86" i="31" s="1"/>
  <c r="BD97" i="31"/>
  <c r="L96" i="31"/>
  <c r="J99" i="31"/>
  <c r="AQ109" i="31"/>
  <c r="AT115" i="31"/>
  <c r="BA115" i="31"/>
  <c r="J117" i="31"/>
  <c r="AQ117" i="31"/>
  <c r="BG118" i="31"/>
  <c r="AA118" i="31" s="1"/>
  <c r="AT130" i="31"/>
  <c r="BA130" i="31"/>
  <c r="AU132" i="31"/>
  <c r="H132" i="31"/>
  <c r="BF132" i="31"/>
  <c r="Z132" i="31" s="1"/>
  <c r="BG134" i="31"/>
  <c r="AA134" i="31" s="1"/>
  <c r="I148" i="31"/>
  <c r="J162" i="31"/>
  <c r="AU59" i="31"/>
  <c r="AU65" i="31"/>
  <c r="AV67" i="31"/>
  <c r="BA67" i="31" s="1"/>
  <c r="AU72" i="31"/>
  <c r="AV74" i="31"/>
  <c r="AT74" i="31" s="1"/>
  <c r="AU80" i="31"/>
  <c r="AV82" i="31"/>
  <c r="BA82" i="31" s="1"/>
  <c r="AU88" i="31"/>
  <c r="BG97" i="31"/>
  <c r="AA97" i="31" s="1"/>
  <c r="AJ100" i="31"/>
  <c r="AS99" i="31" s="1"/>
  <c r="BF102" i="31"/>
  <c r="Z102" i="31" s="1"/>
  <c r="BG110" i="31"/>
  <c r="AA110" i="31" s="1"/>
  <c r="BF115" i="31"/>
  <c r="Z115" i="31" s="1"/>
  <c r="BF122" i="31"/>
  <c r="Z122" i="31" s="1"/>
  <c r="BG124" i="31"/>
  <c r="AA124" i="31" s="1"/>
  <c r="BF130" i="31"/>
  <c r="Z130" i="31" s="1"/>
  <c r="BG132" i="31"/>
  <c r="AA132" i="31" s="1"/>
  <c r="BF138" i="31"/>
  <c r="Z138" i="31" s="1"/>
  <c r="BG146" i="31"/>
  <c r="AC146" i="31" s="1"/>
  <c r="AJ149" i="31"/>
  <c r="AS148" i="31" s="1"/>
  <c r="BF151" i="31"/>
  <c r="AB151" i="31" s="1"/>
  <c r="BG153" i="31"/>
  <c r="AC153" i="31" s="1"/>
  <c r="AJ156" i="31"/>
  <c r="AS155" i="31" s="1"/>
  <c r="BF158" i="31"/>
  <c r="Z158" i="31" s="1"/>
  <c r="BG160" i="31"/>
  <c r="AA160" i="31" s="1"/>
  <c r="AJ163" i="31"/>
  <c r="AS162" i="31" s="1"/>
  <c r="AV219" i="31"/>
  <c r="I219" i="31"/>
  <c r="BG219" i="31"/>
  <c r="AU222" i="31"/>
  <c r="H222" i="31"/>
  <c r="H220" i="31" s="1"/>
  <c r="BF222" i="31"/>
  <c r="AV289" i="31"/>
  <c r="I289" i="31"/>
  <c r="BG289" i="31"/>
  <c r="AU293" i="31"/>
  <c r="H293" i="31"/>
  <c r="BF293" i="31"/>
  <c r="AU57" i="31"/>
  <c r="AV59" i="31"/>
  <c r="AV65" i="31"/>
  <c r="AU70" i="31"/>
  <c r="AV72" i="31"/>
  <c r="AU78" i="31"/>
  <c r="AV80" i="31"/>
  <c r="AU86" i="31"/>
  <c r="AV88" i="31"/>
  <c r="AU93" i="31"/>
  <c r="AV94" i="31"/>
  <c r="AT94" i="31" s="1"/>
  <c r="AJ105" i="31"/>
  <c r="AS104" i="31" s="1"/>
  <c r="BF107" i="31"/>
  <c r="Z107" i="31" s="1"/>
  <c r="BG115" i="31"/>
  <c r="AA115" i="31" s="1"/>
  <c r="AJ118" i="31"/>
  <c r="AS117" i="31" s="1"/>
  <c r="BF120" i="31"/>
  <c r="Z120" i="31" s="1"/>
  <c r="BG122" i="31"/>
  <c r="AA122" i="31" s="1"/>
  <c r="BF128" i="31"/>
  <c r="Z128" i="31" s="1"/>
  <c r="BG130" i="31"/>
  <c r="AA130" i="31" s="1"/>
  <c r="BF136" i="31"/>
  <c r="Z136" i="31" s="1"/>
  <c r="BG138" i="31"/>
  <c r="AA138" i="31" s="1"/>
  <c r="AJ141" i="31"/>
  <c r="AS140" i="31" s="1"/>
  <c r="BF143" i="31"/>
  <c r="Z143" i="31" s="1"/>
  <c r="BF149" i="31"/>
  <c r="AB149" i="31" s="1"/>
  <c r="BG151" i="31"/>
  <c r="AC151" i="31" s="1"/>
  <c r="BF156" i="31"/>
  <c r="Z156" i="31" s="1"/>
  <c r="BG158" i="31"/>
  <c r="AA158" i="31" s="1"/>
  <c r="BF163" i="31"/>
  <c r="Z163" i="31" s="1"/>
  <c r="AV167" i="31"/>
  <c r="BG167" i="31"/>
  <c r="AA167" i="31" s="1"/>
  <c r="I213" i="31"/>
  <c r="AS175" i="31"/>
  <c r="BD180" i="31"/>
  <c r="L175" i="31"/>
  <c r="AV182" i="31"/>
  <c r="I182" i="31"/>
  <c r="AV190" i="31"/>
  <c r="I190" i="31"/>
  <c r="AV198" i="31"/>
  <c r="I198" i="31"/>
  <c r="AV206" i="31"/>
  <c r="BA206" i="31" s="1"/>
  <c r="I206" i="31"/>
  <c r="BG206" i="31"/>
  <c r="AA206" i="31" s="1"/>
  <c r="BD211" i="31"/>
  <c r="L210" i="31"/>
  <c r="AJ215" i="31"/>
  <c r="AS213" i="31" s="1"/>
  <c r="AT221" i="31"/>
  <c r="BA221" i="31"/>
  <c r="AV226" i="31"/>
  <c r="AT226" i="31" s="1"/>
  <c r="BG226" i="31"/>
  <c r="I226" i="31"/>
  <c r="I225" i="31" s="1"/>
  <c r="AU169" i="31"/>
  <c r="AV171" i="31"/>
  <c r="AT171" i="31" s="1"/>
  <c r="AU176" i="31"/>
  <c r="AV178" i="31"/>
  <c r="AT178" i="31" s="1"/>
  <c r="AU184" i="31"/>
  <c r="AV186" i="31"/>
  <c r="AT186" i="31" s="1"/>
  <c r="AU192" i="31"/>
  <c r="AV194" i="31"/>
  <c r="AT194" i="31" s="1"/>
  <c r="AU200" i="31"/>
  <c r="AV202" i="31"/>
  <c r="BA202" i="31" s="1"/>
  <c r="AU208" i="31"/>
  <c r="AU214" i="31"/>
  <c r="BD214" i="31"/>
  <c r="AV215" i="31"/>
  <c r="BA215" i="31" s="1"/>
  <c r="BG222" i="31"/>
  <c r="AJ224" i="31"/>
  <c r="AS223" i="31" s="1"/>
  <c r="AV231" i="31"/>
  <c r="BA231" i="31" s="1"/>
  <c r="I231" i="31"/>
  <c r="AJ242" i="31"/>
  <c r="AS241" i="31" s="1"/>
  <c r="AT262" i="31"/>
  <c r="H268" i="31"/>
  <c r="BF268" i="31"/>
  <c r="AU268" i="31"/>
  <c r="AV169" i="31"/>
  <c r="AV176" i="31"/>
  <c r="AU182" i="31"/>
  <c r="AV184" i="31"/>
  <c r="AU190" i="31"/>
  <c r="AV192" i="31"/>
  <c r="AU198" i="31"/>
  <c r="AV200" i="31"/>
  <c r="BG221" i="31"/>
  <c r="BF224" i="31"/>
  <c r="BG231" i="31"/>
  <c r="AE231" i="31" s="1"/>
  <c r="AV239" i="31"/>
  <c r="BA239" i="31" s="1"/>
  <c r="I239" i="31"/>
  <c r="AU244" i="31"/>
  <c r="H244" i="31"/>
  <c r="BF244" i="31"/>
  <c r="AV246" i="31"/>
  <c r="BA246" i="31" s="1"/>
  <c r="I246" i="31"/>
  <c r="AT258" i="31"/>
  <c r="AU266" i="31"/>
  <c r="BF266" i="31"/>
  <c r="H266" i="31"/>
  <c r="AT235" i="31"/>
  <c r="AU237" i="31"/>
  <c r="H237" i="31"/>
  <c r="H230" i="31" s="1"/>
  <c r="BF237" i="31"/>
  <c r="AD237" i="31" s="1"/>
  <c r="BG239" i="31"/>
  <c r="AE239" i="31" s="1"/>
  <c r="AQ241" i="31"/>
  <c r="BD244" i="31"/>
  <c r="L241" i="31"/>
  <c r="BG246" i="31"/>
  <c r="AU252" i="31"/>
  <c r="H252" i="31"/>
  <c r="BF252" i="31"/>
  <c r="AV254" i="31"/>
  <c r="BA254" i="31" s="1"/>
  <c r="I254" i="31"/>
  <c r="BF269" i="31"/>
  <c r="AU269" i="31"/>
  <c r="H269" i="31"/>
  <c r="AV228" i="31"/>
  <c r="AT228" i="31" s="1"/>
  <c r="AU233" i="31"/>
  <c r="AV235" i="31"/>
  <c r="BA235" i="31" s="1"/>
  <c r="AV242" i="31"/>
  <c r="BA242" i="31" s="1"/>
  <c r="AU248" i="31"/>
  <c r="AV250" i="31"/>
  <c r="AT250" i="31" s="1"/>
  <c r="AU256" i="31"/>
  <c r="AV258" i="31"/>
  <c r="BA258" i="31" s="1"/>
  <c r="AU264" i="31"/>
  <c r="AU272" i="31"/>
  <c r="H272" i="31"/>
  <c r="BF272" i="31"/>
  <c r="AU276" i="31"/>
  <c r="H276" i="31"/>
  <c r="BF276" i="31"/>
  <c r="AU280" i="31"/>
  <c r="H280" i="31"/>
  <c r="BF280" i="31"/>
  <c r="AU284" i="31"/>
  <c r="H284" i="31"/>
  <c r="BF284" i="31"/>
  <c r="AV294" i="31"/>
  <c r="I294" i="31"/>
  <c r="AU300" i="31"/>
  <c r="H300" i="31"/>
  <c r="BF300" i="31"/>
  <c r="BG228" i="31"/>
  <c r="AE228" i="31" s="1"/>
  <c r="AJ231" i="31"/>
  <c r="AS230" i="31" s="1"/>
  <c r="BF233" i="31"/>
  <c r="AD233" i="31" s="1"/>
  <c r="BG235" i="31"/>
  <c r="AE235" i="31" s="1"/>
  <c r="BG242" i="31"/>
  <c r="BF248" i="31"/>
  <c r="BG250" i="31"/>
  <c r="BF256" i="31"/>
  <c r="BG258" i="31"/>
  <c r="BF264" i="31"/>
  <c r="BG270" i="31"/>
  <c r="AV270" i="31"/>
  <c r="AV273" i="31"/>
  <c r="I273" i="31"/>
  <c r="AV277" i="31"/>
  <c r="I277" i="31"/>
  <c r="AV281" i="31"/>
  <c r="I281" i="31"/>
  <c r="AV285" i="31"/>
  <c r="BA285" i="31" s="1"/>
  <c r="I285" i="31"/>
  <c r="BG285" i="31"/>
  <c r="AV302" i="31"/>
  <c r="I302" i="31"/>
  <c r="I266" i="31"/>
  <c r="AV266" i="31"/>
  <c r="I267" i="31"/>
  <c r="BG267" i="31"/>
  <c r="AV269" i="31"/>
  <c r="AU288" i="31"/>
  <c r="H288" i="31"/>
  <c r="BF288" i="31"/>
  <c r="AU270" i="31"/>
  <c r="AV271" i="31"/>
  <c r="AT271" i="31" s="1"/>
  <c r="AU274" i="31"/>
  <c r="AV275" i="31"/>
  <c r="AT275" i="31" s="1"/>
  <c r="AU278" i="31"/>
  <c r="AV279" i="31"/>
  <c r="AT279" i="31" s="1"/>
  <c r="AU282" i="31"/>
  <c r="AV283" i="31"/>
  <c r="AT283" i="31" s="1"/>
  <c r="AU286" i="31"/>
  <c r="AV287" i="31"/>
  <c r="BA287" i="31" s="1"/>
  <c r="AU291" i="31"/>
  <c r="AV292" i="31"/>
  <c r="BA292" i="31" s="1"/>
  <c r="AU296" i="31"/>
  <c r="AV298" i="31"/>
  <c r="AT298" i="31" s="1"/>
  <c r="AU273" i="31"/>
  <c r="AV274" i="31"/>
  <c r="AU277" i="31"/>
  <c r="AV278" i="31"/>
  <c r="AU281" i="31"/>
  <c r="AV282" i="31"/>
  <c r="AV286" i="31"/>
  <c r="AU289" i="31"/>
  <c r="AV291" i="31"/>
  <c r="AU294" i="31"/>
  <c r="AV296" i="31"/>
  <c r="AU302" i="31"/>
  <c r="AU16" i="30"/>
  <c r="L23" i="30"/>
  <c r="AU30" i="30"/>
  <c r="BA30" i="30" s="1"/>
  <c r="H35" i="30"/>
  <c r="H34" i="30" s="1"/>
  <c r="L18" i="30"/>
  <c r="AU19" i="30"/>
  <c r="AQ23" i="30"/>
  <c r="AU26" i="30"/>
  <c r="I35" i="30"/>
  <c r="I34" i="30" s="1"/>
  <c r="J12" i="30"/>
  <c r="I23" i="30"/>
  <c r="AR23" i="30"/>
  <c r="BD13" i="30"/>
  <c r="J15" i="30"/>
  <c r="BD16" i="30"/>
  <c r="L34" i="30"/>
  <c r="L39" i="30"/>
  <c r="AU13" i="30"/>
  <c r="J18" i="30"/>
  <c r="J23" i="30"/>
  <c r="AU28" i="30"/>
  <c r="AU32" i="30"/>
  <c r="AU37" i="30"/>
  <c r="AS18" i="30"/>
  <c r="AS23" i="30"/>
  <c r="AS34" i="30"/>
  <c r="AV13" i="30"/>
  <c r="AV16" i="30"/>
  <c r="AT16" i="30" s="1"/>
  <c r="AV19" i="30"/>
  <c r="AT19" i="30" s="1"/>
  <c r="AV21" i="30"/>
  <c r="AV24" i="30"/>
  <c r="AT24" i="30" s="1"/>
  <c r="AV26" i="30"/>
  <c r="AV28" i="30"/>
  <c r="AV30" i="30"/>
  <c r="AV32" i="30"/>
  <c r="AV35" i="30"/>
  <c r="AT35" i="30" s="1"/>
  <c r="AV37" i="30"/>
  <c r="AV40" i="30"/>
  <c r="AT40" i="30" s="1"/>
  <c r="BU112" i="27"/>
  <c r="BH112" i="27"/>
  <c r="BB112" i="27"/>
  <c r="AN112" i="27"/>
  <c r="BG112" i="27" s="1"/>
  <c r="AM112" i="27"/>
  <c r="BF112" i="27" s="1"/>
  <c r="AB112" i="27" s="1"/>
  <c r="Z112" i="27"/>
  <c r="L112" i="27"/>
  <c r="BD112" i="27" s="1"/>
  <c r="J112" i="27"/>
  <c r="AI112" i="27" s="1"/>
  <c r="H112" i="27"/>
  <c r="BU111" i="27"/>
  <c r="BH111" i="27"/>
  <c r="BB111" i="27"/>
  <c r="AU111" i="27"/>
  <c r="AN111" i="27"/>
  <c r="BG111" i="27" s="1"/>
  <c r="AM111" i="27"/>
  <c r="BF111" i="27" s="1"/>
  <c r="AB111" i="27" s="1"/>
  <c r="AI111" i="27"/>
  <c r="Z111" i="27"/>
  <c r="L111" i="27"/>
  <c r="BD111" i="27" s="1"/>
  <c r="J111" i="27"/>
  <c r="H111" i="27"/>
  <c r="BU110" i="27"/>
  <c r="BH110" i="27"/>
  <c r="BB110" i="27"/>
  <c r="AN110" i="27"/>
  <c r="BG110" i="27" s="1"/>
  <c r="AM110" i="27"/>
  <c r="BF110" i="27" s="1"/>
  <c r="AB110" i="27" s="1"/>
  <c r="L110" i="27"/>
  <c r="BD110" i="27" s="1"/>
  <c r="J110" i="27"/>
  <c r="I110" i="27"/>
  <c r="BU109" i="27"/>
  <c r="BH109" i="27"/>
  <c r="BD109" i="27"/>
  <c r="BB109" i="27"/>
  <c r="AU109" i="27"/>
  <c r="AN109" i="27"/>
  <c r="BG109" i="27" s="1"/>
  <c r="AM109" i="27"/>
  <c r="BF109" i="27" s="1"/>
  <c r="AB109" i="27" s="1"/>
  <c r="Z109" i="27"/>
  <c r="L109" i="27"/>
  <c r="J109" i="27"/>
  <c r="I109" i="27"/>
  <c r="H109" i="27"/>
  <c r="BU108" i="27"/>
  <c r="BH108" i="27"/>
  <c r="BB108" i="27"/>
  <c r="AN108" i="27"/>
  <c r="BG108" i="27" s="1"/>
  <c r="AM108" i="27"/>
  <c r="BF108" i="27" s="1"/>
  <c r="L108" i="27"/>
  <c r="BD108" i="27" s="1"/>
  <c r="J108" i="27"/>
  <c r="I108" i="27"/>
  <c r="H108" i="27"/>
  <c r="BU107" i="27"/>
  <c r="BH107" i="27"/>
  <c r="BD107" i="27"/>
  <c r="BB107" i="27"/>
  <c r="AN107" i="27"/>
  <c r="BG107" i="27" s="1"/>
  <c r="AM107" i="27"/>
  <c r="BF107" i="27" s="1"/>
  <c r="AB107" i="27" s="1"/>
  <c r="Z107" i="27"/>
  <c r="L107" i="27"/>
  <c r="J107" i="27"/>
  <c r="AI107" i="27" s="1"/>
  <c r="H107" i="27"/>
  <c r="BU106" i="27"/>
  <c r="BH106" i="27"/>
  <c r="BB106" i="27"/>
  <c r="AN106" i="27"/>
  <c r="BG106" i="27" s="1"/>
  <c r="AM106" i="27"/>
  <c r="BF106" i="27" s="1"/>
  <c r="AB106" i="27" s="1"/>
  <c r="AD106" i="27"/>
  <c r="L106" i="27"/>
  <c r="BD106" i="27" s="1"/>
  <c r="J106" i="27"/>
  <c r="H106" i="27"/>
  <c r="BU105" i="27"/>
  <c r="BH105" i="27"/>
  <c r="BB105" i="27"/>
  <c r="AN105" i="27"/>
  <c r="BG105" i="27" s="1"/>
  <c r="AM105" i="27"/>
  <c r="BF105" i="27" s="1"/>
  <c r="AB105" i="27" s="1"/>
  <c r="AD105" i="27"/>
  <c r="L105" i="27"/>
  <c r="BD105" i="27" s="1"/>
  <c r="J105" i="27"/>
  <c r="I105" i="27"/>
  <c r="BU104" i="27"/>
  <c r="BH104" i="27"/>
  <c r="BD104" i="27"/>
  <c r="BB104" i="27"/>
  <c r="AN104" i="27"/>
  <c r="BG104" i="27" s="1"/>
  <c r="AM104" i="27"/>
  <c r="BF104" i="27" s="1"/>
  <c r="L104" i="27"/>
  <c r="J104" i="27"/>
  <c r="I104" i="27"/>
  <c r="H104" i="27"/>
  <c r="BU103" i="27"/>
  <c r="BH103" i="27"/>
  <c r="BB103" i="27"/>
  <c r="AN103" i="27"/>
  <c r="BG103" i="27" s="1"/>
  <c r="AM103" i="27"/>
  <c r="BF103" i="27" s="1"/>
  <c r="AB103" i="27" s="1"/>
  <c r="AI103" i="27"/>
  <c r="L103" i="27"/>
  <c r="BD103" i="27" s="1"/>
  <c r="J103" i="27"/>
  <c r="I103" i="27"/>
  <c r="H103" i="27"/>
  <c r="BU102" i="27"/>
  <c r="BH102" i="27"/>
  <c r="BD102" i="27"/>
  <c r="BB102" i="27"/>
  <c r="AN102" i="27"/>
  <c r="BG102" i="27" s="1"/>
  <c r="AM102" i="27"/>
  <c r="BF102" i="27" s="1"/>
  <c r="AB102" i="27" s="1"/>
  <c r="L102" i="27"/>
  <c r="J102" i="27"/>
  <c r="I102" i="27"/>
  <c r="BU101" i="27"/>
  <c r="BH101" i="27"/>
  <c r="BD101" i="27"/>
  <c r="BB101" i="27"/>
  <c r="AN101" i="27"/>
  <c r="BG101" i="27" s="1"/>
  <c r="AM101" i="27"/>
  <c r="BF101" i="27" s="1"/>
  <c r="AB101" i="27" s="1"/>
  <c r="L101" i="27"/>
  <c r="J101" i="27"/>
  <c r="I101" i="27"/>
  <c r="BU100" i="27"/>
  <c r="BH100" i="27"/>
  <c r="BB100" i="27"/>
  <c r="AN100" i="27"/>
  <c r="BG100" i="27" s="1"/>
  <c r="AM100" i="27"/>
  <c r="BF100" i="27" s="1"/>
  <c r="L100" i="27"/>
  <c r="BD100" i="27" s="1"/>
  <c r="J100" i="27"/>
  <c r="BU99" i="27"/>
  <c r="BH99" i="27"/>
  <c r="BD99" i="27"/>
  <c r="BB99" i="27"/>
  <c r="AN99" i="27"/>
  <c r="BG99" i="27" s="1"/>
  <c r="AM99" i="27"/>
  <c r="BF99" i="27" s="1"/>
  <c r="AB99" i="27" s="1"/>
  <c r="L99" i="27"/>
  <c r="J99" i="27"/>
  <c r="AI99" i="27" s="1"/>
  <c r="I99" i="27"/>
  <c r="BU98" i="27"/>
  <c r="BH98" i="27"/>
  <c r="BD98" i="27"/>
  <c r="BB98" i="27"/>
  <c r="AN98" i="27"/>
  <c r="BG98" i="27" s="1"/>
  <c r="AM98" i="27"/>
  <c r="BF98" i="27" s="1"/>
  <c r="AB98" i="27" s="1"/>
  <c r="L98" i="27"/>
  <c r="J98" i="27"/>
  <c r="I98" i="27"/>
  <c r="BU97" i="27"/>
  <c r="BH97" i="27"/>
  <c r="BD97" i="27"/>
  <c r="BB97" i="27"/>
  <c r="AN97" i="27"/>
  <c r="BG97" i="27" s="1"/>
  <c r="AM97" i="27"/>
  <c r="BF97" i="27" s="1"/>
  <c r="AB97" i="27" s="1"/>
  <c r="L97" i="27"/>
  <c r="J97" i="27"/>
  <c r="I97" i="27"/>
  <c r="BU96" i="27"/>
  <c r="BH96" i="27"/>
  <c r="AF96" i="27" s="1"/>
  <c r="BB96" i="27"/>
  <c r="AN96" i="27"/>
  <c r="BG96" i="27" s="1"/>
  <c r="AM96" i="27"/>
  <c r="BF96" i="27" s="1"/>
  <c r="L96" i="27"/>
  <c r="BD96" i="27" s="1"/>
  <c r="J96" i="27"/>
  <c r="H96" i="27"/>
  <c r="BU95" i="27"/>
  <c r="BH95" i="27"/>
  <c r="AF95" i="27" s="1"/>
  <c r="BB95" i="27"/>
  <c r="AN95" i="27"/>
  <c r="AV95" i="27" s="1"/>
  <c r="AM95" i="27"/>
  <c r="BF95" i="27" s="1"/>
  <c r="AB95" i="27" s="1"/>
  <c r="Z95" i="27"/>
  <c r="L95" i="27"/>
  <c r="BD95" i="27" s="1"/>
  <c r="J95" i="27"/>
  <c r="AH95" i="27" s="1"/>
  <c r="I95" i="27"/>
  <c r="BU94" i="27"/>
  <c r="BH94" i="27"/>
  <c r="X94" i="27" s="1"/>
  <c r="BB94" i="27"/>
  <c r="AN94" i="27"/>
  <c r="AV94" i="27" s="1"/>
  <c r="AM94" i="27"/>
  <c r="BF94" i="27" s="1"/>
  <c r="Z94" i="27" s="1"/>
  <c r="AF94" i="27"/>
  <c r="AD94" i="27"/>
  <c r="AB94" i="27"/>
  <c r="AA94" i="27"/>
  <c r="L94" i="27"/>
  <c r="BD94" i="27" s="1"/>
  <c r="J94" i="27"/>
  <c r="I94" i="27"/>
  <c r="H94" i="27"/>
  <c r="BU93" i="27"/>
  <c r="BH93" i="27"/>
  <c r="BB93" i="27"/>
  <c r="AN93" i="27"/>
  <c r="BG93" i="27" s="1"/>
  <c r="AM93" i="27"/>
  <c r="BF93" i="27" s="1"/>
  <c r="AB93" i="27" s="1"/>
  <c r="Z93" i="27"/>
  <c r="L93" i="27"/>
  <c r="BD93" i="27" s="1"/>
  <c r="J93" i="27"/>
  <c r="H93" i="27"/>
  <c r="BU92" i="27"/>
  <c r="BH92" i="27"/>
  <c r="BB92" i="27"/>
  <c r="AV92" i="27"/>
  <c r="AN92" i="27"/>
  <c r="BG92" i="27" s="1"/>
  <c r="AM92" i="27"/>
  <c r="BF92" i="27" s="1"/>
  <c r="AB92" i="27" s="1"/>
  <c r="Z92" i="27"/>
  <c r="L92" i="27"/>
  <c r="BD92" i="27" s="1"/>
  <c r="J92" i="27"/>
  <c r="I92" i="27"/>
  <c r="H92" i="27"/>
  <c r="BU91" i="27"/>
  <c r="BH91" i="27"/>
  <c r="BB91" i="27"/>
  <c r="AV91" i="27"/>
  <c r="AN91" i="27"/>
  <c r="BG91" i="27" s="1"/>
  <c r="AM91" i="27"/>
  <c r="BF91" i="27" s="1"/>
  <c r="AB91" i="27" s="1"/>
  <c r="L91" i="27"/>
  <c r="BD91" i="27" s="1"/>
  <c r="J91" i="27"/>
  <c r="I91" i="27"/>
  <c r="BU90" i="27"/>
  <c r="BH90" i="27"/>
  <c r="BB90" i="27"/>
  <c r="AN90" i="27"/>
  <c r="BG90" i="27" s="1"/>
  <c r="AM90" i="27"/>
  <c r="BF90" i="27" s="1"/>
  <c r="L90" i="27"/>
  <c r="BD90" i="27" s="1"/>
  <c r="J90" i="27"/>
  <c r="I90" i="27"/>
  <c r="H90" i="27"/>
  <c r="BU89" i="27"/>
  <c r="BH89" i="27"/>
  <c r="BB89" i="27"/>
  <c r="AU89" i="27"/>
  <c r="AN89" i="27"/>
  <c r="BG89" i="27" s="1"/>
  <c r="AM89" i="27"/>
  <c r="BF89" i="27" s="1"/>
  <c r="AB89" i="27" s="1"/>
  <c r="AD89" i="27"/>
  <c r="L89" i="27"/>
  <c r="BD89" i="27" s="1"/>
  <c r="J89" i="27"/>
  <c r="I89" i="27"/>
  <c r="H89" i="27"/>
  <c r="BU88" i="27"/>
  <c r="BH88" i="27"/>
  <c r="BB88" i="27"/>
  <c r="AN88" i="27"/>
  <c r="BG88" i="27" s="1"/>
  <c r="AM88" i="27"/>
  <c r="BF88" i="27" s="1"/>
  <c r="AB88" i="27" s="1"/>
  <c r="AD88" i="27"/>
  <c r="Z88" i="27"/>
  <c r="L88" i="27"/>
  <c r="BD88" i="27" s="1"/>
  <c r="J88" i="27"/>
  <c r="H88" i="27"/>
  <c r="BU87" i="27"/>
  <c r="BH87" i="27"/>
  <c r="BB87" i="27"/>
  <c r="AU87" i="27"/>
  <c r="AN87" i="27"/>
  <c r="BG87" i="27" s="1"/>
  <c r="AM87" i="27"/>
  <c r="BF87" i="27" s="1"/>
  <c r="AB87" i="27" s="1"/>
  <c r="Z87" i="27"/>
  <c r="L87" i="27"/>
  <c r="BD87" i="27" s="1"/>
  <c r="J87" i="27"/>
  <c r="H87" i="27"/>
  <c r="BU86" i="27"/>
  <c r="BH86" i="27"/>
  <c r="BB86" i="27"/>
  <c r="AN86" i="27"/>
  <c r="BG86" i="27" s="1"/>
  <c r="AM86" i="27"/>
  <c r="BF86" i="27" s="1"/>
  <c r="AB86" i="27" s="1"/>
  <c r="Z86" i="27"/>
  <c r="L86" i="27"/>
  <c r="BD86" i="27" s="1"/>
  <c r="J86" i="27"/>
  <c r="H86" i="27"/>
  <c r="BU85" i="27"/>
  <c r="BH85" i="27"/>
  <c r="BB85" i="27"/>
  <c r="AU85" i="27"/>
  <c r="AN85" i="27"/>
  <c r="BG85" i="27" s="1"/>
  <c r="AM85" i="27"/>
  <c r="BF85" i="27" s="1"/>
  <c r="AB85" i="27" s="1"/>
  <c r="Z85" i="27"/>
  <c r="L85" i="27"/>
  <c r="BD85" i="27" s="1"/>
  <c r="J85" i="27"/>
  <c r="H85" i="27"/>
  <c r="BU84" i="27"/>
  <c r="BH84" i="27"/>
  <c r="BB84" i="27"/>
  <c r="AU84" i="27"/>
  <c r="AN84" i="27"/>
  <c r="BG84" i="27" s="1"/>
  <c r="AM84" i="27"/>
  <c r="BF84" i="27" s="1"/>
  <c r="AB84" i="27" s="1"/>
  <c r="Z84" i="27"/>
  <c r="L84" i="27"/>
  <c r="BD84" i="27" s="1"/>
  <c r="J84" i="27"/>
  <c r="H84" i="27"/>
  <c r="BU83" i="27"/>
  <c r="BH83" i="27"/>
  <c r="BB83" i="27"/>
  <c r="AU83" i="27"/>
  <c r="AN83" i="27"/>
  <c r="BG83" i="27" s="1"/>
  <c r="AM83" i="27"/>
  <c r="BF83" i="27" s="1"/>
  <c r="AB83" i="27" s="1"/>
  <c r="Z83" i="27"/>
  <c r="L83" i="27"/>
  <c r="BD83" i="27" s="1"/>
  <c r="J83" i="27"/>
  <c r="H83" i="27"/>
  <c r="BU82" i="27"/>
  <c r="BH82" i="27"/>
  <c r="BB82" i="27"/>
  <c r="AN82" i="27"/>
  <c r="BG82" i="27" s="1"/>
  <c r="AM82" i="27"/>
  <c r="BF82" i="27" s="1"/>
  <c r="AB82" i="27" s="1"/>
  <c r="Z82" i="27"/>
  <c r="L82" i="27"/>
  <c r="BD82" i="27" s="1"/>
  <c r="J82" i="27"/>
  <c r="H82" i="27"/>
  <c r="BU81" i="27"/>
  <c r="BH81" i="27"/>
  <c r="BB81" i="27"/>
  <c r="AU81" i="27"/>
  <c r="AN81" i="27"/>
  <c r="BG81" i="27" s="1"/>
  <c r="AM81" i="27"/>
  <c r="BF81" i="27" s="1"/>
  <c r="AB81" i="27" s="1"/>
  <c r="AI81" i="27"/>
  <c r="L81" i="27"/>
  <c r="BD81" i="27" s="1"/>
  <c r="J81" i="27"/>
  <c r="I81" i="27"/>
  <c r="H81" i="27"/>
  <c r="BU80" i="27"/>
  <c r="BH80" i="27"/>
  <c r="BD80" i="27"/>
  <c r="BB80" i="27"/>
  <c r="AN80" i="27"/>
  <c r="BG80" i="27" s="1"/>
  <c r="AC80" i="27" s="1"/>
  <c r="AM80" i="27"/>
  <c r="BF80" i="27" s="1"/>
  <c r="AB80" i="27" s="1"/>
  <c r="AE80" i="27"/>
  <c r="Z80" i="27"/>
  <c r="L80" i="27"/>
  <c r="J80" i="27"/>
  <c r="AH80" i="27" s="1"/>
  <c r="I80" i="27"/>
  <c r="H80" i="27"/>
  <c r="BU79" i="27"/>
  <c r="BH79" i="27"/>
  <c r="BB79" i="27"/>
  <c r="AN79" i="27"/>
  <c r="BG79" i="27" s="1"/>
  <c r="AC79" i="27" s="1"/>
  <c r="AM79" i="27"/>
  <c r="BF79" i="27" s="1"/>
  <c r="AB79" i="27" s="1"/>
  <c r="AI79" i="27"/>
  <c r="AD79" i="27"/>
  <c r="Z79" i="27"/>
  <c r="L79" i="27"/>
  <c r="BD79" i="27" s="1"/>
  <c r="J79" i="27"/>
  <c r="AH79" i="27" s="1"/>
  <c r="I79" i="27"/>
  <c r="H79" i="27"/>
  <c r="BU78" i="27"/>
  <c r="BH78" i="27"/>
  <c r="X78" i="27" s="1"/>
  <c r="BB78" i="27"/>
  <c r="AV78" i="27"/>
  <c r="AN78" i="27"/>
  <c r="BG78" i="27" s="1"/>
  <c r="AC78" i="27" s="1"/>
  <c r="AM78" i="27"/>
  <c r="BF78" i="27" s="1"/>
  <c r="AD78" i="27" s="1"/>
  <c r="AE78" i="27"/>
  <c r="AB78" i="27"/>
  <c r="Z78" i="27"/>
  <c r="L78" i="27"/>
  <c r="BD78" i="27" s="1"/>
  <c r="J78" i="27"/>
  <c r="AH78" i="27" s="1"/>
  <c r="I78" i="27"/>
  <c r="BU76" i="27"/>
  <c r="BH76" i="27"/>
  <c r="X76" i="27" s="1"/>
  <c r="BB76" i="27"/>
  <c r="AN76" i="27"/>
  <c r="BG76" i="27" s="1"/>
  <c r="AM76" i="27"/>
  <c r="AU76" i="27" s="1"/>
  <c r="AF76" i="27"/>
  <c r="AD76" i="27"/>
  <c r="AA76" i="27"/>
  <c r="L76" i="27"/>
  <c r="BD76" i="27" s="1"/>
  <c r="J76" i="27"/>
  <c r="I76" i="27"/>
  <c r="H76" i="27"/>
  <c r="BU74" i="27"/>
  <c r="BH74" i="27"/>
  <c r="BB74" i="27"/>
  <c r="AV74" i="27"/>
  <c r="AN74" i="27"/>
  <c r="BG74" i="27" s="1"/>
  <c r="AM74" i="27"/>
  <c r="BF74" i="27" s="1"/>
  <c r="AB74" i="27" s="1"/>
  <c r="Z74" i="27"/>
  <c r="L74" i="27"/>
  <c r="BD74" i="27" s="1"/>
  <c r="J74" i="27"/>
  <c r="I74" i="27"/>
  <c r="H74" i="27"/>
  <c r="L73" i="27"/>
  <c r="J73" i="27"/>
  <c r="I73" i="27"/>
  <c r="H73" i="27"/>
  <c r="BU72" i="27"/>
  <c r="BH72" i="27"/>
  <c r="BB72" i="27"/>
  <c r="AN72" i="27"/>
  <c r="BG72" i="27" s="1"/>
  <c r="AM72" i="27"/>
  <c r="BF72" i="27" s="1"/>
  <c r="AB72" i="27" s="1"/>
  <c r="L72" i="27"/>
  <c r="BD72" i="27" s="1"/>
  <c r="J72" i="27"/>
  <c r="H72" i="27"/>
  <c r="BU71" i="27"/>
  <c r="BH71" i="27"/>
  <c r="BB71" i="27"/>
  <c r="AN71" i="27"/>
  <c r="BG71" i="27" s="1"/>
  <c r="AM71" i="27"/>
  <c r="BF71" i="27" s="1"/>
  <c r="AB71" i="27" s="1"/>
  <c r="AD71" i="27"/>
  <c r="Z71" i="27"/>
  <c r="L71" i="27"/>
  <c r="BD71" i="27" s="1"/>
  <c r="J71" i="27"/>
  <c r="H71" i="27"/>
  <c r="BU70" i="27"/>
  <c r="BH70" i="27"/>
  <c r="BB70" i="27"/>
  <c r="AV70" i="27"/>
  <c r="AN70" i="27"/>
  <c r="BG70" i="27" s="1"/>
  <c r="AM70" i="27"/>
  <c r="BF70" i="27" s="1"/>
  <c r="AB70" i="27" s="1"/>
  <c r="L70" i="27"/>
  <c r="BD70" i="27" s="1"/>
  <c r="J70" i="27"/>
  <c r="I70" i="27"/>
  <c r="H70" i="27"/>
  <c r="BU69" i="27"/>
  <c r="BH69" i="27"/>
  <c r="BB69" i="27"/>
  <c r="AN69" i="27"/>
  <c r="BG69" i="27" s="1"/>
  <c r="AM69" i="27"/>
  <c r="BF69" i="27" s="1"/>
  <c r="AB69" i="27" s="1"/>
  <c r="AD69" i="27"/>
  <c r="Z69" i="27"/>
  <c r="L69" i="27"/>
  <c r="BD69" i="27" s="1"/>
  <c r="J69" i="27"/>
  <c r="H69" i="27"/>
  <c r="BU68" i="27"/>
  <c r="BH68" i="27"/>
  <c r="BB68" i="27"/>
  <c r="AN68" i="27"/>
  <c r="BG68" i="27" s="1"/>
  <c r="AM68" i="27"/>
  <c r="BF68" i="27" s="1"/>
  <c r="AB68" i="27" s="1"/>
  <c r="L68" i="27"/>
  <c r="BD68" i="27" s="1"/>
  <c r="J68" i="27"/>
  <c r="I68" i="27"/>
  <c r="H68" i="27"/>
  <c r="BU67" i="27"/>
  <c r="BH67" i="27"/>
  <c r="BB67" i="27"/>
  <c r="AN67" i="27"/>
  <c r="BG67" i="27" s="1"/>
  <c r="AM67" i="27"/>
  <c r="BF67" i="27" s="1"/>
  <c r="AB67" i="27" s="1"/>
  <c r="AD67" i="27"/>
  <c r="Z67" i="27"/>
  <c r="L67" i="27"/>
  <c r="BD67" i="27" s="1"/>
  <c r="J67" i="27"/>
  <c r="H67" i="27"/>
  <c r="BU66" i="27"/>
  <c r="BH66" i="27"/>
  <c r="BB66" i="27"/>
  <c r="AN66" i="27"/>
  <c r="BG66" i="27" s="1"/>
  <c r="AM66" i="27"/>
  <c r="BF66" i="27" s="1"/>
  <c r="AB66" i="27" s="1"/>
  <c r="L66" i="27"/>
  <c r="BD66" i="27" s="1"/>
  <c r="J66" i="27"/>
  <c r="I66" i="27"/>
  <c r="H66" i="27"/>
  <c r="BU65" i="27"/>
  <c r="BH65" i="27"/>
  <c r="BB65" i="27"/>
  <c r="AN65" i="27"/>
  <c r="BG65" i="27" s="1"/>
  <c r="AM65" i="27"/>
  <c r="BF65" i="27" s="1"/>
  <c r="AB65" i="27" s="1"/>
  <c r="AD65" i="27"/>
  <c r="Z65" i="27"/>
  <c r="L65" i="27"/>
  <c r="BD65" i="27" s="1"/>
  <c r="J65" i="27"/>
  <c r="H65" i="27"/>
  <c r="BU63" i="27"/>
  <c r="BH63" i="27"/>
  <c r="BB63" i="27"/>
  <c r="AN63" i="27"/>
  <c r="BG63" i="27" s="1"/>
  <c r="AM63" i="27"/>
  <c r="BF63" i="27" s="1"/>
  <c r="AB63" i="27" s="1"/>
  <c r="L63" i="27"/>
  <c r="BD63" i="27" s="1"/>
  <c r="J63" i="27"/>
  <c r="I63" i="27"/>
  <c r="H63" i="27"/>
  <c r="BU62" i="27"/>
  <c r="BH62" i="27"/>
  <c r="BB62" i="27"/>
  <c r="AN62" i="27"/>
  <c r="BG62" i="27" s="1"/>
  <c r="AM62" i="27"/>
  <c r="BF62" i="27" s="1"/>
  <c r="AB62" i="27" s="1"/>
  <c r="AD62" i="27"/>
  <c r="Z62" i="27"/>
  <c r="L62" i="27"/>
  <c r="BD62" i="27" s="1"/>
  <c r="J62" i="27"/>
  <c r="H62" i="27"/>
  <c r="BU61" i="27"/>
  <c r="BH61" i="27"/>
  <c r="BB61" i="27"/>
  <c r="AN61" i="27"/>
  <c r="BG61" i="27" s="1"/>
  <c r="AM61" i="27"/>
  <c r="BF61" i="27" s="1"/>
  <c r="AB61" i="27" s="1"/>
  <c r="L61" i="27"/>
  <c r="BD61" i="27" s="1"/>
  <c r="J61" i="27"/>
  <c r="I61" i="27"/>
  <c r="H61" i="27"/>
  <c r="BU60" i="27"/>
  <c r="BH60" i="27"/>
  <c r="BB60" i="27"/>
  <c r="AN60" i="27"/>
  <c r="BG60" i="27" s="1"/>
  <c r="AM60" i="27"/>
  <c r="BF60" i="27" s="1"/>
  <c r="AB60" i="27" s="1"/>
  <c r="AD60" i="27"/>
  <c r="Z60" i="27"/>
  <c r="L60" i="27"/>
  <c r="BD60" i="27" s="1"/>
  <c r="J60" i="27"/>
  <c r="H60" i="27"/>
  <c r="BU58" i="27"/>
  <c r="BH58" i="27"/>
  <c r="BB58" i="27"/>
  <c r="AN58" i="27"/>
  <c r="BG58" i="27" s="1"/>
  <c r="AM58" i="27"/>
  <c r="BF58" i="27" s="1"/>
  <c r="AB58" i="27" s="1"/>
  <c r="L58" i="27"/>
  <c r="BD58" i="27" s="1"/>
  <c r="J58" i="27"/>
  <c r="I58" i="27"/>
  <c r="H58" i="27"/>
  <c r="BU56" i="27"/>
  <c r="BH56" i="27"/>
  <c r="BB56" i="27"/>
  <c r="AV56" i="27"/>
  <c r="AN56" i="27"/>
  <c r="BG56" i="27" s="1"/>
  <c r="AM56" i="27"/>
  <c r="BF56" i="27" s="1"/>
  <c r="AB56" i="27" s="1"/>
  <c r="AD56" i="27"/>
  <c r="Z56" i="27"/>
  <c r="L56" i="27"/>
  <c r="BD56" i="27" s="1"/>
  <c r="J56" i="27"/>
  <c r="I56" i="27"/>
  <c r="H56" i="27"/>
  <c r="H55" i="27" s="1"/>
  <c r="J55" i="27"/>
  <c r="BU54" i="27"/>
  <c r="BH54" i="27"/>
  <c r="BB54" i="27"/>
  <c r="AV54" i="27"/>
  <c r="AN54" i="27"/>
  <c r="BG54" i="27" s="1"/>
  <c r="AM54" i="27"/>
  <c r="BF54" i="27" s="1"/>
  <c r="AB54" i="27" s="1"/>
  <c r="Z54" i="27"/>
  <c r="L54" i="27"/>
  <c r="BD54" i="27" s="1"/>
  <c r="J54" i="27"/>
  <c r="I54" i="27"/>
  <c r="H54" i="27"/>
  <c r="BU52" i="27"/>
  <c r="BH52" i="27"/>
  <c r="BB52" i="27"/>
  <c r="AV52" i="27"/>
  <c r="AN52" i="27"/>
  <c r="BG52" i="27" s="1"/>
  <c r="AM52" i="27"/>
  <c r="BF52" i="27" s="1"/>
  <c r="AB52" i="27" s="1"/>
  <c r="AD52" i="27"/>
  <c r="Z52" i="27"/>
  <c r="L52" i="27"/>
  <c r="BD52" i="27" s="1"/>
  <c r="J52" i="27"/>
  <c r="AI52" i="27" s="1"/>
  <c r="I52" i="27"/>
  <c r="H52" i="27"/>
  <c r="BU50" i="27"/>
  <c r="BH50" i="27"/>
  <c r="BB50" i="27"/>
  <c r="AV50" i="27"/>
  <c r="AN50" i="27"/>
  <c r="BG50" i="27" s="1"/>
  <c r="AM50" i="27"/>
  <c r="BF50" i="27" s="1"/>
  <c r="AB50" i="27" s="1"/>
  <c r="Z50" i="27"/>
  <c r="L50" i="27"/>
  <c r="BD50" i="27" s="1"/>
  <c r="J50" i="27"/>
  <c r="I50" i="27"/>
  <c r="H50" i="27"/>
  <c r="BU49" i="27"/>
  <c r="BH49" i="27"/>
  <c r="BB49" i="27"/>
  <c r="AN49" i="27"/>
  <c r="BG49" i="27" s="1"/>
  <c r="AM49" i="27"/>
  <c r="BF49" i="27" s="1"/>
  <c r="AB49" i="27" s="1"/>
  <c r="AD49" i="27"/>
  <c r="Z49" i="27"/>
  <c r="L49" i="27"/>
  <c r="BD49" i="27" s="1"/>
  <c r="J49" i="27"/>
  <c r="H49" i="27"/>
  <c r="BU47" i="27"/>
  <c r="BH47" i="27"/>
  <c r="BB47" i="27"/>
  <c r="AN47" i="27"/>
  <c r="BG47" i="27" s="1"/>
  <c r="AM47" i="27"/>
  <c r="BF47" i="27" s="1"/>
  <c r="AB47" i="27" s="1"/>
  <c r="L47" i="27"/>
  <c r="BD47" i="27" s="1"/>
  <c r="J47" i="27"/>
  <c r="I47" i="27"/>
  <c r="BU45" i="27"/>
  <c r="BH45" i="27"/>
  <c r="BB45" i="27"/>
  <c r="AN45" i="27"/>
  <c r="BG45" i="27" s="1"/>
  <c r="AM45" i="27"/>
  <c r="BF45" i="27" s="1"/>
  <c r="AB45" i="27" s="1"/>
  <c r="L45" i="27"/>
  <c r="BD45" i="27" s="1"/>
  <c r="J45" i="27"/>
  <c r="H45" i="27"/>
  <c r="BU43" i="27"/>
  <c r="BH43" i="27"/>
  <c r="AF43" i="27" s="1"/>
  <c r="BB43" i="27"/>
  <c r="AV43" i="27"/>
  <c r="AN43" i="27"/>
  <c r="BG43" i="27" s="1"/>
  <c r="AM43" i="27"/>
  <c r="AU43" i="27" s="1"/>
  <c r="L43" i="27"/>
  <c r="BD43" i="27" s="1"/>
  <c r="J43" i="27"/>
  <c r="AI43" i="27" s="1"/>
  <c r="I43" i="27"/>
  <c r="L42" i="27"/>
  <c r="BU40" i="27"/>
  <c r="BH40" i="27"/>
  <c r="AF40" i="27" s="1"/>
  <c r="BB40" i="27"/>
  <c r="AV40" i="27"/>
  <c r="AN40" i="27"/>
  <c r="BG40" i="27" s="1"/>
  <c r="AM40" i="27"/>
  <c r="AU40" i="27" s="1"/>
  <c r="L40" i="27"/>
  <c r="BD40" i="27" s="1"/>
  <c r="J40" i="27"/>
  <c r="AI40" i="27" s="1"/>
  <c r="I40" i="27"/>
  <c r="BU39" i="27"/>
  <c r="BH39" i="27"/>
  <c r="AF39" i="27" s="1"/>
  <c r="BB39" i="27"/>
  <c r="AN39" i="27"/>
  <c r="BG39" i="27" s="1"/>
  <c r="AM39" i="27"/>
  <c r="AU39" i="27" s="1"/>
  <c r="X39" i="27"/>
  <c r="L39" i="27"/>
  <c r="BD39" i="27" s="1"/>
  <c r="J39" i="27"/>
  <c r="AI39" i="27" s="1"/>
  <c r="H39" i="27"/>
  <c r="BU37" i="27"/>
  <c r="BH37" i="27"/>
  <c r="BB37" i="27"/>
  <c r="AV37" i="27"/>
  <c r="AN37" i="27"/>
  <c r="BG37" i="27" s="1"/>
  <c r="AM37" i="27"/>
  <c r="AU37" i="27" s="1"/>
  <c r="AF37" i="27"/>
  <c r="X37" i="27"/>
  <c r="L37" i="27"/>
  <c r="BD37" i="27" s="1"/>
  <c r="J37" i="27"/>
  <c r="AI37" i="27" s="1"/>
  <c r="I37" i="27"/>
  <c r="H37" i="27"/>
  <c r="BU35" i="27"/>
  <c r="BH35" i="27"/>
  <c r="BB35" i="27"/>
  <c r="AV35" i="27"/>
  <c r="AN35" i="27"/>
  <c r="BG35" i="27" s="1"/>
  <c r="AM35" i="27"/>
  <c r="AU35" i="27" s="1"/>
  <c r="AF35" i="27"/>
  <c r="X35" i="27"/>
  <c r="L35" i="27"/>
  <c r="BD35" i="27" s="1"/>
  <c r="J35" i="27"/>
  <c r="AI35" i="27" s="1"/>
  <c r="AR34" i="27" s="1"/>
  <c r="I35" i="27"/>
  <c r="H35" i="27"/>
  <c r="L34" i="27"/>
  <c r="BU32" i="27"/>
  <c r="BH32" i="27"/>
  <c r="BB32" i="27"/>
  <c r="AN32" i="27"/>
  <c r="BG32" i="27" s="1"/>
  <c r="AM32" i="27"/>
  <c r="AU32" i="27" s="1"/>
  <c r="AF32" i="27"/>
  <c r="X32" i="27"/>
  <c r="L32" i="27"/>
  <c r="BD32" i="27" s="1"/>
  <c r="J32" i="27"/>
  <c r="AI32" i="27" s="1"/>
  <c r="H32" i="27"/>
  <c r="BU30" i="27"/>
  <c r="BH30" i="27"/>
  <c r="BB30" i="27"/>
  <c r="AV30" i="27"/>
  <c r="AN30" i="27"/>
  <c r="BG30" i="27" s="1"/>
  <c r="AM30" i="27"/>
  <c r="AU30" i="27" s="1"/>
  <c r="AF30" i="27"/>
  <c r="X30" i="27"/>
  <c r="L30" i="27"/>
  <c r="BD30" i="27" s="1"/>
  <c r="J30" i="27"/>
  <c r="AI30" i="27" s="1"/>
  <c r="AR29" i="27" s="1"/>
  <c r="I30" i="27"/>
  <c r="H30" i="27"/>
  <c r="L29" i="27"/>
  <c r="J29" i="27"/>
  <c r="BU27" i="27"/>
  <c r="BH27" i="27"/>
  <c r="AF27" i="27" s="1"/>
  <c r="BB27" i="27"/>
  <c r="AN27" i="27"/>
  <c r="BG27" i="27" s="1"/>
  <c r="AM27" i="27"/>
  <c r="AU27" i="27" s="1"/>
  <c r="L27" i="27"/>
  <c r="BD27" i="27" s="1"/>
  <c r="J27" i="27"/>
  <c r="AI27" i="27" s="1"/>
  <c r="I27" i="27"/>
  <c r="BU25" i="27"/>
  <c r="BH25" i="27"/>
  <c r="BB25" i="27"/>
  <c r="AN25" i="27"/>
  <c r="BG25" i="27" s="1"/>
  <c r="AM25" i="27"/>
  <c r="AU25" i="27" s="1"/>
  <c r="AF25" i="27"/>
  <c r="X25" i="27"/>
  <c r="L25" i="27"/>
  <c r="BD25" i="27" s="1"/>
  <c r="J25" i="27"/>
  <c r="AI25" i="27" s="1"/>
  <c r="H25" i="27"/>
  <c r="BU23" i="27"/>
  <c r="BH23" i="27"/>
  <c r="X23" i="27" s="1"/>
  <c r="BB23" i="27"/>
  <c r="AV23" i="27"/>
  <c r="AN23" i="27"/>
  <c r="BG23" i="27" s="1"/>
  <c r="AM23" i="27"/>
  <c r="AU23" i="27" s="1"/>
  <c r="AF23" i="27"/>
  <c r="L23" i="27"/>
  <c r="BD23" i="27" s="1"/>
  <c r="J23" i="27"/>
  <c r="AI23" i="27" s="1"/>
  <c r="I23" i="27"/>
  <c r="BU21" i="27"/>
  <c r="BH21" i="27"/>
  <c r="AF21" i="27" s="1"/>
  <c r="BB21" i="27"/>
  <c r="AN21" i="27"/>
  <c r="BG21" i="27" s="1"/>
  <c r="AM21" i="27"/>
  <c r="AU21" i="27" s="1"/>
  <c r="X21" i="27"/>
  <c r="L21" i="27"/>
  <c r="BD21" i="27" s="1"/>
  <c r="J21" i="27"/>
  <c r="AI21" i="27" s="1"/>
  <c r="I21" i="27"/>
  <c r="L20" i="27"/>
  <c r="BU18" i="27"/>
  <c r="BH18" i="27"/>
  <c r="BB18" i="27"/>
  <c r="AN18" i="27"/>
  <c r="BG18" i="27" s="1"/>
  <c r="AM18" i="27"/>
  <c r="AU18" i="27" s="1"/>
  <c r="AF18" i="27"/>
  <c r="X18" i="27"/>
  <c r="L18" i="27"/>
  <c r="BD18" i="27" s="1"/>
  <c r="J18" i="27"/>
  <c r="AI18" i="27" s="1"/>
  <c r="AR17" i="27" s="1"/>
  <c r="H18" i="27"/>
  <c r="H17" i="27" s="1"/>
  <c r="L17" i="27"/>
  <c r="BU15" i="27"/>
  <c r="BH15" i="27"/>
  <c r="BB15" i="27"/>
  <c r="AN15" i="27"/>
  <c r="BG15" i="27" s="1"/>
  <c r="AM15" i="27"/>
  <c r="AU15" i="27" s="1"/>
  <c r="AF15" i="27"/>
  <c r="X15" i="27"/>
  <c r="L15" i="27"/>
  <c r="BD15" i="27" s="1"/>
  <c r="J15" i="27"/>
  <c r="AI15" i="27" s="1"/>
  <c r="I15" i="27"/>
  <c r="BU13" i="27"/>
  <c r="BH13" i="27"/>
  <c r="AF13" i="27" s="1"/>
  <c r="BB13" i="27"/>
  <c r="AN13" i="27"/>
  <c r="BG13" i="27" s="1"/>
  <c r="AM13" i="27"/>
  <c r="AU13" i="27" s="1"/>
  <c r="L13" i="27"/>
  <c r="BD13" i="27" s="1"/>
  <c r="J13" i="27"/>
  <c r="AI13" i="27" s="1"/>
  <c r="I13" i="27"/>
  <c r="I12" i="27" s="1"/>
  <c r="AS1" i="27"/>
  <c r="AR1" i="27"/>
  <c r="AQ1" i="27"/>
  <c r="J304" i="31" l="1"/>
  <c r="E25" i="50" s="1"/>
  <c r="G25" i="50"/>
  <c r="H25" i="50" s="1"/>
  <c r="F24" i="50"/>
  <c r="H15" i="27"/>
  <c r="H21" i="27"/>
  <c r="I62" i="27"/>
  <c r="BF76" i="27"/>
  <c r="Z76" i="27" s="1"/>
  <c r="AU88" i="27"/>
  <c r="AU94" i="27"/>
  <c r="AT94" i="27" s="1"/>
  <c r="AU110" i="27"/>
  <c r="AJ21" i="27"/>
  <c r="H29" i="27"/>
  <c r="AF78" i="27"/>
  <c r="AU79" i="27"/>
  <c r="AV80" i="27"/>
  <c r="AU90" i="27"/>
  <c r="H100" i="27"/>
  <c r="AU107" i="27"/>
  <c r="AU112" i="27"/>
  <c r="AV76" i="27"/>
  <c r="BG94" i="27"/>
  <c r="AC94" i="27" s="1"/>
  <c r="J17" i="27"/>
  <c r="Z45" i="27"/>
  <c r="I67" i="27"/>
  <c r="I71" i="27"/>
  <c r="AU82" i="27"/>
  <c r="AU86" i="27"/>
  <c r="H105" i="27"/>
  <c r="I107" i="27"/>
  <c r="AT30" i="30"/>
  <c r="AT21" i="30"/>
  <c r="AV13" i="27"/>
  <c r="BA228" i="31"/>
  <c r="BA149" i="31"/>
  <c r="AT149" i="31"/>
  <c r="BA275" i="31"/>
  <c r="AT292" i="31"/>
  <c r="H175" i="31"/>
  <c r="H109" i="31"/>
  <c r="BA74" i="31"/>
  <c r="H40" i="31"/>
  <c r="BA156" i="31"/>
  <c r="AT156" i="31"/>
  <c r="AT29" i="31"/>
  <c r="BA283" i="31"/>
  <c r="AT239" i="31"/>
  <c r="AT242" i="31"/>
  <c r="BA94" i="31"/>
  <c r="BA33" i="31"/>
  <c r="BA224" i="31"/>
  <c r="AT53" i="31"/>
  <c r="BA107" i="31"/>
  <c r="AT107" i="31"/>
  <c r="AT120" i="31"/>
  <c r="BA100" i="31"/>
  <c r="AT100" i="31"/>
  <c r="H241" i="31"/>
  <c r="AT285" i="31"/>
  <c r="I175" i="31"/>
  <c r="H162" i="31"/>
  <c r="H90" i="31"/>
  <c r="H18" i="31"/>
  <c r="BA136" i="31"/>
  <c r="BA163" i="31"/>
  <c r="AT163" i="31"/>
  <c r="BA55" i="31"/>
  <c r="AT55" i="31"/>
  <c r="AT302" i="31"/>
  <c r="BA302" i="31"/>
  <c r="AT300" i="31"/>
  <c r="BA300" i="31"/>
  <c r="AT272" i="31"/>
  <c r="BA272" i="31"/>
  <c r="BA233" i="31"/>
  <c r="AT233" i="31"/>
  <c r="BA250" i="31"/>
  <c r="AT215" i="31"/>
  <c r="AT219" i="31"/>
  <c r="BA219" i="31"/>
  <c r="AT173" i="31"/>
  <c r="BA173" i="31"/>
  <c r="BA19" i="31"/>
  <c r="AT19" i="31"/>
  <c r="AT126" i="31"/>
  <c r="BA126" i="31"/>
  <c r="I40" i="31"/>
  <c r="AT277" i="31"/>
  <c r="BA277" i="31"/>
  <c r="BA296" i="31"/>
  <c r="AT296" i="31"/>
  <c r="BA286" i="31"/>
  <c r="AT286" i="31"/>
  <c r="BA278" i="31"/>
  <c r="AT278" i="31"/>
  <c r="BA270" i="31"/>
  <c r="AT270" i="31"/>
  <c r="AT276" i="31"/>
  <c r="BA276" i="31"/>
  <c r="BA264" i="31"/>
  <c r="AT264" i="31"/>
  <c r="BA248" i="31"/>
  <c r="AT248" i="31"/>
  <c r="AT252" i="31"/>
  <c r="BA252" i="31"/>
  <c r="I241" i="31"/>
  <c r="AT244" i="31"/>
  <c r="BA244" i="31"/>
  <c r="AT231" i="31"/>
  <c r="AT198" i="31"/>
  <c r="BA198" i="31"/>
  <c r="AT182" i="31"/>
  <c r="BA182" i="31"/>
  <c r="BA200" i="31"/>
  <c r="AT200" i="31"/>
  <c r="BA184" i="31"/>
  <c r="AT184" i="31"/>
  <c r="BA169" i="31"/>
  <c r="AT169" i="31"/>
  <c r="AT86" i="31"/>
  <c r="BA86" i="31"/>
  <c r="AT70" i="31"/>
  <c r="BA70" i="31"/>
  <c r="AT222" i="31"/>
  <c r="BA222" i="31"/>
  <c r="BA80" i="31"/>
  <c r="AT80" i="31"/>
  <c r="BA65" i="31"/>
  <c r="AT65" i="31"/>
  <c r="AT260" i="31"/>
  <c r="BA260" i="31"/>
  <c r="AT211" i="31"/>
  <c r="BA211" i="31"/>
  <c r="BA171" i="31"/>
  <c r="AT167" i="31"/>
  <c r="BA167" i="31"/>
  <c r="AT134" i="31"/>
  <c r="BA134" i="31"/>
  <c r="BA186" i="31"/>
  <c r="AT180" i="31"/>
  <c r="BA180" i="31"/>
  <c r="AT124" i="31"/>
  <c r="BA124" i="31"/>
  <c r="AT141" i="31"/>
  <c r="BA141" i="31"/>
  <c r="AT97" i="31"/>
  <c r="BA97" i="31"/>
  <c r="AT289" i="31"/>
  <c r="BA289" i="31"/>
  <c r="AT287" i="31"/>
  <c r="AT132" i="31"/>
  <c r="BA132" i="31"/>
  <c r="AT67" i="31"/>
  <c r="I69" i="31"/>
  <c r="AT202" i="31"/>
  <c r="AT294" i="31"/>
  <c r="BA294" i="31"/>
  <c r="BA298" i="31"/>
  <c r="AT288" i="31"/>
  <c r="BA288" i="31"/>
  <c r="BA279" i="31"/>
  <c r="BA271" i="31"/>
  <c r="AT280" i="31"/>
  <c r="BA280" i="31"/>
  <c r="AT266" i="31"/>
  <c r="BA266" i="31"/>
  <c r="BA214" i="31"/>
  <c r="AT214" i="31"/>
  <c r="AT254" i="31"/>
  <c r="BA59" i="31"/>
  <c r="AT59" i="31"/>
  <c r="I117" i="31"/>
  <c r="AT91" i="31"/>
  <c r="BA91" i="31"/>
  <c r="BA13" i="31"/>
  <c r="AT13" i="31"/>
  <c r="BA226" i="31"/>
  <c r="AT204" i="31"/>
  <c r="BA204" i="31"/>
  <c r="BA178" i="31"/>
  <c r="AT160" i="31"/>
  <c r="BA160" i="31"/>
  <c r="AT105" i="31"/>
  <c r="BA105" i="31"/>
  <c r="AT84" i="31"/>
  <c r="BA84" i="31"/>
  <c r="AT62" i="31"/>
  <c r="BA62" i="31"/>
  <c r="I18" i="31"/>
  <c r="BA268" i="31"/>
  <c r="AT268" i="31"/>
  <c r="AT57" i="31"/>
  <c r="BA57" i="31"/>
  <c r="AT188" i="31"/>
  <c r="BA188" i="31"/>
  <c r="AT82" i="31"/>
  <c r="AT281" i="31"/>
  <c r="BA281" i="31"/>
  <c r="AT273" i="31"/>
  <c r="BA273" i="31"/>
  <c r="BA291" i="31"/>
  <c r="AT291" i="31"/>
  <c r="BA282" i="31"/>
  <c r="AT282" i="31"/>
  <c r="BA274" i="31"/>
  <c r="AT274" i="31"/>
  <c r="AT284" i="31"/>
  <c r="BA284" i="31"/>
  <c r="BA256" i="31"/>
  <c r="AT256" i="31"/>
  <c r="AT269" i="31"/>
  <c r="BA269" i="31"/>
  <c r="AT246" i="31"/>
  <c r="AT237" i="31"/>
  <c r="BA237" i="31"/>
  <c r="AT190" i="31"/>
  <c r="BA190" i="31"/>
  <c r="I230" i="31"/>
  <c r="BA208" i="31"/>
  <c r="AT208" i="31"/>
  <c r="BA192" i="31"/>
  <c r="AT192" i="31"/>
  <c r="BA176" i="31"/>
  <c r="AT176" i="31"/>
  <c r="AT93" i="31"/>
  <c r="BA93" i="31"/>
  <c r="AT78" i="31"/>
  <c r="BA78" i="31"/>
  <c r="AT293" i="31"/>
  <c r="BA293" i="31"/>
  <c r="BA88" i="31"/>
  <c r="AT88" i="31"/>
  <c r="BA72" i="31"/>
  <c r="AT72" i="31"/>
  <c r="AT112" i="31"/>
  <c r="BA112" i="31"/>
  <c r="AT146" i="31"/>
  <c r="BA146" i="31"/>
  <c r="AT118" i="31"/>
  <c r="BA118" i="31"/>
  <c r="AT206" i="31"/>
  <c r="AT196" i="31"/>
  <c r="BA196" i="31"/>
  <c r="AT153" i="31"/>
  <c r="BA153" i="31"/>
  <c r="AT110" i="31"/>
  <c r="BA110" i="31"/>
  <c r="AT76" i="31"/>
  <c r="BA76" i="31"/>
  <c r="AT217" i="31"/>
  <c r="BA217" i="31"/>
  <c r="BA21" i="31"/>
  <c r="J42" i="30"/>
  <c r="AT37" i="30"/>
  <c r="AT28" i="30"/>
  <c r="AT26" i="30"/>
  <c r="BA28" i="30"/>
  <c r="AT32" i="30"/>
  <c r="AT13" i="30"/>
  <c r="BA37" i="30"/>
  <c r="BA13" i="30"/>
  <c r="BA24" i="30"/>
  <c r="BA40" i="30"/>
  <c r="BA16" i="30"/>
  <c r="BA35" i="30"/>
  <c r="BA32" i="30"/>
  <c r="BA21" i="30"/>
  <c r="BA19" i="30"/>
  <c r="BA26" i="30"/>
  <c r="I20" i="27"/>
  <c r="AJ35" i="27"/>
  <c r="BA90" i="27"/>
  <c r="H13" i="27"/>
  <c r="H12" i="27" s="1"/>
  <c r="X13" i="27"/>
  <c r="I18" i="27"/>
  <c r="I17" i="27" s="1"/>
  <c r="AV18" i="27"/>
  <c r="BA18" i="27" s="1"/>
  <c r="AJ23" i="27"/>
  <c r="I25" i="27"/>
  <c r="AV25" i="27"/>
  <c r="AT25" i="27" s="1"/>
  <c r="H27" i="27"/>
  <c r="X27" i="27"/>
  <c r="AJ30" i="27"/>
  <c r="I32" i="27"/>
  <c r="I29" i="27" s="1"/>
  <c r="AV32" i="27"/>
  <c r="AJ37" i="27"/>
  <c r="I39" i="27"/>
  <c r="I34" i="27" s="1"/>
  <c r="AV39" i="27"/>
  <c r="BA39" i="27" s="1"/>
  <c r="H40" i="27"/>
  <c r="H34" i="27" s="1"/>
  <c r="X40" i="27"/>
  <c r="H43" i="27"/>
  <c r="X43" i="27"/>
  <c r="AV49" i="27"/>
  <c r="AV58" i="27"/>
  <c r="AV60" i="27"/>
  <c r="AV63" i="27"/>
  <c r="AV65" i="27"/>
  <c r="AV68" i="27"/>
  <c r="AV69" i="27"/>
  <c r="AV72" i="27"/>
  <c r="L75" i="27"/>
  <c r="AA78" i="27"/>
  <c r="AI78" i="27"/>
  <c r="AV79" i="27"/>
  <c r="BA79" i="27" s="1"/>
  <c r="AI80" i="27"/>
  <c r="AU80" i="27"/>
  <c r="AV81" i="27"/>
  <c r="BA81" i="27" s="1"/>
  <c r="I83" i="27"/>
  <c r="AV83" i="27"/>
  <c r="BA83" i="27" s="1"/>
  <c r="I85" i="27"/>
  <c r="AV85" i="27"/>
  <c r="BA85" i="27" s="1"/>
  <c r="I87" i="27"/>
  <c r="AV87" i="27"/>
  <c r="AV89" i="27"/>
  <c r="AT89" i="27" s="1"/>
  <c r="AV90" i="27"/>
  <c r="H91" i="27"/>
  <c r="Z91" i="27"/>
  <c r="AD92" i="27"/>
  <c r="I93" i="27"/>
  <c r="BA94" i="27"/>
  <c r="AU96" i="27"/>
  <c r="AU100" i="27"/>
  <c r="I106" i="27"/>
  <c r="AD109" i="27"/>
  <c r="H110" i="27"/>
  <c r="AD110" i="27"/>
  <c r="I112" i="27"/>
  <c r="H47" i="27"/>
  <c r="I72" i="27"/>
  <c r="BA89" i="27"/>
  <c r="J12" i="27"/>
  <c r="AJ18" i="27"/>
  <c r="AS17" i="27" s="1"/>
  <c r="AJ25" i="27"/>
  <c r="AV27" i="27"/>
  <c r="AT27" i="27" s="1"/>
  <c r="AJ32" i="27"/>
  <c r="AJ39" i="27"/>
  <c r="I49" i="27"/>
  <c r="L55" i="27"/>
  <c r="I60" i="27"/>
  <c r="I65" i="27"/>
  <c r="I69" i="27"/>
  <c r="I88" i="27"/>
  <c r="X96" i="27"/>
  <c r="H97" i="27"/>
  <c r="Z97" i="27"/>
  <c r="AU97" i="27"/>
  <c r="AU98" i="27"/>
  <c r="AU99" i="27"/>
  <c r="H101" i="27"/>
  <c r="Z101" i="27"/>
  <c r="AU101" i="27"/>
  <c r="AU102" i="27"/>
  <c r="AU104" i="27"/>
  <c r="I111" i="27"/>
  <c r="AJ15" i="27"/>
  <c r="BA87" i="27"/>
  <c r="I100" i="27"/>
  <c r="L12" i="27"/>
  <c r="AJ13" i="27"/>
  <c r="AS12" i="27" s="1"/>
  <c r="AV15" i="27"/>
  <c r="BA15" i="27" s="1"/>
  <c r="J20" i="27"/>
  <c r="AV21" i="27"/>
  <c r="H23" i="27"/>
  <c r="AJ27" i="27"/>
  <c r="J34" i="27"/>
  <c r="AJ40" i="27"/>
  <c r="AJ43" i="27"/>
  <c r="I45" i="27"/>
  <c r="I42" i="27" s="1"/>
  <c r="AV61" i="27"/>
  <c r="AV62" i="27"/>
  <c r="AV66" i="27"/>
  <c r="AV67" i="27"/>
  <c r="AV71" i="27"/>
  <c r="BA76" i="27"/>
  <c r="AE79" i="27"/>
  <c r="AT79" i="27"/>
  <c r="AD80" i="27"/>
  <c r="Z81" i="27"/>
  <c r="AT81" i="27"/>
  <c r="I82" i="27"/>
  <c r="AV82" i="27"/>
  <c r="AT82" i="27" s="1"/>
  <c r="I84" i="27"/>
  <c r="AV84" i="27"/>
  <c r="AT84" i="27" s="1"/>
  <c r="AT85" i="27"/>
  <c r="I86" i="27"/>
  <c r="AV86" i="27"/>
  <c r="AT86" i="27" s="1"/>
  <c r="AT87" i="27"/>
  <c r="AV88" i="27"/>
  <c r="BA88" i="27" s="1"/>
  <c r="Z89" i="27"/>
  <c r="AT90" i="27"/>
  <c r="AV93" i="27"/>
  <c r="AE94" i="27"/>
  <c r="H95" i="27"/>
  <c r="X95" i="27"/>
  <c r="AI95" i="27"/>
  <c r="AU95" i="27"/>
  <c r="BG95" i="27"/>
  <c r="I96" i="27"/>
  <c r="AD97" i="27"/>
  <c r="H98" i="27"/>
  <c r="AD98" i="27"/>
  <c r="H99" i="27"/>
  <c r="AD101" i="27"/>
  <c r="H102" i="27"/>
  <c r="AD102" i="27"/>
  <c r="Z103" i="27"/>
  <c r="AU103" i="27"/>
  <c r="Z105" i="27"/>
  <c r="AU105" i="27"/>
  <c r="AU106" i="27"/>
  <c r="AU108" i="27"/>
  <c r="AV111" i="27"/>
  <c r="BA111" i="27" s="1"/>
  <c r="AE13" i="27"/>
  <c r="AA13" i="27"/>
  <c r="AC13" i="27"/>
  <c r="AE30" i="27"/>
  <c r="AA30" i="27"/>
  <c r="AC30" i="27"/>
  <c r="AT43" i="27"/>
  <c r="BA43" i="27"/>
  <c r="AR12" i="27"/>
  <c r="AT18" i="27"/>
  <c r="AT21" i="27"/>
  <c r="BA21" i="27"/>
  <c r="AT32" i="27"/>
  <c r="BA32" i="27"/>
  <c r="AT35" i="27"/>
  <c r="BA35" i="27"/>
  <c r="AT39" i="27"/>
  <c r="AE43" i="27"/>
  <c r="AA43" i="27"/>
  <c r="AC43" i="27"/>
  <c r="AE37" i="27"/>
  <c r="AA37" i="27"/>
  <c r="AC37" i="27"/>
  <c r="AE15" i="27"/>
  <c r="AA15" i="27"/>
  <c r="AC15" i="27"/>
  <c r="AE18" i="27"/>
  <c r="AA18" i="27"/>
  <c r="AC18" i="27"/>
  <c r="AE21" i="27"/>
  <c r="AA21" i="27"/>
  <c r="AC21" i="27"/>
  <c r="AE25" i="27"/>
  <c r="AA25" i="27"/>
  <c r="AC25" i="27"/>
  <c r="AE32" i="27"/>
  <c r="AA32" i="27"/>
  <c r="AC32" i="27"/>
  <c r="AE35" i="27"/>
  <c r="AA35" i="27"/>
  <c r="AC35" i="27"/>
  <c r="AE39" i="27"/>
  <c r="AA39" i="27"/>
  <c r="AC39" i="27"/>
  <c r="AE23" i="27"/>
  <c r="AA23" i="27"/>
  <c r="AC23" i="27"/>
  <c r="AE27" i="27"/>
  <c r="AA27" i="27"/>
  <c r="AC27" i="27"/>
  <c r="AE40" i="27"/>
  <c r="AA40" i="27"/>
  <c r="AC40" i="27"/>
  <c r="AT13" i="27"/>
  <c r="BA13" i="27"/>
  <c r="AR20" i="27"/>
  <c r="AT23" i="27"/>
  <c r="BA23" i="27"/>
  <c r="BA27" i="27"/>
  <c r="AT30" i="27"/>
  <c r="BA30" i="27"/>
  <c r="AT37" i="27"/>
  <c r="BA37" i="27"/>
  <c r="AT40" i="27"/>
  <c r="BA40" i="27"/>
  <c r="BF13" i="27"/>
  <c r="BF15" i="27"/>
  <c r="BF39" i="27"/>
  <c r="AH49" i="27"/>
  <c r="AJ49" i="27"/>
  <c r="AC50" i="27"/>
  <c r="AE50" i="27"/>
  <c r="AA50" i="27"/>
  <c r="AH92" i="27"/>
  <c r="AJ92" i="27"/>
  <c r="X93" i="27"/>
  <c r="AF93" i="27"/>
  <c r="AH13" i="27"/>
  <c r="AH15" i="27"/>
  <c r="AH18" i="27"/>
  <c r="AQ17" i="27" s="1"/>
  <c r="AH21" i="27"/>
  <c r="AH23" i="27"/>
  <c r="AH25" i="27"/>
  <c r="AH27" i="27"/>
  <c r="AH30" i="27"/>
  <c r="AH32" i="27"/>
  <c r="AH35" i="27"/>
  <c r="AH37" i="27"/>
  <c r="AH39" i="27"/>
  <c r="AH40" i="27"/>
  <c r="AH43" i="27"/>
  <c r="AD45" i="27"/>
  <c r="Z47" i="27"/>
  <c r="AC47" i="27"/>
  <c r="AE47" i="27"/>
  <c r="AA47" i="27"/>
  <c r="AD50" i="27"/>
  <c r="AD54" i="27"/>
  <c r="AH56" i="27"/>
  <c r="AJ56" i="27"/>
  <c r="AI56" i="27"/>
  <c r="Z58" i="27"/>
  <c r="AC58" i="27"/>
  <c r="AE58" i="27"/>
  <c r="AA58" i="27"/>
  <c r="X58" i="27"/>
  <c r="AF58" i="27"/>
  <c r="AH60" i="27"/>
  <c r="AJ60" i="27"/>
  <c r="AI60" i="27"/>
  <c r="Z61" i="27"/>
  <c r="AC61" i="27"/>
  <c r="AE61" i="27"/>
  <c r="AA61" i="27"/>
  <c r="X61" i="27"/>
  <c r="AF61" i="27"/>
  <c r="AH62" i="27"/>
  <c r="AJ62" i="27"/>
  <c r="AI62" i="27"/>
  <c r="Z63" i="27"/>
  <c r="AC63" i="27"/>
  <c r="AE63" i="27"/>
  <c r="AA63" i="27"/>
  <c r="X63" i="27"/>
  <c r="AF63" i="27"/>
  <c r="AH65" i="27"/>
  <c r="AJ65" i="27"/>
  <c r="AI65" i="27"/>
  <c r="Z66" i="27"/>
  <c r="AC66" i="27"/>
  <c r="AE66" i="27"/>
  <c r="AA66" i="27"/>
  <c r="X66" i="27"/>
  <c r="AF66" i="27"/>
  <c r="AH67" i="27"/>
  <c r="AJ67" i="27"/>
  <c r="AI67" i="27"/>
  <c r="Z68" i="27"/>
  <c r="AC68" i="27"/>
  <c r="AE68" i="27"/>
  <c r="AA68" i="27"/>
  <c r="X68" i="27"/>
  <c r="AF68" i="27"/>
  <c r="AH69" i="27"/>
  <c r="AJ69" i="27"/>
  <c r="AI69" i="27"/>
  <c r="Z70" i="27"/>
  <c r="AC70" i="27"/>
  <c r="AE70" i="27"/>
  <c r="AA70" i="27"/>
  <c r="X70" i="27"/>
  <c r="AF70" i="27"/>
  <c r="AH71" i="27"/>
  <c r="AJ71" i="27"/>
  <c r="AI71" i="27"/>
  <c r="Z72" i="27"/>
  <c r="AC72" i="27"/>
  <c r="AE72" i="27"/>
  <c r="AA72" i="27"/>
  <c r="X72" i="27"/>
  <c r="AF72" i="27"/>
  <c r="AD74" i="27"/>
  <c r="AC82" i="27"/>
  <c r="AE82" i="27"/>
  <c r="AA82" i="27"/>
  <c r="AC84" i="27"/>
  <c r="AE84" i="27"/>
  <c r="AA84" i="27"/>
  <c r="AC86" i="27"/>
  <c r="AE86" i="27"/>
  <c r="AA86" i="27"/>
  <c r="AC91" i="27"/>
  <c r="AE91" i="27"/>
  <c r="AA91" i="27"/>
  <c r="AC93" i="27"/>
  <c r="AE93" i="27"/>
  <c r="AA93" i="27"/>
  <c r="AB108" i="27"/>
  <c r="AD108" i="27"/>
  <c r="Z108" i="27"/>
  <c r="BF18" i="27"/>
  <c r="BF21" i="27"/>
  <c r="BF25" i="27"/>
  <c r="BF30" i="27"/>
  <c r="BF32" i="27"/>
  <c r="BF35" i="27"/>
  <c r="BF37" i="27"/>
  <c r="AC54" i="27"/>
  <c r="AE54" i="27"/>
  <c r="AA54" i="27"/>
  <c r="AH76" i="27"/>
  <c r="AJ76" i="27"/>
  <c r="AI76" i="27"/>
  <c r="X91" i="27"/>
  <c r="AF91" i="27"/>
  <c r="J42" i="27"/>
  <c r="AH45" i="27"/>
  <c r="AJ45" i="27"/>
  <c r="AI45" i="27"/>
  <c r="AD47" i="27"/>
  <c r="AC49" i="27"/>
  <c r="AE49" i="27"/>
  <c r="AA49" i="27"/>
  <c r="X49" i="27"/>
  <c r="AF49" i="27"/>
  <c r="AH50" i="27"/>
  <c r="AJ50" i="27"/>
  <c r="AI50" i="27"/>
  <c r="AC52" i="27"/>
  <c r="AE52" i="27"/>
  <c r="AA52" i="27"/>
  <c r="X52" i="27"/>
  <c r="AF52" i="27"/>
  <c r="AH54" i="27"/>
  <c r="AJ54" i="27"/>
  <c r="AI54" i="27"/>
  <c r="AD58" i="27"/>
  <c r="AD61" i="27"/>
  <c r="AD63" i="27"/>
  <c r="AD66" i="27"/>
  <c r="AD68" i="27"/>
  <c r="AD70" i="27"/>
  <c r="AD72" i="27"/>
  <c r="AH74" i="27"/>
  <c r="AQ73" i="27" s="1"/>
  <c r="AJ74" i="27"/>
  <c r="AS73" i="27" s="1"/>
  <c r="AI74" i="27"/>
  <c r="AR73" i="27" s="1"/>
  <c r="AC76" i="27"/>
  <c r="AE76" i="27"/>
  <c r="X88" i="27"/>
  <c r="AF88" i="27"/>
  <c r="AH89" i="27"/>
  <c r="AJ89" i="27"/>
  <c r="AI89" i="27"/>
  <c r="AC105" i="27"/>
  <c r="AE105" i="27"/>
  <c r="AA105" i="27"/>
  <c r="BF23" i="27"/>
  <c r="BF27" i="27"/>
  <c r="BF40" i="27"/>
  <c r="BF43" i="27"/>
  <c r="AC45" i="27"/>
  <c r="AE45" i="27"/>
  <c r="AA45" i="27"/>
  <c r="X47" i="27"/>
  <c r="AF47" i="27"/>
  <c r="AI49" i="27"/>
  <c r="X50" i="27"/>
  <c r="AF50" i="27"/>
  <c r="AH52" i="27"/>
  <c r="AJ52" i="27"/>
  <c r="X54" i="27"/>
  <c r="AF54" i="27"/>
  <c r="AC74" i="27"/>
  <c r="AE74" i="27"/>
  <c r="AA74" i="27"/>
  <c r="X74" i="27"/>
  <c r="AF74" i="27"/>
  <c r="AI92" i="27"/>
  <c r="AH94" i="27"/>
  <c r="AJ94" i="27"/>
  <c r="AI94" i="27"/>
  <c r="X45" i="27"/>
  <c r="AF45" i="27"/>
  <c r="AH47" i="27"/>
  <c r="AJ47" i="27"/>
  <c r="AI47" i="27"/>
  <c r="AC56" i="27"/>
  <c r="AE56" i="27"/>
  <c r="AA56" i="27"/>
  <c r="X56" i="27"/>
  <c r="AF56" i="27"/>
  <c r="AH58" i="27"/>
  <c r="AJ58" i="27"/>
  <c r="AI58" i="27"/>
  <c r="AC60" i="27"/>
  <c r="AE60" i="27"/>
  <c r="AA60" i="27"/>
  <c r="X60" i="27"/>
  <c r="AF60" i="27"/>
  <c r="AH61" i="27"/>
  <c r="AJ61" i="27"/>
  <c r="AI61" i="27"/>
  <c r="AC62" i="27"/>
  <c r="AE62" i="27"/>
  <c r="AA62" i="27"/>
  <c r="X62" i="27"/>
  <c r="AF62" i="27"/>
  <c r="AH63" i="27"/>
  <c r="AJ63" i="27"/>
  <c r="AI63" i="27"/>
  <c r="AC65" i="27"/>
  <c r="AE65" i="27"/>
  <c r="AA65" i="27"/>
  <c r="X65" i="27"/>
  <c r="AF65" i="27"/>
  <c r="AH66" i="27"/>
  <c r="AJ66" i="27"/>
  <c r="AI66" i="27"/>
  <c r="AC67" i="27"/>
  <c r="AE67" i="27"/>
  <c r="AA67" i="27"/>
  <c r="X67" i="27"/>
  <c r="AF67" i="27"/>
  <c r="AH68" i="27"/>
  <c r="AJ68" i="27"/>
  <c r="AI68" i="27"/>
  <c r="AC69" i="27"/>
  <c r="AE69" i="27"/>
  <c r="AA69" i="27"/>
  <c r="X69" i="27"/>
  <c r="AF69" i="27"/>
  <c r="AH70" i="27"/>
  <c r="AJ70" i="27"/>
  <c r="AI70" i="27"/>
  <c r="AC71" i="27"/>
  <c r="AE71" i="27"/>
  <c r="AA71" i="27"/>
  <c r="X71" i="27"/>
  <c r="AF71" i="27"/>
  <c r="AH72" i="27"/>
  <c r="AJ72" i="27"/>
  <c r="AI72" i="27"/>
  <c r="J75" i="27"/>
  <c r="AC81" i="27"/>
  <c r="AE81" i="27"/>
  <c r="AA81" i="27"/>
  <c r="AC83" i="27"/>
  <c r="AE83" i="27"/>
  <c r="AA83" i="27"/>
  <c r="AC85" i="27"/>
  <c r="AE85" i="27"/>
  <c r="AA85" i="27"/>
  <c r="AC87" i="27"/>
  <c r="AE87" i="27"/>
  <c r="AA87" i="27"/>
  <c r="AB90" i="27"/>
  <c r="AD90" i="27"/>
  <c r="Z90" i="27"/>
  <c r="AB100" i="27"/>
  <c r="AD100" i="27"/>
  <c r="Z100" i="27"/>
  <c r="AU45" i="27"/>
  <c r="AU47" i="27"/>
  <c r="AU49" i="27"/>
  <c r="AU50" i="27"/>
  <c r="AU52" i="27"/>
  <c r="AU54" i="27"/>
  <c r="AU56" i="27"/>
  <c r="AU58" i="27"/>
  <c r="AU60" i="27"/>
  <c r="AU61" i="27"/>
  <c r="AU62" i="27"/>
  <c r="AU63" i="27"/>
  <c r="AU65" i="27"/>
  <c r="AU66" i="27"/>
  <c r="AU67" i="27"/>
  <c r="AU68" i="27"/>
  <c r="AU69" i="27"/>
  <c r="AU70" i="27"/>
  <c r="AU71" i="27"/>
  <c r="AU72" i="27"/>
  <c r="AU74" i="27"/>
  <c r="AB76" i="27"/>
  <c r="AT76" i="27"/>
  <c r="H78" i="27"/>
  <c r="AJ78" i="27"/>
  <c r="AU78" i="27"/>
  <c r="AA79" i="27"/>
  <c r="AJ79" i="27"/>
  <c r="X79" i="27"/>
  <c r="AF79" i="27"/>
  <c r="AA80" i="27"/>
  <c r="AJ80" i="27"/>
  <c r="X80" i="27"/>
  <c r="AF80" i="27"/>
  <c r="AH81" i="27"/>
  <c r="AJ81" i="27"/>
  <c r="AD81" i="27"/>
  <c r="AD82" i="27"/>
  <c r="AD83" i="27"/>
  <c r="AD84" i="27"/>
  <c r="AD85" i="27"/>
  <c r="AD86" i="27"/>
  <c r="AD87" i="27"/>
  <c r="X87" i="27"/>
  <c r="AF87" i="27"/>
  <c r="AH88" i="27"/>
  <c r="AJ88" i="27"/>
  <c r="AI88" i="27"/>
  <c r="AC90" i="27"/>
  <c r="AE90" i="27"/>
  <c r="AA90" i="27"/>
  <c r="AD91" i="27"/>
  <c r="AD93" i="27"/>
  <c r="AC97" i="27"/>
  <c r="AE97" i="27"/>
  <c r="AA97" i="27"/>
  <c r="X106" i="27"/>
  <c r="AF106" i="27"/>
  <c r="AH107" i="27"/>
  <c r="AJ107" i="27"/>
  <c r="AV45" i="27"/>
  <c r="AV47" i="27"/>
  <c r="X81" i="27"/>
  <c r="AF81" i="27"/>
  <c r="AH82" i="27"/>
  <c r="AJ82" i="27"/>
  <c r="AI82" i="27"/>
  <c r="X82" i="27"/>
  <c r="AF82" i="27"/>
  <c r="AH83" i="27"/>
  <c r="AJ83" i="27"/>
  <c r="AI83" i="27"/>
  <c r="X83" i="27"/>
  <c r="AF83" i="27"/>
  <c r="AH84" i="27"/>
  <c r="AJ84" i="27"/>
  <c r="AI84" i="27"/>
  <c r="X84" i="27"/>
  <c r="AF84" i="27"/>
  <c r="AH85" i="27"/>
  <c r="AJ85" i="27"/>
  <c r="AI85" i="27"/>
  <c r="X85" i="27"/>
  <c r="AF85" i="27"/>
  <c r="AH86" i="27"/>
  <c r="AJ86" i="27"/>
  <c r="AI86" i="27"/>
  <c r="X86" i="27"/>
  <c r="AF86" i="27"/>
  <c r="AH87" i="27"/>
  <c r="AJ87" i="27"/>
  <c r="AI87" i="27"/>
  <c r="AC89" i="27"/>
  <c r="AE89" i="27"/>
  <c r="AA89" i="27"/>
  <c r="X90" i="27"/>
  <c r="AF90" i="27"/>
  <c r="AH91" i="27"/>
  <c r="AJ91" i="27"/>
  <c r="AI91" i="27"/>
  <c r="AC92" i="27"/>
  <c r="AE92" i="27"/>
  <c r="AA92" i="27"/>
  <c r="X92" i="27"/>
  <c r="AF92" i="27"/>
  <c r="AH93" i="27"/>
  <c r="AJ93" i="27"/>
  <c r="AI93" i="27"/>
  <c r="X98" i="27"/>
  <c r="AF98" i="27"/>
  <c r="AH99" i="27"/>
  <c r="AJ99" i="27"/>
  <c r="AC101" i="27"/>
  <c r="AE101" i="27"/>
  <c r="AA101" i="27"/>
  <c r="AB104" i="27"/>
  <c r="AD104" i="27"/>
  <c r="Z104" i="27"/>
  <c r="AC109" i="27"/>
  <c r="AE109" i="27"/>
  <c r="AA109" i="27"/>
  <c r="X111" i="27"/>
  <c r="AF111" i="27"/>
  <c r="AH112" i="27"/>
  <c r="AJ112" i="27"/>
  <c r="AC88" i="27"/>
  <c r="AE88" i="27"/>
  <c r="AA88" i="27"/>
  <c r="X89" i="27"/>
  <c r="AF89" i="27"/>
  <c r="AH90" i="27"/>
  <c r="AJ90" i="27"/>
  <c r="AI90" i="27"/>
  <c r="AB96" i="27"/>
  <c r="AD96" i="27"/>
  <c r="Z96" i="27"/>
  <c r="X102" i="27"/>
  <c r="AF102" i="27"/>
  <c r="AH103" i="27"/>
  <c r="AJ103" i="27"/>
  <c r="X110" i="27"/>
  <c r="AF110" i="27"/>
  <c r="AH111" i="27"/>
  <c r="AJ111" i="27"/>
  <c r="AU91" i="27"/>
  <c r="AU92" i="27"/>
  <c r="AU93" i="27"/>
  <c r="AD95" i="27"/>
  <c r="AJ95" i="27"/>
  <c r="AC96" i="27"/>
  <c r="AE96" i="27"/>
  <c r="AA96" i="27"/>
  <c r="X97" i="27"/>
  <c r="AF97" i="27"/>
  <c r="AH98" i="27"/>
  <c r="AJ98" i="27"/>
  <c r="AI98" i="27"/>
  <c r="AC100" i="27"/>
  <c r="AE100" i="27"/>
  <c r="AA100" i="27"/>
  <c r="X101" i="27"/>
  <c r="AF101" i="27"/>
  <c r="AH102" i="27"/>
  <c r="AJ102" i="27"/>
  <c r="AI102" i="27"/>
  <c r="AC104" i="27"/>
  <c r="AE104" i="27"/>
  <c r="AA104" i="27"/>
  <c r="X105" i="27"/>
  <c r="AF105" i="27"/>
  <c r="AH106" i="27"/>
  <c r="AJ106" i="27"/>
  <c r="AI106" i="27"/>
  <c r="AC108" i="27"/>
  <c r="AE108" i="27"/>
  <c r="AA108" i="27"/>
  <c r="X109" i="27"/>
  <c r="AF109" i="27"/>
  <c r="AH110" i="27"/>
  <c r="AJ110" i="27"/>
  <c r="AI110" i="27"/>
  <c r="AH96" i="27"/>
  <c r="AJ96" i="27"/>
  <c r="AH97" i="27"/>
  <c r="AJ97" i="27"/>
  <c r="AI97" i="27"/>
  <c r="Z99" i="27"/>
  <c r="AC99" i="27"/>
  <c r="AE99" i="27"/>
  <c r="AA99" i="27"/>
  <c r="X100" i="27"/>
  <c r="AF100" i="27"/>
  <c r="AH101" i="27"/>
  <c r="AJ101" i="27"/>
  <c r="AI101" i="27"/>
  <c r="AC103" i="27"/>
  <c r="AE103" i="27"/>
  <c r="AA103" i="27"/>
  <c r="X104" i="27"/>
  <c r="AF104" i="27"/>
  <c r="AH105" i="27"/>
  <c r="AJ105" i="27"/>
  <c r="AI105" i="27"/>
  <c r="AC107" i="27"/>
  <c r="AE107" i="27"/>
  <c r="AA107" i="27"/>
  <c r="X108" i="27"/>
  <c r="AF108" i="27"/>
  <c r="AH109" i="27"/>
  <c r="AJ109" i="27"/>
  <c r="AI109" i="27"/>
  <c r="AC111" i="27"/>
  <c r="AE111" i="27"/>
  <c r="AA111" i="27"/>
  <c r="AC112" i="27"/>
  <c r="AE112" i="27"/>
  <c r="AA112" i="27"/>
  <c r="X112" i="27"/>
  <c r="AF112" i="27"/>
  <c r="AI96" i="27"/>
  <c r="Z98" i="27"/>
  <c r="AC98" i="27"/>
  <c r="AE98" i="27"/>
  <c r="AA98" i="27"/>
  <c r="AD99" i="27"/>
  <c r="X99" i="27"/>
  <c r="AF99" i="27"/>
  <c r="AH100" i="27"/>
  <c r="AJ100" i="27"/>
  <c r="AI100" i="27"/>
  <c r="Z102" i="27"/>
  <c r="AC102" i="27"/>
  <c r="AE102" i="27"/>
  <c r="AA102" i="27"/>
  <c r="AD103" i="27"/>
  <c r="X103" i="27"/>
  <c r="AF103" i="27"/>
  <c r="AH104" i="27"/>
  <c r="AJ104" i="27"/>
  <c r="AI104" i="27"/>
  <c r="Z106" i="27"/>
  <c r="AC106" i="27"/>
  <c r="AE106" i="27"/>
  <c r="AA106" i="27"/>
  <c r="AD107" i="27"/>
  <c r="X107" i="27"/>
  <c r="AF107" i="27"/>
  <c r="AH108" i="27"/>
  <c r="AJ108" i="27"/>
  <c r="AI108" i="27"/>
  <c r="Z110" i="27"/>
  <c r="AC110" i="27"/>
  <c r="AE110" i="27"/>
  <c r="AA110" i="27"/>
  <c r="AD111" i="27"/>
  <c r="AD112" i="27"/>
  <c r="AV96" i="27"/>
  <c r="AT96" i="27" s="1"/>
  <c r="AV97" i="27"/>
  <c r="AT97" i="27" s="1"/>
  <c r="AV98" i="27"/>
  <c r="AT98" i="27" s="1"/>
  <c r="AV99" i="27"/>
  <c r="AT99" i="27" s="1"/>
  <c r="AV100" i="27"/>
  <c r="AT100" i="27" s="1"/>
  <c r="AV101" i="27"/>
  <c r="AT101" i="27" s="1"/>
  <c r="AV102" i="27"/>
  <c r="AT102" i="27" s="1"/>
  <c r="AV103" i="27"/>
  <c r="AT103" i="27" s="1"/>
  <c r="AV104" i="27"/>
  <c r="AV105" i="27"/>
  <c r="AT105" i="27" s="1"/>
  <c r="AV106" i="27"/>
  <c r="AT106" i="27" s="1"/>
  <c r="AV107" i="27"/>
  <c r="AT107" i="27" s="1"/>
  <c r="AV108" i="27"/>
  <c r="AT108" i="27" s="1"/>
  <c r="AV109" i="27"/>
  <c r="AT109" i="27" s="1"/>
  <c r="AV110" i="27"/>
  <c r="AT110" i="27" s="1"/>
  <c r="AV112" i="27"/>
  <c r="AT112" i="27" s="1"/>
  <c r="G24" i="50" l="1"/>
  <c r="H24" i="50" s="1"/>
  <c r="F52" i="50"/>
  <c r="AT83" i="27"/>
  <c r="AR42" i="27"/>
  <c r="AS20" i="27"/>
  <c r="AT111" i="27"/>
  <c r="AQ29" i="27"/>
  <c r="AT15" i="27"/>
  <c r="BA97" i="27"/>
  <c r="AQ12" i="27"/>
  <c r="BA25" i="27"/>
  <c r="AA95" i="27"/>
  <c r="AE95" i="27"/>
  <c r="AC95" i="27"/>
  <c r="H20" i="27"/>
  <c r="BA86" i="27"/>
  <c r="H42" i="27"/>
  <c r="AS29" i="27"/>
  <c r="AS34" i="27"/>
  <c r="AT104" i="27"/>
  <c r="H75" i="27"/>
  <c r="AQ20" i="27"/>
  <c r="AT95" i="27"/>
  <c r="BA95" i="27"/>
  <c r="BA84" i="27"/>
  <c r="I55" i="27"/>
  <c r="BA80" i="27"/>
  <c r="AT80" i="27"/>
  <c r="AT88" i="27"/>
  <c r="BA102" i="27"/>
  <c r="I75" i="27"/>
  <c r="BA110" i="27"/>
  <c r="J113" i="27"/>
  <c r="BA82" i="27"/>
  <c r="BA71" i="27"/>
  <c r="AT71" i="27"/>
  <c r="BA62" i="27"/>
  <c r="AT62" i="27"/>
  <c r="BA49" i="27"/>
  <c r="AT49" i="27"/>
  <c r="AB40" i="27"/>
  <c r="AD40" i="27"/>
  <c r="Z40" i="27"/>
  <c r="AB35" i="27"/>
  <c r="AD35" i="27"/>
  <c r="Z35" i="27"/>
  <c r="BA109" i="27"/>
  <c r="BA101" i="27"/>
  <c r="BA103" i="27"/>
  <c r="BA78" i="27"/>
  <c r="AT78" i="27"/>
  <c r="BA70" i="27"/>
  <c r="AT70" i="27"/>
  <c r="BA66" i="27"/>
  <c r="AT66" i="27"/>
  <c r="BA61" i="27"/>
  <c r="AT61" i="27"/>
  <c r="BA54" i="27"/>
  <c r="AT54" i="27"/>
  <c r="BA47" i="27"/>
  <c r="AT47" i="27"/>
  <c r="AB27" i="27"/>
  <c r="AD27" i="27"/>
  <c r="Z27" i="27"/>
  <c r="AR75" i="27"/>
  <c r="AD32" i="27"/>
  <c r="Z32" i="27"/>
  <c r="AB32" i="27"/>
  <c r="AD18" i="27"/>
  <c r="Z18" i="27"/>
  <c r="AB18" i="27"/>
  <c r="AS55" i="27"/>
  <c r="AB15" i="27"/>
  <c r="AD15" i="27"/>
  <c r="Z15" i="27"/>
  <c r="BA67" i="27"/>
  <c r="AT67" i="27"/>
  <c r="AB21" i="27"/>
  <c r="AD21" i="27"/>
  <c r="Z21" i="27"/>
  <c r="BA108" i="27"/>
  <c r="BA104" i="27"/>
  <c r="BA100" i="27"/>
  <c r="BA96" i="27"/>
  <c r="BA106" i="27"/>
  <c r="BA98" i="27"/>
  <c r="BA93" i="27"/>
  <c r="AT93" i="27"/>
  <c r="BA107" i="27"/>
  <c r="BA74" i="27"/>
  <c r="AT74" i="27"/>
  <c r="BA69" i="27"/>
  <c r="AT69" i="27"/>
  <c r="BA65" i="27"/>
  <c r="AT65" i="27"/>
  <c r="BA60" i="27"/>
  <c r="AT60" i="27"/>
  <c r="BA52" i="27"/>
  <c r="AT52" i="27"/>
  <c r="BA45" i="27"/>
  <c r="AT45" i="27"/>
  <c r="AD23" i="27"/>
  <c r="Z23" i="27"/>
  <c r="AB23" i="27"/>
  <c r="AS42" i="27"/>
  <c r="AS75" i="27"/>
  <c r="AD30" i="27"/>
  <c r="Z30" i="27"/>
  <c r="AB30" i="27"/>
  <c r="AQ55" i="27"/>
  <c r="AQ42" i="27"/>
  <c r="AQ34" i="27"/>
  <c r="AD13" i="27"/>
  <c r="Z13" i="27"/>
  <c r="AB13" i="27"/>
  <c r="BA91" i="27"/>
  <c r="AT91" i="27"/>
  <c r="BA99" i="27"/>
  <c r="BA56" i="27"/>
  <c r="AT56" i="27"/>
  <c r="BA112" i="27"/>
  <c r="AD39" i="27"/>
  <c r="Z39" i="27"/>
  <c r="AB39" i="27"/>
  <c r="BA105" i="27"/>
  <c r="BA92" i="27"/>
  <c r="AT92" i="27"/>
  <c r="BA72" i="27"/>
  <c r="AT72" i="27"/>
  <c r="BA68" i="27"/>
  <c r="AT68" i="27"/>
  <c r="BA63" i="27"/>
  <c r="AT63" i="27"/>
  <c r="BA58" i="27"/>
  <c r="AT58" i="27"/>
  <c r="BA50" i="27"/>
  <c r="AT50" i="27"/>
  <c r="AD43" i="27"/>
  <c r="Z43" i="27"/>
  <c r="AB43" i="27"/>
  <c r="AQ75" i="27"/>
  <c r="AD37" i="27"/>
  <c r="Z37" i="27"/>
  <c r="AB37" i="27"/>
  <c r="AD25" i="27"/>
  <c r="Z25" i="27"/>
  <c r="AB25" i="27"/>
  <c r="AR55" i="27"/>
  <c r="G52" i="50" l="1"/>
  <c r="H52" i="50" s="1"/>
  <c r="F55" i="50"/>
  <c r="G55" i="50" s="1"/>
  <c r="H55" i="5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User1</author>
    <author>User2</author>
  </authors>
  <commentList>
    <comment ref="G15" authorId="0" shapeId="0" xr:uid="{15A2D963-99F8-498A-AB12-CB217C7C52E5}">
      <text>
        <r>
          <rPr>
            <b/>
            <sz val="9"/>
            <color indexed="81"/>
            <rFont val="Tahoma"/>
            <family val="2"/>
            <charset val="238"/>
          </rPr>
          <t>Zhotovitel položku neoceňuje.</t>
        </r>
        <r>
          <rPr>
            <sz val="9"/>
            <color indexed="81"/>
            <rFont val="Tahoma"/>
            <family val="2"/>
            <charset val="238"/>
          </rPr>
          <t xml:space="preserve">
</t>
        </r>
      </text>
    </comment>
    <comment ref="G17" authorId="0" shapeId="0" xr:uid="{0A058AE8-ACDF-4244-9A41-A5C306ECFE71}">
      <text>
        <r>
          <rPr>
            <b/>
            <sz val="9"/>
            <color indexed="81"/>
            <rFont val="Tahoma"/>
            <family val="2"/>
            <charset val="238"/>
          </rPr>
          <t>Zhotovitel položku neoceňuje.</t>
        </r>
        <r>
          <rPr>
            <sz val="9"/>
            <color indexed="81"/>
            <rFont val="Tahoma"/>
            <family val="2"/>
            <charset val="238"/>
          </rPr>
          <t xml:space="preserve">
</t>
        </r>
      </text>
    </comment>
    <comment ref="G19" authorId="0" shapeId="0" xr:uid="{4F48F20C-2D3C-4B39-B2D6-2DFDD028BCAC}">
      <text>
        <r>
          <rPr>
            <b/>
            <sz val="9"/>
            <color indexed="81"/>
            <rFont val="Tahoma"/>
            <family val="2"/>
            <charset val="238"/>
          </rPr>
          <t>Zhotovitel položku neoceňuje.</t>
        </r>
        <r>
          <rPr>
            <sz val="9"/>
            <color indexed="81"/>
            <rFont val="Tahoma"/>
            <family val="2"/>
            <charset val="238"/>
          </rPr>
          <t xml:space="preserve">
</t>
        </r>
      </text>
    </comment>
    <comment ref="G21" authorId="0" shapeId="0" xr:uid="{10192603-CFE0-4D85-8CE7-25702C3FF8EB}">
      <text>
        <r>
          <rPr>
            <b/>
            <sz val="9"/>
            <color indexed="81"/>
            <rFont val="Tahoma"/>
            <family val="2"/>
            <charset val="238"/>
          </rPr>
          <t>Zhotovitel položku neoceňuje.</t>
        </r>
        <r>
          <rPr>
            <sz val="9"/>
            <color indexed="81"/>
            <rFont val="Tahoma"/>
            <family val="2"/>
            <charset val="238"/>
          </rPr>
          <t xml:space="preserve">
</t>
        </r>
      </text>
    </comment>
    <comment ref="G23" authorId="0" shapeId="0" xr:uid="{52D17BC0-CBF7-48DB-A26A-1441392AF898}">
      <text>
        <r>
          <rPr>
            <b/>
            <sz val="9"/>
            <color indexed="81"/>
            <rFont val="Tahoma"/>
            <family val="2"/>
            <charset val="238"/>
          </rPr>
          <t>Zhotovitel položku neoceňuje.</t>
        </r>
        <r>
          <rPr>
            <sz val="9"/>
            <color indexed="81"/>
            <rFont val="Tahoma"/>
            <family val="2"/>
            <charset val="238"/>
          </rPr>
          <t xml:space="preserve">
</t>
        </r>
      </text>
    </comment>
    <comment ref="G25" authorId="0" shapeId="0" xr:uid="{A9E7DD54-187B-41B4-A370-80019CD3033F}">
      <text>
        <r>
          <rPr>
            <b/>
            <sz val="9"/>
            <color indexed="81"/>
            <rFont val="Tahoma"/>
            <family val="2"/>
            <charset val="238"/>
          </rPr>
          <t>Zhotovitel položku neoceňuje.</t>
        </r>
        <r>
          <rPr>
            <sz val="9"/>
            <color indexed="81"/>
            <rFont val="Tahoma"/>
            <family val="2"/>
            <charset val="238"/>
          </rPr>
          <t xml:space="preserve">
</t>
        </r>
      </text>
    </comment>
    <comment ref="G27" authorId="0" shapeId="0" xr:uid="{D438F281-654D-4E26-A212-8B29A252F714}">
      <text>
        <r>
          <rPr>
            <b/>
            <sz val="9"/>
            <color indexed="81"/>
            <rFont val="Tahoma"/>
            <family val="2"/>
            <charset val="238"/>
          </rPr>
          <t>Zhotovitel položku neoceňuje.</t>
        </r>
        <r>
          <rPr>
            <sz val="9"/>
            <color indexed="81"/>
            <rFont val="Tahoma"/>
            <family val="2"/>
            <charset val="238"/>
          </rPr>
          <t xml:space="preserve">
</t>
        </r>
      </text>
    </comment>
    <comment ref="G34" authorId="1" shapeId="0" xr:uid="{E15B5281-EE2D-4575-AFFB-A086EB579C8C}">
      <text>
        <r>
          <rPr>
            <b/>
            <sz val="9"/>
            <color indexed="81"/>
            <rFont val="Tahoma"/>
            <family val="2"/>
            <charset val="238"/>
          </rPr>
          <t>VLOŽTE JEDNOTKOVOU CENU ZHOTOVITELE ZA POLOŽKU</t>
        </r>
      </text>
    </comment>
    <comment ref="G36" authorId="1" shapeId="0" xr:uid="{FB66F170-CFBE-4EE0-88D2-2AAE3348281C}">
      <text>
        <r>
          <rPr>
            <b/>
            <sz val="9"/>
            <color indexed="81"/>
            <rFont val="Tahoma"/>
            <family val="2"/>
            <charset val="238"/>
          </rPr>
          <t>VLOŽTE JEDNOTKOVOU CENU ZHOTOVITELE ZA POLOŽKU</t>
        </r>
      </text>
    </comment>
    <comment ref="G38" authorId="1" shapeId="0" xr:uid="{BE3D1475-3D9C-4229-AC43-473FC39E4FBC}">
      <text>
        <r>
          <rPr>
            <b/>
            <sz val="9"/>
            <color indexed="81"/>
            <rFont val="Tahoma"/>
            <family val="2"/>
            <charset val="238"/>
          </rPr>
          <t>VLOŽTE JEDNOTKOVOU CENU ZHOTOVITELE ZA POLOŽKU</t>
        </r>
      </text>
    </comment>
    <comment ref="G40" authorId="1" shapeId="0" xr:uid="{41738801-6891-4CA0-8478-F78389AABBF8}">
      <text>
        <r>
          <rPr>
            <b/>
            <sz val="9"/>
            <color indexed="81"/>
            <rFont val="Tahoma"/>
            <family val="2"/>
            <charset val="238"/>
          </rPr>
          <t>VLOŽTE JEDNOTKOVOU CENU ZHOTOVITELE ZA POLOŽKU</t>
        </r>
      </text>
    </comment>
    <comment ref="G42" authorId="1" shapeId="0" xr:uid="{2272DD55-F784-4419-86FA-0B0AEEAC2039}">
      <text>
        <r>
          <rPr>
            <b/>
            <sz val="9"/>
            <color indexed="81"/>
            <rFont val="Tahoma"/>
            <family val="2"/>
            <charset val="238"/>
          </rPr>
          <t>VLOŽTE JEDNOTKOVOU CENU ZHOTOVITELE ZA POLOŽKU</t>
        </r>
      </text>
    </comment>
    <comment ref="G44" authorId="1" shapeId="0" xr:uid="{7A1221B7-E35D-4CC0-BCDB-873B6D0027BC}">
      <text>
        <r>
          <rPr>
            <b/>
            <sz val="9"/>
            <color indexed="81"/>
            <rFont val="Tahoma"/>
            <family val="2"/>
            <charset val="238"/>
          </rPr>
          <t>VLOŽTE JEDNOTKOVOU CENU ZHOTOVITELE ZA POLOŽKU</t>
        </r>
      </text>
    </comment>
    <comment ref="G51" authorId="1" shapeId="0" xr:uid="{3CB75E4B-46CB-463D-ACF3-816288DA9D85}">
      <text>
        <r>
          <rPr>
            <b/>
            <sz val="9"/>
            <color indexed="81"/>
            <rFont val="Tahoma"/>
            <family val="2"/>
            <charset val="238"/>
          </rPr>
          <t>VLOŽTE JEDNOTKOVOU CENU ZHOTOVITELE ZA POLOŽKU</t>
        </r>
      </text>
    </comment>
    <comment ref="G53" authorId="1" shapeId="0" xr:uid="{2C3C674B-F87B-4429-BC1F-67A6301D7288}">
      <text>
        <r>
          <rPr>
            <b/>
            <sz val="9"/>
            <color indexed="81"/>
            <rFont val="Tahoma"/>
            <family val="2"/>
            <charset val="238"/>
          </rPr>
          <t>VLOŽTE JEDNOTKOVOU CENU ZHOTOVITELE ZA POLOŽKU</t>
        </r>
      </text>
    </comment>
    <comment ref="G55" authorId="1" shapeId="0" xr:uid="{29CF1A45-E115-4EBE-91CA-AF364C9F2C7F}">
      <text>
        <r>
          <rPr>
            <b/>
            <sz val="9"/>
            <color indexed="81"/>
            <rFont val="Tahoma"/>
            <family val="2"/>
            <charset val="238"/>
          </rPr>
          <t>VLOŽTE JEDNOTKOVOU CENU ZHOTOVITELE ZA POLOŽKU</t>
        </r>
      </text>
    </comment>
    <comment ref="G57" authorId="1" shapeId="0" xr:uid="{84FAFFB3-7643-44F3-B3BF-00B2D766F74F}">
      <text>
        <r>
          <rPr>
            <b/>
            <sz val="9"/>
            <color indexed="81"/>
            <rFont val="Tahoma"/>
            <family val="2"/>
            <charset val="238"/>
          </rPr>
          <t>VLOŽTE JEDNOTKOVOU CENU ZHOTOVITELE ZA POLOŽKU</t>
        </r>
      </text>
    </comment>
    <comment ref="G59" authorId="1" shapeId="0" xr:uid="{DEC75D4B-1556-4987-8A10-8EE5D2E35B71}">
      <text>
        <r>
          <rPr>
            <b/>
            <sz val="9"/>
            <color indexed="81"/>
            <rFont val="Tahoma"/>
            <family val="2"/>
            <charset val="238"/>
          </rPr>
          <t>VLOŽTE JEDNOTKOVOU CENU ZHOTOVITELE ZA POLOŽKU</t>
        </r>
      </text>
    </comment>
    <comment ref="G61" authorId="1" shapeId="0" xr:uid="{4B1583E1-6A35-4F08-9D1A-3D633C82F1C0}">
      <text>
        <r>
          <rPr>
            <b/>
            <sz val="9"/>
            <color indexed="81"/>
            <rFont val="Tahoma"/>
            <family val="2"/>
            <charset val="238"/>
          </rPr>
          <t>VLOŽTE JEDNOTKOVOU CENU ZHOTOVITELE ZA POLOŽKU</t>
        </r>
      </text>
    </comment>
    <comment ref="G63" authorId="1" shapeId="0" xr:uid="{BE702978-07AD-4A6A-92F1-0C1403AD8337}">
      <text>
        <r>
          <rPr>
            <b/>
            <sz val="9"/>
            <color indexed="81"/>
            <rFont val="Tahoma"/>
            <family val="2"/>
            <charset val="238"/>
          </rPr>
          <t>VLOŽTE JEDNOTKOVOU CENU ZHOTOVITELE ZA POLOŽKU</t>
        </r>
      </text>
    </comment>
    <comment ref="G65" authorId="1" shapeId="0" xr:uid="{64A881DC-D5D0-42A7-BA3E-869BBDCA3006}">
      <text>
        <r>
          <rPr>
            <b/>
            <sz val="9"/>
            <color indexed="81"/>
            <rFont val="Tahoma"/>
            <family val="2"/>
            <charset val="238"/>
          </rPr>
          <t>VLOŽTE JEDNOTKOVOU CENU ZHOTOVITELE ZA POLOŽKU</t>
        </r>
      </text>
    </comment>
    <comment ref="G67" authorId="1" shapeId="0" xr:uid="{42E886F4-A107-4754-BE8F-2381DE252F3A}">
      <text>
        <r>
          <rPr>
            <b/>
            <sz val="9"/>
            <color indexed="81"/>
            <rFont val="Tahoma"/>
            <family val="2"/>
            <charset val="238"/>
          </rPr>
          <t>VLOŽTE JEDNOTKOVOU CENU ZHOTOVITELE ZA POLOŽKU</t>
        </r>
      </text>
    </comment>
    <comment ref="G69" authorId="1" shapeId="0" xr:uid="{43C15A6F-EEFE-4208-B2BB-05FB5B012BE1}">
      <text>
        <r>
          <rPr>
            <b/>
            <sz val="9"/>
            <color indexed="81"/>
            <rFont val="Tahoma"/>
            <family val="2"/>
            <charset val="238"/>
          </rPr>
          <t>VLOŽTE JEDNOTKOVOU CENU ZHOTOVITELE ZA POLOŽKU</t>
        </r>
      </text>
    </comment>
    <comment ref="G71" authorId="1" shapeId="0" xr:uid="{7066731F-36D5-4293-AFD9-237BBE588671}">
      <text>
        <r>
          <rPr>
            <b/>
            <sz val="9"/>
            <color indexed="81"/>
            <rFont val="Tahoma"/>
            <family val="2"/>
            <charset val="238"/>
          </rPr>
          <t>VLOŽTE JEDNOTKOVOU CENU ZHOTOVITELE ZA POLOŽKU</t>
        </r>
      </text>
    </comment>
    <comment ref="G73" authorId="1" shapeId="0" xr:uid="{400893E5-C2B0-4EAE-932E-78CBF328215A}">
      <text>
        <r>
          <rPr>
            <b/>
            <sz val="9"/>
            <color indexed="81"/>
            <rFont val="Tahoma"/>
            <family val="2"/>
            <charset val="238"/>
          </rPr>
          <t>VLOŽTE JEDNOTKOVOU CENU ZHOTOVITELE ZA POLOŽKU</t>
        </r>
      </text>
    </comment>
    <comment ref="G75" authorId="1" shapeId="0" xr:uid="{9D98D435-1187-455A-BF2F-BA23CC8EECB5}">
      <text>
        <r>
          <rPr>
            <b/>
            <sz val="9"/>
            <color indexed="81"/>
            <rFont val="Tahoma"/>
            <family val="2"/>
            <charset val="238"/>
          </rPr>
          <t>VLOŽTE JEDNOTKOVOU CENU ZHOTOVITELE ZA POLOŽKU</t>
        </r>
      </text>
    </comment>
    <comment ref="G82" authorId="1" shapeId="0" xr:uid="{19F757F4-E0F7-4340-876A-F2F724C5736C}">
      <text>
        <r>
          <rPr>
            <b/>
            <sz val="9"/>
            <color indexed="81"/>
            <rFont val="Tahoma"/>
            <family val="2"/>
            <charset val="238"/>
          </rPr>
          <t>VLOŽTE JEDNOTKOVOU CENU ZHOTOVITELE ZA POLOŽKU</t>
        </r>
      </text>
    </comment>
    <comment ref="G84" authorId="1" shapeId="0" xr:uid="{D8F2FBE0-3690-45BE-95DB-2D3245FA5C99}">
      <text>
        <r>
          <rPr>
            <b/>
            <sz val="9"/>
            <color indexed="81"/>
            <rFont val="Tahoma"/>
            <family val="2"/>
            <charset val="238"/>
          </rPr>
          <t>VLOŽTE JEDNOTKOVOU CENU ZHOTOVITELE ZA POLOŽKU</t>
        </r>
      </text>
    </comment>
    <comment ref="G86" authorId="1" shapeId="0" xr:uid="{50A33479-A24E-4E4F-B7F5-75CFFE52CBDB}">
      <text>
        <r>
          <rPr>
            <b/>
            <sz val="9"/>
            <color indexed="81"/>
            <rFont val="Tahoma"/>
            <family val="2"/>
            <charset val="238"/>
          </rPr>
          <t>VLOŽTE JEDNOTKOVOU CENU ZHOTOVITELE ZA POLOŽKU</t>
        </r>
      </text>
    </comment>
    <comment ref="G88" authorId="1" shapeId="0" xr:uid="{4C9E2025-68B5-482F-86AF-660FE8D78FFD}">
      <text>
        <r>
          <rPr>
            <b/>
            <sz val="9"/>
            <color indexed="81"/>
            <rFont val="Tahoma"/>
            <family val="2"/>
            <charset val="238"/>
          </rPr>
          <t>VLOŽTE JEDNOTKOVOU CENU ZHOTOVITELE ZA POLOŽKU</t>
        </r>
      </text>
    </comment>
    <comment ref="G90" authorId="1" shapeId="0" xr:uid="{518B0A12-2400-4AE9-A1FD-C705409E0B0F}">
      <text>
        <r>
          <rPr>
            <b/>
            <sz val="9"/>
            <color indexed="81"/>
            <rFont val="Tahoma"/>
            <family val="2"/>
            <charset val="238"/>
          </rPr>
          <t>VLOŽTE JEDNOTKOVOU CENU ZHOTOVITELE ZA POLOŽKU</t>
        </r>
      </text>
    </comment>
    <comment ref="G92" authorId="1" shapeId="0" xr:uid="{1797FF30-D780-46F7-9ED3-86930F2FBBE6}">
      <text>
        <r>
          <rPr>
            <b/>
            <sz val="9"/>
            <color indexed="81"/>
            <rFont val="Tahoma"/>
            <family val="2"/>
            <charset val="238"/>
          </rPr>
          <t>VLOŽTE JEDNOTKOVOU CENU ZHOTOVITELE ZA POLOŽKU</t>
        </r>
      </text>
    </comment>
    <comment ref="G94" authorId="1" shapeId="0" xr:uid="{8EB40829-3A17-4951-85FE-E041821EA26C}">
      <text>
        <r>
          <rPr>
            <b/>
            <sz val="9"/>
            <color indexed="81"/>
            <rFont val="Tahoma"/>
            <family val="2"/>
            <charset val="238"/>
          </rPr>
          <t>VLOŽTE JEDNOTKOVOU CENU ZHOTOVITELE ZA POLOŽKU</t>
        </r>
      </text>
    </comment>
    <comment ref="G96" authorId="1" shapeId="0" xr:uid="{CB660A12-B4B0-4EDF-A916-3009812E54B7}">
      <text>
        <r>
          <rPr>
            <b/>
            <sz val="9"/>
            <color indexed="81"/>
            <rFont val="Tahoma"/>
            <family val="2"/>
            <charset val="238"/>
          </rPr>
          <t>VLOŽTE JEDNOTKOVOU CENU ZHOTOVITELE ZA POLOŽKU</t>
        </r>
      </text>
    </comment>
    <comment ref="G98" authorId="1" shapeId="0" xr:uid="{A965ACEB-E4AA-4BA4-A670-3F4D5B286E09}">
      <text>
        <r>
          <rPr>
            <b/>
            <sz val="9"/>
            <color indexed="81"/>
            <rFont val="Tahoma"/>
            <family val="2"/>
            <charset val="238"/>
          </rPr>
          <t>VLOŽTE JEDNOTKOVOU CENU ZHOTOVITELE ZA POLOŽKU</t>
        </r>
      </text>
    </comment>
    <comment ref="G100" authorId="1" shapeId="0" xr:uid="{C032439D-1111-45F8-A7D5-BECA3AEE2C3C}">
      <text>
        <r>
          <rPr>
            <b/>
            <sz val="9"/>
            <color indexed="81"/>
            <rFont val="Tahoma"/>
            <family val="2"/>
            <charset val="238"/>
          </rPr>
          <t>VLOŽTE JEDNOTKOVOU CENU ZHOTOVITELE ZA POLOŽKU</t>
        </r>
      </text>
    </comment>
    <comment ref="G102" authorId="0" shapeId="0" xr:uid="{772C286B-9E05-4B75-9A8C-8AFAA8F345AE}">
      <text>
        <r>
          <rPr>
            <b/>
            <sz val="9"/>
            <color indexed="81"/>
            <rFont val="Tahoma"/>
            <family val="2"/>
            <charset val="238"/>
          </rPr>
          <t>Zhotovitel položku neoceňuje.</t>
        </r>
        <r>
          <rPr>
            <sz val="9"/>
            <color indexed="81"/>
            <rFont val="Tahoma"/>
            <family val="2"/>
            <charset val="238"/>
          </rPr>
          <t xml:space="preserve">
</t>
        </r>
      </text>
    </comment>
    <comment ref="G104" authorId="1" shapeId="0" xr:uid="{D1CC5DBC-4AA6-4D3C-95A5-B079E6021E04}">
      <text>
        <r>
          <rPr>
            <b/>
            <sz val="9"/>
            <color indexed="81"/>
            <rFont val="Tahoma"/>
            <family val="2"/>
            <charset val="238"/>
          </rPr>
          <t>VLOŽTE JEDNOTKOVOU CENU ZHOTOVITELE ZA POLOŽKU</t>
        </r>
      </text>
    </comment>
    <comment ref="G106" authorId="1" shapeId="0" xr:uid="{CCD0964C-B4F6-4FC8-9E1E-A7D916C55B18}">
      <text>
        <r>
          <rPr>
            <b/>
            <sz val="9"/>
            <color indexed="81"/>
            <rFont val="Tahoma"/>
            <family val="2"/>
            <charset val="238"/>
          </rPr>
          <t>VLOŽTE JEDNOTKOVOU CENU ZHOTOVITELE ZA POLOŽKU</t>
        </r>
      </text>
    </comment>
    <comment ref="G113" authorId="1" shapeId="0" xr:uid="{A0307D27-5367-4CB4-BD9C-B8C74FF61EE1}">
      <text>
        <r>
          <rPr>
            <b/>
            <sz val="9"/>
            <color indexed="81"/>
            <rFont val="Tahoma"/>
            <family val="2"/>
            <charset val="238"/>
          </rPr>
          <t>VLOŽTE JEDNOTKOVOU CENU ZHOTOVITELE ZA POLOŽKU</t>
        </r>
      </text>
    </comment>
    <comment ref="G115" authorId="1" shapeId="0" xr:uid="{CB36BC93-2A37-4939-A607-FAFBD35061A7}">
      <text>
        <r>
          <rPr>
            <b/>
            <sz val="9"/>
            <color indexed="81"/>
            <rFont val="Tahoma"/>
            <family val="2"/>
            <charset val="238"/>
          </rPr>
          <t>VLOŽTE JEDNOTKOVOU CENU ZHOTOVITELE ZA POLOŽKU</t>
        </r>
      </text>
    </comment>
    <comment ref="G117" authorId="1" shapeId="0" xr:uid="{62744D76-30C1-444E-93D6-0E9522BC9AC0}">
      <text>
        <r>
          <rPr>
            <b/>
            <sz val="9"/>
            <color indexed="81"/>
            <rFont val="Tahoma"/>
            <family val="2"/>
            <charset val="238"/>
          </rPr>
          <t>VLOŽTE JEDNOTKOVOU CENU ZHOTOVITELE ZA POLOŽKU</t>
        </r>
      </text>
    </comment>
    <comment ref="G119" authorId="1" shapeId="0" xr:uid="{34D9FA44-EF32-4C2C-A3DA-2F28226CFAEB}">
      <text>
        <r>
          <rPr>
            <b/>
            <sz val="9"/>
            <color indexed="81"/>
            <rFont val="Tahoma"/>
            <family val="2"/>
            <charset val="238"/>
          </rPr>
          <t>VLOŽTE JEDNOTKOVOU CENU ZHOTOVITELE ZA POLOŽKU</t>
        </r>
      </text>
    </comment>
    <comment ref="G121" authorId="1" shapeId="0" xr:uid="{478CF1EC-A277-48D4-A6AA-58FC8FBF1200}">
      <text>
        <r>
          <rPr>
            <b/>
            <sz val="9"/>
            <color indexed="81"/>
            <rFont val="Tahoma"/>
            <family val="2"/>
            <charset val="238"/>
          </rPr>
          <t>VLOŽTE JEDNOTKOVOU CENU ZHOTOVITELE ZA POLOŽKU</t>
        </r>
      </text>
    </comment>
    <comment ref="G123" authorId="1" shapeId="0" xr:uid="{05668313-9E0E-4A3C-98F7-42C586F8983A}">
      <text>
        <r>
          <rPr>
            <b/>
            <sz val="9"/>
            <color indexed="81"/>
            <rFont val="Tahoma"/>
            <family val="2"/>
            <charset val="238"/>
          </rPr>
          <t>VLOŽTE JEDNOTKOVOU CENU ZHOTOVITELE ZA POLOŽKU</t>
        </r>
      </text>
    </comment>
    <comment ref="G125" authorId="1" shapeId="0" xr:uid="{072D8428-DBE4-46AE-8961-FB238892922B}">
      <text>
        <r>
          <rPr>
            <b/>
            <sz val="9"/>
            <color indexed="81"/>
            <rFont val="Tahoma"/>
            <family val="2"/>
            <charset val="238"/>
          </rPr>
          <t>VLOŽTE JEDNOTKOVOU CENU ZHOTOVITELE ZA POLOŽKU</t>
        </r>
      </text>
    </comment>
    <comment ref="G127" authorId="1" shapeId="0" xr:uid="{ED9EF7D1-5496-4858-889C-3EE0D7E31CDD}">
      <text>
        <r>
          <rPr>
            <b/>
            <sz val="9"/>
            <color indexed="81"/>
            <rFont val="Tahoma"/>
            <family val="2"/>
            <charset val="238"/>
          </rPr>
          <t>VLOŽTE JEDNOTKOVOU CENU ZHOTOVITELE ZA POLOŽKU</t>
        </r>
      </text>
    </comment>
    <comment ref="G129" authorId="1" shapeId="0" xr:uid="{9F6DA4DF-6071-45EE-AFF1-E326A1631CFC}">
      <text>
        <r>
          <rPr>
            <b/>
            <sz val="9"/>
            <color indexed="81"/>
            <rFont val="Tahoma"/>
            <family val="2"/>
            <charset val="238"/>
          </rPr>
          <t>VLOŽTE JEDNOTKOVOU CENU ZHOTOVITELE ZA POLOŽKU</t>
        </r>
      </text>
    </comment>
    <comment ref="G131" authorId="1" shapeId="0" xr:uid="{831443D2-1CE1-4E65-AB11-217215F8205F}">
      <text>
        <r>
          <rPr>
            <b/>
            <sz val="9"/>
            <color indexed="81"/>
            <rFont val="Tahoma"/>
            <family val="2"/>
            <charset val="238"/>
          </rPr>
          <t>VLOŽTE JEDNOTKOVOU CENU ZHOTOVITELE ZA POLOŽKU</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63390CAA-622E-440F-B420-F20E121DD7D7}">
      <text>
        <r>
          <rPr>
            <b/>
            <sz val="9"/>
            <color indexed="81"/>
            <rFont val="Tahoma"/>
            <family val="2"/>
            <charset val="238"/>
          </rPr>
          <t>VLOŽTE JEDNOTKOVOU CENU ZHOTOVITELE ZA POLOŽKU</t>
        </r>
      </text>
    </comment>
    <comment ref="G15" authorId="0" shapeId="0" xr:uid="{F68A8529-7785-4560-8C2E-B430D4DD5DA9}">
      <text>
        <r>
          <rPr>
            <b/>
            <sz val="9"/>
            <color indexed="81"/>
            <rFont val="Tahoma"/>
            <family val="2"/>
            <charset val="238"/>
          </rPr>
          <t>VLOŽTE JEDNOTKOVOU CENU ZHOTOVITELE ZA POLOŽKU</t>
        </r>
      </text>
    </comment>
    <comment ref="G17" authorId="0" shapeId="0" xr:uid="{EFEAE565-31DA-470D-ACDD-802A7DA908E4}">
      <text>
        <r>
          <rPr>
            <b/>
            <sz val="9"/>
            <color indexed="81"/>
            <rFont val="Tahoma"/>
            <family val="2"/>
            <charset val="238"/>
          </rPr>
          <t>VLOŽTE JEDNOTKOVOU CENU ZHOTOVITELE ZA POLOŽKU</t>
        </r>
      </text>
    </comment>
    <comment ref="G19" authorId="0" shapeId="0" xr:uid="{F3218DD4-2973-4B25-BA91-A3F5C86DBC14}">
      <text>
        <r>
          <rPr>
            <b/>
            <sz val="9"/>
            <color indexed="81"/>
            <rFont val="Tahoma"/>
            <family val="2"/>
            <charset val="238"/>
          </rPr>
          <t>VLOŽTE JEDNOTKOVOU CENU ZHOTOVITELE ZA POLOŽKU</t>
        </r>
      </text>
    </comment>
    <comment ref="G21" authorId="0" shapeId="0" xr:uid="{1B75C86A-E580-48E7-9B1E-6B1182537E0F}">
      <text>
        <r>
          <rPr>
            <b/>
            <sz val="9"/>
            <color indexed="81"/>
            <rFont val="Tahoma"/>
            <family val="2"/>
            <charset val="238"/>
          </rPr>
          <t>VLOŽTE JEDNOTKOVOU CENU ZHOTOVITELE ZA POLOŽKU</t>
        </r>
      </text>
    </comment>
    <comment ref="G23" authorId="0" shapeId="0" xr:uid="{7B78CADB-17AA-41CF-83E3-65EBEFC98DFB}">
      <text>
        <r>
          <rPr>
            <b/>
            <sz val="9"/>
            <color indexed="81"/>
            <rFont val="Tahoma"/>
            <family val="2"/>
            <charset val="238"/>
          </rPr>
          <t>VLOŽTE JEDNOTKOVOU CENU ZHOTOVITELE ZA POLOŽKU</t>
        </r>
      </text>
    </comment>
    <comment ref="G25" authorId="0" shapeId="0" xr:uid="{AE6D7753-FCEB-4DCC-A9D4-8732F01EB4B1}">
      <text>
        <r>
          <rPr>
            <b/>
            <sz val="9"/>
            <color indexed="81"/>
            <rFont val="Tahoma"/>
            <family val="2"/>
            <charset val="238"/>
          </rPr>
          <t>VLOŽTE JEDNOTKOVOU CENU ZHOTOVITELE ZA POLOŽKU</t>
        </r>
      </text>
    </comment>
    <comment ref="G28" authorId="0" shapeId="0" xr:uid="{7E82B5CF-5DB6-4B80-B1B7-CC7211E93969}">
      <text>
        <r>
          <rPr>
            <b/>
            <sz val="9"/>
            <color indexed="81"/>
            <rFont val="Tahoma"/>
            <family val="2"/>
            <charset val="238"/>
          </rPr>
          <t>VLOŽTE JEDNOTKOVOU CENU ZHOTOVITELE ZA POLOŽKU</t>
        </r>
      </text>
    </comment>
    <comment ref="G30" authorId="0" shapeId="0" xr:uid="{6B22BDBE-BE67-4067-813A-6A924093D9B8}">
      <text>
        <r>
          <rPr>
            <b/>
            <sz val="9"/>
            <color indexed="81"/>
            <rFont val="Tahoma"/>
            <family val="2"/>
            <charset val="238"/>
          </rPr>
          <t>VLOŽTE JEDNOTKOVOU CENU ZHOTOVITELE ZA POLOŽKU</t>
        </r>
      </text>
    </comment>
    <comment ref="G33" authorId="0" shapeId="0" xr:uid="{2985D30D-6655-4F89-A21B-0A4AB6BBEFAA}">
      <text>
        <r>
          <rPr>
            <b/>
            <sz val="9"/>
            <color indexed="81"/>
            <rFont val="Tahoma"/>
            <family val="2"/>
            <charset val="238"/>
          </rPr>
          <t>VLOŽTE JEDNOTKOVOU CENU ZHOTOVITELE ZA POLOŽKU</t>
        </r>
      </text>
    </comment>
    <comment ref="G35" authorId="0" shapeId="0" xr:uid="{689A337A-0067-4489-A210-52CF13585D1F}">
      <text>
        <r>
          <rPr>
            <b/>
            <sz val="9"/>
            <color indexed="81"/>
            <rFont val="Tahoma"/>
            <family val="2"/>
            <charset val="238"/>
          </rPr>
          <t>VLOŽTE JEDNOTKOVOU CENU ZHOTOVITELE ZA POLOŽKU</t>
        </r>
      </text>
    </comment>
    <comment ref="G37" authorId="0" shapeId="0" xr:uid="{9F5F9C3D-6A76-4B2F-8ABE-8F3406D021E8}">
      <text>
        <r>
          <rPr>
            <b/>
            <sz val="9"/>
            <color indexed="81"/>
            <rFont val="Tahoma"/>
            <family val="2"/>
            <charset val="238"/>
          </rPr>
          <t>VLOŽTE JEDNOTKOVOU CENU ZHOTOVITELE ZA POLOŽKU</t>
        </r>
      </text>
    </comment>
    <comment ref="G39" authorId="0" shapeId="0" xr:uid="{DE47A183-B729-494F-A2AB-0C1AF92E286D}">
      <text>
        <r>
          <rPr>
            <b/>
            <sz val="9"/>
            <color indexed="81"/>
            <rFont val="Tahoma"/>
            <family val="2"/>
            <charset val="238"/>
          </rPr>
          <t>VLOŽTE JEDNOTKOVOU CENU ZHOTOVITELE ZA POLOŽKU</t>
        </r>
      </text>
    </comment>
    <comment ref="G41" authorId="0" shapeId="0" xr:uid="{7FBAC3A2-57E1-4CDA-9A4D-08A611EDD9FD}">
      <text>
        <r>
          <rPr>
            <b/>
            <sz val="9"/>
            <color indexed="81"/>
            <rFont val="Tahoma"/>
            <family val="2"/>
            <charset val="238"/>
          </rPr>
          <t>VLOŽTE JEDNOTKOVOU CENU ZHOTOVITELE ZA POLOŽKU</t>
        </r>
      </text>
    </comment>
    <comment ref="G43" authorId="0" shapeId="0" xr:uid="{5C757D37-6C9B-4388-BA9D-836ED3BE7570}">
      <text>
        <r>
          <rPr>
            <b/>
            <sz val="9"/>
            <color indexed="81"/>
            <rFont val="Tahoma"/>
            <family val="2"/>
            <charset val="238"/>
          </rPr>
          <t>VLOŽTE JEDNOTKOVOU CENU ZHOTOVITELE ZA POLOŽKU</t>
        </r>
      </text>
    </comment>
    <comment ref="G45" authorId="0" shapeId="0" xr:uid="{0A0074C9-E4F8-435E-BF44-D7C6D9743748}">
      <text>
        <r>
          <rPr>
            <b/>
            <sz val="9"/>
            <color indexed="81"/>
            <rFont val="Tahoma"/>
            <family val="2"/>
            <charset val="238"/>
          </rPr>
          <t>VLOŽTE JEDNOTKOVOU CENU ZHOTOVITELE ZA POLOŽKU</t>
        </r>
      </text>
    </comment>
    <comment ref="G47" authorId="0" shapeId="0" xr:uid="{95F6B2F8-EA5C-4E65-8A96-73961759824A}">
      <text>
        <r>
          <rPr>
            <b/>
            <sz val="9"/>
            <color indexed="81"/>
            <rFont val="Tahoma"/>
            <family val="2"/>
            <charset val="238"/>
          </rPr>
          <t>VLOŽTE JEDNOTKOVOU CENU ZHOTOVITELE ZA POLOŽKU</t>
        </r>
      </text>
    </comment>
    <comment ref="G50" authorId="0" shapeId="0" xr:uid="{2057F7B2-F67D-423A-9D8C-45ECD128975F}">
      <text>
        <r>
          <rPr>
            <b/>
            <sz val="9"/>
            <color indexed="81"/>
            <rFont val="Tahoma"/>
            <family val="2"/>
            <charset val="238"/>
          </rPr>
          <t>VLOŽTE JEDNOTKOVOU CENU ZHOTOVITELE ZA POLOŽKU</t>
        </r>
      </text>
    </comment>
    <comment ref="G52" authorId="0" shapeId="0" xr:uid="{B446D5DF-D26F-4ED3-9D87-B8114696F874}">
      <text>
        <r>
          <rPr>
            <b/>
            <sz val="9"/>
            <color indexed="81"/>
            <rFont val="Tahoma"/>
            <family val="2"/>
            <charset val="238"/>
          </rPr>
          <t>VLOŽTE JEDNOTKOVOU CENU ZHOTOVITELE ZA POLOŽKU</t>
        </r>
      </text>
    </comment>
    <comment ref="G55" authorId="0" shapeId="0" xr:uid="{99449531-D429-43ED-8662-61ED0204B8CE}">
      <text>
        <r>
          <rPr>
            <b/>
            <sz val="9"/>
            <color indexed="81"/>
            <rFont val="Tahoma"/>
            <family val="2"/>
            <charset val="238"/>
          </rPr>
          <t>VLOŽTE JEDNOTKOVOU CENU ZHOTOVITELE ZA POLOŽKU</t>
        </r>
      </text>
    </comment>
    <comment ref="G57" authorId="0" shapeId="0" xr:uid="{04D6DC33-4B99-4599-9E3E-9648D00CA5AD}">
      <text>
        <r>
          <rPr>
            <b/>
            <sz val="9"/>
            <color indexed="81"/>
            <rFont val="Tahoma"/>
            <family val="2"/>
            <charset val="238"/>
          </rPr>
          <t>VLOŽTE JEDNOTKOVOU CENU ZHOTOVITELE ZA POLOŽKU</t>
        </r>
      </text>
    </comment>
    <comment ref="G59" authorId="0" shapeId="0" xr:uid="{797E4BE6-4FD3-41E8-91ED-BEFE476304A0}">
      <text>
        <r>
          <rPr>
            <b/>
            <sz val="9"/>
            <color indexed="81"/>
            <rFont val="Tahoma"/>
            <family val="2"/>
            <charset val="238"/>
          </rPr>
          <t>VLOŽTE JEDNOTKOVOU CENU ZHOTOVITELE ZA POLOŽKU</t>
        </r>
      </text>
    </comment>
    <comment ref="G61" authorId="0" shapeId="0" xr:uid="{7A44DC30-5579-414A-8DF8-2EE7232BBC97}">
      <text>
        <r>
          <rPr>
            <b/>
            <sz val="9"/>
            <color indexed="81"/>
            <rFont val="Tahoma"/>
            <family val="2"/>
            <charset val="238"/>
          </rPr>
          <t>VLOŽTE JEDNOTKOVOU CENU ZHOTOVITELE ZA POLOŽKU</t>
        </r>
      </text>
    </comment>
    <comment ref="G63" authorId="0" shapeId="0" xr:uid="{BF9E4D7D-28D5-47B4-A50D-7F9C1D937427}">
      <text>
        <r>
          <rPr>
            <b/>
            <sz val="9"/>
            <color indexed="81"/>
            <rFont val="Tahoma"/>
            <family val="2"/>
            <charset val="238"/>
          </rPr>
          <t>VLOŽTE JEDNOTKOVOU CENU ZHOTOVITELE ZA POLOŽKU</t>
        </r>
      </text>
    </comment>
    <comment ref="G65" authorId="0" shapeId="0" xr:uid="{9EF32F8D-529F-4441-AB65-8122D2B17EEB}">
      <text>
        <r>
          <rPr>
            <b/>
            <sz val="9"/>
            <color indexed="81"/>
            <rFont val="Tahoma"/>
            <family val="2"/>
            <charset val="238"/>
          </rPr>
          <t>VLOŽTE JEDNOTKOVOU CENU ZHOTOVITELE ZA POLOŽKU</t>
        </r>
      </text>
    </comment>
    <comment ref="G67" authorId="0" shapeId="0" xr:uid="{62C17E6A-0AC2-4069-98E0-7B6B558DE306}">
      <text>
        <r>
          <rPr>
            <b/>
            <sz val="9"/>
            <color indexed="81"/>
            <rFont val="Tahoma"/>
            <family val="2"/>
            <charset val="238"/>
          </rPr>
          <t>VLOŽTE JEDNOTKOVOU CENU ZHOTOVITELE ZA POLOŽKU</t>
        </r>
      </text>
    </comment>
    <comment ref="G69" authorId="0" shapeId="0" xr:uid="{9D9F4941-09AE-4B3B-9D58-C740F7C02A00}">
      <text>
        <r>
          <rPr>
            <b/>
            <sz val="9"/>
            <color indexed="81"/>
            <rFont val="Tahoma"/>
            <family val="2"/>
            <charset val="238"/>
          </rPr>
          <t>VLOŽTE JEDNOTKOVOU CENU ZHOTOVITELE ZA POLOŽKU</t>
        </r>
      </text>
    </comment>
    <comment ref="G71" authorId="0" shapeId="0" xr:uid="{F73430CF-8E4D-43AD-9127-2234EEBF9BFA}">
      <text>
        <r>
          <rPr>
            <b/>
            <sz val="9"/>
            <color indexed="81"/>
            <rFont val="Tahoma"/>
            <family val="2"/>
            <charset val="238"/>
          </rPr>
          <t>VLOŽTE JEDNOTKOVOU CENU ZHOTOVITELE ZA POLOŽKU</t>
        </r>
      </text>
    </comment>
    <comment ref="G73" authorId="0" shapeId="0" xr:uid="{8D111208-083E-44C1-BF99-6A1388CE797A}">
      <text>
        <r>
          <rPr>
            <b/>
            <sz val="9"/>
            <color indexed="81"/>
            <rFont val="Tahoma"/>
            <family val="2"/>
            <charset val="238"/>
          </rPr>
          <t>VLOŽTE JEDNOTKOVOU CENU ZHOTOVITELE ZA POLOŽKU</t>
        </r>
      </text>
    </comment>
    <comment ref="G76" authorId="0" shapeId="0" xr:uid="{97F09D86-320C-4678-AEF4-0F3F6AA53BBC}">
      <text>
        <r>
          <rPr>
            <b/>
            <sz val="9"/>
            <color indexed="81"/>
            <rFont val="Tahoma"/>
            <family val="2"/>
            <charset val="238"/>
          </rPr>
          <t>VLOŽTE JEDNOTKOVOU CENU ZHOTOVITELE ZA POLOŽKU</t>
        </r>
      </text>
    </comment>
    <comment ref="G78" authorId="0" shapeId="0" xr:uid="{AB7CE40F-1E01-4143-8325-1B004584257A}">
      <text>
        <r>
          <rPr>
            <b/>
            <sz val="9"/>
            <color indexed="81"/>
            <rFont val="Tahoma"/>
            <family val="2"/>
            <charset val="238"/>
          </rPr>
          <t>VLOŽTE JEDNOTKOVOU CENU ZHOTOVITELE ZA POLOŽKU</t>
        </r>
      </text>
    </comment>
    <comment ref="G79" authorId="0" shapeId="0" xr:uid="{10A33A82-49D2-4BEA-8BC3-8CFFE1983CBE}">
      <text>
        <r>
          <rPr>
            <b/>
            <sz val="9"/>
            <color indexed="81"/>
            <rFont val="Tahoma"/>
            <family val="2"/>
            <charset val="238"/>
          </rPr>
          <t>VLOŽTE JEDNOTKOVOU CENU ZHOTOVITELE ZA POLOŽKU</t>
        </r>
      </text>
    </comment>
    <comment ref="G82" authorId="0" shapeId="0" xr:uid="{D2A8F386-B23C-414A-9513-6EDD50781F7C}">
      <text>
        <r>
          <rPr>
            <b/>
            <sz val="9"/>
            <color indexed="81"/>
            <rFont val="Tahoma"/>
            <family val="2"/>
            <charset val="238"/>
          </rPr>
          <t>VLOŽTE JEDNOTKOVOU CENU ZHOTOVITELE ZA POLOŽKU</t>
        </r>
      </text>
    </comment>
    <comment ref="G85" authorId="0" shapeId="0" xr:uid="{1A680ABF-52EC-4660-9F67-515BEE52FAB4}">
      <text>
        <r>
          <rPr>
            <b/>
            <sz val="9"/>
            <color indexed="81"/>
            <rFont val="Tahoma"/>
            <family val="2"/>
            <charset val="238"/>
          </rPr>
          <t>VLOŽTE JEDNOTKOVOU CENU ZHOTOVITELE ZA POLOŽKU</t>
        </r>
      </text>
    </comment>
    <comment ref="G87" authorId="0" shapeId="0" xr:uid="{49181674-BCA0-41F0-A023-096AB6250A2E}">
      <text>
        <r>
          <rPr>
            <b/>
            <sz val="9"/>
            <color indexed="81"/>
            <rFont val="Tahoma"/>
            <family val="2"/>
            <charset val="238"/>
          </rPr>
          <t>VLOŽTE JEDNOTKOVOU CENU ZHOTOVITELE ZA POLOŽKU</t>
        </r>
      </text>
    </comment>
    <comment ref="G90" authorId="0" shapeId="0" xr:uid="{38E3AF9D-44A8-4FBD-AED9-C5C8ADA6E2C2}">
      <text>
        <r>
          <rPr>
            <b/>
            <sz val="9"/>
            <color indexed="81"/>
            <rFont val="Tahoma"/>
            <family val="2"/>
            <charset val="238"/>
          </rPr>
          <t>VLOŽTE JEDNOTKOVOU CENU ZHOTOVITELE ZA POLOŽKU</t>
        </r>
      </text>
    </comment>
    <comment ref="G92" authorId="0" shapeId="0" xr:uid="{BD512A37-AAA7-424F-9E8A-89157B05C432}">
      <text>
        <r>
          <rPr>
            <b/>
            <sz val="9"/>
            <color indexed="81"/>
            <rFont val="Tahoma"/>
            <family val="2"/>
            <charset val="238"/>
          </rPr>
          <t>VLOŽTE JEDNOTKOVOU CENU ZHOTOVITELE ZA POLOŽKU</t>
        </r>
      </text>
    </comment>
    <comment ref="G94" authorId="0" shapeId="0" xr:uid="{B23837EF-F607-429C-B568-6C779C71AD7E}">
      <text>
        <r>
          <rPr>
            <b/>
            <sz val="9"/>
            <color indexed="81"/>
            <rFont val="Tahoma"/>
            <family val="2"/>
            <charset val="238"/>
          </rPr>
          <t>VLOŽTE JEDNOTKOVOU CENU ZHOTOVITELE ZA POLOŽKU</t>
        </r>
      </text>
    </comment>
    <comment ref="G96" authorId="0" shapeId="0" xr:uid="{8FF3BB9D-38CB-46A1-9127-29839BEF40AE}">
      <text>
        <r>
          <rPr>
            <b/>
            <sz val="9"/>
            <color indexed="81"/>
            <rFont val="Tahoma"/>
            <family val="2"/>
            <charset val="238"/>
          </rPr>
          <t>VLOŽTE JEDNOTKOVOU CENU ZHOTOVITELE ZA POLOŽKU</t>
        </r>
      </text>
    </comment>
    <comment ref="G99" authorId="0" shapeId="0" xr:uid="{3E883C70-CD15-43BD-B746-DB7011589A71}">
      <text>
        <r>
          <rPr>
            <b/>
            <sz val="9"/>
            <color indexed="81"/>
            <rFont val="Tahoma"/>
            <family val="2"/>
            <charset val="238"/>
          </rPr>
          <t>VLOŽTE JEDNOTKOVOU CENU ZHOTOVITELE ZA POLOŽKU</t>
        </r>
      </text>
    </comment>
    <comment ref="G102" authorId="0" shapeId="0" xr:uid="{76A491DC-B885-46A2-84EB-4C6B0FBD4716}">
      <text>
        <r>
          <rPr>
            <b/>
            <sz val="9"/>
            <color indexed="81"/>
            <rFont val="Tahoma"/>
            <family val="2"/>
            <charset val="238"/>
          </rPr>
          <t>VLOŽTE JEDNOTKOVOU CENU ZHOTOVITELE ZA POLOŽKU</t>
        </r>
      </text>
    </comment>
    <comment ref="G104" authorId="0" shapeId="0" xr:uid="{F3C50B28-F1D7-4F48-8406-3230DCB019F2}">
      <text>
        <r>
          <rPr>
            <b/>
            <sz val="9"/>
            <color indexed="81"/>
            <rFont val="Tahoma"/>
            <family val="2"/>
            <charset val="238"/>
          </rPr>
          <t>VLOŽTE JEDNOTKOVOU CENU ZHOTOVITELE ZA POLOŽKU</t>
        </r>
      </text>
    </comment>
    <comment ref="G106" authorId="0" shapeId="0" xr:uid="{68E2C8D8-1C21-4B19-A952-5A4A78573583}">
      <text>
        <r>
          <rPr>
            <b/>
            <sz val="9"/>
            <color indexed="81"/>
            <rFont val="Tahoma"/>
            <family val="2"/>
            <charset val="238"/>
          </rPr>
          <t>VLOŽTE JEDNOTKOVOU CENU ZHOTOVITELE ZA POLOŽKU</t>
        </r>
      </text>
    </comment>
    <comment ref="G108" authorId="0" shapeId="0" xr:uid="{423CEBE1-A408-4762-B8BD-9C08AFBE6A0D}">
      <text>
        <r>
          <rPr>
            <b/>
            <sz val="9"/>
            <color indexed="81"/>
            <rFont val="Tahoma"/>
            <family val="2"/>
            <charset val="238"/>
          </rPr>
          <t>VLOŽTE JEDNOTKOVOU CENU ZHOTOVITELE ZA POLOŽKU</t>
        </r>
      </text>
    </comment>
    <comment ref="G110" authorId="0" shapeId="0" xr:uid="{5E181A77-8975-46D4-B9B7-42F2260C5A83}">
      <text>
        <r>
          <rPr>
            <b/>
            <sz val="9"/>
            <color indexed="81"/>
            <rFont val="Tahoma"/>
            <family val="2"/>
            <charset val="238"/>
          </rPr>
          <t>VLOŽTE JEDNOTKOVOU CENU ZHOTOVITELE ZA POLOŽKU</t>
        </r>
      </text>
    </comment>
    <comment ref="G112" authorId="0" shapeId="0" xr:uid="{61199B45-B573-4F8A-833D-D0B335BF6626}">
      <text>
        <r>
          <rPr>
            <b/>
            <sz val="9"/>
            <color indexed="81"/>
            <rFont val="Tahoma"/>
            <family val="2"/>
            <charset val="238"/>
          </rPr>
          <t>VLOŽTE JEDNOTKOVOU CENU ZHOTOVITELE ZA POLOŽKU</t>
        </r>
      </text>
    </comment>
    <comment ref="G114" authorId="0" shapeId="0" xr:uid="{19A0BCD2-9763-47E3-B306-BEE94F3AA94A}">
      <text>
        <r>
          <rPr>
            <b/>
            <sz val="9"/>
            <color indexed="81"/>
            <rFont val="Tahoma"/>
            <family val="2"/>
            <charset val="238"/>
          </rPr>
          <t>VLOŽTE JEDNOTKOVOU CENU ZHOTOVITELE ZA POLOŽKU</t>
        </r>
      </text>
    </comment>
    <comment ref="G117" authorId="0" shapeId="0" xr:uid="{DF6A4248-BF09-4827-85A6-D22036ED3566}">
      <text>
        <r>
          <rPr>
            <b/>
            <sz val="9"/>
            <color indexed="81"/>
            <rFont val="Tahoma"/>
            <family val="2"/>
            <charset val="238"/>
          </rPr>
          <t>VLOŽTE JEDNOTKOVOU CENU ZHOTOVITELE ZA POLOŽKU</t>
        </r>
      </text>
    </comment>
    <comment ref="G120" authorId="0" shapeId="0" xr:uid="{8A51730C-F31F-43F7-ACC9-3837B3D55928}">
      <text>
        <r>
          <rPr>
            <b/>
            <sz val="9"/>
            <color indexed="81"/>
            <rFont val="Tahoma"/>
            <family val="2"/>
            <charset val="238"/>
          </rPr>
          <t>VLOŽTE JEDNOTKOVOU CENU ZHOTOVITELE ZA POLOŽKU</t>
        </r>
      </text>
    </comment>
    <comment ref="G123" authorId="0" shapeId="0" xr:uid="{ED11D668-52B5-4782-B004-8BF172E4F2C2}">
      <text>
        <r>
          <rPr>
            <b/>
            <sz val="9"/>
            <color indexed="81"/>
            <rFont val="Tahoma"/>
            <family val="2"/>
            <charset val="238"/>
          </rPr>
          <t>VLOŽTE JEDNOTKOVOU CENU ZHOTOVITELE ZA POLOŽKU</t>
        </r>
      </text>
    </comment>
    <comment ref="G125" authorId="0" shapeId="0" xr:uid="{35A51590-5242-4EE7-8149-BDE1956F13CB}">
      <text>
        <r>
          <rPr>
            <b/>
            <sz val="9"/>
            <color indexed="81"/>
            <rFont val="Tahoma"/>
            <family val="2"/>
            <charset val="238"/>
          </rPr>
          <t>VLOŽTE JEDNOTKOVOU CENU ZHOTOVITELE ZA POLOŽKU</t>
        </r>
      </text>
    </comment>
    <comment ref="G127" authorId="0" shapeId="0" xr:uid="{FFE310B2-83CB-416C-8EDA-DBB1150D9739}">
      <text>
        <r>
          <rPr>
            <b/>
            <sz val="9"/>
            <color indexed="81"/>
            <rFont val="Tahoma"/>
            <family val="2"/>
            <charset val="238"/>
          </rPr>
          <t>VLOŽTE JEDNOTKOVOU CENU ZHOTOVITELE ZA POLOŽKU</t>
        </r>
      </text>
    </comment>
    <comment ref="G130" authorId="0" shapeId="0" xr:uid="{6039C63D-5651-4168-82C8-0DD4D1561D75}">
      <text>
        <r>
          <rPr>
            <b/>
            <sz val="9"/>
            <color indexed="81"/>
            <rFont val="Tahoma"/>
            <family val="2"/>
            <charset val="238"/>
          </rPr>
          <t>VLOŽTE JEDNOTKOVOU CENU ZHOTOVITELE ZA POLOŽKU</t>
        </r>
      </text>
    </comment>
    <comment ref="G132" authorId="0" shapeId="0" xr:uid="{1DDB786E-60CE-4634-A502-726BEDA5B3DC}">
      <text>
        <r>
          <rPr>
            <b/>
            <sz val="9"/>
            <color indexed="81"/>
            <rFont val="Tahoma"/>
            <family val="2"/>
            <charset val="238"/>
          </rPr>
          <t>VLOŽTE JEDNOTKOVOU CENU ZHOTOVITELE ZA POLOŽKU</t>
        </r>
      </text>
    </comment>
    <comment ref="G134" authorId="0" shapeId="0" xr:uid="{2D055C3F-C726-4DF8-9AED-799A691680DD}">
      <text>
        <r>
          <rPr>
            <b/>
            <sz val="9"/>
            <color indexed="81"/>
            <rFont val="Tahoma"/>
            <family val="2"/>
            <charset val="238"/>
          </rPr>
          <t>VLOŽTE JEDNOTKOVOU CENU ZHOTOVITELE ZA POLOŽKU</t>
        </r>
      </text>
    </comment>
    <comment ref="G136" authorId="0" shapeId="0" xr:uid="{A85B8D3A-3606-4DD8-98A1-59B73EE34A0B}">
      <text>
        <r>
          <rPr>
            <b/>
            <sz val="9"/>
            <color indexed="81"/>
            <rFont val="Tahoma"/>
            <family val="2"/>
            <charset val="238"/>
          </rPr>
          <t>VLOŽTE JEDNOTKOVOU CENU ZHOTOVITELE ZA POLOŽKU</t>
        </r>
      </text>
    </comment>
    <comment ref="G138" authorId="0" shapeId="0" xr:uid="{BB8EE30D-1633-41F9-B65E-C467A01AFBF6}">
      <text>
        <r>
          <rPr>
            <b/>
            <sz val="9"/>
            <color indexed="81"/>
            <rFont val="Tahoma"/>
            <family val="2"/>
            <charset val="238"/>
          </rPr>
          <t>VLOŽTE JEDNOTKOVOU CENU ZHOTOVITELE ZA POLOŽKU</t>
        </r>
      </text>
    </comment>
    <comment ref="G140" authorId="0" shapeId="0" xr:uid="{8309F577-C575-463D-846B-96816F75FC8D}">
      <text>
        <r>
          <rPr>
            <b/>
            <sz val="9"/>
            <color indexed="81"/>
            <rFont val="Tahoma"/>
            <family val="2"/>
            <charset val="238"/>
          </rPr>
          <t>VLOŽTE JEDNOTKOVOU CENU ZHOTOVITELE ZA POLOŽKU</t>
        </r>
      </text>
    </comment>
    <comment ref="G143" authorId="0" shapeId="0" xr:uid="{B86A5BAA-7CC0-4B9D-9F5F-88608AD1EE49}">
      <text>
        <r>
          <rPr>
            <b/>
            <sz val="9"/>
            <color indexed="81"/>
            <rFont val="Tahoma"/>
            <family val="2"/>
            <charset val="238"/>
          </rPr>
          <t>VLOŽTE JEDNOTKOVOU CENU ZHOTOVITELE ZA POLOŽKU</t>
        </r>
      </text>
    </comment>
    <comment ref="G146" authorId="0" shapeId="0" xr:uid="{505AE2E3-96EF-4C15-B258-FE5A68D722D1}">
      <text>
        <r>
          <rPr>
            <b/>
            <sz val="9"/>
            <color indexed="81"/>
            <rFont val="Tahoma"/>
            <family val="2"/>
            <charset val="238"/>
          </rPr>
          <t>VLOŽTE JEDNOTKOVOU CENU ZHOTOVITELE ZA POLOŽKU</t>
        </r>
      </text>
    </comment>
    <comment ref="G149" authorId="0" shapeId="0" xr:uid="{C1C6AD40-398E-4650-A26C-13F3DBBC190A}">
      <text>
        <r>
          <rPr>
            <b/>
            <sz val="9"/>
            <color indexed="81"/>
            <rFont val="Tahoma"/>
            <family val="2"/>
            <charset val="238"/>
          </rPr>
          <t>VLOŽTE JEDNOTKOVOU CENU ZHOTOVITELE ZA POLOŽKU</t>
        </r>
      </text>
    </comment>
    <comment ref="G150" authorId="0" shapeId="0" xr:uid="{2FAB7063-617B-4DD1-BF9E-05338B0709D2}">
      <text>
        <r>
          <rPr>
            <b/>
            <sz val="9"/>
            <color indexed="81"/>
            <rFont val="Tahoma"/>
            <family val="2"/>
            <charset val="238"/>
          </rPr>
          <t>VLOŽTE JEDNOTKOVOU CENU ZHOTOVITELE ZA POLOŽKU</t>
        </r>
      </text>
    </comment>
    <comment ref="G152" authorId="0" shapeId="0" xr:uid="{D7FAA40E-CC74-4E9A-8F5E-5D4A959BC88E}">
      <text>
        <r>
          <rPr>
            <b/>
            <sz val="9"/>
            <color indexed="81"/>
            <rFont val="Tahoma"/>
            <family val="2"/>
            <charset val="238"/>
          </rPr>
          <t>VLOŽTE JEDNOTKOVOU CENU ZHOTOVITELE ZA POLOŽKU</t>
        </r>
      </text>
    </comment>
    <comment ref="G154" authorId="0" shapeId="0" xr:uid="{696AA517-09EF-441A-906B-E5DE14294E5A}">
      <text>
        <r>
          <rPr>
            <b/>
            <sz val="9"/>
            <color indexed="81"/>
            <rFont val="Tahoma"/>
            <family val="2"/>
            <charset val="238"/>
          </rPr>
          <t>VLOŽTE JEDNOTKOVOU CENU ZHOTOVITELE ZA POLOŽKU</t>
        </r>
      </text>
    </comment>
    <comment ref="G156" authorId="0" shapeId="0" xr:uid="{B0C2C712-56BC-4299-ACB7-492C871BE7F2}">
      <text>
        <r>
          <rPr>
            <b/>
            <sz val="9"/>
            <color indexed="81"/>
            <rFont val="Tahoma"/>
            <family val="2"/>
            <charset val="238"/>
          </rPr>
          <t>VLOŽTE JEDNOTKOVOU CENU ZHOTOVITELE ZA POLOŽKU</t>
        </r>
      </text>
    </comment>
    <comment ref="G157" authorId="0" shapeId="0" xr:uid="{F35E6DE6-D17F-4C8C-87BE-93C4FD60D56D}">
      <text>
        <r>
          <rPr>
            <b/>
            <sz val="9"/>
            <color indexed="81"/>
            <rFont val="Tahoma"/>
            <family val="2"/>
            <charset val="238"/>
          </rPr>
          <t>VLOŽTE JEDNOTKOVOU CENU ZHOTOVITELE ZA POLOŽKU</t>
        </r>
      </text>
    </comment>
    <comment ref="G158" authorId="0" shapeId="0" xr:uid="{507E20CB-E6FA-414E-A396-22DB7CB677DE}">
      <text>
        <r>
          <rPr>
            <b/>
            <sz val="9"/>
            <color indexed="81"/>
            <rFont val="Tahoma"/>
            <family val="2"/>
            <charset val="238"/>
          </rPr>
          <t>VLOŽTE JEDNOTKOVOU CENU ZHOTOVITELE ZA POLOŽKU</t>
        </r>
      </text>
    </comment>
    <comment ref="G160" authorId="0" shapeId="0" xr:uid="{B9ECEC8A-15F6-41A9-9268-407426B32C18}">
      <text>
        <r>
          <rPr>
            <b/>
            <sz val="9"/>
            <color indexed="81"/>
            <rFont val="Tahoma"/>
            <family val="2"/>
            <charset val="238"/>
          </rPr>
          <t>VLOŽTE JEDNOTKOVOU CENU ZHOTOVITELE ZA POLOŽKU</t>
        </r>
      </text>
    </comment>
    <comment ref="G162" authorId="0" shapeId="0" xr:uid="{D67496E1-9D3F-4AFA-90E4-46F1885AEAD1}">
      <text>
        <r>
          <rPr>
            <b/>
            <sz val="9"/>
            <color indexed="81"/>
            <rFont val="Tahoma"/>
            <family val="2"/>
            <charset val="238"/>
          </rPr>
          <t>VLOŽTE JEDNOTKOVOU CENU ZHOTOVITELE ZA POLOŽKU</t>
        </r>
      </text>
    </comment>
    <comment ref="G164" authorId="0" shapeId="0" xr:uid="{87F92E48-3C8C-4E83-A6FD-CDE2BA325C93}">
      <text>
        <r>
          <rPr>
            <b/>
            <sz val="9"/>
            <color indexed="81"/>
            <rFont val="Tahoma"/>
            <family val="2"/>
            <charset val="238"/>
          </rPr>
          <t>VLOŽTE JEDNOTKOVOU CENU ZHOTOVITELE ZA POLOŽKU</t>
        </r>
      </text>
    </comment>
    <comment ref="G166" authorId="0" shapeId="0" xr:uid="{29AF8E6F-0642-49E0-A2D7-18C234F47F2C}">
      <text>
        <r>
          <rPr>
            <b/>
            <sz val="9"/>
            <color indexed="81"/>
            <rFont val="Tahoma"/>
            <family val="2"/>
            <charset val="238"/>
          </rPr>
          <t>VLOŽTE JEDNOTKOVOU CENU ZHOTOVITELE ZA POLOŽKU</t>
        </r>
      </text>
    </comment>
    <comment ref="G168" authorId="0" shapeId="0" xr:uid="{CCA5B43D-B09A-42CB-9E8C-A54A63AF1DDB}">
      <text>
        <r>
          <rPr>
            <b/>
            <sz val="9"/>
            <color indexed="81"/>
            <rFont val="Tahoma"/>
            <family val="2"/>
            <charset val="238"/>
          </rPr>
          <t>VLOŽTE JEDNOTKOVOU CENU ZHOTOVITELE ZA POLOŽKU</t>
        </r>
      </text>
    </comment>
    <comment ref="G170" authorId="0" shapeId="0" xr:uid="{602BFF84-FFAF-4AA0-993F-B150CFA49B65}">
      <text>
        <r>
          <rPr>
            <b/>
            <sz val="9"/>
            <color indexed="81"/>
            <rFont val="Tahoma"/>
            <family val="2"/>
            <charset val="238"/>
          </rPr>
          <t>VLOŽTE JEDNOTKOVOU CENU ZHOTOVITELE ZA POLOŽKU</t>
        </r>
      </text>
    </comment>
    <comment ref="G172" authorId="0" shapeId="0" xr:uid="{69388FFD-AD41-4B91-A571-87F8CDE9F495}">
      <text>
        <r>
          <rPr>
            <b/>
            <sz val="9"/>
            <color indexed="81"/>
            <rFont val="Tahoma"/>
            <family val="2"/>
            <charset val="238"/>
          </rPr>
          <t>VLOŽTE JEDNOTKOVOU CENU ZHOTOVITELE ZA POLOŽKU</t>
        </r>
      </text>
    </comment>
    <comment ref="G174" authorId="0" shapeId="0" xr:uid="{3761A061-8BCD-4E35-B6B7-6965C197DF44}">
      <text>
        <r>
          <rPr>
            <b/>
            <sz val="9"/>
            <color indexed="81"/>
            <rFont val="Tahoma"/>
            <family val="2"/>
            <charset val="238"/>
          </rPr>
          <t>VLOŽTE JEDNOTKOVOU CENU ZHOTOVITELE ZA POLOŽKU</t>
        </r>
      </text>
    </comment>
    <comment ref="G176" authorId="0" shapeId="0" xr:uid="{627A704E-4B69-4102-AF30-DDB35B233E9D}">
      <text>
        <r>
          <rPr>
            <b/>
            <sz val="9"/>
            <color indexed="81"/>
            <rFont val="Tahoma"/>
            <family val="2"/>
            <charset val="238"/>
          </rPr>
          <t>VLOŽTE JEDNOTKOVOU CENU ZHOTOVITELE ZA POLOŽKU</t>
        </r>
      </text>
    </comment>
    <comment ref="G178" authorId="0" shapeId="0" xr:uid="{00840C6A-C69E-4C3E-B210-D35E003BDD4E}">
      <text>
        <r>
          <rPr>
            <b/>
            <sz val="9"/>
            <color indexed="81"/>
            <rFont val="Tahoma"/>
            <family val="2"/>
            <charset val="238"/>
          </rPr>
          <t>VLOŽTE JEDNOTKOVOU CENU ZHOTOVITELE ZA POLOŽKU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91E3F629-0708-450C-B8A0-253EFB2A6C82}">
      <text>
        <r>
          <rPr>
            <b/>
            <sz val="9"/>
            <color indexed="81"/>
            <rFont val="Tahoma"/>
            <family val="2"/>
            <charset val="238"/>
          </rPr>
          <t>VLOŽTE JEDNOTKOVOU CENU ZHOTOVITELE ZA POLOŽKU</t>
        </r>
      </text>
    </comment>
    <comment ref="G15" authorId="0" shapeId="0" xr:uid="{83F8E004-0374-4A00-8655-48C0A14F50E5}">
      <text>
        <r>
          <rPr>
            <b/>
            <sz val="9"/>
            <color indexed="81"/>
            <rFont val="Tahoma"/>
            <family val="2"/>
            <charset val="238"/>
          </rPr>
          <t>VLOŽTE JEDNOTKOVOU CENU ZHOTOVITELE ZA POLOŽKU</t>
        </r>
      </text>
    </comment>
    <comment ref="G17" authorId="0" shapeId="0" xr:uid="{ACB5347C-6FE1-48B9-9ACE-B2C6EF37FF35}">
      <text>
        <r>
          <rPr>
            <b/>
            <sz val="9"/>
            <color indexed="81"/>
            <rFont val="Tahoma"/>
            <family val="2"/>
            <charset val="238"/>
          </rPr>
          <t>VLOŽTE JEDNOTKOVOU CENU ZHOTOVITELE ZA POLOŽKU</t>
        </r>
      </text>
    </comment>
    <comment ref="G19" authorId="0" shapeId="0" xr:uid="{126D8755-757B-4164-ADA7-50D1F89D2008}">
      <text>
        <r>
          <rPr>
            <b/>
            <sz val="9"/>
            <color indexed="81"/>
            <rFont val="Tahoma"/>
            <family val="2"/>
            <charset val="238"/>
          </rPr>
          <t>VLOŽTE JEDNOTKOVOU CENU ZHOTOVITELE ZA POLOŽKU</t>
        </r>
      </text>
    </comment>
    <comment ref="G21" authorId="0" shapeId="0" xr:uid="{64CD7B10-8275-4739-97B6-CBD30409D5F1}">
      <text>
        <r>
          <rPr>
            <b/>
            <sz val="9"/>
            <color indexed="81"/>
            <rFont val="Tahoma"/>
            <family val="2"/>
            <charset val="238"/>
          </rPr>
          <t>VLOŽTE JEDNOTKOVOU CENU ZHOTOVITELE ZA POLOŽKU</t>
        </r>
      </text>
    </comment>
    <comment ref="G24" authorId="0" shapeId="0" xr:uid="{B45B5328-4CCD-4D4D-B908-7F2187D34C07}">
      <text>
        <r>
          <rPr>
            <b/>
            <sz val="9"/>
            <color indexed="81"/>
            <rFont val="Tahoma"/>
            <family val="2"/>
            <charset val="238"/>
          </rPr>
          <t>VLOŽTE JEDNOTKOVOU CENU ZHOTOVITELE ZA POLOŽKU</t>
        </r>
      </text>
    </comment>
    <comment ref="G26" authorId="0" shapeId="0" xr:uid="{D1C631D6-4BB7-4466-96B7-2344BD7F25E4}">
      <text>
        <r>
          <rPr>
            <b/>
            <sz val="9"/>
            <color indexed="81"/>
            <rFont val="Tahoma"/>
            <family val="2"/>
            <charset val="238"/>
          </rPr>
          <t>VLOŽTE JEDNOTKOVOU CENU ZHOTOVITELE ZA POLOŽKU</t>
        </r>
      </text>
    </comment>
    <comment ref="G29" authorId="0" shapeId="0" xr:uid="{951B18B8-E7F1-43FC-BDC8-DA4024E97F03}">
      <text>
        <r>
          <rPr>
            <b/>
            <sz val="9"/>
            <color indexed="81"/>
            <rFont val="Tahoma"/>
            <family val="2"/>
            <charset val="238"/>
          </rPr>
          <t>VLOŽTE JEDNOTKOVOU CENU ZHOTOVITELE ZA POLOŽKU</t>
        </r>
      </text>
    </comment>
    <comment ref="G31" authorId="0" shapeId="0" xr:uid="{9FA735B6-1107-4A15-8E02-D29489EFDBC2}">
      <text>
        <r>
          <rPr>
            <b/>
            <sz val="9"/>
            <color indexed="81"/>
            <rFont val="Tahoma"/>
            <family val="2"/>
            <charset val="238"/>
          </rPr>
          <t>VLOŽTE JEDNOTKOVOU CENU ZHOTOVITELE ZA POLOŽKU</t>
        </r>
      </text>
    </comment>
    <comment ref="G33" authorId="0" shapeId="0" xr:uid="{A3B93411-FAB6-4CD4-9A9F-DB3E2C86EC62}">
      <text>
        <r>
          <rPr>
            <b/>
            <sz val="9"/>
            <color indexed="81"/>
            <rFont val="Tahoma"/>
            <family val="2"/>
            <charset val="238"/>
          </rPr>
          <t>VLOŽTE JEDNOTKOVOU CENU ZHOTOVITELE ZA POLOŽKU</t>
        </r>
      </text>
    </comment>
    <comment ref="G35" authorId="0" shapeId="0" xr:uid="{B8A776FD-CA5F-48C3-B819-1F4A3BC5C797}">
      <text>
        <r>
          <rPr>
            <b/>
            <sz val="9"/>
            <color indexed="81"/>
            <rFont val="Tahoma"/>
            <family val="2"/>
            <charset val="238"/>
          </rPr>
          <t>VLOŽTE JEDNOTKOVOU CENU ZHOTOVITELE ZA POLOŽKU</t>
        </r>
      </text>
    </comment>
    <comment ref="G37" authorId="0" shapeId="0" xr:uid="{CE5B9F19-28FD-4B63-9C41-6340BCDFA31A}">
      <text>
        <r>
          <rPr>
            <b/>
            <sz val="9"/>
            <color indexed="81"/>
            <rFont val="Tahoma"/>
            <family val="2"/>
            <charset val="238"/>
          </rPr>
          <t>VLOŽTE JEDNOTKOVOU CENU ZHOTOVITELE ZA POLOŽKU</t>
        </r>
      </text>
    </comment>
    <comment ref="G39" authorId="0" shapeId="0" xr:uid="{29E188D6-76FD-4913-B1BA-4AF8DC2E1732}">
      <text>
        <r>
          <rPr>
            <b/>
            <sz val="9"/>
            <color indexed="81"/>
            <rFont val="Tahoma"/>
            <family val="2"/>
            <charset val="238"/>
          </rPr>
          <t>VLOŽTE JEDNOTKOVOU CENU ZHOTOVITELE ZA POLOŽKU</t>
        </r>
      </text>
    </comment>
    <comment ref="G41" authorId="0" shapeId="0" xr:uid="{58C72ADF-B61E-4DA4-9614-BD40F8BCDFBB}">
      <text>
        <r>
          <rPr>
            <b/>
            <sz val="9"/>
            <color indexed="81"/>
            <rFont val="Tahoma"/>
            <family val="2"/>
            <charset val="238"/>
          </rPr>
          <t>VLOŽTE JEDNOTKOVOU CENU ZHOTOVITELE ZA POLOŽKU</t>
        </r>
      </text>
    </comment>
    <comment ref="G43" authorId="0" shapeId="0" xr:uid="{69FE8156-7BA0-4D9A-9EEC-43040ED46645}">
      <text>
        <r>
          <rPr>
            <b/>
            <sz val="9"/>
            <color indexed="81"/>
            <rFont val="Tahoma"/>
            <family val="2"/>
            <charset val="238"/>
          </rPr>
          <t>VLOŽTE JEDNOTKOVOU CENU ZHOTOVITELE ZA POLOŽKU</t>
        </r>
      </text>
    </comment>
    <comment ref="G46" authorId="0" shapeId="0" xr:uid="{43720B1C-D245-4596-B481-ACA701B1A358}">
      <text>
        <r>
          <rPr>
            <b/>
            <sz val="9"/>
            <color indexed="81"/>
            <rFont val="Tahoma"/>
            <family val="2"/>
            <charset val="238"/>
          </rPr>
          <t>VLOŽTE JEDNOTKOVOU CENU ZHOTOVITELE ZA POLOŽKU</t>
        </r>
      </text>
    </comment>
    <comment ref="G48" authorId="0" shapeId="0" xr:uid="{0982B4A6-9703-4993-B366-A544E325095F}">
      <text>
        <r>
          <rPr>
            <b/>
            <sz val="9"/>
            <color indexed="81"/>
            <rFont val="Tahoma"/>
            <family val="2"/>
            <charset val="238"/>
          </rPr>
          <t>VLOŽTE JEDNOTKOVOU CENU ZHOTOVITELE ZA POLOŽKU</t>
        </r>
      </text>
    </comment>
    <comment ref="G51" authorId="0" shapeId="0" xr:uid="{90254700-4DA3-4B80-8BB4-F384424A3158}">
      <text>
        <r>
          <rPr>
            <b/>
            <sz val="9"/>
            <color indexed="81"/>
            <rFont val="Tahoma"/>
            <family val="2"/>
            <charset val="238"/>
          </rPr>
          <t>VLOŽTE JEDNOTKOVOU CENU ZHOTOVITELE ZA POLOŽKU</t>
        </r>
      </text>
    </comment>
    <comment ref="G53" authorId="0" shapeId="0" xr:uid="{FB0E8A39-5066-4840-899E-801C103496A3}">
      <text>
        <r>
          <rPr>
            <b/>
            <sz val="9"/>
            <color indexed="81"/>
            <rFont val="Tahoma"/>
            <family val="2"/>
            <charset val="238"/>
          </rPr>
          <t>VLOŽTE JEDNOTKOVOU CENU ZHOTOVITELE ZA POLOŽKU</t>
        </r>
      </text>
    </comment>
    <comment ref="G55" authorId="0" shapeId="0" xr:uid="{4FD929FB-F693-46B7-AA7D-C0A9F69D2AF0}">
      <text>
        <r>
          <rPr>
            <b/>
            <sz val="9"/>
            <color indexed="81"/>
            <rFont val="Tahoma"/>
            <family val="2"/>
            <charset val="238"/>
          </rPr>
          <t>VLOŽTE JEDNOTKOVOU CENU ZHOTOVITELE ZA POLOŽKU</t>
        </r>
      </text>
    </comment>
    <comment ref="G57" authorId="0" shapeId="0" xr:uid="{818AE5AC-27E3-4004-B57B-216BC222C156}">
      <text>
        <r>
          <rPr>
            <b/>
            <sz val="9"/>
            <color indexed="81"/>
            <rFont val="Tahoma"/>
            <family val="2"/>
            <charset val="238"/>
          </rPr>
          <t>VLOŽTE JEDNOTKOVOU CENU ZHOTOVITELE ZA POLOŽKU</t>
        </r>
      </text>
    </comment>
    <comment ref="G59" authorId="0" shapeId="0" xr:uid="{96CCB6F4-D237-4ED5-9DD8-4BC8BC22A2DB}">
      <text>
        <r>
          <rPr>
            <b/>
            <sz val="9"/>
            <color indexed="81"/>
            <rFont val="Tahoma"/>
            <family val="2"/>
            <charset val="238"/>
          </rPr>
          <t>VLOŽTE JEDNOTKOVOU CENU ZHOTOVITELE ZA POLOŽKU</t>
        </r>
      </text>
    </comment>
    <comment ref="G61" authorId="0" shapeId="0" xr:uid="{BE92144C-DC26-474A-BE5A-18054A26C130}">
      <text>
        <r>
          <rPr>
            <b/>
            <sz val="9"/>
            <color indexed="81"/>
            <rFont val="Tahoma"/>
            <family val="2"/>
            <charset val="238"/>
          </rPr>
          <t>VLOŽTE JEDNOTKOVOU CENU ZHOTOVITELE ZA POLOŽKU</t>
        </r>
      </text>
    </comment>
    <comment ref="G63" authorId="0" shapeId="0" xr:uid="{41E92BC9-43C8-4D90-9F1A-DE5026163C31}">
      <text>
        <r>
          <rPr>
            <b/>
            <sz val="9"/>
            <color indexed="81"/>
            <rFont val="Tahoma"/>
            <family val="2"/>
            <charset val="238"/>
          </rPr>
          <t>VLOŽTE JEDNOTKOVOU CENU ZHOTOVITELE ZA POLOŽKU</t>
        </r>
      </text>
    </comment>
    <comment ref="G65" authorId="0" shapeId="0" xr:uid="{E7AECC8F-5EAA-4D34-89CC-77C830B8700A}">
      <text>
        <r>
          <rPr>
            <b/>
            <sz val="9"/>
            <color indexed="81"/>
            <rFont val="Tahoma"/>
            <family val="2"/>
            <charset val="238"/>
          </rPr>
          <t>VLOŽTE JEDNOTKOVOU CENU ZHOTOVITELE ZA POLOŽKU</t>
        </r>
      </text>
    </comment>
    <comment ref="G67" authorId="0" shapeId="0" xr:uid="{0FB3FA5D-E8C6-4CD3-9214-8C0393E844BE}">
      <text>
        <r>
          <rPr>
            <b/>
            <sz val="9"/>
            <color indexed="81"/>
            <rFont val="Tahoma"/>
            <family val="2"/>
            <charset val="238"/>
          </rPr>
          <t>VLOŽTE JEDNOTKOVOU CENU ZHOTOVITELE ZA POLOŽKU</t>
        </r>
      </text>
    </comment>
    <comment ref="G69" authorId="0" shapeId="0" xr:uid="{64D84B19-FC1C-47E5-A94B-F6BE6C25A97A}">
      <text>
        <r>
          <rPr>
            <b/>
            <sz val="9"/>
            <color indexed="81"/>
            <rFont val="Tahoma"/>
            <family val="2"/>
            <charset val="238"/>
          </rPr>
          <t>VLOŽTE JEDNOTKOVOU CENU ZHOTOVITELE ZA POLOŽKU</t>
        </r>
      </text>
    </comment>
    <comment ref="G72" authorId="0" shapeId="0" xr:uid="{A70AEDD7-1573-43D3-8162-EE22DD10FDE2}">
      <text>
        <r>
          <rPr>
            <b/>
            <sz val="9"/>
            <color indexed="81"/>
            <rFont val="Tahoma"/>
            <family val="2"/>
            <charset val="238"/>
          </rPr>
          <t>VLOŽTE JEDNOTKOVOU CENU ZHOTOVITELE ZA POLOŽKU</t>
        </r>
      </text>
    </comment>
    <comment ref="G74" authorId="0" shapeId="0" xr:uid="{BEC9C4C4-19E6-4771-A5AA-10B6558D06A6}">
      <text>
        <r>
          <rPr>
            <b/>
            <sz val="9"/>
            <color indexed="81"/>
            <rFont val="Tahoma"/>
            <family val="2"/>
            <charset val="238"/>
          </rPr>
          <t>VLOŽTE JEDNOTKOVOU CENU ZHOTOVITELE ZA POLOŽKU</t>
        </r>
      </text>
    </comment>
    <comment ref="G75" authorId="0" shapeId="0" xr:uid="{E72301B5-3A4C-4F5F-BD29-A433CD616CA3}">
      <text>
        <r>
          <rPr>
            <b/>
            <sz val="9"/>
            <color indexed="81"/>
            <rFont val="Tahoma"/>
            <family val="2"/>
            <charset val="238"/>
          </rPr>
          <t>VLOŽTE JEDNOTKOVOU CENU ZHOTOVITELE ZA POLOŽKU</t>
        </r>
      </text>
    </comment>
    <comment ref="G78" authorId="0" shapeId="0" xr:uid="{9B75AED6-B93C-43C9-AD4B-EC51CB8CB3FA}">
      <text>
        <r>
          <rPr>
            <b/>
            <sz val="9"/>
            <color indexed="81"/>
            <rFont val="Tahoma"/>
            <family val="2"/>
            <charset val="238"/>
          </rPr>
          <t>VLOŽTE JEDNOTKOVOU CENU ZHOTOVITELE ZA POLOŽKU</t>
        </r>
      </text>
    </comment>
    <comment ref="G81" authorId="0" shapeId="0" xr:uid="{31285C61-DD54-4B4B-81EC-823CF643152C}">
      <text>
        <r>
          <rPr>
            <b/>
            <sz val="9"/>
            <color indexed="81"/>
            <rFont val="Tahoma"/>
            <family val="2"/>
            <charset val="238"/>
          </rPr>
          <t>VLOŽTE JEDNOTKOVOU CENU ZHOTOVITELE ZA POLOŽKU</t>
        </r>
      </text>
    </comment>
    <comment ref="G83" authorId="0" shapeId="0" xr:uid="{F6EF00EF-AA22-4FF8-93C3-924959C6EA83}">
      <text>
        <r>
          <rPr>
            <b/>
            <sz val="9"/>
            <color indexed="81"/>
            <rFont val="Tahoma"/>
            <family val="2"/>
            <charset val="238"/>
          </rPr>
          <t>VLOŽTE JEDNOTKOVOU CENU ZHOTOVITELE ZA POLOŽKU</t>
        </r>
      </text>
    </comment>
    <comment ref="G86" authorId="0" shapeId="0" xr:uid="{7760565A-D765-4C38-B9D0-21E7234803CB}">
      <text>
        <r>
          <rPr>
            <b/>
            <sz val="9"/>
            <color indexed="81"/>
            <rFont val="Tahoma"/>
            <family val="2"/>
            <charset val="238"/>
          </rPr>
          <t>VLOŽTE JEDNOTKOVOU CENU ZHOTOVITELE ZA POLOŽKU</t>
        </r>
      </text>
    </comment>
    <comment ref="G88" authorId="0" shapeId="0" xr:uid="{DE0FF654-2144-4F09-BBB1-C6E997E03E71}">
      <text>
        <r>
          <rPr>
            <b/>
            <sz val="9"/>
            <color indexed="81"/>
            <rFont val="Tahoma"/>
            <family val="2"/>
            <charset val="238"/>
          </rPr>
          <t>VLOŽTE JEDNOTKOVOU CENU ZHOTOVITELE ZA POLOŽKU</t>
        </r>
      </text>
    </comment>
    <comment ref="G90" authorId="0" shapeId="0" xr:uid="{4E336F76-49C1-44DC-A45D-50167540E465}">
      <text>
        <r>
          <rPr>
            <b/>
            <sz val="9"/>
            <color indexed="81"/>
            <rFont val="Tahoma"/>
            <family val="2"/>
            <charset val="238"/>
          </rPr>
          <t>VLOŽTE JEDNOTKOVOU CENU ZHOTOVITELE ZA POLOŽKU</t>
        </r>
      </text>
    </comment>
    <comment ref="G92" authorId="0" shapeId="0" xr:uid="{E6181543-3834-40F6-8941-6BF2FD5FEBC4}">
      <text>
        <r>
          <rPr>
            <b/>
            <sz val="9"/>
            <color indexed="81"/>
            <rFont val="Tahoma"/>
            <family val="2"/>
            <charset val="238"/>
          </rPr>
          <t>VLOŽTE JEDNOTKOVOU CENU ZHOTOVITELE ZA POLOŽKU</t>
        </r>
      </text>
    </comment>
    <comment ref="G95" authorId="0" shapeId="0" xr:uid="{EA9DBB21-E076-4161-92DE-EBF2B82C74C1}">
      <text>
        <r>
          <rPr>
            <b/>
            <sz val="9"/>
            <color indexed="81"/>
            <rFont val="Tahoma"/>
            <family val="2"/>
            <charset val="238"/>
          </rPr>
          <t>VLOŽTE JEDNOTKOVOU CENU ZHOTOVITELE ZA POLOŽKU</t>
        </r>
      </text>
    </comment>
    <comment ref="G98" authorId="0" shapeId="0" xr:uid="{5ACF8B43-B5D1-41F5-9E1B-68A3600CEBED}">
      <text>
        <r>
          <rPr>
            <b/>
            <sz val="9"/>
            <color indexed="81"/>
            <rFont val="Tahoma"/>
            <family val="2"/>
            <charset val="238"/>
          </rPr>
          <t>VLOŽTE JEDNOTKOVOU CENU ZHOTOVITELE ZA POLOŽKU</t>
        </r>
      </text>
    </comment>
    <comment ref="G100" authorId="0" shapeId="0" xr:uid="{70DBE98B-E660-4F97-9D6C-7AEF527D0FB4}">
      <text>
        <r>
          <rPr>
            <b/>
            <sz val="9"/>
            <color indexed="81"/>
            <rFont val="Tahoma"/>
            <family val="2"/>
            <charset val="238"/>
          </rPr>
          <t>VLOŽTE JEDNOTKOVOU CENU ZHOTOVITELE ZA POLOŽKU</t>
        </r>
      </text>
    </comment>
    <comment ref="G102" authorId="0" shapeId="0" xr:uid="{4E42D190-FC96-4B57-8F07-91A9B7C635A5}">
      <text>
        <r>
          <rPr>
            <b/>
            <sz val="9"/>
            <color indexed="81"/>
            <rFont val="Tahoma"/>
            <family val="2"/>
            <charset val="238"/>
          </rPr>
          <t>VLOŽTE JEDNOTKOVOU CENU ZHOTOVITELE ZA POLOŽKU</t>
        </r>
      </text>
    </comment>
    <comment ref="G104" authorId="0" shapeId="0" xr:uid="{F2C27F64-A736-4566-A54B-4E23F13D40ED}">
      <text>
        <r>
          <rPr>
            <b/>
            <sz val="9"/>
            <color indexed="81"/>
            <rFont val="Tahoma"/>
            <family val="2"/>
            <charset val="238"/>
          </rPr>
          <t>VLOŽTE JEDNOTKOVOU CENU ZHOTOVITELE ZA POLOŽKU</t>
        </r>
      </text>
    </comment>
    <comment ref="G106" authorId="0" shapeId="0" xr:uid="{299665FB-F2C8-43F0-905E-BCF2895AE57B}">
      <text>
        <r>
          <rPr>
            <b/>
            <sz val="9"/>
            <color indexed="81"/>
            <rFont val="Tahoma"/>
            <family val="2"/>
            <charset val="238"/>
          </rPr>
          <t>VLOŽTE JEDNOTKOVOU CENU ZHOTOVITELE ZA POLOŽKU</t>
        </r>
      </text>
    </comment>
    <comment ref="G108" authorId="0" shapeId="0" xr:uid="{4E0626DC-A045-4D2B-8A38-9549B47B9652}">
      <text>
        <r>
          <rPr>
            <b/>
            <sz val="9"/>
            <color indexed="81"/>
            <rFont val="Tahoma"/>
            <family val="2"/>
            <charset val="238"/>
          </rPr>
          <t>VLOŽTE JEDNOTKOVOU CENU ZHOTOVITELE ZA POLOŽKU</t>
        </r>
      </text>
    </comment>
    <comment ref="G110" authorId="0" shapeId="0" xr:uid="{5A52D9F2-6A9D-41C8-A57E-E4932BA52C7D}">
      <text>
        <r>
          <rPr>
            <b/>
            <sz val="9"/>
            <color indexed="81"/>
            <rFont val="Tahoma"/>
            <family val="2"/>
            <charset val="238"/>
          </rPr>
          <t>VLOŽTE JEDNOTKOVOU CENU ZHOTOVITELE ZA POLOŽKU</t>
        </r>
      </text>
    </comment>
    <comment ref="G113" authorId="0" shapeId="0" xr:uid="{F364C76D-92C2-4CEB-ABE0-725F013DD292}">
      <text>
        <r>
          <rPr>
            <b/>
            <sz val="9"/>
            <color indexed="81"/>
            <rFont val="Tahoma"/>
            <family val="2"/>
            <charset val="238"/>
          </rPr>
          <t>VLOŽTE JEDNOTKOVOU CENU ZHOTOVITELE ZA POLOŽKU</t>
        </r>
      </text>
    </comment>
    <comment ref="G116" authorId="0" shapeId="0" xr:uid="{3067F8C9-3E1A-4507-B69D-6E67FEB00004}">
      <text>
        <r>
          <rPr>
            <b/>
            <sz val="9"/>
            <color indexed="81"/>
            <rFont val="Tahoma"/>
            <family val="2"/>
            <charset val="238"/>
          </rPr>
          <t>VLOŽTE JEDNOTKOVOU CENU ZHOTOVITELE ZA POLOŽKU</t>
        </r>
      </text>
    </comment>
    <comment ref="G118" authorId="0" shapeId="0" xr:uid="{88F605D0-2B2A-4875-8736-03A6C8A4121F}">
      <text>
        <r>
          <rPr>
            <b/>
            <sz val="9"/>
            <color indexed="81"/>
            <rFont val="Tahoma"/>
            <family val="2"/>
            <charset val="238"/>
          </rPr>
          <t>VLOŽTE JEDNOTKOVOU CENU ZHOTOVITELE ZA POLOŽKU</t>
        </r>
      </text>
    </comment>
    <comment ref="G121" authorId="0" shapeId="0" xr:uid="{8F0FA021-E671-42B5-A508-39F63CC0780E}">
      <text>
        <r>
          <rPr>
            <b/>
            <sz val="9"/>
            <color indexed="81"/>
            <rFont val="Tahoma"/>
            <family val="2"/>
            <charset val="238"/>
          </rPr>
          <t>VLOŽTE JEDNOTKOVOU CENU ZHOTOVITELE ZA POLOŽKU</t>
        </r>
      </text>
    </comment>
    <comment ref="G123" authorId="0" shapeId="0" xr:uid="{68A8A0B7-240F-4D7E-92C7-B20D13B88E3C}">
      <text>
        <r>
          <rPr>
            <b/>
            <sz val="9"/>
            <color indexed="81"/>
            <rFont val="Tahoma"/>
            <family val="2"/>
            <charset val="238"/>
          </rPr>
          <t>VLOŽTE JEDNOTKOVOU CENU ZHOTOVITELE ZA POLOŽKU</t>
        </r>
      </text>
    </comment>
    <comment ref="G125" authorId="0" shapeId="0" xr:uid="{6BE1FFF7-CB55-43AB-94B0-AFBA65CB4ED9}">
      <text>
        <r>
          <rPr>
            <b/>
            <sz val="9"/>
            <color indexed="81"/>
            <rFont val="Tahoma"/>
            <family val="2"/>
            <charset val="238"/>
          </rPr>
          <t>VLOŽTE JEDNOTKOVOU CENU ZHOTOVITELE ZA POLOŽKU</t>
        </r>
      </text>
    </comment>
    <comment ref="G127" authorId="0" shapeId="0" xr:uid="{74610FB9-6AA1-4659-B593-B6D22E07F638}">
      <text>
        <r>
          <rPr>
            <b/>
            <sz val="9"/>
            <color indexed="81"/>
            <rFont val="Tahoma"/>
            <family val="2"/>
            <charset val="238"/>
          </rPr>
          <t>VLOŽTE JEDNOTKOVOU CENU ZHOTOVITELE ZA POLOŽKU</t>
        </r>
      </text>
    </comment>
    <comment ref="G129" authorId="0" shapeId="0" xr:uid="{AD4D56A5-9F38-4EBF-BFD3-2E91263C98AD}">
      <text>
        <r>
          <rPr>
            <b/>
            <sz val="9"/>
            <color indexed="81"/>
            <rFont val="Tahoma"/>
            <family val="2"/>
            <charset val="238"/>
          </rPr>
          <t>VLOŽTE JEDNOTKOVOU CENU ZHOTOVITELE ZA POLOŽKU</t>
        </r>
      </text>
    </comment>
    <comment ref="G131" authorId="0" shapeId="0" xr:uid="{678BE4E4-C89E-47A4-B732-E574BE9708AD}">
      <text>
        <r>
          <rPr>
            <b/>
            <sz val="9"/>
            <color indexed="81"/>
            <rFont val="Tahoma"/>
            <family val="2"/>
            <charset val="238"/>
          </rPr>
          <t>VLOŽTE JEDNOTKOVOU CENU ZHOTOVITELE ZA POLOŽKU</t>
        </r>
      </text>
    </comment>
    <comment ref="G134" authorId="0" shapeId="0" xr:uid="{26175298-30F4-4DA2-9496-B1A02454B062}">
      <text>
        <r>
          <rPr>
            <b/>
            <sz val="9"/>
            <color indexed="81"/>
            <rFont val="Tahoma"/>
            <family val="2"/>
            <charset val="238"/>
          </rPr>
          <t>VLOŽTE JEDNOTKOVOU CENU ZHOTOVITELE ZA POLOŽKU</t>
        </r>
      </text>
    </comment>
    <comment ref="G137" authorId="0" shapeId="0" xr:uid="{E3BB53D6-E1AB-4980-BA15-ABC11E9D57B4}">
      <text>
        <r>
          <rPr>
            <b/>
            <sz val="9"/>
            <color indexed="81"/>
            <rFont val="Tahoma"/>
            <family val="2"/>
            <charset val="238"/>
          </rPr>
          <t>VLOŽTE JEDNOTKOVOU CENU ZHOTOVITELE ZA POLOŽKU</t>
        </r>
      </text>
    </comment>
    <comment ref="G140" authorId="0" shapeId="0" xr:uid="{2CEB466E-7ED0-437F-84D2-6475C54B0558}">
      <text>
        <r>
          <rPr>
            <b/>
            <sz val="9"/>
            <color indexed="81"/>
            <rFont val="Tahoma"/>
            <family val="2"/>
            <charset val="238"/>
          </rPr>
          <t>VLOŽTE JEDNOTKOVOU CENU ZHOTOVITELE ZA POLOŽKU</t>
        </r>
      </text>
    </comment>
    <comment ref="G141" authorId="0" shapeId="0" xr:uid="{E5057503-EFEF-40A1-AB41-DE836D803BAA}">
      <text>
        <r>
          <rPr>
            <b/>
            <sz val="9"/>
            <color indexed="81"/>
            <rFont val="Tahoma"/>
            <family val="2"/>
            <charset val="238"/>
          </rPr>
          <t>VLOŽTE JEDNOTKOVOU CENU ZHOTOVITELE ZA POLOŽKU</t>
        </r>
      </text>
    </comment>
    <comment ref="G143" authorId="0" shapeId="0" xr:uid="{DF60EC4E-E255-4252-9506-A6B3B2EA6EF2}">
      <text>
        <r>
          <rPr>
            <b/>
            <sz val="9"/>
            <color indexed="81"/>
            <rFont val="Tahoma"/>
            <family val="2"/>
            <charset val="238"/>
          </rPr>
          <t>VLOŽTE JEDNOTKOVOU CENU ZHOTOVITELE ZA POLOŽKU</t>
        </r>
      </text>
    </comment>
    <comment ref="G145" authorId="0" shapeId="0" xr:uid="{85589DB4-8829-4577-9344-3DBE207BD8C8}">
      <text>
        <r>
          <rPr>
            <b/>
            <sz val="9"/>
            <color indexed="81"/>
            <rFont val="Tahoma"/>
            <family val="2"/>
            <charset val="238"/>
          </rPr>
          <t>VLOŽTE JEDNOTKOVOU CENU ZHOTOVITELE ZA POLOŽKU</t>
        </r>
      </text>
    </comment>
    <comment ref="G147" authorId="0" shapeId="0" xr:uid="{724E78F8-4A4F-48F1-80FC-1C8ABB0CAD6B}">
      <text>
        <r>
          <rPr>
            <b/>
            <sz val="9"/>
            <color indexed="81"/>
            <rFont val="Tahoma"/>
            <family val="2"/>
            <charset val="238"/>
          </rPr>
          <t>VLOŽTE JEDNOTKOVOU CENU ZHOTOVITELE ZA POLOŽKU</t>
        </r>
      </text>
    </comment>
    <comment ref="G148" authorId="0" shapeId="0" xr:uid="{4B20016E-7B5C-4D61-BCAB-4BDA6C74A69B}">
      <text>
        <r>
          <rPr>
            <b/>
            <sz val="9"/>
            <color indexed="81"/>
            <rFont val="Tahoma"/>
            <family val="2"/>
            <charset val="238"/>
          </rPr>
          <t>VLOŽTE JEDNOTKOVOU CENU ZHOTOVITELE ZA POLOŽKU</t>
        </r>
      </text>
    </comment>
    <comment ref="G149" authorId="0" shapeId="0" xr:uid="{B62D0C2A-C2A8-4D47-8DCE-A1BE9AC4BBDA}">
      <text>
        <r>
          <rPr>
            <b/>
            <sz val="9"/>
            <color indexed="81"/>
            <rFont val="Tahoma"/>
            <family val="2"/>
            <charset val="238"/>
          </rPr>
          <t>VLOŽTE JEDNOTKOVOU CENU ZHOTOVITELE ZA POLOŽKU</t>
        </r>
      </text>
    </comment>
    <comment ref="G151" authorId="0" shapeId="0" xr:uid="{DADFFB6C-1BA4-464A-BDB0-60159B22636B}">
      <text>
        <r>
          <rPr>
            <b/>
            <sz val="9"/>
            <color indexed="81"/>
            <rFont val="Tahoma"/>
            <family val="2"/>
            <charset val="238"/>
          </rPr>
          <t>VLOŽTE JEDNOTKOVOU CENU ZHOTOVITELE ZA POLOŽKU</t>
        </r>
      </text>
    </comment>
    <comment ref="G153" authorId="0" shapeId="0" xr:uid="{4D01FF70-2C21-438E-8BA2-DDA6556163E1}">
      <text>
        <r>
          <rPr>
            <b/>
            <sz val="9"/>
            <color indexed="81"/>
            <rFont val="Tahoma"/>
            <family val="2"/>
            <charset val="238"/>
          </rPr>
          <t>VLOŽTE JEDNOTKOVOU CENU ZHOTOVITELE ZA POLOŽKU</t>
        </r>
      </text>
    </comment>
    <comment ref="G155" authorId="0" shapeId="0" xr:uid="{1A92EE28-46C3-4441-9E1F-D0F2B2BA62FC}">
      <text>
        <r>
          <rPr>
            <b/>
            <sz val="9"/>
            <color indexed="81"/>
            <rFont val="Tahoma"/>
            <family val="2"/>
            <charset val="238"/>
          </rPr>
          <t>VLOŽTE JEDNOTKOVOU CENU ZHOTOVITELE ZA POLOŽKU</t>
        </r>
      </text>
    </comment>
    <comment ref="G157" authorId="0" shapeId="0" xr:uid="{5C48DA42-8DFB-4C4E-B9D6-7B5C8834DD18}">
      <text>
        <r>
          <rPr>
            <b/>
            <sz val="9"/>
            <color indexed="81"/>
            <rFont val="Tahoma"/>
            <family val="2"/>
            <charset val="238"/>
          </rPr>
          <t>VLOŽTE JEDNOTKOVOU CENU ZHOTOVITELE ZA POLOŽKU</t>
        </r>
      </text>
    </comment>
    <comment ref="G159" authorId="0" shapeId="0" xr:uid="{365FEB20-E736-4E96-9659-84EA2A2B09DE}">
      <text>
        <r>
          <rPr>
            <b/>
            <sz val="9"/>
            <color indexed="81"/>
            <rFont val="Tahoma"/>
            <family val="2"/>
            <charset val="238"/>
          </rPr>
          <t>VLOŽTE JEDNOTKOVOU CENU ZHOTOVITELE ZA POLOŽKU</t>
        </r>
      </text>
    </comment>
    <comment ref="G161" authorId="0" shapeId="0" xr:uid="{81D92895-6522-4B39-8534-A47F9FD483FF}">
      <text>
        <r>
          <rPr>
            <b/>
            <sz val="9"/>
            <color indexed="81"/>
            <rFont val="Tahoma"/>
            <family val="2"/>
            <charset val="238"/>
          </rPr>
          <t>VLOŽTE JEDNOTKOVOU CENU ZHOTOVITELE ZA POLOŽKU</t>
        </r>
      </text>
    </comment>
    <comment ref="G163" authorId="0" shapeId="0" xr:uid="{07DCBA68-953C-43F7-8789-B366C24EC187}">
      <text>
        <r>
          <rPr>
            <b/>
            <sz val="9"/>
            <color indexed="81"/>
            <rFont val="Tahoma"/>
            <family val="2"/>
            <charset val="238"/>
          </rPr>
          <t>VLOŽTE JEDNOTKOVOU CENU ZHOTOVITELE ZA POLOŽKU</t>
        </r>
      </text>
    </comment>
    <comment ref="G165" authorId="0" shapeId="0" xr:uid="{7E39663C-E4AD-4CC1-B71F-AE6BCD054943}">
      <text>
        <r>
          <rPr>
            <b/>
            <sz val="9"/>
            <color indexed="81"/>
            <rFont val="Tahoma"/>
            <family val="2"/>
            <charset val="238"/>
          </rPr>
          <t>VLOŽTE JEDNOTKOVOU CENU ZHOTOVITELE ZA POLOŽKU</t>
        </r>
      </text>
    </comment>
    <comment ref="G167" authorId="0" shapeId="0" xr:uid="{442DEC53-A63F-4EBF-A268-3F41446CDE6C}">
      <text>
        <r>
          <rPr>
            <b/>
            <sz val="9"/>
            <color indexed="81"/>
            <rFont val="Tahoma"/>
            <family val="2"/>
            <charset val="238"/>
          </rPr>
          <t>VLOŽTE JEDNOTKOVOU CENU ZHOTOVITELE ZA POLOŽKU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74D222BB-9BEC-4B73-8D3E-686240504BB0}">
      <text>
        <r>
          <rPr>
            <b/>
            <sz val="9"/>
            <color indexed="81"/>
            <rFont val="Tahoma"/>
            <family val="2"/>
            <charset val="238"/>
          </rPr>
          <t>VLOŽTE JEDNOTKOVOU CENU ZHOTOVITELE ZA POLOŽKU</t>
        </r>
      </text>
    </comment>
    <comment ref="G15" authorId="0" shapeId="0" xr:uid="{73589AB9-8178-4A8B-B0AC-21599A1A585D}">
      <text>
        <r>
          <rPr>
            <b/>
            <sz val="9"/>
            <color indexed="81"/>
            <rFont val="Tahoma"/>
            <family val="2"/>
            <charset val="238"/>
          </rPr>
          <t>VLOŽTE JEDNOTKOVOU CENU ZHOTOVITELE ZA POLOŽKU</t>
        </r>
      </text>
    </comment>
    <comment ref="G17" authorId="0" shapeId="0" xr:uid="{BDB48397-49FC-46EF-9753-4AE4346A607C}">
      <text>
        <r>
          <rPr>
            <b/>
            <sz val="9"/>
            <color indexed="81"/>
            <rFont val="Tahoma"/>
            <family val="2"/>
            <charset val="238"/>
          </rPr>
          <t>VLOŽTE JEDNOTKOVOU CENU ZHOTOVITELE ZA POLOŽKU</t>
        </r>
      </text>
    </comment>
    <comment ref="G19" authorId="0" shapeId="0" xr:uid="{828CE4A7-0714-427B-9A71-91994C238803}">
      <text>
        <r>
          <rPr>
            <b/>
            <sz val="9"/>
            <color indexed="81"/>
            <rFont val="Tahoma"/>
            <family val="2"/>
            <charset val="238"/>
          </rPr>
          <t>VLOŽTE JEDNOTKOVOU CENU ZHOTOVITELE ZA POLOŽKU</t>
        </r>
      </text>
    </comment>
    <comment ref="G21" authorId="0" shapeId="0" xr:uid="{5232CB73-1026-4374-83F9-08B5B20E5CB6}">
      <text>
        <r>
          <rPr>
            <b/>
            <sz val="9"/>
            <color indexed="81"/>
            <rFont val="Tahoma"/>
            <family val="2"/>
            <charset val="238"/>
          </rPr>
          <t>VLOŽTE JEDNOTKOVOU CENU ZHOTOVITELE ZA POLOŽKU</t>
        </r>
      </text>
    </comment>
    <comment ref="G23" authorId="0" shapeId="0" xr:uid="{B795CE22-4F19-469E-92AF-76B0971349A4}">
      <text>
        <r>
          <rPr>
            <b/>
            <sz val="9"/>
            <color indexed="81"/>
            <rFont val="Tahoma"/>
            <family val="2"/>
            <charset val="238"/>
          </rPr>
          <t>VLOŽTE JEDNOTKOVOU CENU ZHOTOVITELE ZA POLOŽKU</t>
        </r>
      </text>
    </comment>
    <comment ref="G25" authorId="0" shapeId="0" xr:uid="{6FC7CCB9-69D3-4F24-856A-B198C14EC2DA}">
      <text>
        <r>
          <rPr>
            <b/>
            <sz val="9"/>
            <color indexed="81"/>
            <rFont val="Tahoma"/>
            <family val="2"/>
            <charset val="238"/>
          </rPr>
          <t>VLOŽTE JEDNOTKOVOU CENU ZHOTOVITELE ZA POLOŽKU</t>
        </r>
      </text>
    </comment>
    <comment ref="G27" authorId="0" shapeId="0" xr:uid="{FD3B1691-ACA7-4C2A-8644-09C4C77B283C}">
      <text>
        <r>
          <rPr>
            <b/>
            <sz val="9"/>
            <color indexed="81"/>
            <rFont val="Tahoma"/>
            <family val="2"/>
            <charset val="238"/>
          </rPr>
          <t>VLOŽTE JEDNOTKOVOU CENU ZHOTOVITELE ZA POLOŽKU</t>
        </r>
      </text>
    </comment>
    <comment ref="G30" authorId="0" shapeId="0" xr:uid="{BEDE5D92-68C0-4FB3-9206-D182C17E4109}">
      <text>
        <r>
          <rPr>
            <b/>
            <sz val="9"/>
            <color indexed="81"/>
            <rFont val="Tahoma"/>
            <family val="2"/>
            <charset val="238"/>
          </rPr>
          <t>VLOŽTE JEDNOTKOVOU CENU ZHOTOVITELE ZA POLOŽKU</t>
        </r>
      </text>
    </comment>
    <comment ref="G32" authorId="0" shapeId="0" xr:uid="{5032B4E1-E7CD-49F9-8C1A-0E01C2FEAA12}">
      <text>
        <r>
          <rPr>
            <b/>
            <sz val="9"/>
            <color indexed="81"/>
            <rFont val="Tahoma"/>
            <family val="2"/>
            <charset val="238"/>
          </rPr>
          <t>VLOŽTE JEDNOTKOVOU CENU ZHOTOVITELE ZA POLOŽKU</t>
        </r>
      </text>
    </comment>
    <comment ref="G35" authorId="0" shapeId="0" xr:uid="{89351769-D5DE-405A-8D5B-E87F2057EE7F}">
      <text>
        <r>
          <rPr>
            <b/>
            <sz val="9"/>
            <color indexed="81"/>
            <rFont val="Tahoma"/>
            <family val="2"/>
            <charset val="238"/>
          </rPr>
          <t>VLOŽTE JEDNOTKOVOU CENU ZHOTOVITELE ZA POLOŽKU</t>
        </r>
      </text>
    </comment>
    <comment ref="G37" authorId="0" shapeId="0" xr:uid="{5ADB4973-7B3C-42A5-BE35-2D8B2BF73B27}">
      <text>
        <r>
          <rPr>
            <b/>
            <sz val="9"/>
            <color indexed="81"/>
            <rFont val="Tahoma"/>
            <family val="2"/>
            <charset val="238"/>
          </rPr>
          <t>VLOŽTE JEDNOTKOVOU CENU ZHOTOVITELE ZA POLOŽKU</t>
        </r>
      </text>
    </comment>
    <comment ref="G39" authorId="0" shapeId="0" xr:uid="{CA4CBF1E-C01C-453A-B064-BA999FB8EF50}">
      <text>
        <r>
          <rPr>
            <b/>
            <sz val="9"/>
            <color indexed="81"/>
            <rFont val="Tahoma"/>
            <family val="2"/>
            <charset val="238"/>
          </rPr>
          <t>VLOŽTE JEDNOTKOVOU CENU ZHOTOVITELE ZA POLOŽKU</t>
        </r>
      </text>
    </comment>
    <comment ref="G41" authorId="0" shapeId="0" xr:uid="{5F8EBDFB-DC62-4B43-97A8-9F4ACC336C55}">
      <text>
        <r>
          <rPr>
            <b/>
            <sz val="9"/>
            <color indexed="81"/>
            <rFont val="Tahoma"/>
            <family val="2"/>
            <charset val="238"/>
          </rPr>
          <t>VLOŽTE JEDNOTKOVOU CENU ZHOTOVITELE ZA POLOŽKU</t>
        </r>
      </text>
    </comment>
    <comment ref="G43" authorId="0" shapeId="0" xr:uid="{F13D620F-E20D-425F-AC36-2EA257F83047}">
      <text>
        <r>
          <rPr>
            <b/>
            <sz val="9"/>
            <color indexed="81"/>
            <rFont val="Tahoma"/>
            <family val="2"/>
            <charset val="238"/>
          </rPr>
          <t>VLOŽTE JEDNOTKOVOU CENU ZHOTOVITELE ZA POLOŽKU</t>
        </r>
      </text>
    </comment>
    <comment ref="G45" authorId="0" shapeId="0" xr:uid="{37364704-6708-4647-A875-7CEF17ABEA8D}">
      <text>
        <r>
          <rPr>
            <b/>
            <sz val="9"/>
            <color indexed="81"/>
            <rFont val="Tahoma"/>
            <family val="2"/>
            <charset val="238"/>
          </rPr>
          <t>VLOŽTE JEDNOTKOVOU CENU ZHOTOVITELE ZA POLOŽKU</t>
        </r>
      </text>
    </comment>
    <comment ref="G48" authorId="0" shapeId="0" xr:uid="{0E02045D-A383-475C-B52C-E5C8369A777E}">
      <text>
        <r>
          <rPr>
            <b/>
            <sz val="9"/>
            <color indexed="81"/>
            <rFont val="Tahoma"/>
            <family val="2"/>
            <charset val="238"/>
          </rPr>
          <t>VLOŽTE JEDNOTKOVOU CENU ZHOTOVITELE ZA POLOŽKU</t>
        </r>
      </text>
    </comment>
    <comment ref="G50" authorId="0" shapeId="0" xr:uid="{D8B36B88-FD45-4AC2-9B4C-3518ADF44112}">
      <text>
        <r>
          <rPr>
            <b/>
            <sz val="9"/>
            <color indexed="81"/>
            <rFont val="Tahoma"/>
            <family val="2"/>
            <charset val="238"/>
          </rPr>
          <t>VLOŽTE JEDNOTKOVOU CENU ZHOTOVITELE ZA POLOŽKU</t>
        </r>
      </text>
    </comment>
    <comment ref="G53" authorId="0" shapeId="0" xr:uid="{2432A618-DB9F-452A-B90C-EC22BCB1014E}">
      <text>
        <r>
          <rPr>
            <b/>
            <sz val="9"/>
            <color indexed="81"/>
            <rFont val="Tahoma"/>
            <family val="2"/>
            <charset val="238"/>
          </rPr>
          <t>VLOŽTE JEDNOTKOVOU CENU ZHOTOVITELE ZA POLOŽKU</t>
        </r>
      </text>
    </comment>
    <comment ref="G55" authorId="0" shapeId="0" xr:uid="{DFA115DC-EED7-4CE0-B3A3-72CAE4F934C6}">
      <text>
        <r>
          <rPr>
            <b/>
            <sz val="9"/>
            <color indexed="81"/>
            <rFont val="Tahoma"/>
            <family val="2"/>
            <charset val="238"/>
          </rPr>
          <t>VLOŽTE JEDNOTKOVOU CENU ZHOTOVITELE ZA POLOŽKU</t>
        </r>
      </text>
    </comment>
    <comment ref="G57" authorId="0" shapeId="0" xr:uid="{100FFA41-0691-46A3-8F9C-D1F8C9B4F3BA}">
      <text>
        <r>
          <rPr>
            <b/>
            <sz val="9"/>
            <color indexed="81"/>
            <rFont val="Tahoma"/>
            <family val="2"/>
            <charset val="238"/>
          </rPr>
          <t>VLOŽTE JEDNOTKOVOU CENU ZHOTOVITELE ZA POLOŽKU</t>
        </r>
      </text>
    </comment>
    <comment ref="G59" authorId="0" shapeId="0" xr:uid="{46990760-AB2E-44F8-AF74-51414A19C814}">
      <text>
        <r>
          <rPr>
            <b/>
            <sz val="9"/>
            <color indexed="81"/>
            <rFont val="Tahoma"/>
            <family val="2"/>
            <charset val="238"/>
          </rPr>
          <t>VLOŽTE JEDNOTKOVOU CENU ZHOTOVITELE ZA POLOŽKU</t>
        </r>
      </text>
    </comment>
    <comment ref="G61" authorId="0" shapeId="0" xr:uid="{B4C21DCE-47CC-4D00-817B-F01C38E1FBF6}">
      <text>
        <r>
          <rPr>
            <b/>
            <sz val="9"/>
            <color indexed="81"/>
            <rFont val="Tahoma"/>
            <family val="2"/>
            <charset val="238"/>
          </rPr>
          <t>VLOŽTE JEDNOTKOVOU CENU ZHOTOVITELE ZA POLOŽKU</t>
        </r>
      </text>
    </comment>
    <comment ref="G63" authorId="0" shapeId="0" xr:uid="{8B8CD09A-B60C-4B2C-81B7-1F1E27EED84C}">
      <text>
        <r>
          <rPr>
            <b/>
            <sz val="9"/>
            <color indexed="81"/>
            <rFont val="Tahoma"/>
            <family val="2"/>
            <charset val="238"/>
          </rPr>
          <t>VLOŽTE JEDNOTKOVOU CENU ZHOTOVITELE ZA POLOŽKU</t>
        </r>
      </text>
    </comment>
    <comment ref="G65" authorId="0" shapeId="0" xr:uid="{1B86B30B-4502-4B35-90E1-18EB47EB845F}">
      <text>
        <r>
          <rPr>
            <b/>
            <sz val="9"/>
            <color indexed="81"/>
            <rFont val="Tahoma"/>
            <family val="2"/>
            <charset val="238"/>
          </rPr>
          <t>VLOŽTE JEDNOTKOVOU CENU ZHOTOVITELE ZA POLOŽKU</t>
        </r>
      </text>
    </comment>
    <comment ref="G67" authorId="0" shapeId="0" xr:uid="{EB1D7644-F32A-48C1-AFB3-22BA4BCA32D1}">
      <text>
        <r>
          <rPr>
            <b/>
            <sz val="9"/>
            <color indexed="81"/>
            <rFont val="Tahoma"/>
            <family val="2"/>
            <charset val="238"/>
          </rPr>
          <t>VLOŽTE JEDNOTKOVOU CENU ZHOTOVITELE ZA POLOŽKU</t>
        </r>
      </text>
    </comment>
    <comment ref="G69" authorId="0" shapeId="0" xr:uid="{07013AAD-5422-4CDA-9047-96BE592FB7D8}">
      <text>
        <r>
          <rPr>
            <b/>
            <sz val="9"/>
            <color indexed="81"/>
            <rFont val="Tahoma"/>
            <family val="2"/>
            <charset val="238"/>
          </rPr>
          <t>VLOŽTE JEDNOTKOVOU CENU ZHOTOVITELE ZA POLOŽKU</t>
        </r>
      </text>
    </comment>
    <comment ref="G71" authorId="0" shapeId="0" xr:uid="{D911C3EE-ACBA-46BF-B19C-3BC70C350A6A}">
      <text>
        <r>
          <rPr>
            <b/>
            <sz val="9"/>
            <color indexed="81"/>
            <rFont val="Tahoma"/>
            <family val="2"/>
            <charset val="238"/>
          </rPr>
          <t>VLOŽTE JEDNOTKOVOU CENU ZHOTOVITELE ZA POLOŽKU</t>
        </r>
      </text>
    </comment>
    <comment ref="G74" authorId="0" shapeId="0" xr:uid="{842A544F-3853-4737-AF9F-E6B156F04C52}">
      <text>
        <r>
          <rPr>
            <b/>
            <sz val="9"/>
            <color indexed="81"/>
            <rFont val="Tahoma"/>
            <family val="2"/>
            <charset val="238"/>
          </rPr>
          <t>VLOŽTE JEDNOTKOVOU CENU ZHOTOVITELE ZA POLOŽKU</t>
        </r>
      </text>
    </comment>
    <comment ref="G76" authorId="0" shapeId="0" xr:uid="{60FA43FA-0838-4D89-941D-9FA5139B37F8}">
      <text>
        <r>
          <rPr>
            <b/>
            <sz val="9"/>
            <color indexed="81"/>
            <rFont val="Tahoma"/>
            <family val="2"/>
            <charset val="238"/>
          </rPr>
          <t>VLOŽTE JEDNOTKOVOU CENU ZHOTOVITELE ZA POLOŽKU</t>
        </r>
      </text>
    </comment>
    <comment ref="G78" authorId="0" shapeId="0" xr:uid="{7B5F3903-DBF8-43D3-A731-5A154B52B1C1}">
      <text>
        <r>
          <rPr>
            <b/>
            <sz val="9"/>
            <color indexed="81"/>
            <rFont val="Tahoma"/>
            <family val="2"/>
            <charset val="238"/>
          </rPr>
          <t>VLOŽTE JEDNOTKOVOU CENU ZHOTOVITELE ZA POLOŽKU</t>
        </r>
      </text>
    </comment>
    <comment ref="G81" authorId="0" shapeId="0" xr:uid="{05C06DC3-C356-4571-8C9B-110E81D2B812}">
      <text>
        <r>
          <rPr>
            <b/>
            <sz val="9"/>
            <color indexed="81"/>
            <rFont val="Tahoma"/>
            <family val="2"/>
            <charset val="238"/>
          </rPr>
          <t>VLOŽTE JEDNOTKOVOU CENU ZHOTOVITELE ZA POLOŽKU</t>
        </r>
      </text>
    </comment>
    <comment ref="G84" authorId="0" shapeId="0" xr:uid="{91DC1BE0-C852-4591-BBEF-4031D19F9CC0}">
      <text>
        <r>
          <rPr>
            <b/>
            <sz val="9"/>
            <color indexed="81"/>
            <rFont val="Tahoma"/>
            <family val="2"/>
            <charset val="238"/>
          </rPr>
          <t>VLOŽTE JEDNOTKOVOU CENU ZHOTOVITELE ZA POLOŽKU</t>
        </r>
      </text>
    </comment>
    <comment ref="G86" authorId="0" shapeId="0" xr:uid="{9D7A6E38-ED91-47E8-87B9-1ACA076D5AB7}">
      <text>
        <r>
          <rPr>
            <b/>
            <sz val="9"/>
            <color indexed="81"/>
            <rFont val="Tahoma"/>
            <family val="2"/>
            <charset val="238"/>
          </rPr>
          <t>VLOŽTE JEDNOTKOVOU CENU ZHOTOVITELE ZA POLOŽKU</t>
        </r>
      </text>
    </comment>
    <comment ref="G89" authorId="0" shapeId="0" xr:uid="{EEA048B3-1C33-4CEE-B743-379D0896726B}">
      <text>
        <r>
          <rPr>
            <b/>
            <sz val="9"/>
            <color indexed="81"/>
            <rFont val="Tahoma"/>
            <family val="2"/>
            <charset val="238"/>
          </rPr>
          <t>VLOŽTE JEDNOTKOVOU CENU ZHOTOVITELE ZA POLOŽKU</t>
        </r>
      </text>
    </comment>
    <comment ref="G91" authorId="0" shapeId="0" xr:uid="{FCDA20A5-8265-4C11-B007-4D5A0A89211D}">
      <text>
        <r>
          <rPr>
            <b/>
            <sz val="9"/>
            <color indexed="81"/>
            <rFont val="Tahoma"/>
            <family val="2"/>
            <charset val="238"/>
          </rPr>
          <t>VLOŽTE JEDNOTKOVOU CENU ZHOTOVITELE ZA POLOŽKU</t>
        </r>
      </text>
    </comment>
    <comment ref="G94" authorId="0" shapeId="0" xr:uid="{DDEC125C-730E-444B-A74C-1B093EAE1144}">
      <text>
        <r>
          <rPr>
            <b/>
            <sz val="9"/>
            <color indexed="81"/>
            <rFont val="Tahoma"/>
            <family val="2"/>
            <charset val="238"/>
          </rPr>
          <t>VLOŽTE JEDNOTKOVOU CENU ZHOTOVITELE ZA POLOŽKU</t>
        </r>
      </text>
    </comment>
    <comment ref="G97" authorId="0" shapeId="0" xr:uid="{4D52E2BE-E932-4795-8F02-A856462C1DE0}">
      <text>
        <r>
          <rPr>
            <b/>
            <sz val="9"/>
            <color indexed="81"/>
            <rFont val="Tahoma"/>
            <family val="2"/>
            <charset val="238"/>
          </rPr>
          <t>VLOŽTE JEDNOTKOVOU CENU ZHOTOVITELE ZA POLOŽKU</t>
        </r>
      </text>
    </comment>
    <comment ref="G100" authorId="0" shapeId="0" xr:uid="{721E5CA5-B4F9-4468-8AD1-A574B68B3132}">
      <text>
        <r>
          <rPr>
            <b/>
            <sz val="9"/>
            <color indexed="81"/>
            <rFont val="Tahoma"/>
            <family val="2"/>
            <charset val="238"/>
          </rPr>
          <t>VLOŽTE JEDNOTKOVOU CENU ZHOTOVITELE ZA POLOŽKU</t>
        </r>
      </text>
    </comment>
    <comment ref="G102" authorId="0" shapeId="0" xr:uid="{79B67DBB-6A58-4491-AF72-5C7F4885AECA}">
      <text>
        <r>
          <rPr>
            <b/>
            <sz val="9"/>
            <color indexed="81"/>
            <rFont val="Tahoma"/>
            <family val="2"/>
            <charset val="238"/>
          </rPr>
          <t>VLOŽTE JEDNOTKOVOU CENU ZHOTOVITELE ZA POLOŽKU</t>
        </r>
      </text>
    </comment>
    <comment ref="G104" authorId="0" shapeId="0" xr:uid="{37B93514-3643-45D1-A374-7609203022CF}">
      <text>
        <r>
          <rPr>
            <b/>
            <sz val="9"/>
            <color indexed="81"/>
            <rFont val="Tahoma"/>
            <family val="2"/>
            <charset val="238"/>
          </rPr>
          <t>VLOŽTE JEDNOTKOVOU CENU ZHOTOVITELE ZA POLOŽKU</t>
        </r>
      </text>
    </comment>
    <comment ref="G106" authorId="0" shapeId="0" xr:uid="{9467A150-B97B-495E-9AA2-B1AD94FB0297}">
      <text>
        <r>
          <rPr>
            <b/>
            <sz val="9"/>
            <color indexed="81"/>
            <rFont val="Tahoma"/>
            <family val="2"/>
            <charset val="238"/>
          </rPr>
          <t>VLOŽTE JEDNOTKOVOU CENU ZHOTOVITELE ZA POLOŽKU</t>
        </r>
      </text>
    </comment>
    <comment ref="G108" authorId="0" shapeId="0" xr:uid="{49C7DB5F-F7C5-4FCE-8CE0-FF20B3AEDA5A}">
      <text>
        <r>
          <rPr>
            <b/>
            <sz val="9"/>
            <color indexed="81"/>
            <rFont val="Tahoma"/>
            <family val="2"/>
            <charset val="238"/>
          </rPr>
          <t>VLOŽTE JEDNOTKOVOU CENU ZHOTOVITELE ZA POLOŽKU</t>
        </r>
      </text>
    </comment>
    <comment ref="G110" authorId="0" shapeId="0" xr:uid="{F5045BF7-0283-468B-82C1-8DDABC5B3E7E}">
      <text>
        <r>
          <rPr>
            <b/>
            <sz val="9"/>
            <color indexed="81"/>
            <rFont val="Tahoma"/>
            <family val="2"/>
            <charset val="238"/>
          </rPr>
          <t>VLOŽTE JEDNOTKOVOU CENU ZHOTOVITELE ZA POLOŽKU</t>
        </r>
      </text>
    </comment>
    <comment ref="G112" authorId="0" shapeId="0" xr:uid="{9755B4CC-C87B-4482-B677-8FACEC4A9396}">
      <text>
        <r>
          <rPr>
            <b/>
            <sz val="9"/>
            <color indexed="81"/>
            <rFont val="Tahoma"/>
            <family val="2"/>
            <charset val="238"/>
          </rPr>
          <t>VLOŽTE JEDNOTKOVOU CENU ZHOTOVITELE ZA POLOŽKU</t>
        </r>
      </text>
    </comment>
    <comment ref="G114" authorId="0" shapeId="0" xr:uid="{36899231-459C-4D78-B5ED-0CD00269BD85}">
      <text>
        <r>
          <rPr>
            <b/>
            <sz val="9"/>
            <color indexed="81"/>
            <rFont val="Tahoma"/>
            <family val="2"/>
            <charset val="238"/>
          </rPr>
          <t>VLOŽTE JEDNOTKOVOU CENU ZHOTOVITELE ZA POLOŽKU</t>
        </r>
      </text>
    </comment>
    <comment ref="G116" authorId="0" shapeId="0" xr:uid="{79B8FC4C-A538-4994-8AE6-E66CC304C18E}">
      <text>
        <r>
          <rPr>
            <b/>
            <sz val="9"/>
            <color indexed="81"/>
            <rFont val="Tahoma"/>
            <family val="2"/>
            <charset val="238"/>
          </rPr>
          <t>VLOŽTE JEDNOTKOVOU CENU ZHOTOVITELE ZA POLOŽKU</t>
        </r>
      </text>
    </comment>
    <comment ref="G118" authorId="0" shapeId="0" xr:uid="{E5C71665-EB3F-4C6F-96D2-E66B8AD73372}">
      <text>
        <r>
          <rPr>
            <b/>
            <sz val="9"/>
            <color indexed="81"/>
            <rFont val="Tahoma"/>
            <family val="2"/>
            <charset val="238"/>
          </rPr>
          <t>VLOŽTE JEDNOTKOVOU CENU ZHOTOVITELE ZA POLOŽKU</t>
        </r>
      </text>
    </comment>
    <comment ref="G120" authorId="0" shapeId="0" xr:uid="{1EF04EEE-B0BD-466E-9EDD-015826828541}">
      <text>
        <r>
          <rPr>
            <b/>
            <sz val="9"/>
            <color indexed="81"/>
            <rFont val="Tahoma"/>
            <family val="2"/>
            <charset val="238"/>
          </rPr>
          <t>VLOŽTE JEDNOTKOVOU CENU ZHOTOVITELE ZA POLOŽKU</t>
        </r>
      </text>
    </comment>
    <comment ref="G123" authorId="0" shapeId="0" xr:uid="{D89038B9-27E3-4785-B72A-EC5BFE17ED5E}">
      <text>
        <r>
          <rPr>
            <b/>
            <sz val="9"/>
            <color indexed="81"/>
            <rFont val="Tahoma"/>
            <family val="2"/>
            <charset val="238"/>
          </rPr>
          <t>VLOŽTE JEDNOTKOVOU CENU ZHOTOVITELE ZA POLOŽKU</t>
        </r>
      </text>
    </comment>
    <comment ref="G125" authorId="0" shapeId="0" xr:uid="{58255C21-6B93-489E-A6C6-5139BE168778}">
      <text>
        <r>
          <rPr>
            <b/>
            <sz val="9"/>
            <color indexed="81"/>
            <rFont val="Tahoma"/>
            <family val="2"/>
            <charset val="238"/>
          </rPr>
          <t>VLOŽTE JEDNOTKOVOU CENU ZHOTOVITELE ZA POLOŽKU</t>
        </r>
      </text>
    </comment>
    <comment ref="G128" authorId="0" shapeId="0" xr:uid="{D1A18418-24D1-413D-90AA-071E6C77F23C}">
      <text>
        <r>
          <rPr>
            <b/>
            <sz val="9"/>
            <color indexed="81"/>
            <rFont val="Tahoma"/>
            <family val="2"/>
            <charset val="238"/>
          </rPr>
          <t>VLOŽTE JEDNOTKOVOU CENU ZHOTOVITELE ZA POLOŽKU</t>
        </r>
      </text>
    </comment>
    <comment ref="G131" authorId="0" shapeId="0" xr:uid="{C6043C4B-01F1-46A0-96A3-34DE5E4C6B94}">
      <text>
        <r>
          <rPr>
            <b/>
            <sz val="9"/>
            <color indexed="81"/>
            <rFont val="Tahoma"/>
            <family val="2"/>
            <charset val="238"/>
          </rPr>
          <t>VLOŽTE JEDNOTKOVOU CENU ZHOTOVITELE ZA POLOŽKU</t>
        </r>
      </text>
    </comment>
    <comment ref="G133" authorId="0" shapeId="0" xr:uid="{33E1869A-AB4A-4276-AEAE-64AD41F7911A}">
      <text>
        <r>
          <rPr>
            <b/>
            <sz val="9"/>
            <color indexed="81"/>
            <rFont val="Tahoma"/>
            <family val="2"/>
            <charset val="238"/>
          </rPr>
          <t>VLOŽTE JEDNOTKOVOU CENU ZHOTOVITELE ZA POLOŽKU</t>
        </r>
      </text>
    </comment>
    <comment ref="G136" authorId="0" shapeId="0" xr:uid="{4EA84187-EC1A-440A-88EE-51AE25E1D5E6}">
      <text>
        <r>
          <rPr>
            <b/>
            <sz val="9"/>
            <color indexed="81"/>
            <rFont val="Tahoma"/>
            <family val="2"/>
            <charset val="238"/>
          </rPr>
          <t>VLOŽTE JEDNOTKOVOU CENU ZHOTOVITELE ZA POLOŽKU</t>
        </r>
      </text>
    </comment>
    <comment ref="G138" authorId="0" shapeId="0" xr:uid="{758C07AD-E307-4017-A194-CA170B612380}">
      <text>
        <r>
          <rPr>
            <b/>
            <sz val="9"/>
            <color indexed="81"/>
            <rFont val="Tahoma"/>
            <family val="2"/>
            <charset val="238"/>
          </rPr>
          <t>VLOŽTE JEDNOTKOVOU CENU ZHOTOVITELE ZA POLOŽKU</t>
        </r>
      </text>
    </comment>
    <comment ref="G141" authorId="0" shapeId="0" xr:uid="{27D3DE48-56C2-4FA1-B993-27DF58E702F0}">
      <text>
        <r>
          <rPr>
            <b/>
            <sz val="9"/>
            <color indexed="81"/>
            <rFont val="Tahoma"/>
            <family val="2"/>
            <charset val="238"/>
          </rPr>
          <t>VLOŽTE JEDNOTKOVOU CENU ZHOTOVITELE ZA POLOŽKU</t>
        </r>
      </text>
    </comment>
    <comment ref="G144" authorId="0" shapeId="0" xr:uid="{F8313A66-DE8B-404E-B734-DD2C075A1F3D}">
      <text>
        <r>
          <rPr>
            <b/>
            <sz val="9"/>
            <color indexed="81"/>
            <rFont val="Tahoma"/>
            <family val="2"/>
            <charset val="238"/>
          </rPr>
          <t>VLOŽTE JEDNOTKOVOU CENU ZHOTOVITELE ZA POLOŽKU</t>
        </r>
      </text>
    </comment>
    <comment ref="G147" authorId="0" shapeId="0" xr:uid="{099863AE-763A-4355-B0AB-8419E32DAA71}">
      <text>
        <r>
          <rPr>
            <b/>
            <sz val="9"/>
            <color indexed="81"/>
            <rFont val="Tahoma"/>
            <family val="2"/>
            <charset val="238"/>
          </rPr>
          <t>VLOŽTE JEDNOTKOVOU CENU ZHOTOVITELE ZA POLOŽKU</t>
        </r>
      </text>
    </comment>
    <comment ref="G148" authorId="0" shapeId="0" xr:uid="{660C0AE3-325F-4B49-B90D-F9063E2671DE}">
      <text>
        <r>
          <rPr>
            <b/>
            <sz val="9"/>
            <color indexed="81"/>
            <rFont val="Tahoma"/>
            <family val="2"/>
            <charset val="238"/>
          </rPr>
          <t>VLOŽTE JEDNOTKOVOU CENU ZHOTOVITELE ZA POLOŽKU</t>
        </r>
      </text>
    </comment>
    <comment ref="G150" authorId="0" shapeId="0" xr:uid="{F5BEFFC3-1CC6-4C2F-A16C-4FC05D202E14}">
      <text>
        <r>
          <rPr>
            <b/>
            <sz val="9"/>
            <color indexed="81"/>
            <rFont val="Tahoma"/>
            <family val="2"/>
            <charset val="238"/>
          </rPr>
          <t>VLOŽTE JEDNOTKOVOU CENU ZHOTOVITELE ZA POLOŽKU</t>
        </r>
      </text>
    </comment>
    <comment ref="G152" authorId="0" shapeId="0" xr:uid="{EE3A3249-E3F4-4519-8833-EC8DED4DD8CF}">
      <text>
        <r>
          <rPr>
            <b/>
            <sz val="9"/>
            <color indexed="81"/>
            <rFont val="Tahoma"/>
            <family val="2"/>
            <charset val="238"/>
          </rPr>
          <t>VLOŽTE JEDNOTKOVOU CENU ZHOTOVITELE ZA POLOŽKU</t>
        </r>
      </text>
    </comment>
    <comment ref="G153" authorId="0" shapeId="0" xr:uid="{4E9D5E21-A2C6-42FD-B230-EDB7AD3D81E0}">
      <text>
        <r>
          <rPr>
            <b/>
            <sz val="9"/>
            <color indexed="81"/>
            <rFont val="Tahoma"/>
            <family val="2"/>
            <charset val="238"/>
          </rPr>
          <t>VLOŽTE JEDNOTKOVOU CENU ZHOTOVITELE ZA POLOŽKU</t>
        </r>
      </text>
    </comment>
    <comment ref="G155" authorId="0" shapeId="0" xr:uid="{65DFF729-4070-484F-B3AC-D0998FF53AD4}">
      <text>
        <r>
          <rPr>
            <b/>
            <sz val="9"/>
            <color indexed="81"/>
            <rFont val="Tahoma"/>
            <family val="2"/>
            <charset val="238"/>
          </rPr>
          <t>VLOŽTE JEDNOTKOVOU CENU ZHOTOVITELE ZA POLOŽKU</t>
        </r>
      </text>
    </comment>
    <comment ref="G157" authorId="0" shapeId="0" xr:uid="{97AA57F4-44DF-4448-BF12-F5E823A03C1D}">
      <text>
        <r>
          <rPr>
            <b/>
            <sz val="9"/>
            <color indexed="81"/>
            <rFont val="Tahoma"/>
            <family val="2"/>
            <charset val="238"/>
          </rPr>
          <t>VLOŽTE JEDNOTKOVOU CENU ZHOTOVITELE ZA POLOŽKU</t>
        </r>
      </text>
    </comment>
    <comment ref="G158" authorId="0" shapeId="0" xr:uid="{C26E30BF-D623-43AC-AD3C-E3122174019F}">
      <text>
        <r>
          <rPr>
            <b/>
            <sz val="9"/>
            <color indexed="81"/>
            <rFont val="Tahoma"/>
            <family val="2"/>
            <charset val="238"/>
          </rPr>
          <t>VLOŽTE JEDNOTKOVOU CENU ZHOTOVITELE ZA POLOŽKU</t>
        </r>
      </text>
    </comment>
    <comment ref="G159" authorId="0" shapeId="0" xr:uid="{52D1C486-D958-4BF0-9423-2E6DC404A9A5}">
      <text>
        <r>
          <rPr>
            <b/>
            <sz val="9"/>
            <color indexed="81"/>
            <rFont val="Tahoma"/>
            <family val="2"/>
            <charset val="238"/>
          </rPr>
          <t>VLOŽTE JEDNOTKOVOU CENU ZHOTOVITELE ZA POLOŽKU</t>
        </r>
      </text>
    </comment>
    <comment ref="G161" authorId="0" shapeId="0" xr:uid="{B6451BFB-2D05-4F29-9116-FE74C6A7DC75}">
      <text>
        <r>
          <rPr>
            <b/>
            <sz val="9"/>
            <color indexed="81"/>
            <rFont val="Tahoma"/>
            <family val="2"/>
            <charset val="238"/>
          </rPr>
          <t>VLOŽTE JEDNOTKOVOU CENU ZHOTOVITELE ZA POLOŽKU</t>
        </r>
      </text>
    </comment>
    <comment ref="G163" authorId="0" shapeId="0" xr:uid="{45DE4309-F40C-463D-8979-270119E0FF28}">
      <text>
        <r>
          <rPr>
            <b/>
            <sz val="9"/>
            <color indexed="81"/>
            <rFont val="Tahoma"/>
            <family val="2"/>
            <charset val="238"/>
          </rPr>
          <t>VLOŽTE JEDNOTKOVOU CENU ZHOTOVITELE ZA POLOŽKU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D5272645-5AF2-4BC0-A996-08E9523446F5}">
      <text>
        <r>
          <rPr>
            <b/>
            <sz val="9"/>
            <color indexed="81"/>
            <rFont val="Tahoma"/>
            <family val="2"/>
            <charset val="238"/>
          </rPr>
          <t>VLOŽTE JEDNOTKOVOU CENU ZHOTOVITELE ZA POLOŽKU</t>
        </r>
      </text>
    </comment>
    <comment ref="G16" authorId="0" shapeId="0" xr:uid="{7B4B9698-4843-484C-8840-1FEEA8CA02B8}">
      <text>
        <r>
          <rPr>
            <b/>
            <sz val="9"/>
            <color indexed="81"/>
            <rFont val="Tahoma"/>
            <family val="2"/>
            <charset val="238"/>
          </rPr>
          <t>VLOŽTE JEDNOTKOVOU CENU ZHOTOVITELE ZA POLOŽKU</t>
        </r>
      </text>
    </comment>
    <comment ref="G18" authorId="0" shapeId="0" xr:uid="{2E2F7608-DE82-49EA-B713-11416AD933F9}">
      <text>
        <r>
          <rPr>
            <b/>
            <sz val="9"/>
            <color indexed="81"/>
            <rFont val="Tahoma"/>
            <family val="2"/>
            <charset val="238"/>
          </rPr>
          <t>VLOŽTE JEDNOTKOVOU CENU ZHOTOVITELE ZA POLOŽKU</t>
        </r>
      </text>
    </comment>
    <comment ref="G20" authorId="0" shapeId="0" xr:uid="{F70CE6DA-66FD-4E99-96D3-F8BE3512D602}">
      <text>
        <r>
          <rPr>
            <b/>
            <sz val="9"/>
            <color indexed="81"/>
            <rFont val="Tahoma"/>
            <family val="2"/>
            <charset val="238"/>
          </rPr>
          <t>VLOŽTE JEDNOTKOVOU CENU ZHOTOVITELE ZA POLOŽKU</t>
        </r>
      </text>
    </comment>
    <comment ref="G22" authorId="0" shapeId="0" xr:uid="{E1E140F8-5EA8-4F37-A035-59D68C2641F5}">
      <text>
        <r>
          <rPr>
            <b/>
            <sz val="9"/>
            <color indexed="81"/>
            <rFont val="Tahoma"/>
            <family val="2"/>
            <charset val="238"/>
          </rPr>
          <t>VLOŽTE JEDNOTKOVOU CENU ZHOTOVITELE ZA POLOŽKU</t>
        </r>
      </text>
    </comment>
    <comment ref="G24" authorId="0" shapeId="0" xr:uid="{A190C6E6-6362-4DC7-98FE-E5515F14DCA8}">
      <text>
        <r>
          <rPr>
            <b/>
            <sz val="9"/>
            <color indexed="81"/>
            <rFont val="Tahoma"/>
            <family val="2"/>
            <charset val="238"/>
          </rPr>
          <t>VLOŽTE JEDNOTKOVOU CENU ZHOTOVITELE ZA POLOŽKU</t>
        </r>
      </text>
    </comment>
    <comment ref="G26" authorId="0" shapeId="0" xr:uid="{FEACFAB3-F67E-4509-8470-EFC1877EB447}">
      <text>
        <r>
          <rPr>
            <b/>
            <sz val="9"/>
            <color indexed="81"/>
            <rFont val="Tahoma"/>
            <family val="2"/>
            <charset val="238"/>
          </rPr>
          <t>VLOŽTE JEDNOTKOVOU CENU ZHOTOVITELE ZA POLOŽKU</t>
        </r>
      </text>
    </comment>
    <comment ref="G29" authorId="0" shapeId="0" xr:uid="{6ADC5CA7-C29F-4965-980F-B4DF12482D54}">
      <text>
        <r>
          <rPr>
            <b/>
            <sz val="9"/>
            <color indexed="81"/>
            <rFont val="Tahoma"/>
            <family val="2"/>
            <charset val="238"/>
          </rPr>
          <t>VLOŽTE JEDNOTKOVOU CENU ZHOTOVITELE ZA POLOŽKU</t>
        </r>
      </text>
    </comment>
    <comment ref="G32" authorId="0" shapeId="0" xr:uid="{7509FF02-6A64-4AAA-A15C-F89552690E42}">
      <text>
        <r>
          <rPr>
            <b/>
            <sz val="9"/>
            <color indexed="81"/>
            <rFont val="Tahoma"/>
            <family val="2"/>
            <charset val="238"/>
          </rPr>
          <t>VLOŽTE JEDNOTKOVOU CENU ZHOTOVITELE ZA POLOŽKU</t>
        </r>
      </text>
    </comment>
    <comment ref="G34" authorId="0" shapeId="0" xr:uid="{E199580B-ECA8-4CAD-AE3B-B5ABDD6A0F95}">
      <text>
        <r>
          <rPr>
            <b/>
            <sz val="9"/>
            <color indexed="81"/>
            <rFont val="Tahoma"/>
            <family val="2"/>
            <charset val="238"/>
          </rPr>
          <t>VLOŽTE JEDNOTKOVOU CENU ZHOTOVITELE ZA POLOŽKU</t>
        </r>
      </text>
    </comment>
    <comment ref="G36" authorId="0" shapeId="0" xr:uid="{20E9E801-241C-4988-A82F-3E79218FD02A}">
      <text>
        <r>
          <rPr>
            <b/>
            <sz val="9"/>
            <color indexed="81"/>
            <rFont val="Tahoma"/>
            <family val="2"/>
            <charset val="238"/>
          </rPr>
          <t>VLOŽTE JEDNOTKOVOU CENU ZHOTOVITELE ZA POLOŽKU</t>
        </r>
      </text>
    </comment>
    <comment ref="G38" authorId="0" shapeId="0" xr:uid="{F3054565-E6A5-4C71-AE6F-97842586713B}">
      <text>
        <r>
          <rPr>
            <b/>
            <sz val="9"/>
            <color indexed="81"/>
            <rFont val="Tahoma"/>
            <family val="2"/>
            <charset val="238"/>
          </rPr>
          <t>VLOŽTE JEDNOTKOVOU CENU ZHOTOVITELE ZA POLOŽKU</t>
        </r>
      </text>
    </comment>
    <comment ref="G40" authorId="0" shapeId="0" xr:uid="{F0C937B8-40F4-4457-94F5-AD0499842C69}">
      <text>
        <r>
          <rPr>
            <b/>
            <sz val="9"/>
            <color indexed="81"/>
            <rFont val="Tahoma"/>
            <family val="2"/>
            <charset val="238"/>
          </rPr>
          <t>VLOŽTE JEDNOTKOVOU CENU ZHOTOVITELE ZA POLOŽKU</t>
        </r>
      </text>
    </comment>
    <comment ref="G42" authorId="0" shapeId="0" xr:uid="{FC086A99-4046-45C4-97AC-0C9AC43C12A8}">
      <text>
        <r>
          <rPr>
            <b/>
            <sz val="9"/>
            <color indexed="81"/>
            <rFont val="Tahoma"/>
            <family val="2"/>
            <charset val="238"/>
          </rPr>
          <t>VLOŽTE JEDNOTKOVOU CENU ZHOTOVITELE ZA POLOŽKU</t>
        </r>
      </text>
    </comment>
    <comment ref="G44" authorId="0" shapeId="0" xr:uid="{A180ED81-8A46-4A9C-80CB-932305126B6D}">
      <text>
        <r>
          <rPr>
            <b/>
            <sz val="9"/>
            <color indexed="81"/>
            <rFont val="Tahoma"/>
            <family val="2"/>
            <charset val="238"/>
          </rPr>
          <t>VLOŽTE JEDNOTKOVOU CENU ZHOTOVITELE ZA POLOŽKU</t>
        </r>
      </text>
    </comment>
    <comment ref="G46" authorId="0" shapeId="0" xr:uid="{DCB7B593-23A0-4263-8DEF-4A6E00AEC877}">
      <text>
        <r>
          <rPr>
            <b/>
            <sz val="9"/>
            <color indexed="81"/>
            <rFont val="Tahoma"/>
            <family val="2"/>
            <charset val="238"/>
          </rPr>
          <t>VLOŽTE JEDNOTKOVOU CENU ZHOTOVITELE ZA POLOŽKU</t>
        </r>
      </text>
    </comment>
    <comment ref="G49" authorId="0" shapeId="0" xr:uid="{3CEF6729-2B0A-423B-97B3-A4A39DC94281}">
      <text>
        <r>
          <rPr>
            <b/>
            <sz val="9"/>
            <color indexed="81"/>
            <rFont val="Tahoma"/>
            <family val="2"/>
            <charset val="238"/>
          </rPr>
          <t>VLOŽTE JEDNOTKOVOU CENU ZHOTOVITELE ZA POLOŽKU</t>
        </r>
      </text>
    </comment>
    <comment ref="G51" authorId="0" shapeId="0" xr:uid="{1ADD5190-5B81-4D41-9884-1C87B5DF17BE}">
      <text>
        <r>
          <rPr>
            <b/>
            <sz val="9"/>
            <color indexed="81"/>
            <rFont val="Tahoma"/>
            <family val="2"/>
            <charset val="238"/>
          </rPr>
          <t>VLOŽTE JEDNOTKOVOU CENU ZHOTOVITELE ZA POLOŽKU</t>
        </r>
      </text>
    </comment>
    <comment ref="G54" authorId="0" shapeId="0" xr:uid="{2448DA74-7679-49A8-9A10-A60554BC2D4C}">
      <text>
        <r>
          <rPr>
            <b/>
            <sz val="9"/>
            <color indexed="81"/>
            <rFont val="Tahoma"/>
            <family val="2"/>
            <charset val="238"/>
          </rPr>
          <t>VLOŽTE JEDNOTKOVOU CENU ZHOTOVITELE ZA POLOŽKU</t>
        </r>
      </text>
    </comment>
    <comment ref="G56" authorId="0" shapeId="0" xr:uid="{D8ADF4FD-5E92-4351-BC56-CA44BE412AE9}">
      <text>
        <r>
          <rPr>
            <b/>
            <sz val="9"/>
            <color indexed="81"/>
            <rFont val="Tahoma"/>
            <family val="2"/>
            <charset val="238"/>
          </rPr>
          <t>VLOŽTE JEDNOTKOVOU CENU ZHOTOVITELE ZA POLOŽKU</t>
        </r>
      </text>
    </comment>
    <comment ref="G58" authorId="0" shapeId="0" xr:uid="{13BA4DA4-9550-4849-9BB3-B74D71080671}">
      <text>
        <r>
          <rPr>
            <b/>
            <sz val="9"/>
            <color indexed="81"/>
            <rFont val="Tahoma"/>
            <family val="2"/>
            <charset val="238"/>
          </rPr>
          <t>VLOŽTE JEDNOTKOVOU CENU ZHOTOVITELE ZA POLOŽKU</t>
        </r>
      </text>
    </comment>
    <comment ref="G60" authorId="0" shapeId="0" xr:uid="{04CCA772-054E-4472-8E9D-7ACA057AA051}">
      <text>
        <r>
          <rPr>
            <b/>
            <sz val="9"/>
            <color indexed="81"/>
            <rFont val="Tahoma"/>
            <family val="2"/>
            <charset val="238"/>
          </rPr>
          <t>VLOŽTE JEDNOTKOVOU CENU ZHOTOVITELE ZA POLOŽKU</t>
        </r>
      </text>
    </comment>
    <comment ref="G62" authorId="0" shapeId="0" xr:uid="{08B615D4-BEAF-4ABC-A159-A9935C9AACB9}">
      <text>
        <r>
          <rPr>
            <b/>
            <sz val="9"/>
            <color indexed="81"/>
            <rFont val="Tahoma"/>
            <family val="2"/>
            <charset val="238"/>
          </rPr>
          <t>VLOŽTE JEDNOTKOVOU CENU ZHOTOVITELE ZA POLOŽKU</t>
        </r>
      </text>
    </comment>
    <comment ref="G64" authorId="0" shapeId="0" xr:uid="{FF335C64-51E4-411E-B41C-D2155EFD193A}">
      <text>
        <r>
          <rPr>
            <b/>
            <sz val="9"/>
            <color indexed="81"/>
            <rFont val="Tahoma"/>
            <family val="2"/>
            <charset val="238"/>
          </rPr>
          <t>VLOŽTE JEDNOTKOVOU CENU ZHOTOVITELE ZA POLOŽKU</t>
        </r>
      </text>
    </comment>
    <comment ref="G66" authorId="0" shapeId="0" xr:uid="{7CD3D10B-004D-4528-816D-E4A7021B874C}">
      <text>
        <r>
          <rPr>
            <b/>
            <sz val="9"/>
            <color indexed="81"/>
            <rFont val="Tahoma"/>
            <family val="2"/>
            <charset val="238"/>
          </rPr>
          <t>VLOŽTE JEDNOTKOVOU CENU ZHOTOVITELE ZA POLOŽKU</t>
        </r>
      </text>
    </comment>
    <comment ref="G68" authorId="0" shapeId="0" xr:uid="{DDFE1D30-DF6B-4DA4-BB63-DADEAB29EC1E}">
      <text>
        <r>
          <rPr>
            <b/>
            <sz val="9"/>
            <color indexed="81"/>
            <rFont val="Tahoma"/>
            <family val="2"/>
            <charset val="238"/>
          </rPr>
          <t>VLOŽTE JEDNOTKOVOU CENU ZHOTOVITELE ZA POLOŽKU</t>
        </r>
      </text>
    </comment>
    <comment ref="G71" authorId="0" shapeId="0" xr:uid="{4290F16E-EFA8-42FF-8E24-FF09407716DF}">
      <text>
        <r>
          <rPr>
            <b/>
            <sz val="9"/>
            <color indexed="81"/>
            <rFont val="Tahoma"/>
            <family val="2"/>
            <charset val="238"/>
          </rPr>
          <t>VLOŽTE JEDNOTKOVOU CENU ZHOTOVITELE ZA POLOŽKU</t>
        </r>
      </text>
    </comment>
    <comment ref="G73" authorId="0" shapeId="0" xr:uid="{76351969-5C6E-4C4C-B416-F1F2DDB6745F}">
      <text>
        <r>
          <rPr>
            <b/>
            <sz val="9"/>
            <color indexed="81"/>
            <rFont val="Tahoma"/>
            <family val="2"/>
            <charset val="238"/>
          </rPr>
          <t>VLOŽTE JEDNOTKOVOU CENU ZHOTOVITELE ZA POLOŽKU</t>
        </r>
      </text>
    </comment>
    <comment ref="G74" authorId="0" shapeId="0" xr:uid="{6AD7A2D1-79EB-422E-A88B-2BE4F7FF9BE9}">
      <text>
        <r>
          <rPr>
            <b/>
            <sz val="9"/>
            <color indexed="81"/>
            <rFont val="Tahoma"/>
            <family val="2"/>
            <charset val="238"/>
          </rPr>
          <t>VLOŽTE JEDNOTKOVOU CENU ZHOTOVITELE ZA POLOŽKU</t>
        </r>
      </text>
    </comment>
    <comment ref="G77" authorId="0" shapeId="0" xr:uid="{E956F454-FA22-418A-86D0-BCE43600BF9B}">
      <text>
        <r>
          <rPr>
            <b/>
            <sz val="9"/>
            <color indexed="81"/>
            <rFont val="Tahoma"/>
            <family val="2"/>
            <charset val="238"/>
          </rPr>
          <t>VLOŽTE JEDNOTKOVOU CENU ZHOTOVITELE ZA POLOŽKU</t>
        </r>
      </text>
    </comment>
    <comment ref="G79" authorId="0" shapeId="0" xr:uid="{C3C9084B-0775-41E1-AABE-D384D3AE5BEA}">
      <text>
        <r>
          <rPr>
            <b/>
            <sz val="9"/>
            <color indexed="81"/>
            <rFont val="Tahoma"/>
            <family val="2"/>
            <charset val="238"/>
          </rPr>
          <t>VLOŽTE JEDNOTKOVOU CENU ZHOTOVITELE ZA POLOŽKU</t>
        </r>
      </text>
    </comment>
    <comment ref="G82" authorId="0" shapeId="0" xr:uid="{0C2A9565-AB08-4533-BF85-C7EFB0CAEC40}">
      <text>
        <r>
          <rPr>
            <b/>
            <sz val="9"/>
            <color indexed="81"/>
            <rFont val="Tahoma"/>
            <family val="2"/>
            <charset val="238"/>
          </rPr>
          <t>VLOŽTE JEDNOTKOVOU CENU ZHOTOVITELE ZA POLOŽKU</t>
        </r>
      </text>
    </comment>
    <comment ref="G84" authorId="0" shapeId="0" xr:uid="{A76F68E4-F347-4F93-BAE1-3004B3BE017B}">
      <text>
        <r>
          <rPr>
            <b/>
            <sz val="9"/>
            <color indexed="81"/>
            <rFont val="Tahoma"/>
            <family val="2"/>
            <charset val="238"/>
          </rPr>
          <t>VLOŽTE JEDNOTKOVOU CENU ZHOTOVITELE ZA POLOŽKU</t>
        </r>
      </text>
    </comment>
    <comment ref="G86" authorId="0" shapeId="0" xr:uid="{7DD0AADA-E2B5-47FD-849B-2F4FAEEAE076}">
      <text>
        <r>
          <rPr>
            <b/>
            <sz val="9"/>
            <color indexed="81"/>
            <rFont val="Tahoma"/>
            <family val="2"/>
            <charset val="238"/>
          </rPr>
          <t>VLOŽTE JEDNOTKOVOU CENU ZHOTOVITELE ZA POLOŽKU</t>
        </r>
      </text>
    </comment>
    <comment ref="G88" authorId="0" shapeId="0" xr:uid="{A9FBAA70-9407-4F87-8757-48BEB1E99F00}">
      <text>
        <r>
          <rPr>
            <b/>
            <sz val="9"/>
            <color indexed="81"/>
            <rFont val="Tahoma"/>
            <family val="2"/>
            <charset val="238"/>
          </rPr>
          <t>VLOŽTE JEDNOTKOVOU CENU ZHOTOVITELE ZA POLOŽKU</t>
        </r>
      </text>
    </comment>
    <comment ref="G91" authorId="0" shapeId="0" xr:uid="{3B2640C6-C64A-4E9D-8909-0C1E160A8DB7}">
      <text>
        <r>
          <rPr>
            <b/>
            <sz val="9"/>
            <color indexed="81"/>
            <rFont val="Tahoma"/>
            <family val="2"/>
            <charset val="238"/>
          </rPr>
          <t>VLOŽTE JEDNOTKOVOU CENU ZHOTOVITELE ZA POLOŽKU</t>
        </r>
      </text>
    </comment>
    <comment ref="G94" authorId="0" shapeId="0" xr:uid="{04195EF5-AECD-4F30-84A8-A252408D5AEB}">
      <text>
        <r>
          <rPr>
            <b/>
            <sz val="9"/>
            <color indexed="81"/>
            <rFont val="Tahoma"/>
            <family val="2"/>
            <charset val="238"/>
          </rPr>
          <t>VLOŽTE JEDNOTKOVOU CENU ZHOTOVITELE ZA POLOŽKU</t>
        </r>
      </text>
    </comment>
    <comment ref="G96" authorId="0" shapeId="0" xr:uid="{93ACB5B4-79D1-4E78-B46B-B60B0EB6D5C5}">
      <text>
        <r>
          <rPr>
            <b/>
            <sz val="9"/>
            <color indexed="81"/>
            <rFont val="Tahoma"/>
            <family val="2"/>
            <charset val="238"/>
          </rPr>
          <t>VLOŽTE JEDNOTKOVOU CENU ZHOTOVITELE ZA POLOŽKU</t>
        </r>
      </text>
    </comment>
    <comment ref="G98" authorId="0" shapeId="0" xr:uid="{5B95CC1C-3A16-4186-A005-28889871F1E6}">
      <text>
        <r>
          <rPr>
            <b/>
            <sz val="9"/>
            <color indexed="81"/>
            <rFont val="Tahoma"/>
            <family val="2"/>
            <charset val="238"/>
          </rPr>
          <t>VLOŽTE JEDNOTKOVOU CENU ZHOTOVITELE ZA POLOŽKU</t>
        </r>
      </text>
    </comment>
    <comment ref="G100" authorId="0" shapeId="0" xr:uid="{3237ABC8-FAE0-4A83-90C8-899916EA862E}">
      <text>
        <r>
          <rPr>
            <b/>
            <sz val="9"/>
            <color indexed="81"/>
            <rFont val="Tahoma"/>
            <family val="2"/>
            <charset val="238"/>
          </rPr>
          <t>VLOŽTE JEDNOTKOVOU CENU ZHOTOVITELE ZA POLOŽKU</t>
        </r>
      </text>
    </comment>
    <comment ref="G102" authorId="0" shapeId="0" xr:uid="{5E434773-4789-4622-9D90-B0C20AF76850}">
      <text>
        <r>
          <rPr>
            <b/>
            <sz val="9"/>
            <color indexed="81"/>
            <rFont val="Tahoma"/>
            <family val="2"/>
            <charset val="238"/>
          </rPr>
          <t>VLOŽTE JEDNOTKOVOU CENU ZHOTOVITELE ZA POLOŽKU</t>
        </r>
      </text>
    </comment>
    <comment ref="G104" authorId="0" shapeId="0" xr:uid="{F29001FA-B00E-466E-9EF8-AE6B01520F66}">
      <text>
        <r>
          <rPr>
            <b/>
            <sz val="9"/>
            <color indexed="81"/>
            <rFont val="Tahoma"/>
            <family val="2"/>
            <charset val="238"/>
          </rPr>
          <t>VLOŽTE JEDNOTKOVOU CENU ZHOTOVITELE ZA POLOŽKU</t>
        </r>
      </text>
    </comment>
    <comment ref="G106" authorId="0" shapeId="0" xr:uid="{1018F736-E3CF-4319-A68A-0C84BAD1CBD2}">
      <text>
        <r>
          <rPr>
            <b/>
            <sz val="9"/>
            <color indexed="81"/>
            <rFont val="Tahoma"/>
            <family val="2"/>
            <charset val="238"/>
          </rPr>
          <t>VLOŽTE JEDNOTKOVOU CENU ZHOTOVITELE ZA POLOŽKU</t>
        </r>
      </text>
    </comment>
    <comment ref="G109" authorId="0" shapeId="0" xr:uid="{7A3039D3-3B13-4678-BFA9-192CE978FE78}">
      <text>
        <r>
          <rPr>
            <b/>
            <sz val="9"/>
            <color indexed="81"/>
            <rFont val="Tahoma"/>
            <family val="2"/>
            <charset val="238"/>
          </rPr>
          <t>VLOŽTE JEDNOTKOVOU CENU ZHOTOVITELE ZA POLOŽKU</t>
        </r>
      </text>
    </comment>
    <comment ref="G112" authorId="0" shapeId="0" xr:uid="{9C85EFB6-F202-4879-A42C-486499C25F0A}">
      <text>
        <r>
          <rPr>
            <b/>
            <sz val="9"/>
            <color indexed="81"/>
            <rFont val="Tahoma"/>
            <family val="2"/>
            <charset val="238"/>
          </rPr>
          <t>VLOŽTE JEDNOTKOVOU CENU ZHOTOVITELE ZA POLOŽKU</t>
        </r>
      </text>
    </comment>
    <comment ref="G114" authorId="0" shapeId="0" xr:uid="{96FCB7CE-FF27-49D7-96C9-F0F7A44643AF}">
      <text>
        <r>
          <rPr>
            <b/>
            <sz val="9"/>
            <color indexed="81"/>
            <rFont val="Tahoma"/>
            <family val="2"/>
            <charset val="238"/>
          </rPr>
          <t>VLOŽTE JEDNOTKOVOU CENU ZHOTOVITELE ZA POLOŽKU</t>
        </r>
      </text>
    </comment>
    <comment ref="G116" authorId="0" shapeId="0" xr:uid="{6729414D-5B5F-4FFD-9DF1-17144557AD78}">
      <text>
        <r>
          <rPr>
            <b/>
            <sz val="9"/>
            <color indexed="81"/>
            <rFont val="Tahoma"/>
            <family val="2"/>
            <charset val="238"/>
          </rPr>
          <t>VLOŽTE JEDNOTKOVOU CENU ZHOTOVITELE ZA POLOŽKU</t>
        </r>
      </text>
    </comment>
    <comment ref="G118" authorId="0" shapeId="0" xr:uid="{22520DEE-C2D6-4382-A088-0320C0B353D1}">
      <text>
        <r>
          <rPr>
            <b/>
            <sz val="9"/>
            <color indexed="81"/>
            <rFont val="Tahoma"/>
            <family val="2"/>
            <charset val="238"/>
          </rPr>
          <t>VLOŽTE JEDNOTKOVOU CENU ZHOTOVITELE ZA POLOŽKU</t>
        </r>
      </text>
    </comment>
    <comment ref="G121" authorId="0" shapeId="0" xr:uid="{25E4306D-4BB3-4187-9E97-C62B514913EF}">
      <text>
        <r>
          <rPr>
            <b/>
            <sz val="9"/>
            <color indexed="81"/>
            <rFont val="Tahoma"/>
            <family val="2"/>
            <charset val="238"/>
          </rPr>
          <t>VLOŽTE JEDNOTKOVOU CENU ZHOTOVITELE ZA POLOŽKU</t>
        </r>
      </text>
    </comment>
    <comment ref="G123" authorId="0" shapeId="0" xr:uid="{9F527669-BB15-445F-88FB-D0BD69C07561}">
      <text>
        <r>
          <rPr>
            <b/>
            <sz val="9"/>
            <color indexed="81"/>
            <rFont val="Tahoma"/>
            <family val="2"/>
            <charset val="238"/>
          </rPr>
          <t>VLOŽTE JEDNOTKOVOU CENU ZHOTOVITELE ZA POLOŽKU</t>
        </r>
      </text>
    </comment>
    <comment ref="G125" authorId="0" shapeId="0" xr:uid="{A9652FC1-832F-425D-A38B-400F132169F7}">
      <text>
        <r>
          <rPr>
            <b/>
            <sz val="9"/>
            <color indexed="81"/>
            <rFont val="Tahoma"/>
            <family val="2"/>
            <charset val="238"/>
          </rPr>
          <t>VLOŽTE JEDNOTKOVOU CENU ZHOTOVITELE ZA POLOŽKU</t>
        </r>
      </text>
    </comment>
    <comment ref="G127" authorId="0" shapeId="0" xr:uid="{4C1E380A-86E4-4D88-9372-0EC6CF34A973}">
      <text>
        <r>
          <rPr>
            <b/>
            <sz val="9"/>
            <color indexed="81"/>
            <rFont val="Tahoma"/>
            <family val="2"/>
            <charset val="238"/>
          </rPr>
          <t>VLOŽTE JEDNOTKOVOU CENU ZHOTOVITELE ZA POLOŽKU</t>
        </r>
      </text>
    </comment>
    <comment ref="G129" authorId="0" shapeId="0" xr:uid="{77BF7F19-9EA3-4C4E-A347-BB8C4649B774}">
      <text>
        <r>
          <rPr>
            <b/>
            <sz val="9"/>
            <color indexed="81"/>
            <rFont val="Tahoma"/>
            <family val="2"/>
            <charset val="238"/>
          </rPr>
          <t>VLOŽTE JEDNOTKOVOU CENU ZHOTOVITELE ZA POLOŽKU</t>
        </r>
      </text>
    </comment>
    <comment ref="G131" authorId="0" shapeId="0" xr:uid="{9DEC584D-FFC1-48BE-97E1-D2C81899A710}">
      <text>
        <r>
          <rPr>
            <b/>
            <sz val="9"/>
            <color indexed="81"/>
            <rFont val="Tahoma"/>
            <family val="2"/>
            <charset val="238"/>
          </rPr>
          <t>VLOŽTE JEDNOTKOVOU CENU ZHOTOVITELE ZA POLOŽKU</t>
        </r>
      </text>
    </comment>
    <comment ref="G133" authorId="0" shapeId="0" xr:uid="{2FAD5B00-AC16-4107-A2F1-29DA65379AE4}">
      <text>
        <r>
          <rPr>
            <b/>
            <sz val="9"/>
            <color indexed="81"/>
            <rFont val="Tahoma"/>
            <family val="2"/>
            <charset val="238"/>
          </rPr>
          <t>VLOŽTE JEDNOTKOVOU CENU ZHOTOVITELE ZA POLOŽKU</t>
        </r>
      </text>
    </comment>
    <comment ref="G135" authorId="0" shapeId="0" xr:uid="{60DA0CC1-6EFC-4208-B243-A4134E586F87}">
      <text>
        <r>
          <rPr>
            <b/>
            <sz val="9"/>
            <color indexed="81"/>
            <rFont val="Tahoma"/>
            <family val="2"/>
            <charset val="238"/>
          </rPr>
          <t>VLOŽTE JEDNOTKOVOU CENU ZHOTOVITELE ZA POLOŽKU</t>
        </r>
      </text>
    </comment>
    <comment ref="G137" authorId="0" shapeId="0" xr:uid="{DDCAA34B-2A5C-4C74-AA7C-65F30F631611}">
      <text>
        <r>
          <rPr>
            <b/>
            <sz val="9"/>
            <color indexed="81"/>
            <rFont val="Tahoma"/>
            <family val="2"/>
            <charset val="238"/>
          </rPr>
          <t>VLOŽTE JEDNOTKOVOU CENU ZHOTOVITELE ZA POLOŽKU</t>
        </r>
      </text>
    </comment>
    <comment ref="G139" authorId="0" shapeId="0" xr:uid="{DC7009B9-F8EB-4B64-AB58-93CB72B19C01}">
      <text>
        <r>
          <rPr>
            <b/>
            <sz val="9"/>
            <color indexed="81"/>
            <rFont val="Tahoma"/>
            <family val="2"/>
            <charset val="238"/>
          </rPr>
          <t>VLOŽTE JEDNOTKOVOU CENU ZHOTOVITELE ZA POLOŽKU</t>
        </r>
      </text>
    </comment>
    <comment ref="G141" authorId="0" shapeId="0" xr:uid="{21E1C73D-A520-40EC-85E3-24E15B89B466}">
      <text>
        <r>
          <rPr>
            <b/>
            <sz val="9"/>
            <color indexed="81"/>
            <rFont val="Tahoma"/>
            <family val="2"/>
            <charset val="238"/>
          </rPr>
          <t>VLOŽTE JEDNOTKOVOU CENU ZHOTOVITELE ZA POLOŽKU</t>
        </r>
      </text>
    </comment>
    <comment ref="G144" authorId="0" shapeId="0" xr:uid="{A36D5924-A865-43A2-9EF5-18DBBD564BF1}">
      <text>
        <r>
          <rPr>
            <b/>
            <sz val="9"/>
            <color indexed="81"/>
            <rFont val="Tahoma"/>
            <family val="2"/>
            <charset val="238"/>
          </rPr>
          <t>VLOŽTE JEDNOTKOVOU CENU ZHOTOVITELE ZA POLOŽKU</t>
        </r>
      </text>
    </comment>
    <comment ref="G147" authorId="0" shapeId="0" xr:uid="{96DE511C-BF36-4A56-8A02-C8E0C4C0BBD1}">
      <text>
        <r>
          <rPr>
            <b/>
            <sz val="9"/>
            <color indexed="81"/>
            <rFont val="Tahoma"/>
            <family val="2"/>
            <charset val="238"/>
          </rPr>
          <t>VLOŽTE JEDNOTKOVOU CENU ZHOTOVITELE ZA POLOŽKU</t>
        </r>
      </text>
    </comment>
    <comment ref="G150" authorId="0" shapeId="0" xr:uid="{72A00B25-FE0B-46B9-B574-76F9DFB32086}">
      <text>
        <r>
          <rPr>
            <b/>
            <sz val="9"/>
            <color indexed="81"/>
            <rFont val="Tahoma"/>
            <family val="2"/>
            <charset val="238"/>
          </rPr>
          <t>VLOŽTE JEDNOTKOVOU CENU ZHOTOVITELE ZA POLOŽKU</t>
        </r>
      </text>
    </comment>
    <comment ref="G151" authorId="0" shapeId="0" xr:uid="{F8994613-11B9-4B4A-ADDB-1302FA83391E}">
      <text>
        <r>
          <rPr>
            <b/>
            <sz val="9"/>
            <color indexed="81"/>
            <rFont val="Tahoma"/>
            <family val="2"/>
            <charset val="238"/>
          </rPr>
          <t>VLOŽTE JEDNOTKOVOU CENU ZHOTOVITELE ZA POLOŽKU</t>
        </r>
      </text>
    </comment>
    <comment ref="G153" authorId="0" shapeId="0" xr:uid="{F1F22E20-4137-434E-92B1-258A10C4885E}">
      <text>
        <r>
          <rPr>
            <b/>
            <sz val="9"/>
            <color indexed="81"/>
            <rFont val="Tahoma"/>
            <family val="2"/>
            <charset val="238"/>
          </rPr>
          <t>VLOŽTE JEDNOTKOVOU CENU ZHOTOVITELE ZA POLOŽKU</t>
        </r>
      </text>
    </comment>
    <comment ref="G155" authorId="0" shapeId="0" xr:uid="{7BF97D15-7CD3-4A69-AD84-68E39A772A8C}">
      <text>
        <r>
          <rPr>
            <b/>
            <sz val="9"/>
            <color indexed="81"/>
            <rFont val="Tahoma"/>
            <family val="2"/>
            <charset val="238"/>
          </rPr>
          <t>VLOŽTE JEDNOTKOVOU CENU ZHOTOVITELE ZA POLOŽKU</t>
        </r>
      </text>
    </comment>
    <comment ref="G157" authorId="0" shapeId="0" xr:uid="{8A239007-239B-488B-8B2F-6F02F4F4E3B6}">
      <text>
        <r>
          <rPr>
            <b/>
            <sz val="9"/>
            <color indexed="81"/>
            <rFont val="Tahoma"/>
            <family val="2"/>
            <charset val="238"/>
          </rPr>
          <t>VLOŽTE JEDNOTKOVOU CENU ZHOTOVITELE ZA POLOŽKU</t>
        </r>
      </text>
    </comment>
    <comment ref="G158" authorId="0" shapeId="0" xr:uid="{805703C3-0424-4F09-89E9-E28D6ADAA169}">
      <text>
        <r>
          <rPr>
            <b/>
            <sz val="9"/>
            <color indexed="81"/>
            <rFont val="Tahoma"/>
            <family val="2"/>
            <charset val="238"/>
          </rPr>
          <t>VLOŽTE JEDNOTKOVOU CENU ZHOTOVITELE ZA POLOŽKU</t>
        </r>
      </text>
    </comment>
    <comment ref="G159" authorId="0" shapeId="0" xr:uid="{F07583FA-D26E-4793-9222-FC8B00ADA240}">
      <text>
        <r>
          <rPr>
            <b/>
            <sz val="9"/>
            <color indexed="81"/>
            <rFont val="Tahoma"/>
            <family val="2"/>
            <charset val="238"/>
          </rPr>
          <t>VLOŽTE JEDNOTKOVOU CENU ZHOTOVITELE ZA POLOŽKU</t>
        </r>
      </text>
    </comment>
    <comment ref="G161" authorId="0" shapeId="0" xr:uid="{3994F7BB-03D6-44AC-963D-F96769AB4321}">
      <text>
        <r>
          <rPr>
            <b/>
            <sz val="9"/>
            <color indexed="81"/>
            <rFont val="Tahoma"/>
            <family val="2"/>
            <charset val="238"/>
          </rPr>
          <t>VLOŽTE JEDNOTKOVOU CENU ZHOTOVITELE ZA POLOŽKU</t>
        </r>
      </text>
    </comment>
    <comment ref="G163" authorId="0" shapeId="0" xr:uid="{D61AE3DF-6593-4AC4-B107-3E530869DDF1}">
      <text>
        <r>
          <rPr>
            <b/>
            <sz val="9"/>
            <color indexed="81"/>
            <rFont val="Tahoma"/>
            <family val="2"/>
            <charset val="238"/>
          </rPr>
          <t>VLOŽTE JEDNOTKOVOU CENU ZHOTOVITELE ZA POLOŽKU</t>
        </r>
      </text>
    </comment>
    <comment ref="G165" authorId="0" shapeId="0" xr:uid="{58E27379-CC9B-460A-A922-C6C5F047B65D}">
      <text>
        <r>
          <rPr>
            <b/>
            <sz val="9"/>
            <color indexed="81"/>
            <rFont val="Tahoma"/>
            <family val="2"/>
            <charset val="238"/>
          </rPr>
          <t>VLOŽTE JEDNOTKOVOU CENU ZHOTOVITELE ZA POLOŽKU</t>
        </r>
      </text>
    </comment>
    <comment ref="G167" authorId="0" shapeId="0" xr:uid="{345D15F6-F5CA-4712-A708-3B2DF06D86CB}">
      <text>
        <r>
          <rPr>
            <b/>
            <sz val="9"/>
            <color indexed="81"/>
            <rFont val="Tahoma"/>
            <family val="2"/>
            <charset val="238"/>
          </rPr>
          <t>VLOŽTE JEDNOTKOVOU CENU ZHOTOVITELE ZA POLOŽKU</t>
        </r>
      </text>
    </comment>
    <comment ref="G169" authorId="0" shapeId="0" xr:uid="{9A042D5C-AB76-43D0-BB8D-39248950E1F3}">
      <text>
        <r>
          <rPr>
            <b/>
            <sz val="9"/>
            <color indexed="81"/>
            <rFont val="Tahoma"/>
            <family val="2"/>
            <charset val="238"/>
          </rPr>
          <t>VLOŽTE JEDNOTKOVOU CENU ZHOTOVITELE ZA POLOŽKU</t>
        </r>
      </text>
    </comment>
    <comment ref="G171" authorId="0" shapeId="0" xr:uid="{F4F1240C-0208-4773-A0B4-5141295B8235}">
      <text>
        <r>
          <rPr>
            <b/>
            <sz val="9"/>
            <color indexed="81"/>
            <rFont val="Tahoma"/>
            <family val="2"/>
            <charset val="238"/>
          </rPr>
          <t>VLOŽTE JEDNOTKOVOU CENU ZHOTOVITELE ZA POLOŽKU</t>
        </r>
      </text>
    </comment>
    <comment ref="G173" authorId="0" shapeId="0" xr:uid="{7B4A1B81-5C1A-4D1F-9D9D-DA522B9C7871}">
      <text>
        <r>
          <rPr>
            <b/>
            <sz val="9"/>
            <color indexed="81"/>
            <rFont val="Tahoma"/>
            <family val="2"/>
            <charset val="238"/>
          </rPr>
          <t>VLOŽTE JEDNOTKOVOU CENU ZHOTOVITELE ZA POLOŽKU</t>
        </r>
      </text>
    </comment>
    <comment ref="G175" authorId="0" shapeId="0" xr:uid="{103261D2-F953-4127-BC5F-BEBAACF942C1}">
      <text>
        <r>
          <rPr>
            <b/>
            <sz val="9"/>
            <color indexed="81"/>
            <rFont val="Tahoma"/>
            <family val="2"/>
            <charset val="238"/>
          </rPr>
          <t>VLOŽTE JEDNOTKOVOU CENU ZHOTOVITELE ZA POLOŽKU</t>
        </r>
      </text>
    </comment>
    <comment ref="G177" authorId="0" shapeId="0" xr:uid="{C922AE33-7881-4737-8956-C1D2A9712A07}">
      <text>
        <r>
          <rPr>
            <b/>
            <sz val="9"/>
            <color indexed="81"/>
            <rFont val="Tahoma"/>
            <family val="2"/>
            <charset val="238"/>
          </rPr>
          <t>VLOŽTE JEDNOTKOVOU CENU ZHOTOVITELE ZA POLOŽKU</t>
        </r>
      </text>
    </comment>
    <comment ref="G179" authorId="0" shapeId="0" xr:uid="{8DC2186A-F9D4-4CE2-B20E-51072C3BD295}">
      <text>
        <r>
          <rPr>
            <b/>
            <sz val="9"/>
            <color indexed="81"/>
            <rFont val="Tahoma"/>
            <family val="2"/>
            <charset val="238"/>
          </rPr>
          <t>VLOŽTE JEDNOTKOVOU CENU ZHOTOVITELE ZA POLOŽKU</t>
        </r>
      </text>
    </comment>
    <comment ref="G180" authorId="0" shapeId="0" xr:uid="{BF8DE213-DB42-4BBA-BA30-F844B78C5AEA}">
      <text>
        <r>
          <rPr>
            <b/>
            <sz val="9"/>
            <color indexed="81"/>
            <rFont val="Tahoma"/>
            <family val="2"/>
            <charset val="238"/>
          </rPr>
          <t>VLOŽTE JEDNOTKOVOU CENU ZHOTOVITELE ZA POLOŽKU</t>
        </r>
      </text>
    </comment>
    <comment ref="G181" authorId="0" shapeId="0" xr:uid="{FB5A42AC-8B7F-40AB-8AD6-1548E91379D3}">
      <text>
        <r>
          <rPr>
            <b/>
            <sz val="9"/>
            <color indexed="81"/>
            <rFont val="Tahoma"/>
            <family val="2"/>
            <charset val="238"/>
          </rPr>
          <t>VLOŽTE JEDNOTKOVOU CENU ZHOTOVITELE ZA POLOŽKU</t>
        </r>
      </text>
    </comment>
    <comment ref="G182" authorId="0" shapeId="0" xr:uid="{E6F8AFFF-BC0A-487C-854B-51B1D5740D85}">
      <text>
        <r>
          <rPr>
            <b/>
            <sz val="9"/>
            <color indexed="81"/>
            <rFont val="Tahoma"/>
            <family val="2"/>
            <charset val="238"/>
          </rPr>
          <t>VLOŽTE JEDNOTKOVOU CENU ZHOTOVITELE ZA POLOŽKU</t>
        </r>
      </text>
    </comment>
    <comment ref="G183" authorId="0" shapeId="0" xr:uid="{AE4BB6B5-7050-46AC-9A15-AC2B134ACD8E}">
      <text>
        <r>
          <rPr>
            <b/>
            <sz val="9"/>
            <color indexed="81"/>
            <rFont val="Tahoma"/>
            <family val="2"/>
            <charset val="238"/>
          </rPr>
          <t>VLOŽTE JEDNOTKOVOU CENU ZHOTOVITELE ZA POLOŽKU</t>
        </r>
      </text>
    </comment>
    <comment ref="G184" authorId="0" shapeId="0" xr:uid="{E06D14E9-7B80-4A07-88E8-794D785F3A42}">
      <text>
        <r>
          <rPr>
            <b/>
            <sz val="9"/>
            <color indexed="81"/>
            <rFont val="Tahoma"/>
            <family val="2"/>
            <charset val="238"/>
          </rPr>
          <t>VLOŽTE JEDNOTKOVOU CENU ZHOTOVITELE ZA POLOŽKU</t>
        </r>
      </text>
    </comment>
    <comment ref="G185" authorId="0" shapeId="0" xr:uid="{ED688E21-FB2F-4E4B-807F-04E70F603A80}">
      <text>
        <r>
          <rPr>
            <b/>
            <sz val="9"/>
            <color indexed="81"/>
            <rFont val="Tahoma"/>
            <family val="2"/>
            <charset val="238"/>
          </rPr>
          <t>VLOŽTE JEDNOTKOVOU CENU ZHOTOVITELE ZA POLOŽKU</t>
        </r>
      </text>
    </comment>
    <comment ref="G186" authorId="0" shapeId="0" xr:uid="{52D48F90-CCD8-48AC-A410-EFDC01EB68F8}">
      <text>
        <r>
          <rPr>
            <b/>
            <sz val="9"/>
            <color indexed="81"/>
            <rFont val="Tahoma"/>
            <family val="2"/>
            <charset val="238"/>
          </rPr>
          <t>VLOŽTE JEDNOTKOVOU CENU ZHOTOVITELE ZA POLOŽKU</t>
        </r>
      </text>
    </comment>
    <comment ref="G187" authorId="0" shapeId="0" xr:uid="{C4248954-EAAF-44DD-8C91-AB6B7418CBB8}">
      <text>
        <r>
          <rPr>
            <b/>
            <sz val="9"/>
            <color indexed="81"/>
            <rFont val="Tahoma"/>
            <family val="2"/>
            <charset val="238"/>
          </rPr>
          <t>VLOŽTE JEDNOTKOVOU CENU ZHOTOVITELE ZA POLOŽKU</t>
        </r>
      </text>
    </comment>
    <comment ref="G188" authorId="0" shapeId="0" xr:uid="{480BCABE-82F6-4FE4-9886-019A8C976DB2}">
      <text>
        <r>
          <rPr>
            <b/>
            <sz val="9"/>
            <color indexed="81"/>
            <rFont val="Tahoma"/>
            <family val="2"/>
            <charset val="238"/>
          </rPr>
          <t>VLOŽTE JEDNOTKOVOU CENU ZHOTOVITELE ZA POLOŽKU</t>
        </r>
      </text>
    </comment>
    <comment ref="G189" authorId="0" shapeId="0" xr:uid="{B69A04E1-17CB-4DC1-B60B-4BF6CF24016B}">
      <text>
        <r>
          <rPr>
            <b/>
            <sz val="9"/>
            <color indexed="81"/>
            <rFont val="Tahoma"/>
            <family val="2"/>
            <charset val="238"/>
          </rPr>
          <t>VLOŽTE JEDNOTKOVOU CENU ZHOTOVITELE ZA POLOŽKU</t>
        </r>
      </text>
    </comment>
    <comment ref="G190" authorId="0" shapeId="0" xr:uid="{F72AE1EF-FB79-44C3-9186-E5089DE17916}">
      <text>
        <r>
          <rPr>
            <b/>
            <sz val="9"/>
            <color indexed="81"/>
            <rFont val="Tahoma"/>
            <family val="2"/>
            <charset val="238"/>
          </rPr>
          <t>VLOŽTE JEDNOTKOVOU CENU ZHOTOVITELE ZA POLOŽKU</t>
        </r>
      </text>
    </comment>
    <comment ref="G191" authorId="0" shapeId="0" xr:uid="{6D03C128-FC1F-40C7-880B-A5DF5475EFA0}">
      <text>
        <r>
          <rPr>
            <b/>
            <sz val="9"/>
            <color indexed="81"/>
            <rFont val="Tahoma"/>
            <family val="2"/>
            <charset val="238"/>
          </rPr>
          <t>VLOŽTE JEDNOTKOVOU CENU ZHOTOVITELE ZA POLOŽKU</t>
        </r>
      </text>
    </comment>
    <comment ref="G192" authorId="0" shapeId="0" xr:uid="{C017C7D7-8059-48F2-809A-625D68E65973}">
      <text>
        <r>
          <rPr>
            <b/>
            <sz val="9"/>
            <color indexed="81"/>
            <rFont val="Tahoma"/>
            <family val="2"/>
            <charset val="238"/>
          </rPr>
          <t>VLOŽTE JEDNOTKOVOU CENU ZHOTOVITELE ZA POLOŽKU</t>
        </r>
      </text>
    </comment>
    <comment ref="G194" authorId="0" shapeId="0" xr:uid="{8BD5D57D-8920-40E3-AD2B-152258A1B7C1}">
      <text>
        <r>
          <rPr>
            <b/>
            <sz val="9"/>
            <color indexed="81"/>
            <rFont val="Tahoma"/>
            <family val="2"/>
            <charset val="238"/>
          </rPr>
          <t>VLOŽTE JEDNOTKOVOU CENU ZHOTOVITELE ZA POLOŽKU</t>
        </r>
      </text>
    </comment>
    <comment ref="G196" authorId="0" shapeId="0" xr:uid="{243B5FB1-2005-4E5D-9F74-8D33E67583FC}">
      <text>
        <r>
          <rPr>
            <b/>
            <sz val="9"/>
            <color indexed="81"/>
            <rFont val="Tahoma"/>
            <family val="2"/>
            <charset val="238"/>
          </rPr>
          <t>VLOŽTE JEDNOTKOVOU CENU ZHOTOVITELE ZA POLOŽKU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F1BB757F-35E6-4EE2-917C-F09F57FDDF3F}">
      <text>
        <r>
          <rPr>
            <b/>
            <sz val="9"/>
            <color indexed="81"/>
            <rFont val="Tahoma"/>
            <family val="2"/>
            <charset val="238"/>
          </rPr>
          <t>VLOŽTE JEDNOTKOVOU CENU ZHOTOVITELE ZA POLOŽKU</t>
        </r>
      </text>
    </comment>
    <comment ref="G15" authorId="0" shapeId="0" xr:uid="{1B52EDD5-4080-4E5A-94B3-04B67E273BCA}">
      <text>
        <r>
          <rPr>
            <b/>
            <sz val="9"/>
            <color indexed="81"/>
            <rFont val="Tahoma"/>
            <family val="2"/>
            <charset val="238"/>
          </rPr>
          <t>VLOŽTE JEDNOTKOVOU CENU ZHOTOVITELE ZA POLOŽKU</t>
        </r>
      </text>
    </comment>
    <comment ref="G17" authorId="0" shapeId="0" xr:uid="{6B7C095C-9C3C-4250-B88A-BC28F891E972}">
      <text>
        <r>
          <rPr>
            <b/>
            <sz val="9"/>
            <color indexed="81"/>
            <rFont val="Tahoma"/>
            <family val="2"/>
            <charset val="238"/>
          </rPr>
          <t>VLOŽTE JEDNOTKOVOU CENU ZHOTOVITELE ZA POLOŽKU</t>
        </r>
      </text>
    </comment>
    <comment ref="G19" authorId="0" shapeId="0" xr:uid="{6E512DBD-0B0E-446D-B297-7954C6801F23}">
      <text>
        <r>
          <rPr>
            <b/>
            <sz val="9"/>
            <color indexed="81"/>
            <rFont val="Tahoma"/>
            <family val="2"/>
            <charset val="238"/>
          </rPr>
          <t>VLOŽTE JEDNOTKOVOU CENU ZHOTOVITELE ZA POLOŽKU</t>
        </r>
      </text>
    </comment>
    <comment ref="G21" authorId="0" shapeId="0" xr:uid="{7FDD8604-1894-4AB7-A9C4-0FF4FC5742A0}">
      <text>
        <r>
          <rPr>
            <b/>
            <sz val="9"/>
            <color indexed="81"/>
            <rFont val="Tahoma"/>
            <family val="2"/>
            <charset val="238"/>
          </rPr>
          <t>VLOŽTE JEDNOTKOVOU CENU ZHOTOVITELE ZA POLOŽKU</t>
        </r>
      </text>
    </comment>
    <comment ref="G23" authorId="0" shapeId="0" xr:uid="{CB934753-5AC4-4D93-B3C1-FBB3139338C3}">
      <text>
        <r>
          <rPr>
            <b/>
            <sz val="9"/>
            <color indexed="81"/>
            <rFont val="Tahoma"/>
            <family val="2"/>
            <charset val="238"/>
          </rPr>
          <t>VLOŽTE JEDNOTKOVOU CENU ZHOTOVITELE ZA POLOŽKU</t>
        </r>
      </text>
    </comment>
    <comment ref="G25" authorId="0" shapeId="0" xr:uid="{6B668CBD-5711-40B5-BEA8-670BA29CEE1A}">
      <text>
        <r>
          <rPr>
            <b/>
            <sz val="9"/>
            <color indexed="81"/>
            <rFont val="Tahoma"/>
            <family val="2"/>
            <charset val="238"/>
          </rPr>
          <t>VLOŽTE JEDNOTKOVOU CENU ZHOTOVITELE ZA POLOŽKU</t>
        </r>
      </text>
    </comment>
    <comment ref="G28" authorId="0" shapeId="0" xr:uid="{E1F3F9C9-55FD-43B8-A36A-0300925C373C}">
      <text>
        <r>
          <rPr>
            <b/>
            <sz val="9"/>
            <color indexed="81"/>
            <rFont val="Tahoma"/>
            <family val="2"/>
            <charset val="238"/>
          </rPr>
          <t>VLOŽTE JEDNOTKOVOU CENU ZHOTOVITELE ZA POLOŽKU</t>
        </r>
      </text>
    </comment>
    <comment ref="G30" authorId="0" shapeId="0" xr:uid="{612CB06C-9922-4D68-8888-A693DD2703C7}">
      <text>
        <r>
          <rPr>
            <b/>
            <sz val="9"/>
            <color indexed="81"/>
            <rFont val="Tahoma"/>
            <family val="2"/>
            <charset val="238"/>
          </rPr>
          <t>VLOŽTE JEDNOTKOVOU CENU ZHOTOVITELE ZA POLOŽKU</t>
        </r>
      </text>
    </comment>
    <comment ref="G33" authorId="0" shapeId="0" xr:uid="{A22E8A13-D547-4750-B98A-AD59EA201E91}">
      <text>
        <r>
          <rPr>
            <b/>
            <sz val="9"/>
            <color indexed="81"/>
            <rFont val="Tahoma"/>
            <family val="2"/>
            <charset val="238"/>
          </rPr>
          <t>VLOŽTE JEDNOTKOVOU CENU ZHOTOVITELE ZA POLOŽKU</t>
        </r>
      </text>
    </comment>
    <comment ref="G35" authorId="0" shapeId="0" xr:uid="{287F0219-656D-40A2-8859-25F192BAA6C2}">
      <text>
        <r>
          <rPr>
            <b/>
            <sz val="9"/>
            <color indexed="81"/>
            <rFont val="Tahoma"/>
            <family val="2"/>
            <charset val="238"/>
          </rPr>
          <t>VLOŽTE JEDNOTKOVOU CENU ZHOTOVITELE ZA POLOŽKU</t>
        </r>
      </text>
    </comment>
    <comment ref="G37" authorId="0" shapeId="0" xr:uid="{42801254-68FF-46FB-A668-83992C200DFE}">
      <text>
        <r>
          <rPr>
            <b/>
            <sz val="9"/>
            <color indexed="81"/>
            <rFont val="Tahoma"/>
            <family val="2"/>
            <charset val="238"/>
          </rPr>
          <t>VLOŽTE JEDNOTKOVOU CENU ZHOTOVITELE ZA POLOŽKU</t>
        </r>
      </text>
    </comment>
    <comment ref="G39" authorId="0" shapeId="0" xr:uid="{7F203BF3-3889-4300-8146-E102AE99C045}">
      <text>
        <r>
          <rPr>
            <b/>
            <sz val="9"/>
            <color indexed="81"/>
            <rFont val="Tahoma"/>
            <family val="2"/>
            <charset val="238"/>
          </rPr>
          <t>VLOŽTE JEDNOTKOVOU CENU ZHOTOVITELE ZA POLOŽKU</t>
        </r>
      </text>
    </comment>
    <comment ref="G41" authorId="0" shapeId="0" xr:uid="{9DF5B1A8-50F8-40C0-A666-4073CA063C07}">
      <text>
        <r>
          <rPr>
            <b/>
            <sz val="9"/>
            <color indexed="81"/>
            <rFont val="Tahoma"/>
            <family val="2"/>
            <charset val="238"/>
          </rPr>
          <t>VLOŽTE JEDNOTKOVOU CENU ZHOTOVITELE ZA POLOŽKU</t>
        </r>
      </text>
    </comment>
    <comment ref="G43" authorId="0" shapeId="0" xr:uid="{CD075480-CA95-4DF2-865B-83F5D2648055}">
      <text>
        <r>
          <rPr>
            <b/>
            <sz val="9"/>
            <color indexed="81"/>
            <rFont val="Tahoma"/>
            <family val="2"/>
            <charset val="238"/>
          </rPr>
          <t>VLOŽTE JEDNOTKOVOU CENU ZHOTOVITELE ZA POLOŽKU</t>
        </r>
      </text>
    </comment>
    <comment ref="G45" authorId="0" shapeId="0" xr:uid="{9F3131A9-7535-496C-87AD-12CD876D9586}">
      <text>
        <r>
          <rPr>
            <b/>
            <sz val="9"/>
            <color indexed="81"/>
            <rFont val="Tahoma"/>
            <family val="2"/>
            <charset val="238"/>
          </rPr>
          <t>VLOŽTE JEDNOTKOVOU CENU ZHOTOVITELE ZA POLOŽKU</t>
        </r>
      </text>
    </comment>
    <comment ref="G47" authorId="0" shapeId="0" xr:uid="{808A8BFE-1699-41AE-8134-6272C6B6E028}">
      <text>
        <r>
          <rPr>
            <b/>
            <sz val="9"/>
            <color indexed="81"/>
            <rFont val="Tahoma"/>
            <family val="2"/>
            <charset val="238"/>
          </rPr>
          <t>VLOŽTE JEDNOTKOVOU CENU ZHOTOVITELE ZA POLOŽKU</t>
        </r>
      </text>
    </comment>
    <comment ref="G50" authorId="0" shapeId="0" xr:uid="{376F0873-88F6-443B-A617-8AD393E6E982}">
      <text>
        <r>
          <rPr>
            <b/>
            <sz val="9"/>
            <color indexed="81"/>
            <rFont val="Tahoma"/>
            <family val="2"/>
            <charset val="238"/>
          </rPr>
          <t>VLOŽTE JEDNOTKOVOU CENU ZHOTOVITELE ZA POLOŽKU</t>
        </r>
      </text>
    </comment>
    <comment ref="G52" authorId="0" shapeId="0" xr:uid="{FA952D3E-E205-419D-AFA1-6EF25BC59DE0}">
      <text>
        <r>
          <rPr>
            <b/>
            <sz val="9"/>
            <color indexed="81"/>
            <rFont val="Tahoma"/>
            <family val="2"/>
            <charset val="238"/>
          </rPr>
          <t>VLOŽTE JEDNOTKOVOU CENU ZHOTOVITELE ZA POLOŽKU</t>
        </r>
      </text>
    </comment>
    <comment ref="G55" authorId="0" shapeId="0" xr:uid="{6582A7F3-5ABE-43D3-92A4-00F7DCEE6C7B}">
      <text>
        <r>
          <rPr>
            <b/>
            <sz val="9"/>
            <color indexed="81"/>
            <rFont val="Tahoma"/>
            <family val="2"/>
            <charset val="238"/>
          </rPr>
          <t>VLOŽTE JEDNOTKOVOU CENU ZHOTOVITELE ZA POLOŽKU</t>
        </r>
      </text>
    </comment>
    <comment ref="G57" authorId="0" shapeId="0" xr:uid="{60467E82-F575-47AF-8843-E6653B313D72}">
      <text>
        <r>
          <rPr>
            <b/>
            <sz val="9"/>
            <color indexed="81"/>
            <rFont val="Tahoma"/>
            <family val="2"/>
            <charset val="238"/>
          </rPr>
          <t>VLOŽTE JEDNOTKOVOU CENU ZHOTOVITELE ZA POLOŽKU</t>
        </r>
      </text>
    </comment>
    <comment ref="G59" authorId="0" shapeId="0" xr:uid="{0E5164F9-CC8D-482A-81C3-127C1A80ED99}">
      <text>
        <r>
          <rPr>
            <b/>
            <sz val="9"/>
            <color indexed="81"/>
            <rFont val="Tahoma"/>
            <family val="2"/>
            <charset val="238"/>
          </rPr>
          <t>VLOŽTE JEDNOTKOVOU CENU ZHOTOVITELE ZA POLOŽKU</t>
        </r>
      </text>
    </comment>
    <comment ref="G61" authorId="0" shapeId="0" xr:uid="{F708BC09-66B3-4E4D-925F-A81EA7F3DC66}">
      <text>
        <r>
          <rPr>
            <b/>
            <sz val="9"/>
            <color indexed="81"/>
            <rFont val="Tahoma"/>
            <family val="2"/>
            <charset val="238"/>
          </rPr>
          <t>VLOŽTE JEDNOTKOVOU CENU ZHOTOVITELE ZA POLOŽKU</t>
        </r>
      </text>
    </comment>
    <comment ref="G63" authorId="0" shapeId="0" xr:uid="{2F036765-84A4-477A-972C-0B5AF91AAB24}">
      <text>
        <r>
          <rPr>
            <b/>
            <sz val="9"/>
            <color indexed="81"/>
            <rFont val="Tahoma"/>
            <family val="2"/>
            <charset val="238"/>
          </rPr>
          <t>VLOŽTE JEDNOTKOVOU CENU ZHOTOVITELE ZA POLOŽKU</t>
        </r>
      </text>
    </comment>
    <comment ref="G65" authorId="0" shapeId="0" xr:uid="{5BFEA66E-12BC-45CD-B6FB-81284A3C4A95}">
      <text>
        <r>
          <rPr>
            <b/>
            <sz val="9"/>
            <color indexed="81"/>
            <rFont val="Tahoma"/>
            <family val="2"/>
            <charset val="238"/>
          </rPr>
          <t>VLOŽTE JEDNOTKOVOU CENU ZHOTOVITELE ZA POLOŽKU</t>
        </r>
      </text>
    </comment>
    <comment ref="G67" authorId="0" shapeId="0" xr:uid="{B9C9C37C-057E-4CC1-A08E-671CDBD25E90}">
      <text>
        <r>
          <rPr>
            <b/>
            <sz val="9"/>
            <color indexed="81"/>
            <rFont val="Tahoma"/>
            <family val="2"/>
            <charset val="238"/>
          </rPr>
          <t>VLOŽTE JEDNOTKOVOU CENU ZHOTOVITELE ZA POLOŽKU</t>
        </r>
      </text>
    </comment>
    <comment ref="G69" authorId="0" shapeId="0" xr:uid="{2A228B50-326C-4F1B-8518-8469DA6186AE}">
      <text>
        <r>
          <rPr>
            <b/>
            <sz val="9"/>
            <color indexed="81"/>
            <rFont val="Tahoma"/>
            <family val="2"/>
            <charset val="238"/>
          </rPr>
          <t>VLOŽTE JEDNOTKOVOU CENU ZHOTOVITELE ZA POLOŽKU</t>
        </r>
      </text>
    </comment>
    <comment ref="G71" authorId="0" shapeId="0" xr:uid="{42B63C43-9F25-4517-A2D7-733F98F92402}">
      <text>
        <r>
          <rPr>
            <b/>
            <sz val="9"/>
            <color indexed="81"/>
            <rFont val="Tahoma"/>
            <family val="2"/>
            <charset val="238"/>
          </rPr>
          <t>VLOŽTE JEDNOTKOVOU CENU ZHOTOVITELE ZA POLOŽKU</t>
        </r>
      </text>
    </comment>
    <comment ref="G73" authorId="0" shapeId="0" xr:uid="{2281A95D-90F2-4E54-BEAC-8B4EBA14BE91}">
      <text>
        <r>
          <rPr>
            <b/>
            <sz val="9"/>
            <color indexed="81"/>
            <rFont val="Tahoma"/>
            <family val="2"/>
            <charset val="238"/>
          </rPr>
          <t>VLOŽTE JEDNOTKOVOU CENU ZHOTOVITELE ZA POLOŽKU</t>
        </r>
      </text>
    </comment>
    <comment ref="G76" authorId="0" shapeId="0" xr:uid="{C600422A-E5EF-4835-A4F4-469B211770C5}">
      <text>
        <r>
          <rPr>
            <b/>
            <sz val="9"/>
            <color indexed="81"/>
            <rFont val="Tahoma"/>
            <family val="2"/>
            <charset val="238"/>
          </rPr>
          <t>VLOŽTE JEDNOTKOVOU CENU ZHOTOVITELE ZA POLOŽKU</t>
        </r>
      </text>
    </comment>
    <comment ref="G78" authorId="0" shapeId="0" xr:uid="{171BAB81-2470-44DA-AB69-C454C3844BD2}">
      <text>
        <r>
          <rPr>
            <b/>
            <sz val="9"/>
            <color indexed="81"/>
            <rFont val="Tahoma"/>
            <family val="2"/>
            <charset val="238"/>
          </rPr>
          <t>VLOŽTE JEDNOTKOVOU CENU ZHOTOVITELE ZA POLOŽKU</t>
        </r>
      </text>
    </comment>
    <comment ref="G79" authorId="0" shapeId="0" xr:uid="{506AFF59-9428-44FC-AD16-65AFAF22DD1F}">
      <text>
        <r>
          <rPr>
            <b/>
            <sz val="9"/>
            <color indexed="81"/>
            <rFont val="Tahoma"/>
            <family val="2"/>
            <charset val="238"/>
          </rPr>
          <t>VLOŽTE JEDNOTKOVOU CENU ZHOTOVITELE ZA POLOŽKU</t>
        </r>
      </text>
    </comment>
    <comment ref="G82" authorId="0" shapeId="0" xr:uid="{C0C401B5-B33D-489E-ADC4-56E5ECE99A9D}">
      <text>
        <r>
          <rPr>
            <b/>
            <sz val="9"/>
            <color indexed="81"/>
            <rFont val="Tahoma"/>
            <family val="2"/>
            <charset val="238"/>
          </rPr>
          <t>VLOŽTE JEDNOTKOVOU CENU ZHOTOVITELE ZA POLOŽKU</t>
        </r>
      </text>
    </comment>
    <comment ref="G85" authorId="0" shapeId="0" xr:uid="{D76EEC40-D2BD-4C0D-B7C4-E8D707BD5D9A}">
      <text>
        <r>
          <rPr>
            <b/>
            <sz val="9"/>
            <color indexed="81"/>
            <rFont val="Tahoma"/>
            <family val="2"/>
            <charset val="238"/>
          </rPr>
          <t>VLOŽTE JEDNOTKOVOU CENU ZHOTOVITELE ZA POLOŽKU</t>
        </r>
      </text>
    </comment>
    <comment ref="G87" authorId="0" shapeId="0" xr:uid="{5C07F90C-39FD-46F1-997A-283D3E6AA378}">
      <text>
        <r>
          <rPr>
            <b/>
            <sz val="9"/>
            <color indexed="81"/>
            <rFont val="Tahoma"/>
            <family val="2"/>
            <charset val="238"/>
          </rPr>
          <t>VLOŽTE JEDNOTKOVOU CENU ZHOTOVITELE ZA POLOŽKU</t>
        </r>
      </text>
    </comment>
    <comment ref="G90" authorId="0" shapeId="0" xr:uid="{44DB03EC-2D88-4F07-A527-1F4C4CF54F09}">
      <text>
        <r>
          <rPr>
            <b/>
            <sz val="9"/>
            <color indexed="81"/>
            <rFont val="Tahoma"/>
            <family val="2"/>
            <charset val="238"/>
          </rPr>
          <t>VLOŽTE JEDNOTKOVOU CENU ZHOTOVITELE ZA POLOŽKU</t>
        </r>
      </text>
    </comment>
    <comment ref="G92" authorId="0" shapeId="0" xr:uid="{7B4053F5-C5BD-4D98-980D-20A94A3B00A9}">
      <text>
        <r>
          <rPr>
            <b/>
            <sz val="9"/>
            <color indexed="81"/>
            <rFont val="Tahoma"/>
            <family val="2"/>
            <charset val="238"/>
          </rPr>
          <t>VLOŽTE JEDNOTKOVOU CENU ZHOTOVITELE ZA POLOŽKU</t>
        </r>
      </text>
    </comment>
    <comment ref="G94" authorId="0" shapeId="0" xr:uid="{E72ADCEE-77D6-4281-A932-FA5B4D907D60}">
      <text>
        <r>
          <rPr>
            <b/>
            <sz val="9"/>
            <color indexed="81"/>
            <rFont val="Tahoma"/>
            <family val="2"/>
            <charset val="238"/>
          </rPr>
          <t>VLOŽTE JEDNOTKOVOU CENU ZHOTOVITELE ZA POLOŽKU</t>
        </r>
      </text>
    </comment>
    <comment ref="G96" authorId="0" shapeId="0" xr:uid="{05239DE3-2DBC-4583-9B3A-AB008E082826}">
      <text>
        <r>
          <rPr>
            <b/>
            <sz val="9"/>
            <color indexed="81"/>
            <rFont val="Tahoma"/>
            <family val="2"/>
            <charset val="238"/>
          </rPr>
          <t>VLOŽTE JEDNOTKOVOU CENU ZHOTOVITELE ZA POLOŽKU</t>
        </r>
      </text>
    </comment>
    <comment ref="G99" authorId="0" shapeId="0" xr:uid="{4853AAA1-0AE6-45FA-A53A-EE0340472C3B}">
      <text>
        <r>
          <rPr>
            <b/>
            <sz val="9"/>
            <color indexed="81"/>
            <rFont val="Tahoma"/>
            <family val="2"/>
            <charset val="238"/>
          </rPr>
          <t>VLOŽTE JEDNOTKOVOU CENU ZHOTOVITELE ZA POLOŽKU</t>
        </r>
      </text>
    </comment>
    <comment ref="G102" authorId="0" shapeId="0" xr:uid="{666EA3A1-B048-41BA-8FA4-7CF02B620F95}">
      <text>
        <r>
          <rPr>
            <b/>
            <sz val="9"/>
            <color indexed="81"/>
            <rFont val="Tahoma"/>
            <family val="2"/>
            <charset val="238"/>
          </rPr>
          <t>VLOŽTE JEDNOTKOVOU CENU ZHOTOVITELE ZA POLOŽKU</t>
        </r>
      </text>
    </comment>
    <comment ref="G104" authorId="0" shapeId="0" xr:uid="{52237252-FF35-4B53-BB2E-82905FF4BC19}">
      <text>
        <r>
          <rPr>
            <b/>
            <sz val="9"/>
            <color indexed="81"/>
            <rFont val="Tahoma"/>
            <family val="2"/>
            <charset val="238"/>
          </rPr>
          <t>VLOŽTE JEDNOTKOVOU CENU ZHOTOVITELE ZA POLOŽKU</t>
        </r>
      </text>
    </comment>
    <comment ref="G106" authorId="0" shapeId="0" xr:uid="{58F09228-5A51-4066-B12E-460BEB3A7B8D}">
      <text>
        <r>
          <rPr>
            <b/>
            <sz val="9"/>
            <color indexed="81"/>
            <rFont val="Tahoma"/>
            <family val="2"/>
            <charset val="238"/>
          </rPr>
          <t>VLOŽTE JEDNOTKOVOU CENU ZHOTOVITELE ZA POLOŽKU</t>
        </r>
      </text>
    </comment>
    <comment ref="G108" authorId="0" shapeId="0" xr:uid="{1F259B3B-0E3E-4AB7-9488-FE713FECC814}">
      <text>
        <r>
          <rPr>
            <b/>
            <sz val="9"/>
            <color indexed="81"/>
            <rFont val="Tahoma"/>
            <family val="2"/>
            <charset val="238"/>
          </rPr>
          <t>VLOŽTE JEDNOTKOVOU CENU ZHOTOVITELE ZA POLOŽKU</t>
        </r>
      </text>
    </comment>
    <comment ref="G110" authorId="0" shapeId="0" xr:uid="{5C5E1992-528E-409B-B9BF-CF49FA8CEB31}">
      <text>
        <r>
          <rPr>
            <b/>
            <sz val="9"/>
            <color indexed="81"/>
            <rFont val="Tahoma"/>
            <family val="2"/>
            <charset val="238"/>
          </rPr>
          <t>VLOŽTE JEDNOTKOVOU CENU ZHOTOVITELE ZA POLOŽKU</t>
        </r>
      </text>
    </comment>
    <comment ref="G112" authorId="0" shapeId="0" xr:uid="{6EDA4AB7-8275-42B3-9B0E-FE6C37E925CC}">
      <text>
        <r>
          <rPr>
            <b/>
            <sz val="9"/>
            <color indexed="81"/>
            <rFont val="Tahoma"/>
            <family val="2"/>
            <charset val="238"/>
          </rPr>
          <t>VLOŽTE JEDNOTKOVOU CENU ZHOTOVITELE ZA POLOŽKU</t>
        </r>
      </text>
    </comment>
    <comment ref="G114" authorId="0" shapeId="0" xr:uid="{132B1E75-7EED-45DF-92B1-ECF6D1DDCD18}">
      <text>
        <r>
          <rPr>
            <b/>
            <sz val="9"/>
            <color indexed="81"/>
            <rFont val="Tahoma"/>
            <family val="2"/>
            <charset val="238"/>
          </rPr>
          <t>VLOŽTE JEDNOTKOVOU CENU ZHOTOVITELE ZA POLOŽKU</t>
        </r>
      </text>
    </comment>
    <comment ref="G117" authorId="0" shapeId="0" xr:uid="{B78EB71C-7A34-48A8-BECB-141BABA1AE94}">
      <text>
        <r>
          <rPr>
            <b/>
            <sz val="9"/>
            <color indexed="81"/>
            <rFont val="Tahoma"/>
            <family val="2"/>
            <charset val="238"/>
          </rPr>
          <t>VLOŽTE JEDNOTKOVOU CENU ZHOTOVITELE ZA POLOŽKU</t>
        </r>
      </text>
    </comment>
    <comment ref="G120" authorId="0" shapeId="0" xr:uid="{A258715F-676F-4BAA-8602-A61F3DAA442B}">
      <text>
        <r>
          <rPr>
            <b/>
            <sz val="9"/>
            <color indexed="81"/>
            <rFont val="Tahoma"/>
            <family val="2"/>
            <charset val="238"/>
          </rPr>
          <t>VLOŽTE JEDNOTKOVOU CENU ZHOTOVITELE ZA POLOŽKU</t>
        </r>
      </text>
    </comment>
    <comment ref="G123" authorId="0" shapeId="0" xr:uid="{E250F6A3-42A8-4449-A949-940C5EF02316}">
      <text>
        <r>
          <rPr>
            <b/>
            <sz val="9"/>
            <color indexed="81"/>
            <rFont val="Tahoma"/>
            <family val="2"/>
            <charset val="238"/>
          </rPr>
          <t>VLOŽTE JEDNOTKOVOU CENU ZHOTOVITELE ZA POLOŽKU</t>
        </r>
      </text>
    </comment>
    <comment ref="G125" authorId="0" shapeId="0" xr:uid="{DB7183B2-780A-48FC-B2A6-AC24C21420EF}">
      <text>
        <r>
          <rPr>
            <b/>
            <sz val="9"/>
            <color indexed="81"/>
            <rFont val="Tahoma"/>
            <family val="2"/>
            <charset val="238"/>
          </rPr>
          <t>VLOŽTE JEDNOTKOVOU CENU ZHOTOVITELE ZA POLOŽKU</t>
        </r>
      </text>
    </comment>
    <comment ref="G127" authorId="0" shapeId="0" xr:uid="{3EBAD147-45B7-4889-95D2-B8F86BF0FB9F}">
      <text>
        <r>
          <rPr>
            <b/>
            <sz val="9"/>
            <color indexed="81"/>
            <rFont val="Tahoma"/>
            <family val="2"/>
            <charset val="238"/>
          </rPr>
          <t>VLOŽTE JEDNOTKOVOU CENU ZHOTOVITELE ZA POLOŽKU</t>
        </r>
      </text>
    </comment>
    <comment ref="G130" authorId="0" shapeId="0" xr:uid="{02CD2747-59BB-451D-840E-494BEA1CE516}">
      <text>
        <r>
          <rPr>
            <b/>
            <sz val="9"/>
            <color indexed="81"/>
            <rFont val="Tahoma"/>
            <family val="2"/>
            <charset val="238"/>
          </rPr>
          <t>VLOŽTE JEDNOTKOVOU CENU ZHOTOVITELE ZA POLOŽKU</t>
        </r>
      </text>
    </comment>
    <comment ref="G132" authorId="0" shapeId="0" xr:uid="{9C66D73A-C2D3-48FE-A7E5-326ED8865C79}">
      <text>
        <r>
          <rPr>
            <b/>
            <sz val="9"/>
            <color indexed="81"/>
            <rFont val="Tahoma"/>
            <family val="2"/>
            <charset val="238"/>
          </rPr>
          <t>VLOŽTE JEDNOTKOVOU CENU ZHOTOVITELE ZA POLOŽKU</t>
        </r>
      </text>
    </comment>
    <comment ref="G134" authorId="0" shapeId="0" xr:uid="{7C67F256-4C0F-441F-8C0D-C8241DF0EB84}">
      <text>
        <r>
          <rPr>
            <b/>
            <sz val="9"/>
            <color indexed="81"/>
            <rFont val="Tahoma"/>
            <family val="2"/>
            <charset val="238"/>
          </rPr>
          <t>VLOŽTE JEDNOTKOVOU CENU ZHOTOVITELE ZA POLOŽKU</t>
        </r>
      </text>
    </comment>
    <comment ref="G136" authorId="0" shapeId="0" xr:uid="{79DB7F2D-C25C-4727-8D30-4841D6DD85DF}">
      <text>
        <r>
          <rPr>
            <b/>
            <sz val="9"/>
            <color indexed="81"/>
            <rFont val="Tahoma"/>
            <family val="2"/>
            <charset val="238"/>
          </rPr>
          <t>VLOŽTE JEDNOTKOVOU CENU ZHOTOVITELE ZA POLOŽKU</t>
        </r>
      </text>
    </comment>
    <comment ref="G138" authorId="0" shapeId="0" xr:uid="{F9C2D2E4-A584-4743-AF74-1D3925B6B660}">
      <text>
        <r>
          <rPr>
            <b/>
            <sz val="9"/>
            <color indexed="81"/>
            <rFont val="Tahoma"/>
            <family val="2"/>
            <charset val="238"/>
          </rPr>
          <t>VLOŽTE JEDNOTKOVOU CENU ZHOTOVITELE ZA POLOŽKU</t>
        </r>
      </text>
    </comment>
    <comment ref="G140" authorId="0" shapeId="0" xr:uid="{A8C5328F-EB4F-486B-A5A5-DB9552BA3067}">
      <text>
        <r>
          <rPr>
            <b/>
            <sz val="9"/>
            <color indexed="81"/>
            <rFont val="Tahoma"/>
            <family val="2"/>
            <charset val="238"/>
          </rPr>
          <t>VLOŽTE JEDNOTKOVOU CENU ZHOTOVITELE ZA POLOŽKU</t>
        </r>
      </text>
    </comment>
    <comment ref="G142" authorId="0" shapeId="0" xr:uid="{D2C1FA09-B3E0-4CBB-BAB5-24CE2CF0BFF9}">
      <text>
        <r>
          <rPr>
            <b/>
            <sz val="9"/>
            <color indexed="81"/>
            <rFont val="Tahoma"/>
            <family val="2"/>
            <charset val="238"/>
          </rPr>
          <t>VLOŽTE JEDNOTKOVOU CENU ZHOTOVITELE ZA POLOŽKU</t>
        </r>
      </text>
    </comment>
    <comment ref="G145" authorId="0" shapeId="0" xr:uid="{BD816018-A094-4162-B8AE-E59A47F03C54}">
      <text>
        <r>
          <rPr>
            <b/>
            <sz val="9"/>
            <color indexed="81"/>
            <rFont val="Tahoma"/>
            <family val="2"/>
            <charset val="238"/>
          </rPr>
          <t>VLOŽTE JEDNOTKOVOU CENU ZHOTOVITELE ZA POLOŽKU</t>
        </r>
      </text>
    </comment>
    <comment ref="G148" authorId="0" shapeId="0" xr:uid="{47526034-22ED-4287-9EDC-6B7EC9A884BF}">
      <text>
        <r>
          <rPr>
            <b/>
            <sz val="9"/>
            <color indexed="81"/>
            <rFont val="Tahoma"/>
            <family val="2"/>
            <charset val="238"/>
          </rPr>
          <t>VLOŽTE JEDNOTKOVOU CENU ZHOTOVITELE ZA POLOŽKU</t>
        </r>
      </text>
    </comment>
    <comment ref="G151" authorId="0" shapeId="0" xr:uid="{307C06BB-8A3C-41FA-8F9A-5ADE3387FEBB}">
      <text>
        <r>
          <rPr>
            <b/>
            <sz val="9"/>
            <color indexed="81"/>
            <rFont val="Tahoma"/>
            <family val="2"/>
            <charset val="238"/>
          </rPr>
          <t>VLOŽTE JEDNOTKOVOU CENU ZHOTOVITELE ZA POLOŽKU</t>
        </r>
      </text>
    </comment>
    <comment ref="G152" authorId="0" shapeId="0" xr:uid="{36CB44D6-1AE6-46DE-AFE3-161256FA40EF}">
      <text>
        <r>
          <rPr>
            <b/>
            <sz val="9"/>
            <color indexed="81"/>
            <rFont val="Tahoma"/>
            <family val="2"/>
            <charset val="238"/>
          </rPr>
          <t>VLOŽTE JEDNOTKOVOU CENU ZHOTOVITELE ZA POLOŽKU</t>
        </r>
      </text>
    </comment>
    <comment ref="G154" authorId="0" shapeId="0" xr:uid="{0BF8A9DC-5B9C-4198-ACE1-7C52E7B58D3C}">
      <text>
        <r>
          <rPr>
            <b/>
            <sz val="9"/>
            <color indexed="81"/>
            <rFont val="Tahoma"/>
            <family val="2"/>
            <charset val="238"/>
          </rPr>
          <t>VLOŽTE JEDNOTKOVOU CENU ZHOTOVITELE ZA POLOŽKU</t>
        </r>
      </text>
    </comment>
    <comment ref="G156" authorId="0" shapeId="0" xr:uid="{9F155F2F-084E-4EAA-BA9E-55F0408947E9}">
      <text>
        <r>
          <rPr>
            <b/>
            <sz val="9"/>
            <color indexed="81"/>
            <rFont val="Tahoma"/>
            <family val="2"/>
            <charset val="238"/>
          </rPr>
          <t>VLOŽTE JEDNOTKOVOU CENU ZHOTOVITELE ZA POLOŽKU</t>
        </r>
      </text>
    </comment>
    <comment ref="G158" authorId="0" shapeId="0" xr:uid="{B63717B8-504A-4C1D-AEE0-AD6DA0938DC7}">
      <text>
        <r>
          <rPr>
            <b/>
            <sz val="9"/>
            <color indexed="81"/>
            <rFont val="Tahoma"/>
            <family val="2"/>
            <charset val="238"/>
          </rPr>
          <t>VLOŽTE JEDNOTKOVOU CENU ZHOTOVITELE ZA POLOŽKU</t>
        </r>
      </text>
    </comment>
    <comment ref="G159" authorId="0" shapeId="0" xr:uid="{EB16814D-9740-4013-8C63-FA22DD424D6D}">
      <text>
        <r>
          <rPr>
            <b/>
            <sz val="9"/>
            <color indexed="81"/>
            <rFont val="Tahoma"/>
            <family val="2"/>
            <charset val="238"/>
          </rPr>
          <t>VLOŽTE JEDNOTKOVOU CENU ZHOTOVITELE ZA POLOŽKU</t>
        </r>
      </text>
    </comment>
    <comment ref="G160" authorId="0" shapeId="0" xr:uid="{F58653B8-3A82-4B53-BCE1-83C1688C186C}">
      <text>
        <r>
          <rPr>
            <b/>
            <sz val="9"/>
            <color indexed="81"/>
            <rFont val="Tahoma"/>
            <family val="2"/>
            <charset val="238"/>
          </rPr>
          <t>VLOŽTE JEDNOTKOVOU CENU ZHOTOVITELE ZA POLOŽKU</t>
        </r>
      </text>
    </comment>
    <comment ref="G162" authorId="0" shapeId="0" xr:uid="{A61AA61D-FB68-406D-9B45-25AD9C1BFD6E}">
      <text>
        <r>
          <rPr>
            <b/>
            <sz val="9"/>
            <color indexed="81"/>
            <rFont val="Tahoma"/>
            <family val="2"/>
            <charset val="238"/>
          </rPr>
          <t>VLOŽTE JEDNOTKOVOU CENU ZHOTOVITELE ZA POLOŽKU</t>
        </r>
      </text>
    </comment>
    <comment ref="G164" authorId="0" shapeId="0" xr:uid="{D74B4607-4E7E-4CF6-BCAF-724C0E0AA4AD}">
      <text>
        <r>
          <rPr>
            <b/>
            <sz val="9"/>
            <color indexed="81"/>
            <rFont val="Tahoma"/>
            <family val="2"/>
            <charset val="238"/>
          </rPr>
          <t>VLOŽTE JEDNOTKOVOU CENU ZHOTOVITELE ZA POLOŽKU</t>
        </r>
      </text>
    </comment>
    <comment ref="G166" authorId="0" shapeId="0" xr:uid="{99B03F05-02D7-4A10-B5EB-B7B33A19D534}">
      <text>
        <r>
          <rPr>
            <b/>
            <sz val="9"/>
            <color indexed="81"/>
            <rFont val="Tahoma"/>
            <family val="2"/>
            <charset val="238"/>
          </rPr>
          <t>VLOŽTE JEDNOTKOVOU CENU ZHOTOVITELE ZA POLOŽKU</t>
        </r>
      </text>
    </comment>
    <comment ref="G168" authorId="0" shapeId="0" xr:uid="{B15AA803-8250-4B6C-98B2-86546FFCE2FF}">
      <text>
        <r>
          <rPr>
            <b/>
            <sz val="9"/>
            <color indexed="81"/>
            <rFont val="Tahoma"/>
            <family val="2"/>
            <charset val="238"/>
          </rPr>
          <t>VLOŽTE JEDNOTKOVOU CENU ZHOTOVITELE ZA POLOŽKU</t>
        </r>
      </text>
    </comment>
    <comment ref="G170" authorId="0" shapeId="0" xr:uid="{DB34B765-B708-4FAE-ABFE-D9F349DF5A53}">
      <text>
        <r>
          <rPr>
            <b/>
            <sz val="9"/>
            <color indexed="81"/>
            <rFont val="Tahoma"/>
            <family val="2"/>
            <charset val="238"/>
          </rPr>
          <t>VLOŽTE JEDNOTKOVOU CENU ZHOTOVITELE ZA POLOŽKU</t>
        </r>
      </text>
    </comment>
    <comment ref="G172" authorId="0" shapeId="0" xr:uid="{C89736AD-962B-4F41-B542-9FC011566F9E}">
      <text>
        <r>
          <rPr>
            <b/>
            <sz val="9"/>
            <color indexed="81"/>
            <rFont val="Tahoma"/>
            <family val="2"/>
            <charset val="238"/>
          </rPr>
          <t>VLOŽTE JEDNOTKOVOU CENU ZHOTOVITELE ZA POLOŽKU</t>
        </r>
      </text>
    </comment>
    <comment ref="G174" authorId="0" shapeId="0" xr:uid="{29E1DDB8-592F-4E5F-8E3B-780221DE49BA}">
      <text>
        <r>
          <rPr>
            <b/>
            <sz val="9"/>
            <color indexed="81"/>
            <rFont val="Tahoma"/>
            <family val="2"/>
            <charset val="238"/>
          </rPr>
          <t>VLOŽTE JEDNOTKOVOU CENU ZHOTOVITELE ZA POLOŽKU</t>
        </r>
      </text>
    </comment>
    <comment ref="G176" authorId="0" shapeId="0" xr:uid="{79E828AD-3C14-4809-8C6A-55C39CBBA622}">
      <text>
        <r>
          <rPr>
            <b/>
            <sz val="9"/>
            <color indexed="81"/>
            <rFont val="Tahoma"/>
            <family val="2"/>
            <charset val="238"/>
          </rPr>
          <t>VLOŽTE JEDNOTKOVOU CENU ZHOTOVITELE ZA POLOŽKU</t>
        </r>
      </text>
    </comment>
    <comment ref="G178" authorId="0" shapeId="0" xr:uid="{CDB800A6-302E-4E91-85DB-98205793730E}">
      <text>
        <r>
          <rPr>
            <b/>
            <sz val="9"/>
            <color indexed="81"/>
            <rFont val="Tahoma"/>
            <family val="2"/>
            <charset val="238"/>
          </rPr>
          <t>VLOŽTE JEDNOTKOVOU CENU ZHOTOVITELE ZA POLOŽKU</t>
        </r>
      </text>
    </comment>
    <comment ref="G180" authorId="0" shapeId="0" xr:uid="{0665F60A-FDAC-4EE6-AEE0-46FAEC429456}">
      <text>
        <r>
          <rPr>
            <b/>
            <sz val="9"/>
            <color indexed="81"/>
            <rFont val="Tahoma"/>
            <family val="2"/>
            <charset val="238"/>
          </rPr>
          <t>VLOŽTE JEDNOTKOVOU CENU ZHOTOVITELE ZA POLOŽKU</t>
        </r>
      </text>
    </comment>
    <comment ref="G182" authorId="0" shapeId="0" xr:uid="{24D26E12-C978-4995-BA6B-5BF86785F8EE}">
      <text>
        <r>
          <rPr>
            <b/>
            <sz val="9"/>
            <color indexed="81"/>
            <rFont val="Tahoma"/>
            <family val="2"/>
            <charset val="238"/>
          </rPr>
          <t>VLOŽTE JEDNOTKOVOU CENU ZHOTOVITELE ZA POLOŽKU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8342AC87-C758-4CD5-B596-DF9B115546C1}">
      <text>
        <r>
          <rPr>
            <b/>
            <sz val="9"/>
            <color indexed="81"/>
            <rFont val="Tahoma"/>
            <family val="2"/>
            <charset val="238"/>
          </rPr>
          <t>VLOŽTE JEDNOTKOVOU CENU ZHOTOVITELE ZA POLOŽKU</t>
        </r>
      </text>
    </comment>
    <comment ref="G16" authorId="0" shapeId="0" xr:uid="{B5E5BA1D-5226-4AD5-B1DC-945F8B96D5A4}">
      <text>
        <r>
          <rPr>
            <b/>
            <sz val="9"/>
            <color indexed="81"/>
            <rFont val="Tahoma"/>
            <family val="2"/>
            <charset val="238"/>
          </rPr>
          <t>VLOŽTE JEDNOTKOVOU CENU ZHOTOVITELE ZA POLOŽKU</t>
        </r>
      </text>
    </comment>
    <comment ref="G18" authorId="0" shapeId="0" xr:uid="{A0C0A65A-D4D2-49DD-9282-ACB565A34A4E}">
      <text>
        <r>
          <rPr>
            <b/>
            <sz val="9"/>
            <color indexed="81"/>
            <rFont val="Tahoma"/>
            <family val="2"/>
            <charset val="238"/>
          </rPr>
          <t>VLOŽTE JEDNOTKOVOU CENU ZHOTOVITELE ZA POLOŽKU</t>
        </r>
      </text>
    </comment>
    <comment ref="G20" authorId="0" shapeId="0" xr:uid="{FCBB6382-7306-4A99-82AF-940BB72649C7}">
      <text>
        <r>
          <rPr>
            <b/>
            <sz val="9"/>
            <color indexed="81"/>
            <rFont val="Tahoma"/>
            <family val="2"/>
            <charset val="238"/>
          </rPr>
          <t>VLOŽTE JEDNOTKOVOU CENU ZHOTOVITELE ZA POLOŽKU</t>
        </r>
      </text>
    </comment>
    <comment ref="G22" authorId="0" shapeId="0" xr:uid="{B7C05D66-4341-469A-B15C-0C98B28D5AEF}">
      <text>
        <r>
          <rPr>
            <b/>
            <sz val="9"/>
            <color indexed="81"/>
            <rFont val="Tahoma"/>
            <family val="2"/>
            <charset val="238"/>
          </rPr>
          <t>VLOŽTE JEDNOTKOVOU CENU ZHOTOVITELE ZA POLOŽKU</t>
        </r>
      </text>
    </comment>
    <comment ref="G25" authorId="0" shapeId="0" xr:uid="{4422EC4F-339A-4991-99CF-8F3BA41A774E}">
      <text>
        <r>
          <rPr>
            <b/>
            <sz val="9"/>
            <color indexed="81"/>
            <rFont val="Tahoma"/>
            <family val="2"/>
            <charset val="238"/>
          </rPr>
          <t>VLOŽTE JEDNOTKOVOU CENU ZHOTOVITELE ZA POLOŽKU</t>
        </r>
      </text>
    </comment>
    <comment ref="G28" authorId="0" shapeId="0" xr:uid="{4D20D4DE-B038-48CB-A4DE-C69471639F4A}">
      <text>
        <r>
          <rPr>
            <b/>
            <sz val="9"/>
            <color indexed="81"/>
            <rFont val="Tahoma"/>
            <family val="2"/>
            <charset val="238"/>
          </rPr>
          <t>VLOŽTE JEDNOTKOVOU CENU ZHOTOVITELE ZA POLOŽKU</t>
        </r>
      </text>
    </comment>
    <comment ref="G30" authorId="0" shapeId="0" xr:uid="{DB43B489-C509-4B12-B448-E5183C182384}">
      <text>
        <r>
          <rPr>
            <b/>
            <sz val="9"/>
            <color indexed="81"/>
            <rFont val="Tahoma"/>
            <family val="2"/>
            <charset val="238"/>
          </rPr>
          <t>VLOŽTE JEDNOTKOVOU CENU ZHOTOVITELE ZA POLOŽKU</t>
        </r>
      </text>
    </comment>
    <comment ref="G32" authorId="0" shapeId="0" xr:uid="{0063B127-1113-4CC1-BA73-500BE1CF48A7}">
      <text>
        <r>
          <rPr>
            <b/>
            <sz val="9"/>
            <color indexed="81"/>
            <rFont val="Tahoma"/>
            <family val="2"/>
            <charset val="238"/>
          </rPr>
          <t>VLOŽTE JEDNOTKOVOU CENU ZHOTOVITELE ZA POLOŽKU</t>
        </r>
      </text>
    </comment>
    <comment ref="G34" authorId="0" shapeId="0" xr:uid="{50783B5F-172A-488E-98E9-F78F3B4CD933}">
      <text>
        <r>
          <rPr>
            <b/>
            <sz val="9"/>
            <color indexed="81"/>
            <rFont val="Tahoma"/>
            <family val="2"/>
            <charset val="238"/>
          </rPr>
          <t>VLOŽTE JEDNOTKOVOU CENU ZHOTOVITELE ZA POLOŽKU</t>
        </r>
      </text>
    </comment>
    <comment ref="G36" authorId="0" shapeId="0" xr:uid="{5AA48C6E-1229-419C-ADA4-104B8A21BDCB}">
      <text>
        <r>
          <rPr>
            <b/>
            <sz val="9"/>
            <color indexed="81"/>
            <rFont val="Tahoma"/>
            <family val="2"/>
            <charset val="238"/>
          </rPr>
          <t>VLOŽTE JEDNOTKOVOU CENU ZHOTOVITELE ZA POLOŽKU</t>
        </r>
      </text>
    </comment>
    <comment ref="G38" authorId="0" shapeId="0" xr:uid="{8A877158-422F-4D9D-B5A5-FA1F449354FE}">
      <text>
        <r>
          <rPr>
            <b/>
            <sz val="9"/>
            <color indexed="81"/>
            <rFont val="Tahoma"/>
            <family val="2"/>
            <charset val="238"/>
          </rPr>
          <t>VLOŽTE JEDNOTKOVOU CENU ZHOTOVITELE ZA POLOŽKU</t>
        </r>
      </text>
    </comment>
    <comment ref="G41" authorId="0" shapeId="0" xr:uid="{82ACFAF1-366A-474B-BE90-53534EAA9E69}">
      <text>
        <r>
          <rPr>
            <b/>
            <sz val="9"/>
            <color indexed="81"/>
            <rFont val="Tahoma"/>
            <family val="2"/>
            <charset val="238"/>
          </rPr>
          <t>VLOŽTE JEDNOTKOVOU CENU ZHOTOVITELE ZA POLOŽKU</t>
        </r>
      </text>
    </comment>
    <comment ref="G43" authorId="0" shapeId="0" xr:uid="{1048C1F1-434B-4D34-A0F0-E29E473AD600}">
      <text>
        <r>
          <rPr>
            <b/>
            <sz val="9"/>
            <color indexed="81"/>
            <rFont val="Tahoma"/>
            <family val="2"/>
            <charset val="238"/>
          </rPr>
          <t>VLOŽTE JEDNOTKOVOU CENU ZHOTOVITELE ZA POLOŽKU</t>
        </r>
      </text>
    </comment>
    <comment ref="G46" authorId="0" shapeId="0" xr:uid="{7078CEB5-8968-4C0C-93FB-5CA87A9DAEE7}">
      <text>
        <r>
          <rPr>
            <b/>
            <sz val="9"/>
            <color indexed="81"/>
            <rFont val="Tahoma"/>
            <family val="2"/>
            <charset val="238"/>
          </rPr>
          <t>VLOŽTE JEDNOTKOVOU CENU ZHOTOVITELE ZA POLOŽKU</t>
        </r>
      </text>
    </comment>
    <comment ref="G48" authorId="0" shapeId="0" xr:uid="{9D74EF1F-A00F-4484-8193-5EF20B00168B}">
      <text>
        <r>
          <rPr>
            <b/>
            <sz val="9"/>
            <color indexed="81"/>
            <rFont val="Tahoma"/>
            <family val="2"/>
            <charset val="238"/>
          </rPr>
          <t>VLOŽTE JEDNOTKOVOU CENU ZHOTOVITELE ZA POLOŽKU</t>
        </r>
      </text>
    </comment>
    <comment ref="G50" authorId="0" shapeId="0" xr:uid="{7E882C2B-6DF7-4322-9D4D-C11A520BDDC5}">
      <text>
        <r>
          <rPr>
            <b/>
            <sz val="9"/>
            <color indexed="81"/>
            <rFont val="Tahoma"/>
            <family val="2"/>
            <charset val="238"/>
          </rPr>
          <t>VLOŽTE JEDNOTKOVOU CENU ZHOTOVITELE ZA POLOŽKU</t>
        </r>
      </text>
    </comment>
    <comment ref="G52" authorId="0" shapeId="0" xr:uid="{41D4BBA7-EEEB-4AC6-897E-6EE353C3E3E0}">
      <text>
        <r>
          <rPr>
            <b/>
            <sz val="9"/>
            <color indexed="81"/>
            <rFont val="Tahoma"/>
            <family val="2"/>
            <charset val="238"/>
          </rPr>
          <t>VLOŽTE JEDNOTKOVOU CENU ZHOTOVITELE ZA POLOŽKU</t>
        </r>
      </text>
    </comment>
    <comment ref="G54" authorId="0" shapeId="0" xr:uid="{45C3DC2C-9FE2-41D9-AC51-B9E5485E6658}">
      <text>
        <r>
          <rPr>
            <b/>
            <sz val="9"/>
            <color indexed="81"/>
            <rFont val="Tahoma"/>
            <family val="2"/>
            <charset val="238"/>
          </rPr>
          <t>VLOŽTE JEDNOTKOVOU CENU ZHOTOVITELE ZA POLOŽKU</t>
        </r>
      </text>
    </comment>
    <comment ref="G56" authorId="0" shapeId="0" xr:uid="{5CAB834E-28E1-49C9-B13F-341380C322D3}">
      <text>
        <r>
          <rPr>
            <b/>
            <sz val="9"/>
            <color indexed="81"/>
            <rFont val="Tahoma"/>
            <family val="2"/>
            <charset val="238"/>
          </rPr>
          <t>VLOŽTE JEDNOTKOVOU CENU ZHOTOVITELE ZA POLOŽKU</t>
        </r>
      </text>
    </comment>
    <comment ref="G58" authorId="0" shapeId="0" xr:uid="{1E885AFB-715A-4E55-ACD0-2FBC30991ADD}">
      <text>
        <r>
          <rPr>
            <b/>
            <sz val="9"/>
            <color indexed="81"/>
            <rFont val="Tahoma"/>
            <family val="2"/>
            <charset val="238"/>
          </rPr>
          <t>VLOŽTE JEDNOTKOVOU CENU ZHOTOVITELE ZA POLOŽKU</t>
        </r>
      </text>
    </comment>
    <comment ref="G60" authorId="0" shapeId="0" xr:uid="{E5FAFDF4-41E5-4BB9-AC39-1805EA485EA4}">
      <text>
        <r>
          <rPr>
            <b/>
            <sz val="9"/>
            <color indexed="81"/>
            <rFont val="Tahoma"/>
            <family val="2"/>
            <charset val="238"/>
          </rPr>
          <t>VLOŽTE JEDNOTKOVOU CENU ZHOTOVITELE ZA POLOŽKU</t>
        </r>
      </text>
    </comment>
    <comment ref="G62" authorId="0" shapeId="0" xr:uid="{AB6FF665-285A-432C-A175-572D27E7EE51}">
      <text>
        <r>
          <rPr>
            <b/>
            <sz val="9"/>
            <color indexed="81"/>
            <rFont val="Tahoma"/>
            <family val="2"/>
            <charset val="238"/>
          </rPr>
          <t>VLOŽTE JEDNOTKOVOU CENU ZHOTOVITELE ZA POLOŽKU</t>
        </r>
      </text>
    </comment>
    <comment ref="G64" authorId="0" shapeId="0" xr:uid="{3B985EC9-F669-4410-9B31-6EFCC9E850E4}">
      <text>
        <r>
          <rPr>
            <b/>
            <sz val="9"/>
            <color indexed="81"/>
            <rFont val="Tahoma"/>
            <family val="2"/>
            <charset val="238"/>
          </rPr>
          <t>VLOŽTE JEDNOTKOVOU CENU ZHOTOVITELE ZA POLOŽKU</t>
        </r>
      </text>
    </comment>
    <comment ref="G67" authorId="0" shapeId="0" xr:uid="{D8A03CB0-F15A-45B1-AFE1-6ACBDDF1F2F8}">
      <text>
        <r>
          <rPr>
            <b/>
            <sz val="9"/>
            <color indexed="81"/>
            <rFont val="Tahoma"/>
            <family val="2"/>
            <charset val="238"/>
          </rPr>
          <t>VLOŽTE JEDNOTKOVOU CENU ZHOTOVITELE ZA POLOŽKU</t>
        </r>
      </text>
    </comment>
    <comment ref="G69" authorId="0" shapeId="0" xr:uid="{7EADEF53-ACDE-4015-9FCD-6C3AE097BDE6}">
      <text>
        <r>
          <rPr>
            <b/>
            <sz val="9"/>
            <color indexed="81"/>
            <rFont val="Tahoma"/>
            <family val="2"/>
            <charset val="238"/>
          </rPr>
          <t>VLOŽTE JEDNOTKOVOU CENU ZHOTOVITELE ZA POLOŽKU</t>
        </r>
      </text>
    </comment>
    <comment ref="G70" authorId="0" shapeId="0" xr:uid="{89802DFB-7C14-4FC4-B873-B486761CC5B8}">
      <text>
        <r>
          <rPr>
            <b/>
            <sz val="9"/>
            <color indexed="81"/>
            <rFont val="Tahoma"/>
            <family val="2"/>
            <charset val="238"/>
          </rPr>
          <t>VLOŽTE JEDNOTKOVOU CENU ZHOTOVITELE ZA POLOŽKU</t>
        </r>
      </text>
    </comment>
    <comment ref="G73" authorId="0" shapeId="0" xr:uid="{0F432A6E-3D4E-4BCD-9DCB-BA204654E63C}">
      <text>
        <r>
          <rPr>
            <b/>
            <sz val="9"/>
            <color indexed="81"/>
            <rFont val="Tahoma"/>
            <family val="2"/>
            <charset val="238"/>
          </rPr>
          <t>VLOŽTE JEDNOTKOVOU CENU ZHOTOVITELE ZA POLOŽKU</t>
        </r>
      </text>
    </comment>
    <comment ref="G76" authorId="0" shapeId="0" xr:uid="{836262FC-E507-41E2-9C43-9596BD6244C5}">
      <text>
        <r>
          <rPr>
            <b/>
            <sz val="9"/>
            <color indexed="81"/>
            <rFont val="Tahoma"/>
            <family val="2"/>
            <charset val="238"/>
          </rPr>
          <t>VLOŽTE JEDNOTKOVOU CENU ZHOTOVITELE ZA POLOŽKU</t>
        </r>
      </text>
    </comment>
    <comment ref="G78" authorId="0" shapeId="0" xr:uid="{709A283A-4015-477C-836A-A5BA2F64A653}">
      <text>
        <r>
          <rPr>
            <b/>
            <sz val="9"/>
            <color indexed="81"/>
            <rFont val="Tahoma"/>
            <family val="2"/>
            <charset val="238"/>
          </rPr>
          <t>VLOŽTE JEDNOTKOVOU CENU ZHOTOVITELE ZA POLOŽKU</t>
        </r>
      </text>
    </comment>
    <comment ref="G81" authorId="0" shapeId="0" xr:uid="{7ECFC4C3-4A73-43E2-A2A0-74BB26F3391D}">
      <text>
        <r>
          <rPr>
            <b/>
            <sz val="9"/>
            <color indexed="81"/>
            <rFont val="Tahoma"/>
            <family val="2"/>
            <charset val="238"/>
          </rPr>
          <t>VLOŽTE JEDNOTKOVOU CENU ZHOTOVITELE ZA POLOŽKU</t>
        </r>
      </text>
    </comment>
    <comment ref="G84" authorId="0" shapeId="0" xr:uid="{D267E00F-AC75-4E8C-9C4C-AE2C18194EE6}">
      <text>
        <r>
          <rPr>
            <b/>
            <sz val="9"/>
            <color indexed="81"/>
            <rFont val="Tahoma"/>
            <family val="2"/>
            <charset val="238"/>
          </rPr>
          <t>VLOŽTE JEDNOTKOVOU CENU ZHOTOVITELE ZA POLOŽKU</t>
        </r>
      </text>
    </comment>
    <comment ref="G87" authorId="0" shapeId="0" xr:uid="{E61A03C9-9C2A-40B1-BEDA-43913C9EC71D}">
      <text>
        <r>
          <rPr>
            <b/>
            <sz val="9"/>
            <color indexed="81"/>
            <rFont val="Tahoma"/>
            <family val="2"/>
            <charset val="238"/>
          </rPr>
          <t>VLOŽTE JEDNOTKOVOU CENU ZHOTOVITELE ZA POLOŽKU</t>
        </r>
      </text>
    </comment>
    <comment ref="G90" authorId="0" shapeId="0" xr:uid="{CCE3E0E3-ACC0-4DB7-A124-CEB770E4003E}">
      <text>
        <r>
          <rPr>
            <b/>
            <sz val="9"/>
            <color indexed="81"/>
            <rFont val="Tahoma"/>
            <family val="2"/>
            <charset val="238"/>
          </rPr>
          <t>VLOŽTE JEDNOTKOVOU CENU ZHOTOVITELE ZA POLOŽKU</t>
        </r>
      </text>
    </comment>
    <comment ref="G92" authorId="0" shapeId="0" xr:uid="{682487B1-E085-4C1D-85FD-0345E41F1194}">
      <text>
        <r>
          <rPr>
            <b/>
            <sz val="9"/>
            <color indexed="81"/>
            <rFont val="Tahoma"/>
            <family val="2"/>
            <charset val="238"/>
          </rPr>
          <t>VLOŽTE JEDNOTKOVOU CENU ZHOTOVITELE ZA POLOŽKU</t>
        </r>
      </text>
    </comment>
    <comment ref="G94" authorId="0" shapeId="0" xr:uid="{6BB3116E-365F-496A-98A3-2D7F441300C0}">
      <text>
        <r>
          <rPr>
            <b/>
            <sz val="9"/>
            <color indexed="81"/>
            <rFont val="Tahoma"/>
            <family val="2"/>
            <charset val="238"/>
          </rPr>
          <t>VLOŽTE JEDNOTKOVOU CENU ZHOTOVITELE ZA POLOŽKU</t>
        </r>
      </text>
    </comment>
    <comment ref="G96" authorId="0" shapeId="0" xr:uid="{7F01EE8B-D3D2-469C-9383-A5DCBA998285}">
      <text>
        <r>
          <rPr>
            <b/>
            <sz val="9"/>
            <color indexed="81"/>
            <rFont val="Tahoma"/>
            <family val="2"/>
            <charset val="238"/>
          </rPr>
          <t>VLOŽTE JEDNOTKOVOU CENU ZHOTOVITELE ZA POLOŽKU</t>
        </r>
      </text>
    </comment>
    <comment ref="G98" authorId="0" shapeId="0" xr:uid="{F96C0C05-94DC-4929-B7E6-D308CB84AB86}">
      <text>
        <r>
          <rPr>
            <b/>
            <sz val="9"/>
            <color indexed="81"/>
            <rFont val="Tahoma"/>
            <family val="2"/>
            <charset val="238"/>
          </rPr>
          <t>VLOŽTE JEDNOTKOVOU CENU ZHOTOVITELE ZA POLOŽKU</t>
        </r>
      </text>
    </comment>
    <comment ref="G100" authorId="0" shapeId="0" xr:uid="{1241442D-E20C-4A85-9BED-B805DCD336D0}">
      <text>
        <r>
          <rPr>
            <b/>
            <sz val="9"/>
            <color indexed="81"/>
            <rFont val="Tahoma"/>
            <family val="2"/>
            <charset val="238"/>
          </rPr>
          <t>VLOŽTE JEDNOTKOVOU CENU ZHOTOVITELE ZA POLOŽKU</t>
        </r>
      </text>
    </comment>
    <comment ref="G102" authorId="0" shapeId="0" xr:uid="{B38ECC98-6E2E-4B40-BFE0-F8A05940ADFF}">
      <text>
        <r>
          <rPr>
            <b/>
            <sz val="9"/>
            <color indexed="81"/>
            <rFont val="Tahoma"/>
            <family val="2"/>
            <charset val="238"/>
          </rPr>
          <t>VLOŽTE JEDNOTKOVOU CENU ZHOTOVITELE ZA POLOŽKU</t>
        </r>
      </text>
    </comment>
    <comment ref="G105" authorId="0" shapeId="0" xr:uid="{B937E602-145A-4D17-ADD5-1CDC70238CC2}">
      <text>
        <r>
          <rPr>
            <b/>
            <sz val="9"/>
            <color indexed="81"/>
            <rFont val="Tahoma"/>
            <family val="2"/>
            <charset val="238"/>
          </rPr>
          <t>VLOŽTE JEDNOTKOVOU CENU ZHOTOVITELE ZA POLOŽKU</t>
        </r>
      </text>
    </comment>
    <comment ref="G108" authorId="0" shapeId="0" xr:uid="{CA8C75DD-78BF-4E93-83E1-33A952B5FB67}">
      <text>
        <r>
          <rPr>
            <b/>
            <sz val="9"/>
            <color indexed="81"/>
            <rFont val="Tahoma"/>
            <family val="2"/>
            <charset val="238"/>
          </rPr>
          <t>VLOŽTE JEDNOTKOVOU CENU ZHOTOVITELE ZA POLOŽKU</t>
        </r>
      </text>
    </comment>
    <comment ref="G110" authorId="0" shapeId="0" xr:uid="{69E38ED5-C70A-4B1F-A17A-BCA5EBA83A29}">
      <text>
        <r>
          <rPr>
            <b/>
            <sz val="9"/>
            <color indexed="81"/>
            <rFont val="Tahoma"/>
            <family val="2"/>
            <charset val="238"/>
          </rPr>
          <t>VLOŽTE JEDNOTKOVOU CENU ZHOTOVITELE ZA POLOŽKU</t>
        </r>
      </text>
    </comment>
    <comment ref="G113" authorId="0" shapeId="0" xr:uid="{53036098-3E36-45CC-998A-04C23C3438EA}">
      <text>
        <r>
          <rPr>
            <b/>
            <sz val="9"/>
            <color indexed="81"/>
            <rFont val="Tahoma"/>
            <family val="2"/>
            <charset val="238"/>
          </rPr>
          <t>VLOŽTE JEDNOTKOVOU CENU ZHOTOVITELE ZA POLOŽKU</t>
        </r>
      </text>
    </comment>
    <comment ref="G115" authorId="0" shapeId="0" xr:uid="{5256FC50-0D0D-472F-AF02-F3A81A197EDF}">
      <text>
        <r>
          <rPr>
            <b/>
            <sz val="9"/>
            <color indexed="81"/>
            <rFont val="Tahoma"/>
            <family val="2"/>
            <charset val="238"/>
          </rPr>
          <t>VLOŽTE JEDNOTKOVOU CENU ZHOTOVITELE ZA POLOŽKU</t>
        </r>
      </text>
    </comment>
    <comment ref="G117" authorId="0" shapeId="0" xr:uid="{F2C936D2-1269-427B-BF0A-797D272F3165}">
      <text>
        <r>
          <rPr>
            <b/>
            <sz val="9"/>
            <color indexed="81"/>
            <rFont val="Tahoma"/>
            <family val="2"/>
            <charset val="238"/>
          </rPr>
          <t>VLOŽTE JEDNOTKOVOU CENU ZHOTOVITELE ZA POLOŽKU</t>
        </r>
      </text>
    </comment>
    <comment ref="G119" authorId="0" shapeId="0" xr:uid="{B494D118-8C12-449C-AC0C-79A2A35F7EEC}">
      <text>
        <r>
          <rPr>
            <b/>
            <sz val="9"/>
            <color indexed="81"/>
            <rFont val="Tahoma"/>
            <family val="2"/>
            <charset val="238"/>
          </rPr>
          <t>VLOŽTE JEDNOTKOVOU CENU ZHOTOVITELE ZA POLOŽKU</t>
        </r>
      </text>
    </comment>
    <comment ref="G121" authorId="0" shapeId="0" xr:uid="{C45DE723-B9BA-4377-A597-1BEDAD5550B2}">
      <text>
        <r>
          <rPr>
            <b/>
            <sz val="9"/>
            <color indexed="81"/>
            <rFont val="Tahoma"/>
            <family val="2"/>
            <charset val="238"/>
          </rPr>
          <t>VLOŽTE JEDNOTKOVOU CENU ZHOTOVITELE ZA POLOŽKU</t>
        </r>
      </text>
    </comment>
    <comment ref="G123" authorId="0" shapeId="0" xr:uid="{66BA4AD9-F71E-41FD-A282-D580F1CEC7B4}">
      <text>
        <r>
          <rPr>
            <b/>
            <sz val="9"/>
            <color indexed="81"/>
            <rFont val="Tahoma"/>
            <family val="2"/>
            <charset val="238"/>
          </rPr>
          <t>VLOŽTE JEDNOTKOVOU CENU ZHOTOVITELE ZA POLOŽKU</t>
        </r>
      </text>
    </comment>
    <comment ref="G125" authorId="0" shapeId="0" xr:uid="{1646FF4A-4F72-4672-8703-D7F784592BDD}">
      <text>
        <r>
          <rPr>
            <b/>
            <sz val="9"/>
            <color indexed="81"/>
            <rFont val="Tahoma"/>
            <family val="2"/>
            <charset val="238"/>
          </rPr>
          <t>VLOŽTE JEDNOTKOVOU CENU ZHOTOVITELE ZA POLOŽKU</t>
        </r>
      </text>
    </comment>
    <comment ref="G127" authorId="0" shapeId="0" xr:uid="{B3A05AE1-3B39-49A4-B092-54D8065E2271}">
      <text>
        <r>
          <rPr>
            <b/>
            <sz val="9"/>
            <color indexed="81"/>
            <rFont val="Tahoma"/>
            <family val="2"/>
            <charset val="238"/>
          </rPr>
          <t>VLOŽTE JEDNOTKOVOU CENU ZHOTOVITELE ZA POLOŽKU</t>
        </r>
      </text>
    </comment>
    <comment ref="G129" authorId="0" shapeId="0" xr:uid="{FF2D6A8D-F97E-4319-A840-E48A1038EE63}">
      <text>
        <r>
          <rPr>
            <b/>
            <sz val="9"/>
            <color indexed="81"/>
            <rFont val="Tahoma"/>
            <family val="2"/>
            <charset val="238"/>
          </rPr>
          <t>VLOŽTE JEDNOTKOVOU CENU ZHOTOVITELE ZA POLOŽKU</t>
        </r>
      </text>
    </comment>
    <comment ref="G132" authorId="0" shapeId="0" xr:uid="{1EE5EC58-D628-47C4-BFCB-D647F4D165AB}">
      <text>
        <r>
          <rPr>
            <b/>
            <sz val="9"/>
            <color indexed="81"/>
            <rFont val="Tahoma"/>
            <family val="2"/>
            <charset val="238"/>
          </rPr>
          <t>VLOŽTE JEDNOTKOVOU CENU ZHOTOVITELE ZA POLOŽKU</t>
        </r>
      </text>
    </comment>
    <comment ref="G135" authorId="0" shapeId="0" xr:uid="{615B53E1-AEA6-448D-B3A4-17B404800645}">
      <text>
        <r>
          <rPr>
            <b/>
            <sz val="9"/>
            <color indexed="81"/>
            <rFont val="Tahoma"/>
            <family val="2"/>
            <charset val="238"/>
          </rPr>
          <t>VLOŽTE JEDNOTKOVOU CENU ZHOTOVITELE ZA POLOŽKU</t>
        </r>
      </text>
    </comment>
    <comment ref="G136" authorId="0" shapeId="0" xr:uid="{B0355F51-5501-4FAE-8BC7-0D7D7CF4240D}">
      <text>
        <r>
          <rPr>
            <b/>
            <sz val="9"/>
            <color indexed="81"/>
            <rFont val="Tahoma"/>
            <family val="2"/>
            <charset val="238"/>
          </rPr>
          <t>VLOŽTE JEDNOTKOVOU CENU ZHOTOVITELE ZA POLOŽKU</t>
        </r>
      </text>
    </comment>
    <comment ref="G138" authorId="0" shapeId="0" xr:uid="{2A1F2C2B-4047-4EE3-B2C8-32B222037903}">
      <text>
        <r>
          <rPr>
            <b/>
            <sz val="9"/>
            <color indexed="81"/>
            <rFont val="Tahoma"/>
            <family val="2"/>
            <charset val="238"/>
          </rPr>
          <t>VLOŽTE JEDNOTKOVOU CENU ZHOTOVITELE ZA POLOŽKU</t>
        </r>
      </text>
    </comment>
    <comment ref="G140" authorId="0" shapeId="0" xr:uid="{312ACE4D-2943-4F29-AA77-DED5DE512DFA}">
      <text>
        <r>
          <rPr>
            <b/>
            <sz val="9"/>
            <color indexed="81"/>
            <rFont val="Tahoma"/>
            <family val="2"/>
            <charset val="238"/>
          </rPr>
          <t>VLOŽTE JEDNOTKOVOU CENU ZHOTOVITELE ZA POLOŽKU</t>
        </r>
      </text>
    </comment>
    <comment ref="G142" authorId="0" shapeId="0" xr:uid="{22D8DEC8-61B8-4F59-B663-D9FF0F10EE2F}">
      <text>
        <r>
          <rPr>
            <b/>
            <sz val="9"/>
            <color indexed="81"/>
            <rFont val="Tahoma"/>
            <family val="2"/>
            <charset val="238"/>
          </rPr>
          <t>VLOŽTE JEDNOTKOVOU CENU ZHOTOVITELE ZA POLOŽKU</t>
        </r>
      </text>
    </comment>
    <comment ref="G143" authorId="0" shapeId="0" xr:uid="{4FAB84C0-D236-4282-886D-05D10335F46E}">
      <text>
        <r>
          <rPr>
            <b/>
            <sz val="9"/>
            <color indexed="81"/>
            <rFont val="Tahoma"/>
            <family val="2"/>
            <charset val="238"/>
          </rPr>
          <t>VLOŽTE JEDNOTKOVOU CENU ZHOTOVITELE ZA POLOŽKU</t>
        </r>
      </text>
    </comment>
    <comment ref="G144" authorId="0" shapeId="0" xr:uid="{F9DF7B12-2934-49CB-9048-69859B244024}">
      <text>
        <r>
          <rPr>
            <b/>
            <sz val="9"/>
            <color indexed="81"/>
            <rFont val="Tahoma"/>
            <family val="2"/>
            <charset val="238"/>
          </rPr>
          <t>VLOŽTE JEDNOTKOVOU CENU ZHOTOVITELE ZA POLOŽKU</t>
        </r>
      </text>
    </comment>
    <comment ref="G146" authorId="0" shapeId="0" xr:uid="{A8F75943-BB26-48C7-B6D7-092FE7D64933}">
      <text>
        <r>
          <rPr>
            <b/>
            <sz val="9"/>
            <color indexed="81"/>
            <rFont val="Tahoma"/>
            <family val="2"/>
            <charset val="238"/>
          </rPr>
          <t>VLOŽTE JEDNOTKOVOU CENU ZHOTOVITELE ZA POLOŽKU</t>
        </r>
      </text>
    </comment>
    <comment ref="G148" authorId="0" shapeId="0" xr:uid="{BD512EFD-FD8C-4224-9BED-4E5B9AB28D38}">
      <text>
        <r>
          <rPr>
            <b/>
            <sz val="9"/>
            <color indexed="81"/>
            <rFont val="Tahoma"/>
            <family val="2"/>
            <charset val="238"/>
          </rPr>
          <t>VLOŽTE JEDNOTKOVOU CENU ZHOTOVITELE ZA POLOŽKU</t>
        </r>
      </text>
    </comment>
    <comment ref="G150" authorId="0" shapeId="0" xr:uid="{BCF7E344-6F38-4967-A530-A7E35947FA6F}">
      <text>
        <r>
          <rPr>
            <b/>
            <sz val="9"/>
            <color indexed="81"/>
            <rFont val="Tahoma"/>
            <family val="2"/>
            <charset val="238"/>
          </rPr>
          <t>VLOŽTE JEDNOTKOVOU CENU ZHOTOVITELE ZA POLOŽKU</t>
        </r>
      </text>
    </comment>
    <comment ref="G152" authorId="0" shapeId="0" xr:uid="{D3014239-6178-4694-A47A-84A3BE64878B}">
      <text>
        <r>
          <rPr>
            <b/>
            <sz val="9"/>
            <color indexed="81"/>
            <rFont val="Tahoma"/>
            <family val="2"/>
            <charset val="238"/>
          </rPr>
          <t>VLOŽTE JEDNOTKOVOU CENU ZHOTOVITELE ZA POLOŽKU</t>
        </r>
      </text>
    </comment>
    <comment ref="G154" authorId="0" shapeId="0" xr:uid="{92DE278F-B676-4970-9072-75AA14E90D7F}">
      <text>
        <r>
          <rPr>
            <b/>
            <sz val="9"/>
            <color indexed="81"/>
            <rFont val="Tahoma"/>
            <family val="2"/>
            <charset val="238"/>
          </rPr>
          <t>VLOŽTE JEDNOTKOVOU CENU ZHOTOVITELE ZA POLOŽKU</t>
        </r>
      </text>
    </comment>
    <comment ref="G155" authorId="0" shapeId="0" xr:uid="{5CE34C6A-1CBF-4EA0-87B6-E7E75CFD6FA1}">
      <text>
        <r>
          <rPr>
            <b/>
            <sz val="9"/>
            <color indexed="81"/>
            <rFont val="Tahoma"/>
            <family val="2"/>
            <charset val="238"/>
          </rPr>
          <t>VLOŽTE JEDNOTKOVOU CENU ZHOTOVITELE ZA POLOŽKU</t>
        </r>
      </text>
    </comment>
    <comment ref="G156" authorId="0" shapeId="0" xr:uid="{348AA821-C51F-426E-AAAD-0CD5FC76FE39}">
      <text>
        <r>
          <rPr>
            <b/>
            <sz val="9"/>
            <color indexed="81"/>
            <rFont val="Tahoma"/>
            <family val="2"/>
            <charset val="238"/>
          </rPr>
          <t>VLOŽTE JEDNOTKOVOU CENU ZHOTOVITELE ZA POLOŽKU</t>
        </r>
      </text>
    </comment>
    <comment ref="G157" authorId="0" shapeId="0" xr:uid="{1C4B2EC5-2C7E-4E75-841E-8CEA90A720D6}">
      <text>
        <r>
          <rPr>
            <b/>
            <sz val="9"/>
            <color indexed="81"/>
            <rFont val="Tahoma"/>
            <family val="2"/>
            <charset val="238"/>
          </rPr>
          <t>VLOŽTE JEDNOTKOVOU CENU ZHOTOVITELE ZA POLOŽKU</t>
        </r>
      </text>
    </comment>
    <comment ref="G158" authorId="0" shapeId="0" xr:uid="{CF740DF4-ADFA-4EB4-AB55-975841D366EE}">
      <text>
        <r>
          <rPr>
            <b/>
            <sz val="9"/>
            <color indexed="81"/>
            <rFont val="Tahoma"/>
            <family val="2"/>
            <charset val="238"/>
          </rPr>
          <t>VLOŽTE JEDNOTKOVOU CENU ZHOTOVITELE ZA POLOŽKU</t>
        </r>
      </text>
    </comment>
    <comment ref="G159" authorId="0" shapeId="0" xr:uid="{2695EE0D-534F-439E-B294-D21C0A962CF7}">
      <text>
        <r>
          <rPr>
            <b/>
            <sz val="9"/>
            <color indexed="81"/>
            <rFont val="Tahoma"/>
            <family val="2"/>
            <charset val="238"/>
          </rPr>
          <t>VLOŽTE JEDNOTKOVOU CENU ZHOTOVITELE ZA POLOŽKU</t>
        </r>
      </text>
    </comment>
    <comment ref="G161" authorId="0" shapeId="0" xr:uid="{36DCAC79-2A51-49E7-975A-FA8C6DFCCB19}">
      <text>
        <r>
          <rPr>
            <b/>
            <sz val="9"/>
            <color indexed="81"/>
            <rFont val="Tahoma"/>
            <family val="2"/>
            <charset val="238"/>
          </rPr>
          <t>VLOŽTE JEDNOTKOVOU CENU ZHOTOVITELE ZA POLOŽKU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DEB25A22-4150-4C7F-8A97-1722C23F2D8C}">
      <text>
        <r>
          <rPr>
            <b/>
            <sz val="9"/>
            <color indexed="81"/>
            <rFont val="Tahoma"/>
            <family val="2"/>
            <charset val="238"/>
          </rPr>
          <t>VLOŽTE JEDNOTKOVOU CENU ZHOTOVITELE ZA POLOŽKU</t>
        </r>
      </text>
    </comment>
    <comment ref="G16" authorId="0" shapeId="0" xr:uid="{A50D3A2D-65E9-4A86-9F8B-CA61D36AEEDE}">
      <text>
        <r>
          <rPr>
            <b/>
            <sz val="9"/>
            <color indexed="81"/>
            <rFont val="Tahoma"/>
            <family val="2"/>
            <charset val="238"/>
          </rPr>
          <t>VLOŽTE JEDNOTKOVOU CENU ZHOTOVITELE ZA POLOŽKU</t>
        </r>
      </text>
    </comment>
    <comment ref="G18" authorId="0" shapeId="0" xr:uid="{8E7A25E3-C38C-4B36-8462-BBFEDDE76FF7}">
      <text>
        <r>
          <rPr>
            <b/>
            <sz val="9"/>
            <color indexed="81"/>
            <rFont val="Tahoma"/>
            <family val="2"/>
            <charset val="238"/>
          </rPr>
          <t>VLOŽTE JEDNOTKOVOU CENU ZHOTOVITELE ZA POLOŽKU</t>
        </r>
      </text>
    </comment>
    <comment ref="G20" authorId="0" shapeId="0" xr:uid="{57D547F4-E688-4204-8DD8-57BA573FF83A}">
      <text>
        <r>
          <rPr>
            <b/>
            <sz val="9"/>
            <color indexed="81"/>
            <rFont val="Tahoma"/>
            <family val="2"/>
            <charset val="238"/>
          </rPr>
          <t>VLOŽTE JEDNOTKOVOU CENU ZHOTOVITELE ZA POLOŽKU</t>
        </r>
      </text>
    </comment>
    <comment ref="G22" authorId="0" shapeId="0" xr:uid="{7C33612F-B97B-4EBC-A357-555F2544099D}">
      <text>
        <r>
          <rPr>
            <b/>
            <sz val="9"/>
            <color indexed="81"/>
            <rFont val="Tahoma"/>
            <family val="2"/>
            <charset val="238"/>
          </rPr>
          <t>VLOŽTE JEDNOTKOVOU CENU ZHOTOVITELE ZA POLOŽKU</t>
        </r>
      </text>
    </comment>
    <comment ref="G25" authorId="0" shapeId="0" xr:uid="{10A7406E-6AF4-478C-B8F5-19B60BCFB17A}">
      <text>
        <r>
          <rPr>
            <b/>
            <sz val="9"/>
            <color indexed="81"/>
            <rFont val="Tahoma"/>
            <family val="2"/>
            <charset val="238"/>
          </rPr>
          <t>VLOŽTE JEDNOTKOVOU CENU ZHOTOVITELE ZA POLOŽKU</t>
        </r>
      </text>
    </comment>
    <comment ref="G27" authorId="0" shapeId="0" xr:uid="{0515B20D-E8E8-41B5-B96F-C1D23C11DEFB}">
      <text>
        <r>
          <rPr>
            <b/>
            <sz val="9"/>
            <color indexed="81"/>
            <rFont val="Tahoma"/>
            <family val="2"/>
            <charset val="238"/>
          </rPr>
          <t>VLOŽTE JEDNOTKOVOU CENU ZHOTOVITELE ZA POLOŽKU</t>
        </r>
      </text>
    </comment>
    <comment ref="G29" authorId="0" shapeId="0" xr:uid="{A3E8BD4B-0ED1-42C1-8B3F-89C834069766}">
      <text>
        <r>
          <rPr>
            <b/>
            <sz val="9"/>
            <color indexed="81"/>
            <rFont val="Tahoma"/>
            <family val="2"/>
            <charset val="238"/>
          </rPr>
          <t>VLOŽTE JEDNOTKOVOU CENU ZHOTOVITELE ZA POLOŽKU</t>
        </r>
      </text>
    </comment>
    <comment ref="G31" authorId="0" shapeId="0" xr:uid="{39C59E1D-397C-4AAE-B5E2-F6766E3627B2}">
      <text>
        <r>
          <rPr>
            <b/>
            <sz val="9"/>
            <color indexed="81"/>
            <rFont val="Tahoma"/>
            <family val="2"/>
            <charset val="238"/>
          </rPr>
          <t>VLOŽTE JEDNOTKOVOU CENU ZHOTOVITELE ZA POLOŽKU</t>
        </r>
      </text>
    </comment>
    <comment ref="G33" authorId="0" shapeId="0" xr:uid="{05FEFB9D-0D57-4FC8-BCCA-ABE54F6D36FF}">
      <text>
        <r>
          <rPr>
            <b/>
            <sz val="9"/>
            <color indexed="81"/>
            <rFont val="Tahoma"/>
            <family val="2"/>
            <charset val="238"/>
          </rPr>
          <t>VLOŽTE JEDNOTKOVOU CENU ZHOTOVITELE ZA POLOŽKU</t>
        </r>
      </text>
    </comment>
    <comment ref="G36" authorId="0" shapeId="0" xr:uid="{0A79E10D-504F-46E2-81E3-4FE3537A4620}">
      <text>
        <r>
          <rPr>
            <b/>
            <sz val="9"/>
            <color indexed="81"/>
            <rFont val="Tahoma"/>
            <family val="2"/>
            <charset val="238"/>
          </rPr>
          <t>VLOŽTE JEDNOTKOVOU CENU ZHOTOVITELE ZA POLOŽKU</t>
        </r>
      </text>
    </comment>
    <comment ref="G38" authorId="0" shapeId="0" xr:uid="{FA3C7D89-F237-434E-83CE-7F994234726D}">
      <text>
        <r>
          <rPr>
            <b/>
            <sz val="9"/>
            <color indexed="81"/>
            <rFont val="Tahoma"/>
            <family val="2"/>
            <charset val="238"/>
          </rPr>
          <t>VLOŽTE JEDNOTKOVOU CENU ZHOTOVITELE ZA POLOŽKU</t>
        </r>
      </text>
    </comment>
    <comment ref="G41" authorId="0" shapeId="0" xr:uid="{459AAC43-8318-4B6F-8C3B-7FFD0D5A6E21}">
      <text>
        <r>
          <rPr>
            <b/>
            <sz val="9"/>
            <color indexed="81"/>
            <rFont val="Tahoma"/>
            <family val="2"/>
            <charset val="238"/>
          </rPr>
          <t>VLOŽTE JEDNOTKOVOU CENU ZHOTOVITELE ZA POLOŽKU</t>
        </r>
      </text>
    </comment>
    <comment ref="G44" authorId="0" shapeId="0" xr:uid="{A9FF9DA6-F7B8-4AAE-8176-A54F4983CFE9}">
      <text>
        <r>
          <rPr>
            <b/>
            <sz val="9"/>
            <color indexed="81"/>
            <rFont val="Tahoma"/>
            <family val="2"/>
            <charset val="238"/>
          </rPr>
          <t>VLOŽTE JEDNOTKOVOU CENU ZHOTOVITELE ZA POLOŽKU</t>
        </r>
      </text>
    </comment>
    <comment ref="G46" authorId="0" shapeId="0" xr:uid="{B2CD9D4D-0E65-4965-ACAB-6942416C7F13}">
      <text>
        <r>
          <rPr>
            <b/>
            <sz val="9"/>
            <color indexed="81"/>
            <rFont val="Tahoma"/>
            <family val="2"/>
            <charset val="238"/>
          </rPr>
          <t>VLOŽTE JEDNOTKOVOU CENU ZHOTOVITELE ZA POLOŽKU</t>
        </r>
      </text>
    </comment>
    <comment ref="G48" authorId="0" shapeId="0" xr:uid="{DDF6032A-F95C-4A9A-AFEE-5C04384CB6CD}">
      <text>
        <r>
          <rPr>
            <b/>
            <sz val="9"/>
            <color indexed="81"/>
            <rFont val="Tahoma"/>
            <family val="2"/>
            <charset val="238"/>
          </rPr>
          <t>VLOŽTE JEDNOTKOVOU CENU ZHOTOVITELE ZA POLOŽKU</t>
        </r>
      </text>
    </comment>
    <comment ref="G50" authorId="0" shapeId="0" xr:uid="{A9521992-3E06-452E-836F-943B8671DA2F}">
      <text>
        <r>
          <rPr>
            <b/>
            <sz val="9"/>
            <color indexed="81"/>
            <rFont val="Tahoma"/>
            <family val="2"/>
            <charset val="238"/>
          </rPr>
          <t>VLOŽTE JEDNOTKOVOU CENU ZHOTOVITELE ZA POLOŽKU</t>
        </r>
      </text>
    </comment>
    <comment ref="G52" authorId="0" shapeId="0" xr:uid="{87042716-936D-4082-8FF8-7E63EC63CD81}">
      <text>
        <r>
          <rPr>
            <b/>
            <sz val="9"/>
            <color indexed="81"/>
            <rFont val="Tahoma"/>
            <family val="2"/>
            <charset val="238"/>
          </rPr>
          <t>VLOŽTE JEDNOTKOVOU CENU ZHOTOVITELE ZA POLOŽKU</t>
        </r>
      </text>
    </comment>
    <comment ref="G54" authorId="0" shapeId="0" xr:uid="{0E32BAAC-63B3-4F3F-875B-329DCE208D9A}">
      <text>
        <r>
          <rPr>
            <b/>
            <sz val="9"/>
            <color indexed="81"/>
            <rFont val="Tahoma"/>
            <family val="2"/>
            <charset val="238"/>
          </rPr>
          <t>VLOŽTE JEDNOTKOVOU CENU ZHOTOVITELE ZA POLOŽKU</t>
        </r>
      </text>
    </comment>
    <comment ref="G56" authorId="0" shapeId="0" xr:uid="{C30C5B30-6868-4C27-909A-BFFCCC1A4BF0}">
      <text>
        <r>
          <rPr>
            <b/>
            <sz val="9"/>
            <color indexed="81"/>
            <rFont val="Tahoma"/>
            <family val="2"/>
            <charset val="238"/>
          </rPr>
          <t>VLOŽTE JEDNOTKOVOU CENU ZHOTOVITELE ZA POLOŽKU</t>
        </r>
      </text>
    </comment>
    <comment ref="G58" authorId="0" shapeId="0" xr:uid="{E64F627C-0101-4F71-8603-4F12919F889E}">
      <text>
        <r>
          <rPr>
            <b/>
            <sz val="9"/>
            <color indexed="81"/>
            <rFont val="Tahoma"/>
            <family val="2"/>
            <charset val="238"/>
          </rPr>
          <t>VLOŽTE JEDNOTKOVOU CENU ZHOTOVITELE ZA POLOŽKU</t>
        </r>
      </text>
    </comment>
    <comment ref="G60" authorId="0" shapeId="0" xr:uid="{386BD066-3E65-4C24-BCEC-799ACB0EE0F7}">
      <text>
        <r>
          <rPr>
            <b/>
            <sz val="9"/>
            <color indexed="81"/>
            <rFont val="Tahoma"/>
            <family val="2"/>
            <charset val="238"/>
          </rPr>
          <t>VLOŽTE JEDNOTKOVOU CENU ZHOTOVITELE ZA POLOŽKU</t>
        </r>
      </text>
    </comment>
    <comment ref="G62" authorId="0" shapeId="0" xr:uid="{F0DB0B08-284A-4138-9BE4-6E8809AD99B8}">
      <text>
        <r>
          <rPr>
            <b/>
            <sz val="9"/>
            <color indexed="81"/>
            <rFont val="Tahoma"/>
            <family val="2"/>
            <charset val="238"/>
          </rPr>
          <t>VLOŽTE JEDNOTKOVOU CENU ZHOTOVITELE ZA POLOŽKU</t>
        </r>
      </text>
    </comment>
    <comment ref="G65" authorId="0" shapeId="0" xr:uid="{FDDA23EC-5325-43CF-8642-8B80EC0C8BD8}">
      <text>
        <r>
          <rPr>
            <b/>
            <sz val="9"/>
            <color indexed="81"/>
            <rFont val="Tahoma"/>
            <family val="2"/>
            <charset val="238"/>
          </rPr>
          <t>VLOŽTE JEDNOTKOVOU CENU ZHOTOVITELE ZA POLOŽKU</t>
        </r>
      </text>
    </comment>
    <comment ref="G68" authorId="0" shapeId="0" xr:uid="{E4CACCE8-B235-44F7-98CF-5B62C87CB908}">
      <text>
        <r>
          <rPr>
            <b/>
            <sz val="9"/>
            <color indexed="81"/>
            <rFont val="Tahoma"/>
            <family val="2"/>
            <charset val="238"/>
          </rPr>
          <t>VLOŽTE JEDNOTKOVOU CENU ZHOTOVITELE ZA POLOŽKU</t>
        </r>
      </text>
    </comment>
    <comment ref="G70" authorId="0" shapeId="0" xr:uid="{D7E2A9BA-2FE6-4BB9-8D6E-72FE7142C956}">
      <text>
        <r>
          <rPr>
            <b/>
            <sz val="9"/>
            <color indexed="81"/>
            <rFont val="Tahoma"/>
            <family val="2"/>
            <charset val="238"/>
          </rPr>
          <t>VLOŽTE JEDNOTKOVOU CENU ZHOTOVITELE ZA POLOŽKU</t>
        </r>
      </text>
    </comment>
    <comment ref="G73" authorId="0" shapeId="0" xr:uid="{940F3C27-055E-41EC-97A3-BE282FF1E94E}">
      <text>
        <r>
          <rPr>
            <b/>
            <sz val="9"/>
            <color indexed="81"/>
            <rFont val="Tahoma"/>
            <family val="2"/>
            <charset val="238"/>
          </rPr>
          <t>VLOŽTE JEDNOTKOVOU CENU ZHOTOVITELE ZA POLOŽKU</t>
        </r>
      </text>
    </comment>
    <comment ref="G76" authorId="0" shapeId="0" xr:uid="{8974FF8A-59CB-49E4-B563-CD7D46818C6A}">
      <text>
        <r>
          <rPr>
            <b/>
            <sz val="9"/>
            <color indexed="81"/>
            <rFont val="Tahoma"/>
            <family val="2"/>
            <charset val="238"/>
          </rPr>
          <t>VLOŽTE JEDNOTKOVOU CENU ZHOTOVITELE ZA POLOŽKU</t>
        </r>
      </text>
    </comment>
    <comment ref="G78" authorId="0" shapeId="0" xr:uid="{5FF50632-1DA4-4C46-951C-53E2B9971B68}">
      <text>
        <r>
          <rPr>
            <b/>
            <sz val="9"/>
            <color indexed="81"/>
            <rFont val="Tahoma"/>
            <family val="2"/>
            <charset val="238"/>
          </rPr>
          <t>VLOŽTE JEDNOTKOVOU CENU ZHOTOVITELE ZA POLOŽKU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8575B3F9-14C6-4A90-9B41-E7D63131825B}">
      <text>
        <r>
          <rPr>
            <b/>
            <sz val="9"/>
            <color indexed="81"/>
            <rFont val="Tahoma"/>
            <family val="2"/>
            <charset val="238"/>
          </rPr>
          <t>VLOŽTE JEDNOTKOVOU CENU ZHOTOVITELE ZA POLOŽKU</t>
        </r>
      </text>
    </comment>
    <comment ref="G15" authorId="0" shapeId="0" xr:uid="{6FED86F0-D96E-4765-8140-A2936D5E9424}">
      <text>
        <r>
          <rPr>
            <b/>
            <sz val="9"/>
            <color indexed="81"/>
            <rFont val="Tahoma"/>
            <family val="2"/>
            <charset val="238"/>
          </rPr>
          <t>VLOŽTE JEDNOTKOVOU CENU ZHOTOVITELE ZA POLOŽKU</t>
        </r>
      </text>
    </comment>
    <comment ref="G17" authorId="0" shapeId="0" xr:uid="{4E86ED46-2BF6-4C91-A0B6-5208C921E5B3}">
      <text>
        <r>
          <rPr>
            <b/>
            <sz val="9"/>
            <color indexed="81"/>
            <rFont val="Tahoma"/>
            <family val="2"/>
            <charset val="238"/>
          </rPr>
          <t>VLOŽTE JEDNOTKOVOU CENU ZHOTOVITELE ZA POLOŽKU</t>
        </r>
      </text>
    </comment>
    <comment ref="G19" authorId="0" shapeId="0" xr:uid="{B50112F6-776B-4724-BC35-D442E548CF55}">
      <text>
        <r>
          <rPr>
            <b/>
            <sz val="9"/>
            <color indexed="81"/>
            <rFont val="Tahoma"/>
            <family val="2"/>
            <charset val="238"/>
          </rPr>
          <t>VLOŽTE JEDNOTKOVOU CENU ZHOTOVITELE ZA POLOŽKU</t>
        </r>
      </text>
    </comment>
    <comment ref="G21" authorId="0" shapeId="0" xr:uid="{D795581F-C01A-4368-B14F-3827E696EBE7}">
      <text>
        <r>
          <rPr>
            <b/>
            <sz val="9"/>
            <color indexed="81"/>
            <rFont val="Tahoma"/>
            <family val="2"/>
            <charset val="238"/>
          </rPr>
          <t>VLOŽTE JEDNOTKOVOU CENU ZHOTOVITELE ZA POLOŽKU</t>
        </r>
      </text>
    </comment>
    <comment ref="G23" authorId="0" shapeId="0" xr:uid="{7FE181F8-ED8A-44C1-95F6-6CC44A1849A2}">
      <text>
        <r>
          <rPr>
            <b/>
            <sz val="9"/>
            <color indexed="81"/>
            <rFont val="Tahoma"/>
            <family val="2"/>
            <charset val="238"/>
          </rPr>
          <t>VLOŽTE JEDNOTKOVOU CENU ZHOTOVITELE ZA POLOŽKU</t>
        </r>
      </text>
    </comment>
    <comment ref="G25" authorId="0" shapeId="0" xr:uid="{08311BF2-2DC8-4B1A-B54C-E02E3B5B75B8}">
      <text>
        <r>
          <rPr>
            <b/>
            <sz val="9"/>
            <color indexed="81"/>
            <rFont val="Tahoma"/>
            <family val="2"/>
            <charset val="238"/>
          </rPr>
          <t>VLOŽTE JEDNOTKOVOU CENU ZHOTOVITELE ZA POLOŽKU</t>
        </r>
      </text>
    </comment>
    <comment ref="G27" authorId="0" shapeId="0" xr:uid="{EC9573CA-798B-4A59-8956-99227383EA24}">
      <text>
        <r>
          <rPr>
            <b/>
            <sz val="9"/>
            <color indexed="81"/>
            <rFont val="Tahoma"/>
            <family val="2"/>
            <charset val="238"/>
          </rPr>
          <t>VLOŽTE JEDNOTKOVOU CENU ZHOTOVITELE ZA POLOŽKU</t>
        </r>
      </text>
    </comment>
    <comment ref="G30" authorId="0" shapeId="0" xr:uid="{55319630-5946-4FC5-93A5-CAE1E82CFD84}">
      <text>
        <r>
          <rPr>
            <b/>
            <sz val="9"/>
            <color indexed="81"/>
            <rFont val="Tahoma"/>
            <family val="2"/>
            <charset val="238"/>
          </rPr>
          <t>VLOŽTE JEDNOTKOVOU CENU ZHOTOVITELE ZA POLOŽKU</t>
        </r>
      </text>
    </comment>
    <comment ref="G32" authorId="0" shapeId="0" xr:uid="{61C9676F-BF93-4314-A49D-A531FC35A391}">
      <text>
        <r>
          <rPr>
            <b/>
            <sz val="9"/>
            <color indexed="81"/>
            <rFont val="Tahoma"/>
            <family val="2"/>
            <charset val="238"/>
          </rPr>
          <t>VLOŽTE JEDNOTKOVOU CENU ZHOTOVITELE ZA POLOŽKU</t>
        </r>
      </text>
    </comment>
    <comment ref="G35" authorId="0" shapeId="0" xr:uid="{BFE88000-0B05-46A8-B8DD-9AF7C7A9F79E}">
      <text>
        <r>
          <rPr>
            <b/>
            <sz val="9"/>
            <color indexed="81"/>
            <rFont val="Tahoma"/>
            <family val="2"/>
            <charset val="238"/>
          </rPr>
          <t>VLOŽTE JEDNOTKOVOU CENU ZHOTOVITELE ZA POLOŽKU</t>
        </r>
      </text>
    </comment>
    <comment ref="G37" authorId="0" shapeId="0" xr:uid="{0E459F63-4D68-4931-90A5-AC3A7D00DFB4}">
      <text>
        <r>
          <rPr>
            <b/>
            <sz val="9"/>
            <color indexed="81"/>
            <rFont val="Tahoma"/>
            <family val="2"/>
            <charset val="238"/>
          </rPr>
          <t>VLOŽTE JEDNOTKOVOU CENU ZHOTOVITELE ZA POLOŽKU</t>
        </r>
      </text>
    </comment>
    <comment ref="G39" authorId="0" shapeId="0" xr:uid="{62EB4136-EEB7-4F0D-8498-0E1C266AAC2D}">
      <text>
        <r>
          <rPr>
            <b/>
            <sz val="9"/>
            <color indexed="81"/>
            <rFont val="Tahoma"/>
            <family val="2"/>
            <charset val="238"/>
          </rPr>
          <t>VLOŽTE JEDNOTKOVOU CENU ZHOTOVITELE ZA POLOŽKU</t>
        </r>
      </text>
    </comment>
    <comment ref="G41" authorId="0" shapeId="0" xr:uid="{08B72AD2-12F2-48D9-9F4F-CD696330D420}">
      <text>
        <r>
          <rPr>
            <b/>
            <sz val="9"/>
            <color indexed="81"/>
            <rFont val="Tahoma"/>
            <family val="2"/>
            <charset val="238"/>
          </rPr>
          <t>VLOŽTE JEDNOTKOVOU CENU ZHOTOVITELE ZA POLOŽKU</t>
        </r>
      </text>
    </comment>
    <comment ref="G43" authorId="0" shapeId="0" xr:uid="{90F10301-E7EF-4C3F-B702-5C104B9D36E5}">
      <text>
        <r>
          <rPr>
            <b/>
            <sz val="9"/>
            <color indexed="81"/>
            <rFont val="Tahoma"/>
            <family val="2"/>
            <charset val="238"/>
          </rPr>
          <t>VLOŽTE JEDNOTKOVOU CENU ZHOTOVITELE ZA POLOŽKU</t>
        </r>
      </text>
    </comment>
    <comment ref="G45" authorId="0" shapeId="0" xr:uid="{B8ADF8FF-87A9-49F2-B23E-3441A344793D}">
      <text>
        <r>
          <rPr>
            <b/>
            <sz val="9"/>
            <color indexed="81"/>
            <rFont val="Tahoma"/>
            <family val="2"/>
            <charset val="238"/>
          </rPr>
          <t>VLOŽTE JEDNOTKOVOU CENU ZHOTOVITELE ZA POLOŽKU</t>
        </r>
      </text>
    </comment>
    <comment ref="G48" authorId="0" shapeId="0" xr:uid="{3A4DB7E8-0B01-477B-A6E2-16629CEC26DB}">
      <text>
        <r>
          <rPr>
            <b/>
            <sz val="9"/>
            <color indexed="81"/>
            <rFont val="Tahoma"/>
            <family val="2"/>
            <charset val="238"/>
          </rPr>
          <t>VLOŽTE JEDNOTKOVOU CENU ZHOTOVITELE ZA POLOŽKU</t>
        </r>
      </text>
    </comment>
    <comment ref="G50" authorId="0" shapeId="0" xr:uid="{25021001-F955-43CB-A84A-51D4FAB5C61D}">
      <text>
        <r>
          <rPr>
            <b/>
            <sz val="9"/>
            <color indexed="81"/>
            <rFont val="Tahoma"/>
            <family val="2"/>
            <charset val="238"/>
          </rPr>
          <t>VLOŽTE JEDNOTKOVOU CENU ZHOTOVITELE ZA POLOŽKU</t>
        </r>
      </text>
    </comment>
    <comment ref="G53" authorId="0" shapeId="0" xr:uid="{20C3F078-CCD7-493A-BFEB-E5D3E0555FD2}">
      <text>
        <r>
          <rPr>
            <b/>
            <sz val="9"/>
            <color indexed="81"/>
            <rFont val="Tahoma"/>
            <family val="2"/>
            <charset val="238"/>
          </rPr>
          <t>VLOŽTE JEDNOTKOVOU CENU ZHOTOVITELE ZA POLOŽKU</t>
        </r>
      </text>
    </comment>
    <comment ref="G55" authorId="0" shapeId="0" xr:uid="{BAA6A64F-2E63-4762-84DB-EC57A7382542}">
      <text>
        <r>
          <rPr>
            <b/>
            <sz val="9"/>
            <color indexed="81"/>
            <rFont val="Tahoma"/>
            <family val="2"/>
            <charset val="238"/>
          </rPr>
          <t>VLOŽTE JEDNOTKOVOU CENU ZHOTOVITELE ZA POLOŽKU</t>
        </r>
      </text>
    </comment>
    <comment ref="G57" authorId="0" shapeId="0" xr:uid="{289678C9-43F3-4F64-9963-4E7EBAB9F550}">
      <text>
        <r>
          <rPr>
            <b/>
            <sz val="9"/>
            <color indexed="81"/>
            <rFont val="Tahoma"/>
            <family val="2"/>
            <charset val="238"/>
          </rPr>
          <t>VLOŽTE JEDNOTKOVOU CENU ZHOTOVITELE ZA POLOŽKU</t>
        </r>
      </text>
    </comment>
    <comment ref="G59" authorId="0" shapeId="0" xr:uid="{A49F569A-DC5A-460A-A265-0CCB6EC54D17}">
      <text>
        <r>
          <rPr>
            <b/>
            <sz val="9"/>
            <color indexed="81"/>
            <rFont val="Tahoma"/>
            <family val="2"/>
            <charset val="238"/>
          </rPr>
          <t>VLOŽTE JEDNOTKOVOU CENU ZHOTOVITELE ZA POLOŽKU</t>
        </r>
      </text>
    </comment>
    <comment ref="G61" authorId="0" shapeId="0" xr:uid="{6124DB62-BDB6-4F9B-97DD-F02965B7DD62}">
      <text>
        <r>
          <rPr>
            <b/>
            <sz val="9"/>
            <color indexed="81"/>
            <rFont val="Tahoma"/>
            <family val="2"/>
            <charset val="238"/>
          </rPr>
          <t>VLOŽTE JEDNOTKOVOU CENU ZHOTOVITELE ZA POLOŽKU</t>
        </r>
      </text>
    </comment>
    <comment ref="G63" authorId="0" shapeId="0" xr:uid="{8E230234-8D7F-4AAD-A484-B3BD9CD75CD9}">
      <text>
        <r>
          <rPr>
            <b/>
            <sz val="9"/>
            <color indexed="81"/>
            <rFont val="Tahoma"/>
            <family val="2"/>
            <charset val="238"/>
          </rPr>
          <t>VLOŽTE JEDNOTKOVOU CENU ZHOTOVITELE ZA POLOŽKU</t>
        </r>
      </text>
    </comment>
    <comment ref="G65" authorId="0" shapeId="0" xr:uid="{CDFEFF55-5E1D-46DA-A1B4-763F325E755F}">
      <text>
        <r>
          <rPr>
            <b/>
            <sz val="9"/>
            <color indexed="81"/>
            <rFont val="Tahoma"/>
            <family val="2"/>
            <charset val="238"/>
          </rPr>
          <t>VLOŽTE JEDNOTKOVOU CENU ZHOTOVITELE ZA POLOŽKU</t>
        </r>
      </text>
    </comment>
    <comment ref="G67" authorId="0" shapeId="0" xr:uid="{78A38948-F6E8-4744-84FE-A3B961B80208}">
      <text>
        <r>
          <rPr>
            <b/>
            <sz val="9"/>
            <color indexed="81"/>
            <rFont val="Tahoma"/>
            <family val="2"/>
            <charset val="238"/>
          </rPr>
          <t>VLOŽTE JEDNOTKOVOU CENU ZHOTOVITELE ZA POLOŽKU</t>
        </r>
      </text>
    </comment>
    <comment ref="G69" authorId="0" shapeId="0" xr:uid="{71705D9D-7D46-4588-B05D-67A39794E2D3}">
      <text>
        <r>
          <rPr>
            <b/>
            <sz val="9"/>
            <color indexed="81"/>
            <rFont val="Tahoma"/>
            <family val="2"/>
            <charset val="238"/>
          </rPr>
          <t>VLOŽTE JEDNOTKOVOU CENU ZHOTOVITELE ZA POLOŽKU</t>
        </r>
      </text>
    </comment>
    <comment ref="G71" authorId="0" shapeId="0" xr:uid="{FCC07836-7A91-439E-9B85-86FE1C8956B3}">
      <text>
        <r>
          <rPr>
            <b/>
            <sz val="9"/>
            <color indexed="81"/>
            <rFont val="Tahoma"/>
            <family val="2"/>
            <charset val="238"/>
          </rPr>
          <t>VLOŽTE JEDNOTKOVOU CENU ZHOTOVITELE ZA POLOŽKU</t>
        </r>
      </text>
    </comment>
    <comment ref="G74" authorId="0" shapeId="0" xr:uid="{B9364BA0-3094-4F51-B7D8-8FD9716D9868}">
      <text>
        <r>
          <rPr>
            <b/>
            <sz val="9"/>
            <color indexed="81"/>
            <rFont val="Tahoma"/>
            <family val="2"/>
            <charset val="238"/>
          </rPr>
          <t>VLOŽTE JEDNOTKOVOU CENU ZHOTOVITELE ZA POLOŽKU</t>
        </r>
      </text>
    </comment>
    <comment ref="G76" authorId="0" shapeId="0" xr:uid="{AF3B25E6-BEA7-4796-9443-15ED0D80EC75}">
      <text>
        <r>
          <rPr>
            <b/>
            <sz val="9"/>
            <color indexed="81"/>
            <rFont val="Tahoma"/>
            <family val="2"/>
            <charset val="238"/>
          </rPr>
          <t>VLOŽTE JEDNOTKOVOU CENU ZHOTOVITELE ZA POLOŽKU</t>
        </r>
      </text>
    </comment>
    <comment ref="G78" authorId="0" shapeId="0" xr:uid="{09B2928C-BE8D-4046-A83D-CB80448EEC8E}">
      <text>
        <r>
          <rPr>
            <b/>
            <sz val="9"/>
            <color indexed="81"/>
            <rFont val="Tahoma"/>
            <family val="2"/>
            <charset val="238"/>
          </rPr>
          <t>VLOŽTE JEDNOTKOVOU CENU ZHOTOVITELE ZA POLOŽKU</t>
        </r>
      </text>
    </comment>
    <comment ref="G81" authorId="0" shapeId="0" xr:uid="{DDEC0DC6-B7B9-47A1-A53D-C8843740A232}">
      <text>
        <r>
          <rPr>
            <b/>
            <sz val="9"/>
            <color indexed="81"/>
            <rFont val="Tahoma"/>
            <family val="2"/>
            <charset val="238"/>
          </rPr>
          <t>VLOŽTE JEDNOTKOVOU CENU ZHOTOVITELE ZA POLOŽKU</t>
        </r>
      </text>
    </comment>
    <comment ref="G84" authorId="0" shapeId="0" xr:uid="{5C28424B-CF2B-4BFA-81D7-21F4BBEFC91B}">
      <text>
        <r>
          <rPr>
            <b/>
            <sz val="9"/>
            <color indexed="81"/>
            <rFont val="Tahoma"/>
            <family val="2"/>
            <charset val="238"/>
          </rPr>
          <t>VLOŽTE JEDNOTKOVOU CENU ZHOTOVITELE ZA POLOŽKU</t>
        </r>
      </text>
    </comment>
    <comment ref="G86" authorId="0" shapeId="0" xr:uid="{CAE4709E-96FE-4E93-A15B-F51E921C6AB2}">
      <text>
        <r>
          <rPr>
            <b/>
            <sz val="9"/>
            <color indexed="81"/>
            <rFont val="Tahoma"/>
            <family val="2"/>
            <charset val="238"/>
          </rPr>
          <t>VLOŽTE JEDNOTKOVOU CENU ZHOTOVITELE ZA POLOŽKU</t>
        </r>
      </text>
    </comment>
    <comment ref="G89" authorId="0" shapeId="0" xr:uid="{E2BC3797-7C8E-4DD5-ACAD-548B5A01210F}">
      <text>
        <r>
          <rPr>
            <b/>
            <sz val="9"/>
            <color indexed="81"/>
            <rFont val="Tahoma"/>
            <family val="2"/>
            <charset val="238"/>
          </rPr>
          <t>VLOŽTE JEDNOTKOVOU CENU ZHOTOVITELE ZA POLOŽKU</t>
        </r>
      </text>
    </comment>
    <comment ref="G91" authorId="0" shapeId="0" xr:uid="{486BC9CC-603D-41BE-A258-9489472C72BF}">
      <text>
        <r>
          <rPr>
            <b/>
            <sz val="9"/>
            <color indexed="81"/>
            <rFont val="Tahoma"/>
            <family val="2"/>
            <charset val="238"/>
          </rPr>
          <t>VLOŽTE JEDNOTKOVOU CENU ZHOTOVITELE ZA POLOŽKU</t>
        </r>
      </text>
    </comment>
    <comment ref="G94" authorId="0" shapeId="0" xr:uid="{3F972A4B-A789-4DE7-A961-85AD460EAF37}">
      <text>
        <r>
          <rPr>
            <b/>
            <sz val="9"/>
            <color indexed="81"/>
            <rFont val="Tahoma"/>
            <family val="2"/>
            <charset val="238"/>
          </rPr>
          <t>VLOŽTE JEDNOTKOVOU CENU ZHOTOVITELE ZA POLOŽKU</t>
        </r>
      </text>
    </comment>
    <comment ref="G97" authorId="0" shapeId="0" xr:uid="{1AA950E9-F1FE-41F9-BB3C-759FEC9921CB}">
      <text>
        <r>
          <rPr>
            <b/>
            <sz val="9"/>
            <color indexed="81"/>
            <rFont val="Tahoma"/>
            <family val="2"/>
            <charset val="238"/>
          </rPr>
          <t>VLOŽTE JEDNOTKOVOU CENU ZHOTOVITELE ZA POLOŽKU</t>
        </r>
      </text>
    </comment>
    <comment ref="G100" authorId="0" shapeId="0" xr:uid="{9010CA0A-0D74-4B24-8143-500F80108EC7}">
      <text>
        <r>
          <rPr>
            <b/>
            <sz val="9"/>
            <color indexed="81"/>
            <rFont val="Tahoma"/>
            <family val="2"/>
            <charset val="238"/>
          </rPr>
          <t>VLOŽTE JEDNOTKOVOU CENU ZHOTOVITELE ZA POLOŽKU</t>
        </r>
      </text>
    </comment>
    <comment ref="G102" authorId="0" shapeId="0" xr:uid="{D3D46951-2915-4152-AAEF-B05452CCA6D0}">
      <text>
        <r>
          <rPr>
            <b/>
            <sz val="9"/>
            <color indexed="81"/>
            <rFont val="Tahoma"/>
            <family val="2"/>
            <charset val="238"/>
          </rPr>
          <t>VLOŽTE JEDNOTKOVOU CENU ZHOTOVITELE ZA POLOŽKU</t>
        </r>
      </text>
    </comment>
    <comment ref="G104" authorId="0" shapeId="0" xr:uid="{AD6182A0-449E-45BD-8567-D442657CBCDC}">
      <text>
        <r>
          <rPr>
            <b/>
            <sz val="9"/>
            <color indexed="81"/>
            <rFont val="Tahoma"/>
            <family val="2"/>
            <charset val="238"/>
          </rPr>
          <t>VLOŽTE JEDNOTKOVOU CENU ZHOTOVITELE ZA POLOŽKU</t>
        </r>
      </text>
    </comment>
    <comment ref="G106" authorId="0" shapeId="0" xr:uid="{FC0BF012-3B25-4F39-B5A7-8C7030447106}">
      <text>
        <r>
          <rPr>
            <b/>
            <sz val="9"/>
            <color indexed="81"/>
            <rFont val="Tahoma"/>
            <family val="2"/>
            <charset val="238"/>
          </rPr>
          <t>VLOŽTE JEDNOTKOVOU CENU ZHOTOVITELE ZA POLOŽKU</t>
        </r>
      </text>
    </comment>
    <comment ref="G108" authorId="0" shapeId="0" xr:uid="{45B2F785-C530-4E2D-9FA6-018E735D58BD}">
      <text>
        <r>
          <rPr>
            <b/>
            <sz val="9"/>
            <color indexed="81"/>
            <rFont val="Tahoma"/>
            <family val="2"/>
            <charset val="238"/>
          </rPr>
          <t>VLOŽTE JEDNOTKOVOU CENU ZHOTOVITELE ZA POLOŽKU</t>
        </r>
      </text>
    </comment>
    <comment ref="G110" authorId="0" shapeId="0" xr:uid="{2E0102CB-510D-4B49-B657-8305BC090698}">
      <text>
        <r>
          <rPr>
            <b/>
            <sz val="9"/>
            <color indexed="81"/>
            <rFont val="Tahoma"/>
            <family val="2"/>
            <charset val="238"/>
          </rPr>
          <t>VLOŽTE JEDNOTKOVOU CENU ZHOTOVITELE ZA POLOŽKU</t>
        </r>
      </text>
    </comment>
    <comment ref="G112" authorId="0" shapeId="0" xr:uid="{3C02E833-60BB-4E7B-9FF9-3231AA494ED4}">
      <text>
        <r>
          <rPr>
            <b/>
            <sz val="9"/>
            <color indexed="81"/>
            <rFont val="Tahoma"/>
            <family val="2"/>
            <charset val="238"/>
          </rPr>
          <t>VLOŽTE JEDNOTKOVOU CENU ZHOTOVITELE ZA POLOŽKU</t>
        </r>
      </text>
    </comment>
    <comment ref="G114" authorId="0" shapeId="0" xr:uid="{BC5F5B8F-81A2-4675-A88A-CE8704BE30C8}">
      <text>
        <r>
          <rPr>
            <b/>
            <sz val="9"/>
            <color indexed="81"/>
            <rFont val="Tahoma"/>
            <family val="2"/>
            <charset val="238"/>
          </rPr>
          <t>VLOŽTE JEDNOTKOVOU CENU ZHOTOVITELE ZA POLOŽKU</t>
        </r>
      </text>
    </comment>
    <comment ref="G116" authorId="0" shapeId="0" xr:uid="{87F3601A-1FEA-4E39-A1D8-21A4FC2FB87E}">
      <text>
        <r>
          <rPr>
            <b/>
            <sz val="9"/>
            <color indexed="81"/>
            <rFont val="Tahoma"/>
            <family val="2"/>
            <charset val="238"/>
          </rPr>
          <t>VLOŽTE JEDNOTKOVOU CENU ZHOTOVITELE ZA POLOŽKU</t>
        </r>
      </text>
    </comment>
    <comment ref="G118" authorId="0" shapeId="0" xr:uid="{7D26378F-DD48-4F81-9129-10672A8485B1}">
      <text>
        <r>
          <rPr>
            <b/>
            <sz val="9"/>
            <color indexed="81"/>
            <rFont val="Tahoma"/>
            <family val="2"/>
            <charset val="238"/>
          </rPr>
          <t>VLOŽTE JEDNOTKOVOU CENU ZHOTOVITELE ZA POLOŽKU</t>
        </r>
      </text>
    </comment>
    <comment ref="G120" authorId="0" shapeId="0" xr:uid="{4304A0B5-B84F-4B41-A5F3-02F6D88AD1F2}">
      <text>
        <r>
          <rPr>
            <b/>
            <sz val="9"/>
            <color indexed="81"/>
            <rFont val="Tahoma"/>
            <family val="2"/>
            <charset val="238"/>
          </rPr>
          <t>VLOŽTE JEDNOTKOVOU CENU ZHOTOVITELE ZA POLOŽKU</t>
        </r>
      </text>
    </comment>
    <comment ref="G123" authorId="0" shapeId="0" xr:uid="{C1480BCE-3E32-4585-A871-600FAB2AE6A4}">
      <text>
        <r>
          <rPr>
            <b/>
            <sz val="9"/>
            <color indexed="81"/>
            <rFont val="Tahoma"/>
            <family val="2"/>
            <charset val="238"/>
          </rPr>
          <t>VLOŽTE JEDNOTKOVOU CENU ZHOTOVITELE ZA POLOŽKU</t>
        </r>
      </text>
    </comment>
    <comment ref="G125" authorId="0" shapeId="0" xr:uid="{FEDA6721-CC99-4D1B-A39B-EC4C8437694D}">
      <text>
        <r>
          <rPr>
            <b/>
            <sz val="9"/>
            <color indexed="81"/>
            <rFont val="Tahoma"/>
            <family val="2"/>
            <charset val="238"/>
          </rPr>
          <t>VLOŽTE JEDNOTKOVOU CENU ZHOTOVITELE ZA POLOŽKU</t>
        </r>
      </text>
    </comment>
    <comment ref="G128" authorId="0" shapeId="0" xr:uid="{CC5EFEDE-1EB2-44A6-9676-C4ADC1A5877F}">
      <text>
        <r>
          <rPr>
            <b/>
            <sz val="9"/>
            <color indexed="81"/>
            <rFont val="Tahoma"/>
            <family val="2"/>
            <charset val="238"/>
          </rPr>
          <t>VLOŽTE JEDNOTKOVOU CENU ZHOTOVITELE ZA POLOŽKU</t>
        </r>
      </text>
    </comment>
    <comment ref="G131" authorId="0" shapeId="0" xr:uid="{F700BAA4-FE9F-472A-B8B6-4DB625CA0A66}">
      <text>
        <r>
          <rPr>
            <b/>
            <sz val="9"/>
            <color indexed="81"/>
            <rFont val="Tahoma"/>
            <family val="2"/>
            <charset val="238"/>
          </rPr>
          <t>VLOŽTE JEDNOTKOVOU CENU ZHOTOVITELE ZA POLOŽKU</t>
        </r>
      </text>
    </comment>
    <comment ref="G134" authorId="0" shapeId="0" xr:uid="{51B66D9C-A412-413D-818F-343D7D368D3F}">
      <text>
        <r>
          <rPr>
            <b/>
            <sz val="9"/>
            <color indexed="81"/>
            <rFont val="Tahoma"/>
            <family val="2"/>
            <charset val="238"/>
          </rPr>
          <t>VLOŽTE JEDNOTKOVOU CENU ZHOTOVITELE ZA POLOŽKU</t>
        </r>
      </text>
    </comment>
    <comment ref="G136" authorId="0" shapeId="0" xr:uid="{E5B2B959-5A60-4AAF-830D-6B0724A356FF}">
      <text>
        <r>
          <rPr>
            <b/>
            <sz val="9"/>
            <color indexed="81"/>
            <rFont val="Tahoma"/>
            <family val="2"/>
            <charset val="238"/>
          </rPr>
          <t>VLOŽTE JEDNOTKOVOU CENU ZHOTOVITELE ZA POLOŽKU</t>
        </r>
      </text>
    </comment>
    <comment ref="G139" authorId="0" shapeId="0" xr:uid="{F7111FC8-2ADC-4367-8EE4-CAB4F1AE2A29}">
      <text>
        <r>
          <rPr>
            <b/>
            <sz val="9"/>
            <color indexed="81"/>
            <rFont val="Tahoma"/>
            <family val="2"/>
            <charset val="238"/>
          </rPr>
          <t>VLOŽTE JEDNOTKOVOU CENU ZHOTOVITELE ZA POLOŽKU</t>
        </r>
      </text>
    </comment>
    <comment ref="G142" authorId="0" shapeId="0" xr:uid="{9DD39A9C-CFC4-4A4E-A62E-4D05F94FAB15}">
      <text>
        <r>
          <rPr>
            <b/>
            <sz val="9"/>
            <color indexed="81"/>
            <rFont val="Tahoma"/>
            <family val="2"/>
            <charset val="238"/>
          </rPr>
          <t>VLOŽTE JEDNOTKOVOU CENU ZHOTOVITELE ZA POLOŽKU</t>
        </r>
      </text>
    </comment>
    <comment ref="G145" authorId="0" shapeId="0" xr:uid="{AF31B37A-4FFD-4ADA-988C-CF138056C09F}">
      <text>
        <r>
          <rPr>
            <b/>
            <sz val="9"/>
            <color indexed="81"/>
            <rFont val="Tahoma"/>
            <family val="2"/>
            <charset val="238"/>
          </rPr>
          <t>VLOŽTE JEDNOTKOVOU CENU ZHOTOVITELE ZA POLOŽKU</t>
        </r>
      </text>
    </comment>
    <comment ref="G148" authorId="0" shapeId="0" xr:uid="{44B1AD50-19BC-4E94-B3D5-AEEC35DE836B}">
      <text>
        <r>
          <rPr>
            <b/>
            <sz val="9"/>
            <color indexed="81"/>
            <rFont val="Tahoma"/>
            <family val="2"/>
            <charset val="238"/>
          </rPr>
          <t>VLOŽTE JEDNOTKOVOU CENU ZHOTOVITELE ZA POLOŽKU</t>
        </r>
      </text>
    </comment>
    <comment ref="G149" authorId="0" shapeId="0" xr:uid="{9995F343-E776-41D7-9C77-633F75B78495}">
      <text>
        <r>
          <rPr>
            <b/>
            <sz val="9"/>
            <color indexed="81"/>
            <rFont val="Tahoma"/>
            <family val="2"/>
            <charset val="238"/>
          </rPr>
          <t>VLOŽTE JEDNOTKOVOU CENU ZHOTOVITELE ZA POLOŽKU</t>
        </r>
      </text>
    </comment>
    <comment ref="G151" authorId="0" shapeId="0" xr:uid="{4AB419CF-043C-4EC4-9F35-D2E7ED93D775}">
      <text>
        <r>
          <rPr>
            <b/>
            <sz val="9"/>
            <color indexed="81"/>
            <rFont val="Tahoma"/>
            <family val="2"/>
            <charset val="238"/>
          </rPr>
          <t>VLOŽTE JEDNOTKOVOU CENU ZHOTOVITELE ZA POLOŽKU</t>
        </r>
      </text>
    </comment>
    <comment ref="G153" authorId="0" shapeId="0" xr:uid="{40BF29A9-CBC2-47C1-8BF3-BFFB628BD03D}">
      <text>
        <r>
          <rPr>
            <b/>
            <sz val="9"/>
            <color indexed="81"/>
            <rFont val="Tahoma"/>
            <family val="2"/>
            <charset val="238"/>
          </rPr>
          <t>VLOŽTE JEDNOTKOVOU CENU ZHOTOVITELE ZA POLOŽKU</t>
        </r>
      </text>
    </comment>
    <comment ref="G154" authorId="0" shapeId="0" xr:uid="{7764887C-0B9F-4740-A146-36F2228CE395}">
      <text>
        <r>
          <rPr>
            <b/>
            <sz val="9"/>
            <color indexed="81"/>
            <rFont val="Tahoma"/>
            <family val="2"/>
            <charset val="238"/>
          </rPr>
          <t>VLOŽTE JEDNOTKOVOU CENU ZHOTOVITELE ZA POLOŽKU</t>
        </r>
      </text>
    </comment>
    <comment ref="G156" authorId="0" shapeId="0" xr:uid="{DFCDFEE9-13B8-402F-AC25-9AFA1EFB230B}">
      <text>
        <r>
          <rPr>
            <b/>
            <sz val="9"/>
            <color indexed="81"/>
            <rFont val="Tahoma"/>
            <family val="2"/>
            <charset val="238"/>
          </rPr>
          <t>VLOŽTE JEDNOTKOVOU CENU ZHOTOVITELE ZA POLOŽKU</t>
        </r>
      </text>
    </comment>
    <comment ref="G158" authorId="0" shapeId="0" xr:uid="{5E8CD2FF-0BAF-42FC-8D08-3CE599FA088E}">
      <text>
        <r>
          <rPr>
            <b/>
            <sz val="9"/>
            <color indexed="81"/>
            <rFont val="Tahoma"/>
            <family val="2"/>
            <charset val="238"/>
          </rPr>
          <t>VLOŽTE JEDNOTKOVOU CENU ZHOTOVITELE ZA POLOŽKU</t>
        </r>
      </text>
    </comment>
    <comment ref="G159" authorId="0" shapeId="0" xr:uid="{CCA615AE-20FB-48F2-8868-EFE3D10A143B}">
      <text>
        <r>
          <rPr>
            <b/>
            <sz val="9"/>
            <color indexed="81"/>
            <rFont val="Tahoma"/>
            <family val="2"/>
            <charset val="238"/>
          </rPr>
          <t>VLOŽTE JEDNOTKOVOU CENU ZHOTOVITELE ZA POLOŽKU</t>
        </r>
      </text>
    </comment>
    <comment ref="G160" authorId="0" shapeId="0" xr:uid="{57D8E9A6-0CD1-46C0-A040-64396970919B}">
      <text>
        <r>
          <rPr>
            <b/>
            <sz val="9"/>
            <color indexed="81"/>
            <rFont val="Tahoma"/>
            <family val="2"/>
            <charset val="238"/>
          </rPr>
          <t>VLOŽTE JEDNOTKOVOU CENU ZHOTOVITELE ZA POLOŽKU</t>
        </r>
      </text>
    </comment>
    <comment ref="G162" authorId="0" shapeId="0" xr:uid="{40418275-C21B-4CA3-9108-493D7F073240}">
      <text>
        <r>
          <rPr>
            <b/>
            <sz val="9"/>
            <color indexed="81"/>
            <rFont val="Tahoma"/>
            <family val="2"/>
            <charset val="238"/>
          </rPr>
          <t>VLOŽTE JEDNOTKOVOU CENU ZHOTOVITELE ZA POLOŽKU</t>
        </r>
      </text>
    </comment>
    <comment ref="G164" authorId="0" shapeId="0" xr:uid="{C6F64254-78F9-467D-BA1E-EC0D30CCE9CF}">
      <text>
        <r>
          <rPr>
            <b/>
            <sz val="9"/>
            <color indexed="81"/>
            <rFont val="Tahoma"/>
            <family val="2"/>
            <charset val="238"/>
          </rPr>
          <t>VLOŽTE JEDNOTKOVOU CENU ZHOTOVITELE ZA POLOŽKU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73CF1A2C-8439-49C2-B8DF-91C45A517CE9}">
      <text>
        <r>
          <rPr>
            <b/>
            <sz val="9"/>
            <color indexed="81"/>
            <rFont val="Tahoma"/>
            <family val="2"/>
            <charset val="238"/>
          </rPr>
          <t>VLOŽTE JEDNOTKOVOU CENU ZHOTOVITELE ZA POLOŽKU</t>
        </r>
      </text>
    </comment>
    <comment ref="G15" authorId="0" shapeId="0" xr:uid="{792512E0-23DC-462B-8003-840BF951EC3F}">
      <text>
        <r>
          <rPr>
            <b/>
            <sz val="9"/>
            <color indexed="81"/>
            <rFont val="Tahoma"/>
            <family val="2"/>
            <charset val="238"/>
          </rPr>
          <t>VLOŽTE JEDNOTKOVOU CENU ZHOTOVITELE ZA POLOŽKU</t>
        </r>
      </text>
    </comment>
    <comment ref="G18" authorId="0" shapeId="0" xr:uid="{ECE0FE32-EB61-4EF0-8A62-E2697CA428E9}">
      <text>
        <r>
          <rPr>
            <b/>
            <sz val="9"/>
            <color indexed="81"/>
            <rFont val="Tahoma"/>
            <family val="2"/>
            <charset val="238"/>
          </rPr>
          <t>VLOŽTE JEDNOTKOVOU CENU ZHOTOVITELE ZA POLOŽKU</t>
        </r>
      </text>
    </comment>
    <comment ref="G21" authorId="0" shapeId="0" xr:uid="{C03EE398-FEA9-4558-9D71-989B715EBAF3}">
      <text>
        <r>
          <rPr>
            <b/>
            <sz val="9"/>
            <color indexed="81"/>
            <rFont val="Tahoma"/>
            <family val="2"/>
            <charset val="238"/>
          </rPr>
          <t>VLOŽTE JEDNOTKOVOU CENU ZHOTOVITELE ZA POLOŽKU</t>
        </r>
      </text>
    </comment>
    <comment ref="G23" authorId="0" shapeId="0" xr:uid="{4779EDE4-3E8D-4F78-9EFB-313FAA5EA1B1}">
      <text>
        <r>
          <rPr>
            <b/>
            <sz val="9"/>
            <color indexed="81"/>
            <rFont val="Tahoma"/>
            <family val="2"/>
            <charset val="238"/>
          </rPr>
          <t>VLOŽTE JEDNOTKOVOU CENU ZHOTOVITELE ZA POLOŽKU</t>
        </r>
      </text>
    </comment>
    <comment ref="G25" authorId="0" shapeId="0" xr:uid="{6A528BC2-0BEC-4453-B0A0-A7159010C05B}">
      <text>
        <r>
          <rPr>
            <b/>
            <sz val="9"/>
            <color indexed="81"/>
            <rFont val="Tahoma"/>
            <family val="2"/>
            <charset val="238"/>
          </rPr>
          <t>VLOŽTE JEDNOTKOVOU CENU ZHOTOVITELE ZA POLOŽKU</t>
        </r>
      </text>
    </comment>
    <comment ref="G27" authorId="0" shapeId="0" xr:uid="{FC3F0B3D-BC5B-496C-AB87-7C8DE5790DA3}">
      <text>
        <r>
          <rPr>
            <b/>
            <sz val="9"/>
            <color indexed="81"/>
            <rFont val="Tahoma"/>
            <family val="2"/>
            <charset val="238"/>
          </rPr>
          <t>VLOŽTE JEDNOTKOVOU CENU ZHOTOVITELE ZA POLOŽKU</t>
        </r>
      </text>
    </comment>
    <comment ref="G30" authorId="0" shapeId="0" xr:uid="{1B8F3FC6-99EC-4D65-BDF3-E19C66B16F02}">
      <text>
        <r>
          <rPr>
            <b/>
            <sz val="9"/>
            <color indexed="81"/>
            <rFont val="Tahoma"/>
            <family val="2"/>
            <charset val="238"/>
          </rPr>
          <t>VLOŽTE JEDNOTKOVOU CENU ZHOTOVITELE ZA POLOŽKU</t>
        </r>
      </text>
    </comment>
    <comment ref="G32" authorId="0" shapeId="0" xr:uid="{DAE2186C-9DE6-4B28-9991-DAC81DA3225E}">
      <text>
        <r>
          <rPr>
            <b/>
            <sz val="9"/>
            <color indexed="81"/>
            <rFont val="Tahoma"/>
            <family val="2"/>
            <charset val="238"/>
          </rPr>
          <t>VLOŽTE JEDNOTKOVOU CENU ZHOTOVITELE ZA POLOŽKU</t>
        </r>
      </text>
    </comment>
    <comment ref="G35" authorId="0" shapeId="0" xr:uid="{80BF2CB3-A296-4FFA-9DDD-E175B7ADF132}">
      <text>
        <r>
          <rPr>
            <b/>
            <sz val="9"/>
            <color indexed="81"/>
            <rFont val="Tahoma"/>
            <family val="2"/>
            <charset val="238"/>
          </rPr>
          <t>VLOŽTE JEDNOTKOVOU CENU ZHOTOVITELE ZA POLOŽKU</t>
        </r>
      </text>
    </comment>
    <comment ref="G37" authorId="0" shapeId="0" xr:uid="{34BA333D-CAE9-400E-BC4D-120858E80917}">
      <text>
        <r>
          <rPr>
            <b/>
            <sz val="9"/>
            <color indexed="81"/>
            <rFont val="Tahoma"/>
            <family val="2"/>
            <charset val="238"/>
          </rPr>
          <t>VLOŽTE JEDNOTKOVOU CENU ZHOTOVITELE ZA POLOŽKU</t>
        </r>
      </text>
    </comment>
    <comment ref="G39" authorId="0" shapeId="0" xr:uid="{8BF311BB-077A-4009-BB53-38CA320EDA02}">
      <text>
        <r>
          <rPr>
            <b/>
            <sz val="9"/>
            <color indexed="81"/>
            <rFont val="Tahoma"/>
            <family val="2"/>
            <charset val="238"/>
          </rPr>
          <t>VLOŽTE JEDNOTKOVOU CENU ZHOTOVITELE ZA POLOŽKU</t>
        </r>
      </text>
    </comment>
    <comment ref="G40" authorId="0" shapeId="0" xr:uid="{2848861B-6421-4AA4-B109-D2244498186C}">
      <text>
        <r>
          <rPr>
            <b/>
            <sz val="9"/>
            <color indexed="81"/>
            <rFont val="Tahoma"/>
            <family val="2"/>
            <charset val="238"/>
          </rPr>
          <t>VLOŽTE JEDNOTKOVOU CENU ZHOTOVITELE ZA POLOŽKU</t>
        </r>
      </text>
    </comment>
    <comment ref="G43" authorId="0" shapeId="0" xr:uid="{AEE8DBFE-95A9-4E24-B35A-289785CBC2AA}">
      <text>
        <r>
          <rPr>
            <b/>
            <sz val="9"/>
            <color indexed="81"/>
            <rFont val="Tahoma"/>
            <family val="2"/>
            <charset val="238"/>
          </rPr>
          <t>VLOŽTE JEDNOTKOVOU CENU ZHOTOVITELE ZA POLOŽKU</t>
        </r>
      </text>
    </comment>
    <comment ref="G45" authorId="0" shapeId="0" xr:uid="{232DC216-A4C2-4B28-875D-FB9AA6234855}">
      <text>
        <r>
          <rPr>
            <b/>
            <sz val="9"/>
            <color indexed="81"/>
            <rFont val="Tahoma"/>
            <family val="2"/>
            <charset val="238"/>
          </rPr>
          <t>VLOŽTE JEDNOTKOVOU CENU ZHOTOVITELE ZA POLOŽKU</t>
        </r>
      </text>
    </comment>
    <comment ref="G47" authorId="0" shapeId="0" xr:uid="{1A4CA7F4-681C-44F5-9256-B27657558FA4}">
      <text>
        <r>
          <rPr>
            <b/>
            <sz val="9"/>
            <color indexed="81"/>
            <rFont val="Tahoma"/>
            <family val="2"/>
            <charset val="238"/>
          </rPr>
          <t>VLOŽTE JEDNOTKOVOU CENU ZHOTOVITELE ZA POLOŽKU</t>
        </r>
      </text>
    </comment>
    <comment ref="G49" authorId="0" shapeId="0" xr:uid="{12F86BAE-2D2E-4BBE-B1B5-88B4FBA1173A}">
      <text>
        <r>
          <rPr>
            <b/>
            <sz val="9"/>
            <color indexed="81"/>
            <rFont val="Tahoma"/>
            <family val="2"/>
            <charset val="238"/>
          </rPr>
          <t>VLOŽTE JEDNOTKOVOU CENU ZHOTOVITELE ZA POLOŽKU</t>
        </r>
      </text>
    </comment>
    <comment ref="G50" authorId="0" shapeId="0" xr:uid="{A1D909B2-FBB8-4FB2-89A3-E1E139756A4E}">
      <text>
        <r>
          <rPr>
            <b/>
            <sz val="9"/>
            <color indexed="81"/>
            <rFont val="Tahoma"/>
            <family val="2"/>
            <charset val="238"/>
          </rPr>
          <t>VLOŽTE JEDNOTKOVOU CENU ZHOTOVITELE ZA POLOŽKU</t>
        </r>
      </text>
    </comment>
    <comment ref="G52" authorId="0" shapeId="0" xr:uid="{E2D1355E-5C4E-4338-BB67-BD73B6BAEC31}">
      <text>
        <r>
          <rPr>
            <b/>
            <sz val="9"/>
            <color indexed="81"/>
            <rFont val="Tahoma"/>
            <family val="2"/>
            <charset val="238"/>
          </rPr>
          <t>VLOŽTE JEDNOTKOVOU CENU ZHOTOVITELE ZA POLOŽKU</t>
        </r>
      </text>
    </comment>
    <comment ref="G54" authorId="0" shapeId="0" xr:uid="{566C83DD-536C-4FE3-94A7-140028A25EF7}">
      <text>
        <r>
          <rPr>
            <b/>
            <sz val="9"/>
            <color indexed="81"/>
            <rFont val="Tahoma"/>
            <family val="2"/>
            <charset val="238"/>
          </rPr>
          <t>VLOŽTE JEDNOTKOVOU CENU ZHOTOVITELE ZA POLOŽKU</t>
        </r>
      </text>
    </comment>
    <comment ref="G56" authorId="0" shapeId="0" xr:uid="{B13CAFB1-C994-404D-991F-857A0A1FF9C4}">
      <text>
        <r>
          <rPr>
            <b/>
            <sz val="9"/>
            <color indexed="81"/>
            <rFont val="Tahoma"/>
            <family val="2"/>
            <charset val="238"/>
          </rPr>
          <t>VLOŽTE JEDNOTKOVOU CENU ZHOTOVITELE ZA POLOŽKU</t>
        </r>
      </text>
    </comment>
    <comment ref="G58" authorId="0" shapeId="0" xr:uid="{C2CDDFE8-BA9F-431F-9147-4F75200B44E2}">
      <text>
        <r>
          <rPr>
            <b/>
            <sz val="9"/>
            <color indexed="81"/>
            <rFont val="Tahoma"/>
            <family val="2"/>
            <charset val="238"/>
          </rPr>
          <t>VLOŽTE JEDNOTKOVOU CENU ZHOTOVITELE ZA POLOŽKU</t>
        </r>
      </text>
    </comment>
    <comment ref="G60" authorId="0" shapeId="0" xr:uid="{EBB95B78-0B2F-408A-AE2C-CB6449084068}">
      <text>
        <r>
          <rPr>
            <b/>
            <sz val="9"/>
            <color indexed="81"/>
            <rFont val="Tahoma"/>
            <family val="2"/>
            <charset val="238"/>
          </rPr>
          <t>VLOŽTE JEDNOTKOVOU CENU ZHOTOVITELE ZA POLOŽKU</t>
        </r>
      </text>
    </comment>
    <comment ref="G61" authorId="0" shapeId="0" xr:uid="{37834EA3-9318-40F8-9501-85374C580D75}">
      <text>
        <r>
          <rPr>
            <b/>
            <sz val="9"/>
            <color indexed="81"/>
            <rFont val="Tahoma"/>
            <family val="2"/>
            <charset val="238"/>
          </rPr>
          <t>VLOŽTE JEDNOTKOVOU CENU ZHOTOVITELE ZA POLOŽKU</t>
        </r>
      </text>
    </comment>
    <comment ref="G62" authorId="0" shapeId="0" xr:uid="{C68AC33F-16B1-46E6-973E-0DF632FCD7C5}">
      <text>
        <r>
          <rPr>
            <b/>
            <sz val="9"/>
            <color indexed="81"/>
            <rFont val="Tahoma"/>
            <family val="2"/>
            <charset val="238"/>
          </rPr>
          <t>VLOŽTE JEDNOTKOVOU CENU ZHOTOVITELE ZA POLOŽKU</t>
        </r>
      </text>
    </comment>
    <comment ref="G63" authorId="0" shapeId="0" xr:uid="{BD379D50-8859-4A32-939B-22A92FC181D2}">
      <text>
        <r>
          <rPr>
            <b/>
            <sz val="9"/>
            <color indexed="81"/>
            <rFont val="Tahoma"/>
            <family val="2"/>
            <charset val="238"/>
          </rPr>
          <t>VLOŽTE JEDNOTKOVOU CENU ZHOTOVITELE ZA POLOŽKU</t>
        </r>
      </text>
    </comment>
    <comment ref="G65" authorId="0" shapeId="0" xr:uid="{10F1D446-7144-4A2D-BEF1-D3F28F0CF7EC}">
      <text>
        <r>
          <rPr>
            <b/>
            <sz val="9"/>
            <color indexed="81"/>
            <rFont val="Tahoma"/>
            <family val="2"/>
            <charset val="238"/>
          </rPr>
          <t>VLOŽTE JEDNOTKOVOU CENU ZHOTOVITELE ZA POLOŽKU</t>
        </r>
      </text>
    </comment>
    <comment ref="G66" authorId="0" shapeId="0" xr:uid="{AB7818F0-DE27-4B8E-939B-8F32D4AF60DD}">
      <text>
        <r>
          <rPr>
            <b/>
            <sz val="9"/>
            <color indexed="81"/>
            <rFont val="Tahoma"/>
            <family val="2"/>
            <charset val="238"/>
          </rPr>
          <t>VLOŽTE JEDNOTKOVOU CENU ZHOTOVITELE ZA POLOŽKU</t>
        </r>
      </text>
    </comment>
    <comment ref="G67" authorId="0" shapeId="0" xr:uid="{A505F5C7-2A63-46FA-8FEE-6125490C620D}">
      <text>
        <r>
          <rPr>
            <b/>
            <sz val="9"/>
            <color indexed="81"/>
            <rFont val="Tahoma"/>
            <family val="2"/>
            <charset val="238"/>
          </rPr>
          <t>VLOŽTE JEDNOTKOVOU CENU ZHOTOVITELE ZA POLOŽKU</t>
        </r>
      </text>
    </comment>
    <comment ref="G68" authorId="0" shapeId="0" xr:uid="{F2125D22-A608-44CD-AD2E-983E6153C199}">
      <text>
        <r>
          <rPr>
            <b/>
            <sz val="9"/>
            <color indexed="81"/>
            <rFont val="Tahoma"/>
            <family val="2"/>
            <charset val="238"/>
          </rPr>
          <t>VLOŽTE JEDNOTKOVOU CENU ZHOTOVITELE ZA POLOŽKU</t>
        </r>
      </text>
    </comment>
    <comment ref="G69" authorId="0" shapeId="0" xr:uid="{1B273577-3E37-4DAA-ADDD-3F7C5ACCE6BC}">
      <text>
        <r>
          <rPr>
            <b/>
            <sz val="9"/>
            <color indexed="81"/>
            <rFont val="Tahoma"/>
            <family val="2"/>
            <charset val="238"/>
          </rPr>
          <t>VLOŽTE JEDNOTKOVOU CENU ZHOTOVITELE ZA POLOŽKU</t>
        </r>
      </text>
    </comment>
    <comment ref="G70" authorId="0" shapeId="0" xr:uid="{38FD53B6-0A41-48CD-98E3-200F16F02DF4}">
      <text>
        <r>
          <rPr>
            <b/>
            <sz val="9"/>
            <color indexed="81"/>
            <rFont val="Tahoma"/>
            <family val="2"/>
            <charset val="238"/>
          </rPr>
          <t>VLOŽTE JEDNOTKOVOU CENU ZHOTOVITELE ZA POLOŽKU</t>
        </r>
      </text>
    </comment>
    <comment ref="G71" authorId="0" shapeId="0" xr:uid="{489FD975-D24E-451E-AFDD-2AEBF94D34D0}">
      <text>
        <r>
          <rPr>
            <b/>
            <sz val="9"/>
            <color indexed="81"/>
            <rFont val="Tahoma"/>
            <family val="2"/>
            <charset val="238"/>
          </rPr>
          <t>VLOŽTE JEDNOTKOVOU CENU ZHOTOVITELE ZA POLOŽKU</t>
        </r>
      </text>
    </comment>
    <comment ref="G72" authorId="0" shapeId="0" xr:uid="{2F0D2614-ABB6-47BF-B062-AD34BD0F8F88}">
      <text>
        <r>
          <rPr>
            <b/>
            <sz val="9"/>
            <color indexed="81"/>
            <rFont val="Tahoma"/>
            <family val="2"/>
            <charset val="238"/>
          </rPr>
          <t>VLOŽTE JEDNOTKOVOU CENU ZHOTOVITELE ZA POLOŽKU</t>
        </r>
      </text>
    </comment>
    <comment ref="G74" authorId="0" shapeId="0" xr:uid="{3EFB5AF1-E48C-4C48-8C5A-9812EA44CF26}">
      <text>
        <r>
          <rPr>
            <b/>
            <sz val="9"/>
            <color indexed="81"/>
            <rFont val="Tahoma"/>
            <family val="2"/>
            <charset val="238"/>
          </rPr>
          <t>VLOŽTE JEDNOTKOVOU CENU ZHOTOVITELE ZA POLOŽKU</t>
        </r>
      </text>
    </comment>
    <comment ref="G76" authorId="0" shapeId="0" xr:uid="{7987E857-9F19-440A-80E2-A778F1CBA802}">
      <text>
        <r>
          <rPr>
            <b/>
            <sz val="9"/>
            <color indexed="81"/>
            <rFont val="Tahoma"/>
            <family val="2"/>
            <charset val="238"/>
          </rPr>
          <t>VLOŽTE JEDNOTKOVOU CENU ZHOTOVITELE ZA POLOŽKU</t>
        </r>
      </text>
    </comment>
    <comment ref="G78" authorId="0" shapeId="0" xr:uid="{443B4AE5-BD99-4C26-B652-B1D8B72E5BFD}">
      <text>
        <r>
          <rPr>
            <b/>
            <sz val="9"/>
            <color indexed="81"/>
            <rFont val="Tahoma"/>
            <family val="2"/>
            <charset val="238"/>
          </rPr>
          <t>VLOŽTE JEDNOTKOVOU CENU ZHOTOVITELE ZA POLOŽKU</t>
        </r>
      </text>
    </comment>
    <comment ref="G79" authorId="0" shapeId="0" xr:uid="{234B1318-BC21-451B-A81D-911BDC670773}">
      <text>
        <r>
          <rPr>
            <b/>
            <sz val="9"/>
            <color indexed="81"/>
            <rFont val="Tahoma"/>
            <family val="2"/>
            <charset val="238"/>
          </rPr>
          <t>VLOŽTE JEDNOTKOVOU CENU ZHOTOVITELE ZA POLOŽKU</t>
        </r>
      </text>
    </comment>
    <comment ref="G80" authorId="0" shapeId="0" xr:uid="{DA0EE2F3-9D90-40C3-B192-A0411DF54281}">
      <text>
        <r>
          <rPr>
            <b/>
            <sz val="9"/>
            <color indexed="81"/>
            <rFont val="Tahoma"/>
            <family val="2"/>
            <charset val="238"/>
          </rPr>
          <t>VLOŽTE JEDNOTKOVOU CENU ZHOTOVITELE ZA POLOŽKU</t>
        </r>
      </text>
    </comment>
    <comment ref="G81" authorId="0" shapeId="0" xr:uid="{D4743D74-F66D-470B-AC38-B2ED910D9188}">
      <text>
        <r>
          <rPr>
            <b/>
            <sz val="9"/>
            <color indexed="81"/>
            <rFont val="Tahoma"/>
            <family val="2"/>
            <charset val="238"/>
          </rPr>
          <t>VLOŽTE JEDNOTKOVOU CENU ZHOTOVITELE ZA POLOŽKU</t>
        </r>
      </text>
    </comment>
    <comment ref="G82" authorId="0" shapeId="0" xr:uid="{FB703B46-EBE4-487B-85ED-890FFFF01CFF}">
      <text>
        <r>
          <rPr>
            <b/>
            <sz val="9"/>
            <color indexed="81"/>
            <rFont val="Tahoma"/>
            <family val="2"/>
            <charset val="238"/>
          </rPr>
          <t>VLOŽTE JEDNOTKOVOU CENU ZHOTOVITELE ZA POLOŽKU</t>
        </r>
      </text>
    </comment>
    <comment ref="G83" authorId="0" shapeId="0" xr:uid="{83A62069-C125-4223-85F5-0E1C6B642189}">
      <text>
        <r>
          <rPr>
            <b/>
            <sz val="9"/>
            <color indexed="81"/>
            <rFont val="Tahoma"/>
            <family val="2"/>
            <charset val="238"/>
          </rPr>
          <t>VLOŽTE JEDNOTKOVOU CENU ZHOTOVITELE ZA POLOŽKU</t>
        </r>
      </text>
    </comment>
    <comment ref="G84" authorId="0" shapeId="0" xr:uid="{C54B195E-EF2E-49DA-B0E6-AD2A522CE527}">
      <text>
        <r>
          <rPr>
            <b/>
            <sz val="9"/>
            <color indexed="81"/>
            <rFont val="Tahoma"/>
            <family val="2"/>
            <charset val="238"/>
          </rPr>
          <t>VLOŽTE JEDNOTKOVOU CENU ZHOTOVITELE ZA POLOŽKU</t>
        </r>
      </text>
    </comment>
    <comment ref="G85" authorId="0" shapeId="0" xr:uid="{6B69B8AA-A40C-442A-A19B-1ECDF3A02DAD}">
      <text>
        <r>
          <rPr>
            <b/>
            <sz val="9"/>
            <color indexed="81"/>
            <rFont val="Tahoma"/>
            <family val="2"/>
            <charset val="238"/>
          </rPr>
          <t>VLOŽTE JEDNOTKOVOU CENU ZHOTOVITELE ZA POLOŽKU</t>
        </r>
      </text>
    </comment>
    <comment ref="G86" authorId="0" shapeId="0" xr:uid="{A7302256-8E01-4FDE-A040-AA41C1C0B3B3}">
      <text>
        <r>
          <rPr>
            <b/>
            <sz val="9"/>
            <color indexed="81"/>
            <rFont val="Tahoma"/>
            <family val="2"/>
            <charset val="238"/>
          </rPr>
          <t>VLOŽTE JEDNOTKOVOU CENU ZHOTOVITELE ZA POLOŽKU</t>
        </r>
      </text>
    </comment>
    <comment ref="G87" authorId="0" shapeId="0" xr:uid="{BE4A6EBD-5300-402B-BF59-E37D28A25727}">
      <text>
        <r>
          <rPr>
            <b/>
            <sz val="9"/>
            <color indexed="81"/>
            <rFont val="Tahoma"/>
            <family val="2"/>
            <charset val="238"/>
          </rPr>
          <t>VLOŽTE JEDNOTKOVOU CENU ZHOTOVITELE ZA POLOŽKU</t>
        </r>
      </text>
    </comment>
    <comment ref="G88" authorId="0" shapeId="0" xr:uid="{487922B9-378F-4938-9A49-5451236E8E0A}">
      <text>
        <r>
          <rPr>
            <b/>
            <sz val="9"/>
            <color indexed="81"/>
            <rFont val="Tahoma"/>
            <family val="2"/>
            <charset val="238"/>
          </rPr>
          <t>VLOŽTE JEDNOTKOVOU CENU ZHOTOVITELE ZA POLOŽKU</t>
        </r>
      </text>
    </comment>
    <comment ref="G89" authorId="0" shapeId="0" xr:uid="{A853E883-9E14-42B0-B2EB-A87D48C31DC5}">
      <text>
        <r>
          <rPr>
            <b/>
            <sz val="9"/>
            <color indexed="81"/>
            <rFont val="Tahoma"/>
            <family val="2"/>
            <charset val="238"/>
          </rPr>
          <t>VLOŽTE JEDNOTKOVOU CENU ZHOTOVITELE ZA POLOŽKU</t>
        </r>
      </text>
    </comment>
    <comment ref="G90" authorId="0" shapeId="0" xr:uid="{C71D525D-F887-47DF-A581-98F61FA6047D}">
      <text>
        <r>
          <rPr>
            <b/>
            <sz val="9"/>
            <color indexed="81"/>
            <rFont val="Tahoma"/>
            <family val="2"/>
            <charset val="238"/>
          </rPr>
          <t>VLOŽTE JEDNOTKOVOU CENU ZHOTOVITELE ZA POLOŽKU</t>
        </r>
      </text>
    </comment>
    <comment ref="G91" authorId="0" shapeId="0" xr:uid="{13F501D2-2F2E-4D74-B10D-279C7B18DCFE}">
      <text>
        <r>
          <rPr>
            <b/>
            <sz val="9"/>
            <color indexed="81"/>
            <rFont val="Tahoma"/>
            <family val="2"/>
            <charset val="238"/>
          </rPr>
          <t>VLOŽTE JEDNOTKOVOU CENU ZHOTOVITELE ZA POLOŽKU</t>
        </r>
      </text>
    </comment>
    <comment ref="G92" authorId="0" shapeId="0" xr:uid="{8E884A65-2D82-49DA-B104-9903431696B5}">
      <text>
        <r>
          <rPr>
            <b/>
            <sz val="9"/>
            <color indexed="81"/>
            <rFont val="Tahoma"/>
            <family val="2"/>
            <charset val="238"/>
          </rPr>
          <t>VLOŽTE JEDNOTKOVOU CENU ZHOTOVITELE ZA POLOŽKU</t>
        </r>
      </text>
    </comment>
    <comment ref="G93" authorId="0" shapeId="0" xr:uid="{5287D155-0867-47F7-8D26-AE0D1963FA70}">
      <text>
        <r>
          <rPr>
            <b/>
            <sz val="9"/>
            <color indexed="81"/>
            <rFont val="Tahoma"/>
            <family val="2"/>
            <charset val="238"/>
          </rPr>
          <t>VLOŽTE JEDNOTKOVOU CENU ZHOTOVITELE ZA POLOŽKU</t>
        </r>
      </text>
    </comment>
    <comment ref="G94" authorId="0" shapeId="0" xr:uid="{CBF69FF2-9F21-438E-9D0F-2763628F1C87}">
      <text>
        <r>
          <rPr>
            <b/>
            <sz val="9"/>
            <color indexed="81"/>
            <rFont val="Tahoma"/>
            <family val="2"/>
            <charset val="238"/>
          </rPr>
          <t>VLOŽTE JEDNOTKOVOU CENU ZHOTOVITELE ZA POLOŽKU</t>
        </r>
      </text>
    </comment>
    <comment ref="G95" authorId="0" shapeId="0" xr:uid="{4666857F-588E-49E4-8E3C-8090156BFC30}">
      <text>
        <r>
          <rPr>
            <b/>
            <sz val="9"/>
            <color indexed="81"/>
            <rFont val="Tahoma"/>
            <family val="2"/>
            <charset val="238"/>
          </rPr>
          <t>VLOŽTE JEDNOTKOVOU CENU ZHOTOVITELE ZA POLOŽKU</t>
        </r>
      </text>
    </comment>
    <comment ref="G96" authorId="0" shapeId="0" xr:uid="{3E136FDB-4B1D-487F-85FF-21A82CB52EDF}">
      <text>
        <r>
          <rPr>
            <b/>
            <sz val="9"/>
            <color indexed="81"/>
            <rFont val="Tahoma"/>
            <family val="2"/>
            <charset val="238"/>
          </rPr>
          <t>VLOŽTE JEDNOTKOVOU CENU ZHOTOVITELE ZA POLOŽKU</t>
        </r>
      </text>
    </comment>
    <comment ref="G97" authorId="0" shapeId="0" xr:uid="{9E57F0C0-826D-4E72-8D49-148927BBF4FA}">
      <text>
        <r>
          <rPr>
            <b/>
            <sz val="9"/>
            <color indexed="81"/>
            <rFont val="Tahoma"/>
            <family val="2"/>
            <charset val="238"/>
          </rPr>
          <t>VLOŽTE JEDNOTKOVOU CENU ZHOTOVITELE ZA POLOŽKU</t>
        </r>
      </text>
    </comment>
    <comment ref="G98" authorId="0" shapeId="0" xr:uid="{F3F131FC-78E6-47E3-AB72-7F0B6225A4A0}">
      <text>
        <r>
          <rPr>
            <b/>
            <sz val="9"/>
            <color indexed="81"/>
            <rFont val="Tahoma"/>
            <family val="2"/>
            <charset val="238"/>
          </rPr>
          <t>VLOŽTE JEDNOTKOVOU CENU ZHOTOVITELE ZA POLOŽKU</t>
        </r>
      </text>
    </comment>
    <comment ref="G99" authorId="0" shapeId="0" xr:uid="{E9AA0F96-C1DB-4326-8B5A-FE64A1879B22}">
      <text>
        <r>
          <rPr>
            <b/>
            <sz val="9"/>
            <color indexed="81"/>
            <rFont val="Tahoma"/>
            <family val="2"/>
            <charset val="238"/>
          </rPr>
          <t>VLOŽTE JEDNOTKOVOU CENU ZHOTOVITELE ZA POLOŽKU</t>
        </r>
      </text>
    </comment>
    <comment ref="G100" authorId="0" shapeId="0" xr:uid="{433468EA-8D30-4192-8FE7-61BD919CEAF2}">
      <text>
        <r>
          <rPr>
            <b/>
            <sz val="9"/>
            <color indexed="81"/>
            <rFont val="Tahoma"/>
            <family val="2"/>
            <charset val="238"/>
          </rPr>
          <t>VLOŽTE JEDNOTKOVOU CENU ZHOTOVITELE ZA POLOŽKU</t>
        </r>
      </text>
    </comment>
    <comment ref="G101" authorId="0" shapeId="0" xr:uid="{BF65F73C-8831-4B1E-8D3F-702893DF818F}">
      <text>
        <r>
          <rPr>
            <b/>
            <sz val="9"/>
            <color indexed="81"/>
            <rFont val="Tahoma"/>
            <family val="2"/>
            <charset val="238"/>
          </rPr>
          <t>VLOŽTE JEDNOTKOVOU CENU ZHOTOVITELE ZA POLOŽKU</t>
        </r>
      </text>
    </comment>
    <comment ref="G102" authorId="0" shapeId="0" xr:uid="{41A8746B-686F-4342-8E18-962BB93008A5}">
      <text>
        <r>
          <rPr>
            <b/>
            <sz val="9"/>
            <color indexed="81"/>
            <rFont val="Tahoma"/>
            <family val="2"/>
            <charset val="238"/>
          </rPr>
          <t>VLOŽTE JEDNOTKOVOU CENU ZHOTOVITELE ZA POLOŽKU</t>
        </r>
      </text>
    </comment>
    <comment ref="G103" authorId="0" shapeId="0" xr:uid="{DE7E82F6-C314-46E6-B686-C13AFEA124BC}">
      <text>
        <r>
          <rPr>
            <b/>
            <sz val="9"/>
            <color indexed="81"/>
            <rFont val="Tahoma"/>
            <family val="2"/>
            <charset val="238"/>
          </rPr>
          <t>VLOŽTE JEDNOTKOVOU CENU ZHOTOVITELE ZA POLOŽKU</t>
        </r>
      </text>
    </comment>
    <comment ref="G104" authorId="0" shapeId="0" xr:uid="{C4230C80-5C84-4762-B2C4-13F6B97508A3}">
      <text>
        <r>
          <rPr>
            <b/>
            <sz val="9"/>
            <color indexed="81"/>
            <rFont val="Tahoma"/>
            <family val="2"/>
            <charset val="238"/>
          </rPr>
          <t>VLOŽTE JEDNOTKOVOU CENU ZHOTOVITELE ZA POLOŽKU</t>
        </r>
      </text>
    </comment>
    <comment ref="G105" authorId="0" shapeId="0" xr:uid="{4323CF2A-244A-4A41-ADB2-1E265F06C91B}">
      <text>
        <r>
          <rPr>
            <b/>
            <sz val="9"/>
            <color indexed="81"/>
            <rFont val="Tahoma"/>
            <family val="2"/>
            <charset val="238"/>
          </rPr>
          <t>VLOŽTE JEDNOTKOVOU CENU ZHOTOVITELE ZA POLOŽKU</t>
        </r>
      </text>
    </comment>
    <comment ref="G106" authorId="0" shapeId="0" xr:uid="{89941AAC-90B0-4F37-B047-2E32DBF1231B}">
      <text>
        <r>
          <rPr>
            <b/>
            <sz val="9"/>
            <color indexed="81"/>
            <rFont val="Tahoma"/>
            <family val="2"/>
            <charset val="238"/>
          </rPr>
          <t>VLOŽTE JEDNOTKOVOU CENU ZHOTOVITELE ZA POLOŽKU</t>
        </r>
      </text>
    </comment>
    <comment ref="G107" authorId="0" shapeId="0" xr:uid="{2C4620B6-3E3A-4479-A633-C384891ED7F4}">
      <text>
        <r>
          <rPr>
            <b/>
            <sz val="9"/>
            <color indexed="81"/>
            <rFont val="Tahoma"/>
            <family val="2"/>
            <charset val="238"/>
          </rPr>
          <t>VLOŽTE JEDNOTKOVOU CENU ZHOTOVITELE ZA POLOŽKU</t>
        </r>
      </text>
    </comment>
    <comment ref="G108" authorId="0" shapeId="0" xr:uid="{140F4D48-CDFB-4FDC-8DD2-9364F724C6F1}">
      <text>
        <r>
          <rPr>
            <b/>
            <sz val="9"/>
            <color indexed="81"/>
            <rFont val="Tahoma"/>
            <family val="2"/>
            <charset val="238"/>
          </rPr>
          <t>VLOŽTE JEDNOTKOVOU CENU ZHOTOVITELE ZA POLOŽKU</t>
        </r>
      </text>
    </comment>
    <comment ref="G109" authorId="0" shapeId="0" xr:uid="{265D653E-E551-48BD-91A5-3112AA7CE21C}">
      <text>
        <r>
          <rPr>
            <b/>
            <sz val="9"/>
            <color indexed="81"/>
            <rFont val="Tahoma"/>
            <family val="2"/>
            <charset val="238"/>
          </rPr>
          <t>VLOŽTE JEDNOTKOVOU CENU ZHOTOVITELE ZA POLOŽKU</t>
        </r>
      </text>
    </comment>
    <comment ref="G110" authorId="0" shapeId="0" xr:uid="{757C711B-6C29-4123-843C-7CDD4BD4B8A2}">
      <text>
        <r>
          <rPr>
            <b/>
            <sz val="9"/>
            <color indexed="81"/>
            <rFont val="Tahoma"/>
            <family val="2"/>
            <charset val="238"/>
          </rPr>
          <t>VLOŽTE JEDNOTKOVOU CENU ZHOTOVITELE ZA POLOŽKU</t>
        </r>
      </text>
    </comment>
    <comment ref="G111" authorId="0" shapeId="0" xr:uid="{DB55F697-35C8-4DFA-BF24-24D39470477A}">
      <text>
        <r>
          <rPr>
            <b/>
            <sz val="9"/>
            <color indexed="81"/>
            <rFont val="Tahoma"/>
            <family val="2"/>
            <charset val="238"/>
          </rPr>
          <t>VLOŽTE JEDNOTKOVOU CENU ZHOTOVITELE ZA POLOŽKU</t>
        </r>
      </text>
    </comment>
    <comment ref="G112" authorId="0" shapeId="0" xr:uid="{52F9D58E-FD92-4898-8629-BCC4083D5D29}">
      <text>
        <r>
          <rPr>
            <b/>
            <sz val="9"/>
            <color indexed="81"/>
            <rFont val="Tahoma"/>
            <family val="2"/>
            <charset val="238"/>
          </rPr>
          <t>VLOŽTE JEDNOTKOVOU CENU ZHOTOVITELE ZA POLOŽKU</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3A669EE8-2A1C-407E-8118-56C576F5B5CB}">
      <text>
        <r>
          <rPr>
            <b/>
            <sz val="9"/>
            <color indexed="81"/>
            <rFont val="Tahoma"/>
            <family val="2"/>
            <charset val="238"/>
          </rPr>
          <t>VLOŽTE JEDNOTKOVOU CENU ZHOTOVITELE ZA POLOŽKU</t>
        </r>
      </text>
    </comment>
    <comment ref="G16" authorId="0" shapeId="0" xr:uid="{D4154CFB-0565-4030-8F72-D144D03814B3}">
      <text>
        <r>
          <rPr>
            <b/>
            <sz val="9"/>
            <color indexed="81"/>
            <rFont val="Tahoma"/>
            <family val="2"/>
            <charset val="238"/>
          </rPr>
          <t>VLOŽTE JEDNOTKOVOU CENU ZHOTOVITELE ZA POLOŽKU</t>
        </r>
      </text>
    </comment>
    <comment ref="G18" authorId="0" shapeId="0" xr:uid="{3563E459-7EC2-4A80-921C-4FECAA128966}">
      <text>
        <r>
          <rPr>
            <b/>
            <sz val="9"/>
            <color indexed="81"/>
            <rFont val="Tahoma"/>
            <family val="2"/>
            <charset val="238"/>
          </rPr>
          <t>VLOŽTE JEDNOTKOVOU CENU ZHOTOVITELE ZA POLOŽKU</t>
        </r>
      </text>
    </comment>
    <comment ref="G21" authorId="0" shapeId="0" xr:uid="{7BCD64CC-A093-44AC-98FA-3715205D8D58}">
      <text>
        <r>
          <rPr>
            <b/>
            <sz val="9"/>
            <color indexed="81"/>
            <rFont val="Tahoma"/>
            <family val="2"/>
            <charset val="238"/>
          </rPr>
          <t>VLOŽTE JEDNOTKOVOU CENU ZHOTOVITELE ZA POLOŽKU</t>
        </r>
      </text>
    </comment>
    <comment ref="G23" authorId="0" shapeId="0" xr:uid="{3BE49F7E-E089-4998-9028-2EB58A6F3B14}">
      <text>
        <r>
          <rPr>
            <b/>
            <sz val="9"/>
            <color indexed="81"/>
            <rFont val="Tahoma"/>
            <family val="2"/>
            <charset val="238"/>
          </rPr>
          <t>VLOŽTE JEDNOTKOVOU CENU ZHOTOVITELE ZA POLOŽKU</t>
        </r>
      </text>
    </comment>
    <comment ref="G25" authorId="0" shapeId="0" xr:uid="{F36A5779-B91C-4DED-BADE-362D4467542B}">
      <text>
        <r>
          <rPr>
            <b/>
            <sz val="9"/>
            <color indexed="81"/>
            <rFont val="Tahoma"/>
            <family val="2"/>
            <charset val="238"/>
          </rPr>
          <t>VLOŽTE JEDNOTKOVOU CENU ZHOTOVITELE ZA POLOŽKU</t>
        </r>
      </text>
    </comment>
    <comment ref="G28" authorId="0" shapeId="0" xr:uid="{75A4A236-3C7B-4CAD-AE43-1039D920FE0D}">
      <text>
        <r>
          <rPr>
            <b/>
            <sz val="9"/>
            <color indexed="81"/>
            <rFont val="Tahoma"/>
            <family val="2"/>
            <charset val="238"/>
          </rPr>
          <t>VLOŽTE JEDNOTKOVOU CENU ZHOTOVITELE ZA POLOŽKU</t>
        </r>
      </text>
    </comment>
    <comment ref="G30" authorId="0" shapeId="0" xr:uid="{A25B1A70-E77A-4441-9C15-FEC8F4775E51}">
      <text>
        <r>
          <rPr>
            <b/>
            <sz val="9"/>
            <color indexed="81"/>
            <rFont val="Tahoma"/>
            <family val="2"/>
            <charset val="238"/>
          </rPr>
          <t>VLOŽTE JEDNOTKOVOU CENU ZHOTOVITELE ZA POLOŽKU</t>
        </r>
      </text>
    </comment>
    <comment ref="G33" authorId="0" shapeId="0" xr:uid="{E35540AF-C13B-4EB0-BC24-DCCD2CDE3885}">
      <text>
        <r>
          <rPr>
            <b/>
            <sz val="9"/>
            <color indexed="81"/>
            <rFont val="Tahoma"/>
            <family val="2"/>
            <charset val="238"/>
          </rPr>
          <t>VLOŽTE JEDNOTKOVOU CENU ZHOTOVITELE ZA POLOŽKU</t>
        </r>
      </text>
    </comment>
    <comment ref="G35" authorId="0" shapeId="0" xr:uid="{8DF753A5-697C-45AB-989D-8ECDF434E489}">
      <text>
        <r>
          <rPr>
            <b/>
            <sz val="9"/>
            <color indexed="81"/>
            <rFont val="Tahoma"/>
            <family val="2"/>
            <charset val="238"/>
          </rPr>
          <t>VLOŽTE JEDNOTKOVOU CENU ZHOTOVITELE ZA POLOŽKU</t>
        </r>
      </text>
    </comment>
    <comment ref="G38" authorId="0" shapeId="0" xr:uid="{30436212-1E2B-45F2-AC42-96AF69CF2291}">
      <text>
        <r>
          <rPr>
            <b/>
            <sz val="9"/>
            <color indexed="81"/>
            <rFont val="Tahoma"/>
            <family val="2"/>
            <charset val="238"/>
          </rPr>
          <t>VLOŽTE JEDNOTKOVOU CENU ZHOTOVITELE ZA POLOŽKU</t>
        </r>
      </text>
    </comment>
    <comment ref="G40" authorId="0" shapeId="0" xr:uid="{A6A8FCE7-D52B-4355-A59A-5099BF00C203}">
      <text>
        <r>
          <rPr>
            <b/>
            <sz val="9"/>
            <color indexed="81"/>
            <rFont val="Tahoma"/>
            <family val="2"/>
            <charset val="238"/>
          </rPr>
          <t>VLOŽTE JEDNOTKOVOU CENU ZHOTOVITELE ZA POLOŽKU</t>
        </r>
      </text>
    </comment>
    <comment ref="G42" authorId="0" shapeId="0" xr:uid="{F624911E-37B0-4842-A048-25E3841AEF2B}">
      <text>
        <r>
          <rPr>
            <b/>
            <sz val="9"/>
            <color indexed="81"/>
            <rFont val="Tahoma"/>
            <family val="2"/>
            <charset val="238"/>
          </rPr>
          <t>VLOŽTE JEDNOTKOVOU CENU ZHOTOVITELE ZA POLOŽKU</t>
        </r>
      </text>
    </comment>
    <comment ref="G44" authorId="0" shapeId="0" xr:uid="{C48ECC03-AE1E-4C1E-872D-2972366B3EAF}">
      <text>
        <r>
          <rPr>
            <b/>
            <sz val="9"/>
            <color indexed="81"/>
            <rFont val="Tahoma"/>
            <family val="2"/>
            <charset val="238"/>
          </rPr>
          <t>VLOŽTE JEDNOTKOVOU CENU ZHOTOVITELE ZA POLOŽKU</t>
        </r>
      </text>
    </comment>
    <comment ref="G46" authorId="0" shapeId="0" xr:uid="{2D30D604-A635-4D1C-8C73-92522D8A3918}">
      <text>
        <r>
          <rPr>
            <b/>
            <sz val="9"/>
            <color indexed="81"/>
            <rFont val="Tahoma"/>
            <family val="2"/>
            <charset val="238"/>
          </rPr>
          <t>VLOŽTE JEDNOTKOVOU CENU ZHOTOVITELE ZA POLOŽKU</t>
        </r>
      </text>
    </comment>
    <comment ref="G48" authorId="0" shapeId="0" xr:uid="{0F41F535-46A7-4432-8E30-8AB33F6CDDB1}">
      <text>
        <r>
          <rPr>
            <b/>
            <sz val="9"/>
            <color indexed="81"/>
            <rFont val="Tahoma"/>
            <family val="2"/>
            <charset val="238"/>
          </rPr>
          <t>VLOŽTE JEDNOTKOVOU CENU ZHOTOVITELE ZA POLOŽKU</t>
        </r>
      </text>
    </comment>
    <comment ref="G50" authorId="0" shapeId="0" xr:uid="{3DC4B414-4818-4CA3-96E0-00561D77BBE5}">
      <text>
        <r>
          <rPr>
            <b/>
            <sz val="9"/>
            <color indexed="81"/>
            <rFont val="Tahoma"/>
            <family val="2"/>
            <charset val="238"/>
          </rPr>
          <t>VLOŽTE JEDNOTKOVOU CENU ZHOTOVITELE ZA POLOŽKU</t>
        </r>
      </text>
    </comment>
    <comment ref="G53" authorId="0" shapeId="0" xr:uid="{9C6DCD28-56EB-4122-9CAB-4435FDC1FF90}">
      <text>
        <r>
          <rPr>
            <b/>
            <sz val="9"/>
            <color indexed="81"/>
            <rFont val="Tahoma"/>
            <family val="2"/>
            <charset val="238"/>
          </rPr>
          <t>VLOŽTE JEDNOTKOVOU CENU ZHOTOVITELE ZA POLOŽKU</t>
        </r>
      </text>
    </comment>
    <comment ref="G56" authorId="0" shapeId="0" xr:uid="{0A659F52-6E4F-481B-9EB4-152D29C76DC8}">
      <text>
        <r>
          <rPr>
            <b/>
            <sz val="9"/>
            <color indexed="81"/>
            <rFont val="Tahoma"/>
            <family val="2"/>
            <charset val="238"/>
          </rPr>
          <t>VLOŽTE JEDNOTKOVOU CENU ZHOTOVITELE ZA POLOŽKU</t>
        </r>
      </text>
    </comment>
    <comment ref="G58" authorId="0" shapeId="0" xr:uid="{50DA0612-3F10-44C1-8306-23E08382AE2C}">
      <text>
        <r>
          <rPr>
            <b/>
            <sz val="9"/>
            <color indexed="81"/>
            <rFont val="Tahoma"/>
            <family val="2"/>
            <charset val="238"/>
          </rPr>
          <t>VLOŽTE JEDNOTKOVOU CENU ZHOTOVITELE ZA POLOŽKU</t>
        </r>
      </text>
    </comment>
    <comment ref="G61" authorId="0" shapeId="0" xr:uid="{BD26905D-2C5C-4375-BAE9-CB93B930A372}">
      <text>
        <r>
          <rPr>
            <b/>
            <sz val="9"/>
            <color indexed="81"/>
            <rFont val="Tahoma"/>
            <family val="2"/>
            <charset val="238"/>
          </rPr>
          <t>VLOŽTE JEDNOTKOVOU CENU ZHOTOVITELE ZA POLOŽKU</t>
        </r>
      </text>
    </comment>
    <comment ref="G63" authorId="0" shapeId="0" xr:uid="{17685987-B082-4C6B-931D-5789933AF182}">
      <text>
        <r>
          <rPr>
            <b/>
            <sz val="9"/>
            <color indexed="81"/>
            <rFont val="Tahoma"/>
            <family val="2"/>
            <charset val="238"/>
          </rPr>
          <t>VLOŽTE JEDNOTKOVOU CENU ZHOTOVITELE ZA POLOŽKU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6D3F2CAE-66DE-4374-A72D-EB52271B27A7}">
      <text>
        <r>
          <rPr>
            <b/>
            <sz val="9"/>
            <color indexed="81"/>
            <rFont val="Tahoma"/>
            <family val="2"/>
            <charset val="238"/>
          </rPr>
          <t>VLOŽTE JEDNOTKOVOU CENU ZHOTOVITELE ZA POLOŽKU</t>
        </r>
      </text>
    </comment>
    <comment ref="G16" authorId="0" shapeId="0" xr:uid="{216098F5-B110-4129-9346-A3F08BC853DD}">
      <text>
        <r>
          <rPr>
            <b/>
            <sz val="9"/>
            <color indexed="81"/>
            <rFont val="Tahoma"/>
            <family val="2"/>
            <charset val="238"/>
          </rPr>
          <t>VLOŽTE JEDNOTKOVOU CENU ZHOTOVITELE ZA POLOŽKU</t>
        </r>
      </text>
    </comment>
    <comment ref="G19" authorId="0" shapeId="0" xr:uid="{CA972429-8CD0-4CE4-980E-2FA4F7FD3958}">
      <text>
        <r>
          <rPr>
            <b/>
            <sz val="9"/>
            <color indexed="81"/>
            <rFont val="Tahoma"/>
            <family val="2"/>
            <charset val="238"/>
          </rPr>
          <t>VLOŽTE JEDNOTKOVOU CENU ZHOTOVITELE ZA POLOŽKU</t>
        </r>
      </text>
    </comment>
    <comment ref="G21" authorId="0" shapeId="0" xr:uid="{E8894186-0FC7-4844-BB7A-68C2108E8A25}">
      <text>
        <r>
          <rPr>
            <b/>
            <sz val="9"/>
            <color indexed="81"/>
            <rFont val="Tahoma"/>
            <family val="2"/>
            <charset val="238"/>
          </rPr>
          <t>VLOŽTE JEDNOTKOVOU CENU ZHOTOVITELE ZA POLOŽKU</t>
        </r>
      </text>
    </comment>
    <comment ref="G23" authorId="0" shapeId="0" xr:uid="{730454C6-F578-4D5E-B411-D0A3A7C2E25D}">
      <text>
        <r>
          <rPr>
            <b/>
            <sz val="9"/>
            <color indexed="81"/>
            <rFont val="Tahoma"/>
            <family val="2"/>
            <charset val="238"/>
          </rPr>
          <t>VLOŽTE JEDNOTKOVOU CENU ZHOTOVITELE ZA POLOŽKU</t>
        </r>
      </text>
    </comment>
    <comment ref="G25" authorId="0" shapeId="0" xr:uid="{F807EA1A-D7BA-4DE6-83AD-C45E828EDA09}">
      <text>
        <r>
          <rPr>
            <b/>
            <sz val="9"/>
            <color indexed="81"/>
            <rFont val="Tahoma"/>
            <family val="2"/>
            <charset val="238"/>
          </rPr>
          <t>VLOŽTE JEDNOTKOVOU CENU ZHOTOVITELE ZA POLOŽKU</t>
        </r>
      </text>
    </comment>
    <comment ref="G27" authorId="0" shapeId="0" xr:uid="{11C64AAD-89AE-400E-9E65-FA69C43FCA21}">
      <text>
        <r>
          <rPr>
            <b/>
            <sz val="9"/>
            <color indexed="81"/>
            <rFont val="Tahoma"/>
            <family val="2"/>
            <charset val="238"/>
          </rPr>
          <t>VLOŽTE JEDNOTKOVOU CENU ZHOTOVITELE ZA POLOŽKU</t>
        </r>
      </text>
    </comment>
    <comment ref="G29" authorId="0" shapeId="0" xr:uid="{EDA26A8D-3F90-4894-926E-ED7F1F32C6C2}">
      <text>
        <r>
          <rPr>
            <b/>
            <sz val="9"/>
            <color indexed="81"/>
            <rFont val="Tahoma"/>
            <family val="2"/>
            <charset val="238"/>
          </rPr>
          <t>VLOŽTE JEDNOTKOVOU CENU ZHOTOVITELE ZA POLOŽKU</t>
        </r>
      </text>
    </comment>
    <comment ref="G31" authorId="0" shapeId="0" xr:uid="{66A649B6-3A79-4184-BBBE-D728539DA370}">
      <text>
        <r>
          <rPr>
            <b/>
            <sz val="9"/>
            <color indexed="81"/>
            <rFont val="Tahoma"/>
            <family val="2"/>
            <charset val="238"/>
          </rPr>
          <t>VLOŽTE JEDNOTKOVOU CENU ZHOTOVITELE ZA POLOŽKU</t>
        </r>
      </text>
    </comment>
    <comment ref="G33" authorId="0" shapeId="0" xr:uid="{CE61359D-14D1-4C74-A12E-192228D42BEE}">
      <text>
        <r>
          <rPr>
            <b/>
            <sz val="9"/>
            <color indexed="81"/>
            <rFont val="Tahoma"/>
            <family val="2"/>
            <charset val="238"/>
          </rPr>
          <t>VLOŽTE JEDNOTKOVOU CENU ZHOTOVITELE ZA POLOŽKU</t>
        </r>
      </text>
    </comment>
    <comment ref="G36" authorId="0" shapeId="0" xr:uid="{6E985543-1DAB-4847-968D-58F36E71F8C9}">
      <text>
        <r>
          <rPr>
            <b/>
            <sz val="9"/>
            <color indexed="81"/>
            <rFont val="Tahoma"/>
            <family val="2"/>
            <charset val="238"/>
          </rPr>
          <t>VLOŽTE JEDNOTKOVOU CENU ZHOTOVITELE ZA POLOŽKU</t>
        </r>
      </text>
    </comment>
    <comment ref="G38" authorId="0" shapeId="0" xr:uid="{A50C37F9-156E-41FF-8965-96D0FDB0C3DB}">
      <text>
        <r>
          <rPr>
            <b/>
            <sz val="9"/>
            <color indexed="81"/>
            <rFont val="Tahoma"/>
            <family val="2"/>
            <charset val="238"/>
          </rPr>
          <t>VLOŽTE JEDNOTKOVOU CENU ZHOTOVITELE ZA POLOŽKU</t>
        </r>
      </text>
    </comment>
    <comment ref="G41" authorId="0" shapeId="0" xr:uid="{63A20068-010B-49CD-B741-C1C5BD40EB6D}">
      <text>
        <r>
          <rPr>
            <b/>
            <sz val="9"/>
            <color indexed="81"/>
            <rFont val="Tahoma"/>
            <family val="2"/>
            <charset val="238"/>
          </rPr>
          <t>VLOŽTE JEDNOTKOVOU CENU ZHOTOVITELE ZA POLOŽKU</t>
        </r>
      </text>
    </comment>
    <comment ref="G43" authorId="0" shapeId="0" xr:uid="{83C32E9E-0901-49B3-B9DF-FBF52AB2A978}">
      <text>
        <r>
          <rPr>
            <b/>
            <sz val="9"/>
            <color indexed="81"/>
            <rFont val="Tahoma"/>
            <family val="2"/>
            <charset val="238"/>
          </rPr>
          <t>VLOŽTE JEDNOTKOVOU CENU ZHOTOVITELE ZA POLOŽKU</t>
        </r>
      </text>
    </comment>
    <comment ref="G45" authorId="0" shapeId="0" xr:uid="{9C4383B3-F448-4943-9C83-ADD84F1B1138}">
      <text>
        <r>
          <rPr>
            <b/>
            <sz val="9"/>
            <color indexed="81"/>
            <rFont val="Tahoma"/>
            <family val="2"/>
            <charset val="238"/>
          </rPr>
          <t>VLOŽTE JEDNOTKOVOU CENU ZHOTOVITELE ZA POLOŽKU</t>
        </r>
      </text>
    </comment>
    <comment ref="G47" authorId="0" shapeId="0" xr:uid="{E6682BE8-EF17-4253-9CBE-020412B17226}">
      <text>
        <r>
          <rPr>
            <b/>
            <sz val="9"/>
            <color indexed="81"/>
            <rFont val="Tahoma"/>
            <family val="2"/>
            <charset val="238"/>
          </rPr>
          <t>VLOŽTE JEDNOTKOVOU CENU ZHOTOVITELE ZA POLOŽKU</t>
        </r>
      </text>
    </comment>
    <comment ref="G49" authorId="0" shapeId="0" xr:uid="{4C790C81-7432-410F-BBBB-DCC9C836099F}">
      <text>
        <r>
          <rPr>
            <b/>
            <sz val="9"/>
            <color indexed="81"/>
            <rFont val="Tahoma"/>
            <family val="2"/>
            <charset val="238"/>
          </rPr>
          <t>VLOŽTE JEDNOTKOVOU CENU ZHOTOVITELE ZA POLOŽKU</t>
        </r>
      </text>
    </comment>
    <comment ref="G51" authorId="0" shapeId="0" xr:uid="{7FF3008D-FC37-4B0C-ADEA-9870B1C30DEC}">
      <text>
        <r>
          <rPr>
            <b/>
            <sz val="9"/>
            <color indexed="81"/>
            <rFont val="Tahoma"/>
            <family val="2"/>
            <charset val="238"/>
          </rPr>
          <t>VLOŽTE JEDNOTKOVOU CENU ZHOTOVITELE ZA POLOŽKU</t>
        </r>
      </text>
    </comment>
    <comment ref="G53" authorId="0" shapeId="0" xr:uid="{20258420-BD25-4163-8E44-9E57E911F693}">
      <text>
        <r>
          <rPr>
            <b/>
            <sz val="9"/>
            <color indexed="81"/>
            <rFont val="Tahoma"/>
            <family val="2"/>
            <charset val="238"/>
          </rPr>
          <t>VLOŽTE JEDNOTKOVOU CENU ZHOTOVITELE ZA POLOŽKU</t>
        </r>
      </text>
    </comment>
    <comment ref="G55" authorId="0" shapeId="0" xr:uid="{F93A240A-04B1-4062-AD71-CCA06856018E}">
      <text>
        <r>
          <rPr>
            <b/>
            <sz val="9"/>
            <color indexed="81"/>
            <rFont val="Tahoma"/>
            <family val="2"/>
            <charset val="238"/>
          </rPr>
          <t>VLOŽTE JEDNOTKOVOU CENU ZHOTOVITELE ZA POLOŽKU</t>
        </r>
      </text>
    </comment>
    <comment ref="G57" authorId="0" shapeId="0" xr:uid="{8585D374-0F31-4900-A501-A17CCACFB571}">
      <text>
        <r>
          <rPr>
            <b/>
            <sz val="9"/>
            <color indexed="81"/>
            <rFont val="Tahoma"/>
            <family val="2"/>
            <charset val="238"/>
          </rPr>
          <t>VLOŽTE JEDNOTKOVOU CENU ZHOTOVITELE ZA POLOŽKU</t>
        </r>
      </text>
    </comment>
    <comment ref="G59" authorId="0" shapeId="0" xr:uid="{5569BFDC-4E26-4FA3-9E26-A0B08FEF6DD5}">
      <text>
        <r>
          <rPr>
            <b/>
            <sz val="9"/>
            <color indexed="81"/>
            <rFont val="Tahoma"/>
            <family val="2"/>
            <charset val="238"/>
          </rPr>
          <t>VLOŽTE JEDNOTKOVOU CENU ZHOTOVITELE ZA POLOŽKU</t>
        </r>
      </text>
    </comment>
    <comment ref="G62" authorId="0" shapeId="0" xr:uid="{55A478DF-108E-4D42-A022-DB2F68E1D66F}">
      <text>
        <r>
          <rPr>
            <b/>
            <sz val="9"/>
            <color indexed="81"/>
            <rFont val="Tahoma"/>
            <family val="2"/>
            <charset val="238"/>
          </rPr>
          <t>VLOŽTE JEDNOTKOVOU CENU ZHOTOVITELE ZA POLOŽKU</t>
        </r>
      </text>
    </comment>
    <comment ref="G65" authorId="0" shapeId="0" xr:uid="{2DE0FB86-3581-4BE7-8207-25530889FE72}">
      <text>
        <r>
          <rPr>
            <b/>
            <sz val="9"/>
            <color indexed="81"/>
            <rFont val="Tahoma"/>
            <family val="2"/>
            <charset val="238"/>
          </rPr>
          <t>VLOŽTE JEDNOTKOVOU CENU ZHOTOVITELE ZA POLOŽKU</t>
        </r>
      </text>
    </comment>
    <comment ref="G67" authorId="0" shapeId="0" xr:uid="{DCD88D7A-A86D-4F94-8F26-69A11669F673}">
      <text>
        <r>
          <rPr>
            <b/>
            <sz val="9"/>
            <color indexed="81"/>
            <rFont val="Tahoma"/>
            <family val="2"/>
            <charset val="238"/>
          </rPr>
          <t>VLOŽTE JEDNOTKOVOU CENU ZHOTOVITELE ZA POLOŽKU</t>
        </r>
      </text>
    </comment>
    <comment ref="G70" authorId="0" shapeId="0" xr:uid="{1B227323-EB0F-4ECC-840A-9A77C6F2A535}">
      <text>
        <r>
          <rPr>
            <b/>
            <sz val="9"/>
            <color indexed="81"/>
            <rFont val="Tahoma"/>
            <family val="2"/>
            <charset val="238"/>
          </rPr>
          <t>VLOŽTE JEDNOTKOVOU CENU ZHOTOVITELE ZA POLOŽKU</t>
        </r>
      </text>
    </comment>
    <comment ref="G72" authorId="0" shapeId="0" xr:uid="{2BC89A52-1381-49B0-BCE8-DAA00EC5A73C}">
      <text>
        <r>
          <rPr>
            <b/>
            <sz val="9"/>
            <color indexed="81"/>
            <rFont val="Tahoma"/>
            <family val="2"/>
            <charset val="238"/>
          </rPr>
          <t>VLOŽTE JEDNOTKOVOU CENU ZHOTOVITELE ZA POLOŽKU</t>
        </r>
      </text>
    </comment>
    <comment ref="G74" authorId="0" shapeId="0" xr:uid="{70C746EE-6808-4D12-9588-8124BA60C012}">
      <text>
        <r>
          <rPr>
            <b/>
            <sz val="9"/>
            <color indexed="81"/>
            <rFont val="Tahoma"/>
            <family val="2"/>
            <charset val="238"/>
          </rPr>
          <t>VLOŽTE JEDNOTKOVOU CENU ZHOTOVITELE ZA POLOŽKU</t>
        </r>
      </text>
    </comment>
    <comment ref="G76" authorId="0" shapeId="0" xr:uid="{952346C6-AF74-4892-B880-2EA5422423BD}">
      <text>
        <r>
          <rPr>
            <b/>
            <sz val="9"/>
            <color indexed="81"/>
            <rFont val="Tahoma"/>
            <family val="2"/>
            <charset val="238"/>
          </rPr>
          <t>VLOŽTE JEDNOTKOVOU CENU ZHOTOVITELE ZA POLOŽKU</t>
        </r>
      </text>
    </comment>
    <comment ref="G78" authorId="0" shapeId="0" xr:uid="{FEA0790C-1587-43E0-8AD5-4E45CEFB028D}">
      <text>
        <r>
          <rPr>
            <b/>
            <sz val="9"/>
            <color indexed="81"/>
            <rFont val="Tahoma"/>
            <family val="2"/>
            <charset val="238"/>
          </rPr>
          <t>VLOŽTE JEDNOTKOVOU CENU ZHOTOVITELE ZA POLOŽKU</t>
        </r>
      </text>
    </comment>
    <comment ref="G80" authorId="0" shapeId="0" xr:uid="{BC61266F-DAE1-4CEC-87D5-EF9CF4571BC7}">
      <text>
        <r>
          <rPr>
            <b/>
            <sz val="9"/>
            <color indexed="81"/>
            <rFont val="Tahoma"/>
            <family val="2"/>
            <charset val="238"/>
          </rPr>
          <t>VLOŽTE JEDNOTKOVOU CENU ZHOTOVITELE ZA POLOŽKU</t>
        </r>
      </text>
    </comment>
    <comment ref="G82" authorId="0" shapeId="0" xr:uid="{AE349509-0758-4EF0-A20E-6CE07A1E2B91}">
      <text>
        <r>
          <rPr>
            <b/>
            <sz val="9"/>
            <color indexed="81"/>
            <rFont val="Tahoma"/>
            <family val="2"/>
            <charset val="238"/>
          </rPr>
          <t>VLOŽTE JEDNOTKOVOU CENU ZHOTOVITELE ZA POLOŽKU</t>
        </r>
      </text>
    </comment>
    <comment ref="G84" authorId="0" shapeId="0" xr:uid="{A3E189AE-14E7-4E66-B9F8-E7D8975CDCC7}">
      <text>
        <r>
          <rPr>
            <b/>
            <sz val="9"/>
            <color indexed="81"/>
            <rFont val="Tahoma"/>
            <family val="2"/>
            <charset val="238"/>
          </rPr>
          <t>VLOŽTE JEDNOTKOVOU CENU ZHOTOVITELE ZA POLOŽKU</t>
        </r>
      </text>
    </comment>
    <comment ref="G86" authorId="0" shapeId="0" xr:uid="{129129FD-498C-48D5-A049-FE30EAB5937D}">
      <text>
        <r>
          <rPr>
            <b/>
            <sz val="9"/>
            <color indexed="81"/>
            <rFont val="Tahoma"/>
            <family val="2"/>
            <charset val="238"/>
          </rPr>
          <t>VLOŽTE JEDNOTKOVOU CENU ZHOTOVITELE ZA POLOŽKU</t>
        </r>
      </text>
    </comment>
    <comment ref="G88" authorId="0" shapeId="0" xr:uid="{E79C02AD-D50C-4396-8433-7472959DED94}">
      <text>
        <r>
          <rPr>
            <b/>
            <sz val="9"/>
            <color indexed="81"/>
            <rFont val="Tahoma"/>
            <family val="2"/>
            <charset val="238"/>
          </rPr>
          <t>VLOŽTE JEDNOTKOVOU CENU ZHOTOVITELE ZA POLOŽKU</t>
        </r>
      </text>
    </comment>
    <comment ref="G91" authorId="0" shapeId="0" xr:uid="{71FD8823-3C4E-4005-B68C-37F7B5936EEF}">
      <text>
        <r>
          <rPr>
            <b/>
            <sz val="9"/>
            <color indexed="81"/>
            <rFont val="Tahoma"/>
            <family val="2"/>
            <charset val="238"/>
          </rPr>
          <t>VLOŽTE JEDNOTKOVOU CENU ZHOTOVITELE ZA POLOŽKU</t>
        </r>
      </text>
    </comment>
    <comment ref="G93" authorId="0" shapeId="0" xr:uid="{59D196DB-7092-4BA6-9149-2444D36F51AB}">
      <text>
        <r>
          <rPr>
            <b/>
            <sz val="9"/>
            <color indexed="81"/>
            <rFont val="Tahoma"/>
            <family val="2"/>
            <charset val="238"/>
          </rPr>
          <t>VLOŽTE JEDNOTKOVOU CENU ZHOTOVITELE ZA POLOŽKU</t>
        </r>
      </text>
    </comment>
    <comment ref="G94" authorId="0" shapeId="0" xr:uid="{F9AE3DE2-4A82-43A1-8837-1C8F6000AF57}">
      <text>
        <r>
          <rPr>
            <b/>
            <sz val="9"/>
            <color indexed="81"/>
            <rFont val="Tahoma"/>
            <family val="2"/>
            <charset val="238"/>
          </rPr>
          <t>VLOŽTE JEDNOTKOVOU CENU ZHOTOVITELE ZA POLOŽKU</t>
        </r>
      </text>
    </comment>
    <comment ref="G97" authorId="0" shapeId="0" xr:uid="{CB283A51-BB99-42F0-BAB6-1236A9370DAD}">
      <text>
        <r>
          <rPr>
            <b/>
            <sz val="9"/>
            <color indexed="81"/>
            <rFont val="Tahoma"/>
            <family val="2"/>
            <charset val="238"/>
          </rPr>
          <t>VLOŽTE JEDNOTKOVOU CENU ZHOTOVITELE ZA POLOŽKU</t>
        </r>
      </text>
    </comment>
    <comment ref="G100" authorId="0" shapeId="0" xr:uid="{4BECB54A-88F6-4063-935E-84C7943C38C3}">
      <text>
        <r>
          <rPr>
            <b/>
            <sz val="9"/>
            <color indexed="81"/>
            <rFont val="Tahoma"/>
            <family val="2"/>
            <charset val="238"/>
          </rPr>
          <t>VLOŽTE JEDNOTKOVOU CENU ZHOTOVITELE ZA POLOŽKU</t>
        </r>
      </text>
    </comment>
    <comment ref="G102" authorId="0" shapeId="0" xr:uid="{036C67DF-FBFF-4A66-9698-593AD892FE12}">
      <text>
        <r>
          <rPr>
            <b/>
            <sz val="9"/>
            <color indexed="81"/>
            <rFont val="Tahoma"/>
            <family val="2"/>
            <charset val="238"/>
          </rPr>
          <t>VLOŽTE JEDNOTKOVOU CENU ZHOTOVITELE ZA POLOŽKU</t>
        </r>
      </text>
    </comment>
    <comment ref="G105" authorId="0" shapeId="0" xr:uid="{5DD4C1FC-F80C-4747-BB5B-FB101F65404C}">
      <text>
        <r>
          <rPr>
            <b/>
            <sz val="9"/>
            <color indexed="81"/>
            <rFont val="Tahoma"/>
            <family val="2"/>
            <charset val="238"/>
          </rPr>
          <t>VLOŽTE JEDNOTKOVOU CENU ZHOTOVITELE ZA POLOŽKU</t>
        </r>
      </text>
    </comment>
    <comment ref="G107" authorId="0" shapeId="0" xr:uid="{89C3D610-BDE4-412E-915E-D83C59995211}">
      <text>
        <r>
          <rPr>
            <b/>
            <sz val="9"/>
            <color indexed="81"/>
            <rFont val="Tahoma"/>
            <family val="2"/>
            <charset val="238"/>
          </rPr>
          <t>VLOŽTE JEDNOTKOVOU CENU ZHOTOVITELE ZA POLOŽKU</t>
        </r>
      </text>
    </comment>
    <comment ref="G110" authorId="0" shapeId="0" xr:uid="{AAEABD36-2CAA-41A8-9622-6F10D768D96A}">
      <text>
        <r>
          <rPr>
            <b/>
            <sz val="9"/>
            <color indexed="81"/>
            <rFont val="Tahoma"/>
            <family val="2"/>
            <charset val="238"/>
          </rPr>
          <t>VLOŽTE JEDNOTKOVOU CENU ZHOTOVITELE ZA POLOŽKU</t>
        </r>
      </text>
    </comment>
    <comment ref="G112" authorId="0" shapeId="0" xr:uid="{0EBEECC6-CD16-45F9-BFE8-591881B78621}">
      <text>
        <r>
          <rPr>
            <b/>
            <sz val="9"/>
            <color indexed="81"/>
            <rFont val="Tahoma"/>
            <family val="2"/>
            <charset val="238"/>
          </rPr>
          <t>VLOŽTE JEDNOTKOVOU CENU ZHOTOVITELE ZA POLOŽKU</t>
        </r>
      </text>
    </comment>
    <comment ref="G115" authorId="0" shapeId="0" xr:uid="{E16BCF83-1EEF-4CE9-98DF-F02DE5607362}">
      <text>
        <r>
          <rPr>
            <b/>
            <sz val="9"/>
            <color indexed="81"/>
            <rFont val="Tahoma"/>
            <family val="2"/>
            <charset val="238"/>
          </rPr>
          <t>VLOŽTE JEDNOTKOVOU CENU ZHOTOVITELE ZA POLOŽKU</t>
        </r>
      </text>
    </comment>
    <comment ref="G118" authorId="0" shapeId="0" xr:uid="{BCCB770E-E5B0-43B5-8A45-47EAE1A0DEE6}">
      <text>
        <r>
          <rPr>
            <b/>
            <sz val="9"/>
            <color indexed="81"/>
            <rFont val="Tahoma"/>
            <family val="2"/>
            <charset val="238"/>
          </rPr>
          <t>VLOŽTE JEDNOTKOVOU CENU ZHOTOVITELE ZA POLOŽKU</t>
        </r>
      </text>
    </comment>
    <comment ref="G120" authorId="0" shapeId="0" xr:uid="{0B48DCA1-D4B8-49B1-8F3E-A287198ED701}">
      <text>
        <r>
          <rPr>
            <b/>
            <sz val="9"/>
            <color indexed="81"/>
            <rFont val="Tahoma"/>
            <family val="2"/>
            <charset val="238"/>
          </rPr>
          <t>VLOŽTE JEDNOTKOVOU CENU ZHOTOVITELE ZA POLOŽKU</t>
        </r>
      </text>
    </comment>
    <comment ref="G122" authorId="0" shapeId="0" xr:uid="{151C1E32-4464-48E0-A7C4-43E748DB1E82}">
      <text>
        <r>
          <rPr>
            <b/>
            <sz val="9"/>
            <color indexed="81"/>
            <rFont val="Tahoma"/>
            <family val="2"/>
            <charset val="238"/>
          </rPr>
          <t>VLOŽTE JEDNOTKOVOU CENU ZHOTOVITELE ZA POLOŽKU</t>
        </r>
      </text>
    </comment>
    <comment ref="G124" authorId="0" shapeId="0" xr:uid="{DBC5F78B-56AC-4C21-BBB9-6403FE549EF1}">
      <text>
        <r>
          <rPr>
            <b/>
            <sz val="9"/>
            <color indexed="81"/>
            <rFont val="Tahoma"/>
            <family val="2"/>
            <charset val="238"/>
          </rPr>
          <t>VLOŽTE JEDNOTKOVOU CENU ZHOTOVITELE ZA POLOŽKU</t>
        </r>
      </text>
    </comment>
    <comment ref="G126" authorId="0" shapeId="0" xr:uid="{3E0D4889-D78C-430F-822F-8C7CE2442054}">
      <text>
        <r>
          <rPr>
            <b/>
            <sz val="9"/>
            <color indexed="81"/>
            <rFont val="Tahoma"/>
            <family val="2"/>
            <charset val="238"/>
          </rPr>
          <t>VLOŽTE JEDNOTKOVOU CENU ZHOTOVITELE ZA POLOŽKU</t>
        </r>
      </text>
    </comment>
    <comment ref="G128" authorId="0" shapeId="0" xr:uid="{836F47B7-BEDB-4977-BBCB-5230B1E7B68C}">
      <text>
        <r>
          <rPr>
            <b/>
            <sz val="9"/>
            <color indexed="81"/>
            <rFont val="Tahoma"/>
            <family val="2"/>
            <charset val="238"/>
          </rPr>
          <t>VLOŽTE JEDNOTKOVOU CENU ZHOTOVITELE ZA POLOŽKU</t>
        </r>
      </text>
    </comment>
    <comment ref="G130" authorId="0" shapeId="0" xr:uid="{5909DB0A-67ED-4C4A-A011-FAF2574A256A}">
      <text>
        <r>
          <rPr>
            <b/>
            <sz val="9"/>
            <color indexed="81"/>
            <rFont val="Tahoma"/>
            <family val="2"/>
            <charset val="238"/>
          </rPr>
          <t>VLOŽTE JEDNOTKOVOU CENU ZHOTOVITELE ZA POLOŽKU</t>
        </r>
      </text>
    </comment>
    <comment ref="G132" authorId="0" shapeId="0" xr:uid="{53653DF4-1B0A-4CA2-AEDC-EB6B39DCA833}">
      <text>
        <r>
          <rPr>
            <b/>
            <sz val="9"/>
            <color indexed="81"/>
            <rFont val="Tahoma"/>
            <family val="2"/>
            <charset val="238"/>
          </rPr>
          <t>VLOŽTE JEDNOTKOVOU CENU ZHOTOVITELE ZA POLOŽKU</t>
        </r>
      </text>
    </comment>
    <comment ref="G134" authorId="0" shapeId="0" xr:uid="{4E6873C9-AC7F-4D66-80B2-7DF761524D00}">
      <text>
        <r>
          <rPr>
            <b/>
            <sz val="9"/>
            <color indexed="81"/>
            <rFont val="Tahoma"/>
            <family val="2"/>
            <charset val="238"/>
          </rPr>
          <t>VLOŽTE JEDNOTKOVOU CENU ZHOTOVITELE ZA POLOŽKU</t>
        </r>
      </text>
    </comment>
    <comment ref="G136" authorId="0" shapeId="0" xr:uid="{D2C0F5AE-9F7F-40A3-B556-D382DCCC8DDF}">
      <text>
        <r>
          <rPr>
            <b/>
            <sz val="9"/>
            <color indexed="81"/>
            <rFont val="Tahoma"/>
            <family val="2"/>
            <charset val="238"/>
          </rPr>
          <t>VLOŽTE JEDNOTKOVOU CENU ZHOTOVITELE ZA POLOŽKU</t>
        </r>
      </text>
    </comment>
    <comment ref="G138" authorId="0" shapeId="0" xr:uid="{893A0A13-3CDB-4C25-BD23-7B4F73D636D6}">
      <text>
        <r>
          <rPr>
            <b/>
            <sz val="9"/>
            <color indexed="81"/>
            <rFont val="Tahoma"/>
            <family val="2"/>
            <charset val="238"/>
          </rPr>
          <t>VLOŽTE JEDNOTKOVOU CENU ZHOTOVITELE ZA POLOŽKU</t>
        </r>
      </text>
    </comment>
    <comment ref="G141" authorId="0" shapeId="0" xr:uid="{556DB8E2-7E79-4E74-8DC0-091D2769E34D}">
      <text>
        <r>
          <rPr>
            <b/>
            <sz val="9"/>
            <color indexed="81"/>
            <rFont val="Tahoma"/>
            <family val="2"/>
            <charset val="238"/>
          </rPr>
          <t>VLOŽTE JEDNOTKOVOU CENU ZHOTOVITELE ZA POLOŽKU</t>
        </r>
      </text>
    </comment>
    <comment ref="G143" authorId="0" shapeId="0" xr:uid="{130D57B1-5210-4FBC-AB86-7C32070B1873}">
      <text>
        <r>
          <rPr>
            <b/>
            <sz val="9"/>
            <color indexed="81"/>
            <rFont val="Tahoma"/>
            <family val="2"/>
            <charset val="238"/>
          </rPr>
          <t>VLOŽTE JEDNOTKOVOU CENU ZHOTOVITELE ZA POLOŽKU</t>
        </r>
      </text>
    </comment>
    <comment ref="G146" authorId="0" shapeId="0" xr:uid="{37188761-F517-4954-86A3-31353AB6AE76}">
      <text>
        <r>
          <rPr>
            <b/>
            <sz val="9"/>
            <color indexed="81"/>
            <rFont val="Tahoma"/>
            <family val="2"/>
            <charset val="238"/>
          </rPr>
          <t>VLOŽTE JEDNOTKOVOU CENU ZHOTOVITELE ZA POLOŽKU</t>
        </r>
      </text>
    </comment>
    <comment ref="G149" authorId="0" shapeId="0" xr:uid="{FCF98570-468F-497E-A10C-1099F9CD95E2}">
      <text>
        <r>
          <rPr>
            <b/>
            <sz val="9"/>
            <color indexed="81"/>
            <rFont val="Tahoma"/>
            <family val="2"/>
            <charset val="238"/>
          </rPr>
          <t>VLOŽTE JEDNOTKOVOU CENU ZHOTOVITELE ZA POLOŽKU</t>
        </r>
      </text>
    </comment>
    <comment ref="G151" authorId="0" shapeId="0" xr:uid="{05F9AC4E-C1D2-45F8-B140-F486B03A665C}">
      <text>
        <r>
          <rPr>
            <b/>
            <sz val="9"/>
            <color indexed="81"/>
            <rFont val="Tahoma"/>
            <family val="2"/>
            <charset val="238"/>
          </rPr>
          <t>VLOŽTE JEDNOTKOVOU CENU ZHOTOVITELE ZA POLOŽKU</t>
        </r>
      </text>
    </comment>
    <comment ref="G153" authorId="0" shapeId="0" xr:uid="{DD71C3C6-6092-4C04-BAF2-3E3DC4888F9C}">
      <text>
        <r>
          <rPr>
            <b/>
            <sz val="9"/>
            <color indexed="81"/>
            <rFont val="Tahoma"/>
            <family val="2"/>
            <charset val="238"/>
          </rPr>
          <t>VLOŽTE JEDNOTKOVOU CENU ZHOTOVITELE ZA POLOŽKU</t>
        </r>
      </text>
    </comment>
    <comment ref="G156" authorId="0" shapeId="0" xr:uid="{4EC2287A-2441-4412-BF45-1949A353F39D}">
      <text>
        <r>
          <rPr>
            <b/>
            <sz val="9"/>
            <color indexed="81"/>
            <rFont val="Tahoma"/>
            <family val="2"/>
            <charset val="238"/>
          </rPr>
          <t>VLOŽTE JEDNOTKOVOU CENU ZHOTOVITELE ZA POLOŽKU</t>
        </r>
      </text>
    </comment>
    <comment ref="G158" authorId="0" shapeId="0" xr:uid="{97DA61FD-9309-4F57-A71A-CEA40D99B07E}">
      <text>
        <r>
          <rPr>
            <b/>
            <sz val="9"/>
            <color indexed="81"/>
            <rFont val="Tahoma"/>
            <family val="2"/>
            <charset val="238"/>
          </rPr>
          <t>VLOŽTE JEDNOTKOVOU CENU ZHOTOVITELE ZA POLOŽKU</t>
        </r>
      </text>
    </comment>
    <comment ref="G160" authorId="0" shapeId="0" xr:uid="{6893B7CF-FA03-4DB2-AD2B-3B2499996839}">
      <text>
        <r>
          <rPr>
            <b/>
            <sz val="9"/>
            <color indexed="81"/>
            <rFont val="Tahoma"/>
            <family val="2"/>
            <charset val="238"/>
          </rPr>
          <t>VLOŽTE JEDNOTKOVOU CENU ZHOTOVITELE ZA POLOŽKU</t>
        </r>
      </text>
    </comment>
    <comment ref="G163" authorId="0" shapeId="0" xr:uid="{1C940798-8BAE-4B33-B4CC-B33FC531DCFE}">
      <text>
        <r>
          <rPr>
            <b/>
            <sz val="9"/>
            <color indexed="81"/>
            <rFont val="Tahoma"/>
            <family val="2"/>
            <charset val="238"/>
          </rPr>
          <t>VLOŽTE JEDNOTKOVOU CENU ZHOTOVITELE ZA POLOŽKU</t>
        </r>
      </text>
    </comment>
    <comment ref="G165" authorId="0" shapeId="0" xr:uid="{70CA938B-9A22-4DFA-A55B-C6EFFA4C7970}">
      <text>
        <r>
          <rPr>
            <b/>
            <sz val="9"/>
            <color indexed="81"/>
            <rFont val="Tahoma"/>
            <family val="2"/>
            <charset val="238"/>
          </rPr>
          <t>VLOŽTE JEDNOTKOVOU CENU ZHOTOVITELE ZA POLOŽKU</t>
        </r>
      </text>
    </comment>
    <comment ref="G167" authorId="0" shapeId="0" xr:uid="{76776637-9A08-44E3-982D-DDB941237CA1}">
      <text>
        <r>
          <rPr>
            <b/>
            <sz val="9"/>
            <color indexed="81"/>
            <rFont val="Tahoma"/>
            <family val="2"/>
            <charset val="238"/>
          </rPr>
          <t>VLOŽTE JEDNOTKOVOU CENU ZHOTOVITELE ZA POLOŽKU</t>
        </r>
      </text>
    </comment>
    <comment ref="G169" authorId="0" shapeId="0" xr:uid="{99FB3CA5-8607-4643-9368-B6381197A6DD}">
      <text>
        <r>
          <rPr>
            <b/>
            <sz val="9"/>
            <color indexed="81"/>
            <rFont val="Tahoma"/>
            <family val="2"/>
            <charset val="238"/>
          </rPr>
          <t>VLOŽTE JEDNOTKOVOU CENU ZHOTOVITELE ZA POLOŽKU</t>
        </r>
      </text>
    </comment>
    <comment ref="G171" authorId="0" shapeId="0" xr:uid="{559944D3-8C82-4053-953F-99FD652AF357}">
      <text>
        <r>
          <rPr>
            <b/>
            <sz val="9"/>
            <color indexed="81"/>
            <rFont val="Tahoma"/>
            <family val="2"/>
            <charset val="238"/>
          </rPr>
          <t>VLOŽTE JEDNOTKOVOU CENU ZHOTOVITELE ZA POLOŽKU</t>
        </r>
      </text>
    </comment>
    <comment ref="G173" authorId="0" shapeId="0" xr:uid="{896B347D-8C84-499A-A23A-DA8E0D25547F}">
      <text>
        <r>
          <rPr>
            <b/>
            <sz val="9"/>
            <color indexed="81"/>
            <rFont val="Tahoma"/>
            <family val="2"/>
            <charset val="238"/>
          </rPr>
          <t>VLOŽTE JEDNOTKOVOU CENU ZHOTOVITELE ZA POLOŽKU</t>
        </r>
      </text>
    </comment>
    <comment ref="G176" authorId="0" shapeId="0" xr:uid="{A0658265-4F56-4CAA-924D-BC5FF5ABE15C}">
      <text>
        <r>
          <rPr>
            <b/>
            <sz val="9"/>
            <color indexed="81"/>
            <rFont val="Tahoma"/>
            <family val="2"/>
            <charset val="238"/>
          </rPr>
          <t>VLOŽTE JEDNOTKOVOU CENU ZHOTOVITELE ZA POLOŽKU</t>
        </r>
      </text>
    </comment>
    <comment ref="G178" authorId="0" shapeId="0" xr:uid="{BBEA5F0C-B57A-4B54-BD10-5712C6FAFF1B}">
      <text>
        <r>
          <rPr>
            <b/>
            <sz val="9"/>
            <color indexed="81"/>
            <rFont val="Tahoma"/>
            <family val="2"/>
            <charset val="238"/>
          </rPr>
          <t>VLOŽTE JEDNOTKOVOU CENU ZHOTOVITELE ZA POLOŽKU</t>
        </r>
      </text>
    </comment>
    <comment ref="G180" authorId="0" shapeId="0" xr:uid="{76C28724-96F3-453D-B7AF-24045D5D2D56}">
      <text>
        <r>
          <rPr>
            <b/>
            <sz val="9"/>
            <color indexed="81"/>
            <rFont val="Tahoma"/>
            <family val="2"/>
            <charset val="238"/>
          </rPr>
          <t>VLOŽTE JEDNOTKOVOU CENU ZHOTOVITELE ZA POLOŽKU</t>
        </r>
      </text>
    </comment>
    <comment ref="G182" authorId="0" shapeId="0" xr:uid="{CEBF19A1-07A2-46E2-A738-C79995C3CE7F}">
      <text>
        <r>
          <rPr>
            <b/>
            <sz val="9"/>
            <color indexed="81"/>
            <rFont val="Tahoma"/>
            <family val="2"/>
            <charset val="238"/>
          </rPr>
          <t>VLOŽTE JEDNOTKOVOU CENU ZHOTOVITELE ZA POLOŽKU</t>
        </r>
      </text>
    </comment>
    <comment ref="G184" authorId="0" shapeId="0" xr:uid="{7FCA4422-C4FE-484D-93B3-FE395267F27C}">
      <text>
        <r>
          <rPr>
            <b/>
            <sz val="9"/>
            <color indexed="81"/>
            <rFont val="Tahoma"/>
            <family val="2"/>
            <charset val="238"/>
          </rPr>
          <t>VLOŽTE JEDNOTKOVOU CENU ZHOTOVITELE ZA POLOŽKU</t>
        </r>
      </text>
    </comment>
    <comment ref="G186" authorId="0" shapeId="0" xr:uid="{505B9339-8C41-4274-A082-5C624B73383D}">
      <text>
        <r>
          <rPr>
            <b/>
            <sz val="9"/>
            <color indexed="81"/>
            <rFont val="Tahoma"/>
            <family val="2"/>
            <charset val="238"/>
          </rPr>
          <t>VLOŽTE JEDNOTKOVOU CENU ZHOTOVITELE ZA POLOŽKU</t>
        </r>
      </text>
    </comment>
    <comment ref="G188" authorId="0" shapeId="0" xr:uid="{9E2EF9D2-D6A5-40FC-ABBF-E1DC0F84CF89}">
      <text>
        <r>
          <rPr>
            <b/>
            <sz val="9"/>
            <color indexed="81"/>
            <rFont val="Tahoma"/>
            <family val="2"/>
            <charset val="238"/>
          </rPr>
          <t>VLOŽTE JEDNOTKOVOU CENU ZHOTOVITELE ZA POLOŽKU</t>
        </r>
      </text>
    </comment>
    <comment ref="G190" authorId="0" shapeId="0" xr:uid="{86E5031C-9E42-4EA1-B0F0-166FFD243F22}">
      <text>
        <r>
          <rPr>
            <b/>
            <sz val="9"/>
            <color indexed="81"/>
            <rFont val="Tahoma"/>
            <family val="2"/>
            <charset val="238"/>
          </rPr>
          <t>VLOŽTE JEDNOTKOVOU CENU ZHOTOVITELE ZA POLOŽKU</t>
        </r>
      </text>
    </comment>
    <comment ref="G192" authorId="0" shapeId="0" xr:uid="{7527E344-D88F-43E8-90D4-4350927965BF}">
      <text>
        <r>
          <rPr>
            <b/>
            <sz val="9"/>
            <color indexed="81"/>
            <rFont val="Tahoma"/>
            <family val="2"/>
            <charset val="238"/>
          </rPr>
          <t>VLOŽTE JEDNOTKOVOU CENU ZHOTOVITELE ZA POLOŽKU</t>
        </r>
      </text>
    </comment>
    <comment ref="G194" authorId="0" shapeId="0" xr:uid="{FCB4F767-687E-4EFB-9DF5-0EB2DD38992E}">
      <text>
        <r>
          <rPr>
            <b/>
            <sz val="9"/>
            <color indexed="81"/>
            <rFont val="Tahoma"/>
            <family val="2"/>
            <charset val="238"/>
          </rPr>
          <t>VLOŽTE JEDNOTKOVOU CENU ZHOTOVITELE ZA POLOŽKU</t>
        </r>
      </text>
    </comment>
    <comment ref="G196" authorId="0" shapeId="0" xr:uid="{9CFC1CE2-5919-4A6D-928D-30EE34FC84E5}">
      <text>
        <r>
          <rPr>
            <b/>
            <sz val="9"/>
            <color indexed="81"/>
            <rFont val="Tahoma"/>
            <family val="2"/>
            <charset val="238"/>
          </rPr>
          <t>VLOŽTE JEDNOTKOVOU CENU ZHOTOVITELE ZA POLOŽKU</t>
        </r>
      </text>
    </comment>
    <comment ref="G198" authorId="0" shapeId="0" xr:uid="{3694D55E-0101-4CA1-AF76-C39CEE461E9F}">
      <text>
        <r>
          <rPr>
            <b/>
            <sz val="9"/>
            <color indexed="81"/>
            <rFont val="Tahoma"/>
            <family val="2"/>
            <charset val="238"/>
          </rPr>
          <t>VLOŽTE JEDNOTKOVOU CENU ZHOTOVITELE ZA POLOŽKU</t>
        </r>
      </text>
    </comment>
    <comment ref="G200" authorId="0" shapeId="0" xr:uid="{17EBF85F-76F0-42C9-AED9-EC475E7FA098}">
      <text>
        <r>
          <rPr>
            <b/>
            <sz val="9"/>
            <color indexed="81"/>
            <rFont val="Tahoma"/>
            <family val="2"/>
            <charset val="238"/>
          </rPr>
          <t>VLOŽTE JEDNOTKOVOU CENU ZHOTOVITELE ZA POLOŽKU</t>
        </r>
      </text>
    </comment>
    <comment ref="G202" authorId="0" shapeId="0" xr:uid="{E703BA3F-9522-4179-AFBF-DCDF84974C32}">
      <text>
        <r>
          <rPr>
            <b/>
            <sz val="9"/>
            <color indexed="81"/>
            <rFont val="Tahoma"/>
            <family val="2"/>
            <charset val="238"/>
          </rPr>
          <t>VLOŽTE JEDNOTKOVOU CENU ZHOTOVITELE ZA POLOŽKU</t>
        </r>
      </text>
    </comment>
    <comment ref="G204" authorId="0" shapeId="0" xr:uid="{72F3E704-5157-4114-9B23-B85F88E286CB}">
      <text>
        <r>
          <rPr>
            <b/>
            <sz val="9"/>
            <color indexed="81"/>
            <rFont val="Tahoma"/>
            <family val="2"/>
            <charset val="238"/>
          </rPr>
          <t>VLOŽTE JEDNOTKOVOU CENU ZHOTOVITELE ZA POLOŽKU</t>
        </r>
      </text>
    </comment>
    <comment ref="G206" authorId="0" shapeId="0" xr:uid="{9B1617ED-58FF-4D6B-A95C-27E899C87B6B}">
      <text>
        <r>
          <rPr>
            <b/>
            <sz val="9"/>
            <color indexed="81"/>
            <rFont val="Tahoma"/>
            <family val="2"/>
            <charset val="238"/>
          </rPr>
          <t>VLOŽTE JEDNOTKOVOU CENU ZHOTOVITELE ZA POLOŽKU</t>
        </r>
      </text>
    </comment>
    <comment ref="G208" authorId="0" shapeId="0" xr:uid="{24E497C4-FD0E-4380-B8E9-873A74CBAFCB}">
      <text>
        <r>
          <rPr>
            <b/>
            <sz val="9"/>
            <color indexed="81"/>
            <rFont val="Tahoma"/>
            <family val="2"/>
            <charset val="238"/>
          </rPr>
          <t>VLOŽTE JEDNOTKOVOU CENU ZHOTOVITELE ZA POLOŽKU</t>
        </r>
      </text>
    </comment>
    <comment ref="G211" authorId="0" shapeId="0" xr:uid="{DE5FF47A-64A0-482F-9E9E-2EF8290D3C5B}">
      <text>
        <r>
          <rPr>
            <b/>
            <sz val="9"/>
            <color indexed="81"/>
            <rFont val="Tahoma"/>
            <family val="2"/>
            <charset val="238"/>
          </rPr>
          <t>VLOŽTE JEDNOTKOVOU CENU ZHOTOVITELE ZA POLOŽKU</t>
        </r>
      </text>
    </comment>
    <comment ref="G214" authorId="0" shapeId="0" xr:uid="{AD0E6407-3E79-46A2-BAD9-0E4D39F99726}">
      <text>
        <r>
          <rPr>
            <b/>
            <sz val="9"/>
            <color indexed="81"/>
            <rFont val="Tahoma"/>
            <family val="2"/>
            <charset val="238"/>
          </rPr>
          <t>VLOŽTE JEDNOTKOVOU CENU ZHOTOVITELE ZA POLOŽKU</t>
        </r>
      </text>
    </comment>
    <comment ref="G215" authorId="0" shapeId="0" xr:uid="{AD10FC7B-D2D4-40CE-9F6B-E72723FD209B}">
      <text>
        <r>
          <rPr>
            <b/>
            <sz val="9"/>
            <color indexed="81"/>
            <rFont val="Tahoma"/>
            <family val="2"/>
            <charset val="238"/>
          </rPr>
          <t>VLOŽTE JEDNOTKOVOU CENU ZHOTOVITELE ZA POLOŽKU</t>
        </r>
      </text>
    </comment>
    <comment ref="G217" authorId="0" shapeId="0" xr:uid="{EA028565-C471-4EC0-8C0F-FDBBD709F61E}">
      <text>
        <r>
          <rPr>
            <b/>
            <sz val="9"/>
            <color indexed="81"/>
            <rFont val="Tahoma"/>
            <family val="2"/>
            <charset val="238"/>
          </rPr>
          <t>VLOŽTE JEDNOTKOVOU CENU ZHOTOVITELE ZA POLOŽKU</t>
        </r>
      </text>
    </comment>
    <comment ref="G219" authorId="0" shapeId="0" xr:uid="{DB5EA025-2395-460D-86FB-059BF54EA365}">
      <text>
        <r>
          <rPr>
            <b/>
            <sz val="9"/>
            <color indexed="81"/>
            <rFont val="Tahoma"/>
            <family val="2"/>
            <charset val="238"/>
          </rPr>
          <t>VLOŽTE JEDNOTKOVOU CENU ZHOTOVITELE ZA POLOŽKU</t>
        </r>
      </text>
    </comment>
    <comment ref="G221" authorId="0" shapeId="0" xr:uid="{DE6689B8-0019-4D85-951B-0B61250596D3}">
      <text>
        <r>
          <rPr>
            <b/>
            <sz val="9"/>
            <color indexed="81"/>
            <rFont val="Tahoma"/>
            <family val="2"/>
            <charset val="238"/>
          </rPr>
          <t>VLOŽTE JEDNOTKOVOU CENU ZHOTOVITELE ZA POLOŽKU</t>
        </r>
      </text>
    </comment>
    <comment ref="G222" authorId="0" shapeId="0" xr:uid="{2E473ED4-E17B-44F3-AAE3-2B0E691C1E9E}">
      <text>
        <r>
          <rPr>
            <b/>
            <sz val="9"/>
            <color indexed="81"/>
            <rFont val="Tahoma"/>
            <family val="2"/>
            <charset val="238"/>
          </rPr>
          <t>VLOŽTE JEDNOTKOVOU CENU ZHOTOVITELE ZA POLOŽKU</t>
        </r>
      </text>
    </comment>
    <comment ref="G224" authorId="0" shapeId="0" xr:uid="{92869772-A558-412F-A5B1-9D0FA964DE64}">
      <text>
        <r>
          <rPr>
            <b/>
            <sz val="9"/>
            <color indexed="81"/>
            <rFont val="Tahoma"/>
            <family val="2"/>
            <charset val="238"/>
          </rPr>
          <t>VLOŽTE JEDNOTKOVOU CENU ZHOTOVITELE ZA POLOŽKU</t>
        </r>
      </text>
    </comment>
    <comment ref="G226" authorId="0" shapeId="0" xr:uid="{01F1DF37-16B6-4C79-BB0F-B5C015C97034}">
      <text>
        <r>
          <rPr>
            <b/>
            <sz val="9"/>
            <color indexed="81"/>
            <rFont val="Tahoma"/>
            <family val="2"/>
            <charset val="238"/>
          </rPr>
          <t>VLOŽTE JEDNOTKOVOU CENU ZHOTOVITELE ZA POLOŽKU</t>
        </r>
      </text>
    </comment>
    <comment ref="G228" authorId="0" shapeId="0" xr:uid="{E90AE6C0-6487-4984-86AA-467E68750C27}">
      <text>
        <r>
          <rPr>
            <b/>
            <sz val="9"/>
            <color indexed="81"/>
            <rFont val="Tahoma"/>
            <family val="2"/>
            <charset val="238"/>
          </rPr>
          <t>VLOŽTE JEDNOTKOVOU CENU ZHOTOVITELE ZA POLOŽKU</t>
        </r>
      </text>
    </comment>
    <comment ref="G231" authorId="0" shapeId="0" xr:uid="{8604A5C7-1152-49BC-B4B1-D73B614E8879}">
      <text>
        <r>
          <rPr>
            <b/>
            <sz val="9"/>
            <color indexed="81"/>
            <rFont val="Tahoma"/>
            <family val="2"/>
            <charset val="238"/>
          </rPr>
          <t>VLOŽTE JEDNOTKOVOU CENU ZHOTOVITELE ZA POLOŽKU</t>
        </r>
      </text>
    </comment>
    <comment ref="G233" authorId="0" shapeId="0" xr:uid="{73028D50-F16F-45F1-986E-A39ED5ED9F19}">
      <text>
        <r>
          <rPr>
            <b/>
            <sz val="9"/>
            <color indexed="81"/>
            <rFont val="Tahoma"/>
            <family val="2"/>
            <charset val="238"/>
          </rPr>
          <t>VLOŽTE JEDNOTKOVOU CENU ZHOTOVITELE ZA POLOŽKU</t>
        </r>
      </text>
    </comment>
    <comment ref="G235" authorId="0" shapeId="0" xr:uid="{98C8008C-D176-4399-A6F0-9863EEB01347}">
      <text>
        <r>
          <rPr>
            <b/>
            <sz val="9"/>
            <color indexed="81"/>
            <rFont val="Tahoma"/>
            <family val="2"/>
            <charset val="238"/>
          </rPr>
          <t>VLOŽTE JEDNOTKOVOU CENU ZHOTOVITELE ZA POLOŽKU</t>
        </r>
      </text>
    </comment>
    <comment ref="G237" authorId="0" shapeId="0" xr:uid="{2079E396-6BD7-4CCB-80AE-16B6195E8A5C}">
      <text>
        <r>
          <rPr>
            <b/>
            <sz val="9"/>
            <color indexed="81"/>
            <rFont val="Tahoma"/>
            <family val="2"/>
            <charset val="238"/>
          </rPr>
          <t>VLOŽTE JEDNOTKOVOU CENU ZHOTOVITELE ZA POLOŽKU</t>
        </r>
      </text>
    </comment>
    <comment ref="G239" authorId="0" shapeId="0" xr:uid="{F3E22F6D-41D9-4AAC-B459-1B678BF3A396}">
      <text>
        <r>
          <rPr>
            <b/>
            <sz val="9"/>
            <color indexed="81"/>
            <rFont val="Tahoma"/>
            <family val="2"/>
            <charset val="238"/>
          </rPr>
          <t>VLOŽTE JEDNOTKOVOU CENU ZHOTOVITELE ZA POLOŽKU</t>
        </r>
      </text>
    </comment>
    <comment ref="G242" authorId="0" shapeId="0" xr:uid="{6987A351-F626-4001-B618-3D0DFB42E8AD}">
      <text>
        <r>
          <rPr>
            <b/>
            <sz val="9"/>
            <color indexed="81"/>
            <rFont val="Tahoma"/>
            <family val="2"/>
            <charset val="238"/>
          </rPr>
          <t>VLOŽTE JEDNOTKOVOU CENU ZHOTOVITELE ZA POLOŽKU</t>
        </r>
      </text>
    </comment>
    <comment ref="G244" authorId="0" shapeId="0" xr:uid="{7ACE209D-27EF-478E-8A5C-381B26D8AB25}">
      <text>
        <r>
          <rPr>
            <b/>
            <sz val="9"/>
            <color indexed="81"/>
            <rFont val="Tahoma"/>
            <family val="2"/>
            <charset val="238"/>
          </rPr>
          <t>VLOŽTE JEDNOTKOVOU CENU ZHOTOVITELE ZA POLOŽKU</t>
        </r>
      </text>
    </comment>
    <comment ref="G246" authorId="0" shapeId="0" xr:uid="{A669F78E-670A-4EC1-959F-3EB8E900B02C}">
      <text>
        <r>
          <rPr>
            <b/>
            <sz val="9"/>
            <color indexed="81"/>
            <rFont val="Tahoma"/>
            <family val="2"/>
            <charset val="238"/>
          </rPr>
          <t>VLOŽTE JEDNOTKOVOU CENU ZHOTOVITELE ZA POLOŽKU</t>
        </r>
      </text>
    </comment>
    <comment ref="G248" authorId="0" shapeId="0" xr:uid="{6F3462E8-56C5-47F4-91F3-F3DD7231F146}">
      <text>
        <r>
          <rPr>
            <b/>
            <sz val="9"/>
            <color indexed="81"/>
            <rFont val="Tahoma"/>
            <family val="2"/>
            <charset val="238"/>
          </rPr>
          <t>VLOŽTE JEDNOTKOVOU CENU ZHOTOVITELE ZA POLOŽKU</t>
        </r>
      </text>
    </comment>
    <comment ref="G250" authorId="0" shapeId="0" xr:uid="{DFC42140-1F05-4B1E-B1DE-7F3285DAD41E}">
      <text>
        <r>
          <rPr>
            <b/>
            <sz val="9"/>
            <color indexed="81"/>
            <rFont val="Tahoma"/>
            <family val="2"/>
            <charset val="238"/>
          </rPr>
          <t>VLOŽTE JEDNOTKOVOU CENU ZHOTOVITELE ZA POLOŽKU</t>
        </r>
      </text>
    </comment>
    <comment ref="G252" authorId="0" shapeId="0" xr:uid="{14A6FAF3-69B8-4808-BA08-F334A673B69D}">
      <text>
        <r>
          <rPr>
            <b/>
            <sz val="9"/>
            <color indexed="81"/>
            <rFont val="Tahoma"/>
            <family val="2"/>
            <charset val="238"/>
          </rPr>
          <t>VLOŽTE JEDNOTKOVOU CENU ZHOTOVITELE ZA POLOŽKU</t>
        </r>
      </text>
    </comment>
    <comment ref="G254" authorId="0" shapeId="0" xr:uid="{BAF89532-FBA5-477A-926F-DBCD5992FA34}">
      <text>
        <r>
          <rPr>
            <b/>
            <sz val="9"/>
            <color indexed="81"/>
            <rFont val="Tahoma"/>
            <family val="2"/>
            <charset val="238"/>
          </rPr>
          <t>VLOŽTE JEDNOTKOVOU CENU ZHOTOVITELE ZA POLOŽKU</t>
        </r>
      </text>
    </comment>
    <comment ref="G256" authorId="0" shapeId="0" xr:uid="{B8DE0001-A683-412C-89B5-9F4D5BDD3B22}">
      <text>
        <r>
          <rPr>
            <b/>
            <sz val="9"/>
            <color indexed="81"/>
            <rFont val="Tahoma"/>
            <family val="2"/>
            <charset val="238"/>
          </rPr>
          <t>VLOŽTE JEDNOTKOVOU CENU ZHOTOVITELE ZA POLOŽKU</t>
        </r>
      </text>
    </comment>
    <comment ref="G258" authorId="0" shapeId="0" xr:uid="{53E7AF66-B420-46EA-97C8-49185AE855A1}">
      <text>
        <r>
          <rPr>
            <b/>
            <sz val="9"/>
            <color indexed="81"/>
            <rFont val="Tahoma"/>
            <family val="2"/>
            <charset val="238"/>
          </rPr>
          <t>VLOŽTE JEDNOTKOVOU CENU ZHOTOVITELE ZA POLOŽKU</t>
        </r>
      </text>
    </comment>
    <comment ref="G260" authorId="0" shapeId="0" xr:uid="{03B99209-B970-4572-87C1-B8F5DFC07534}">
      <text>
        <r>
          <rPr>
            <b/>
            <sz val="9"/>
            <color indexed="81"/>
            <rFont val="Tahoma"/>
            <family val="2"/>
            <charset val="238"/>
          </rPr>
          <t>VLOŽTE JEDNOTKOVOU CENU ZHOTOVITELE ZA POLOŽKU</t>
        </r>
      </text>
    </comment>
    <comment ref="G262" authorId="0" shapeId="0" xr:uid="{C33BF54D-66F2-4227-A91D-480E67671120}">
      <text>
        <r>
          <rPr>
            <b/>
            <sz val="9"/>
            <color indexed="81"/>
            <rFont val="Tahoma"/>
            <family val="2"/>
            <charset val="238"/>
          </rPr>
          <t>VLOŽTE JEDNOTKOVOU CENU ZHOTOVITELE ZA POLOŽKU</t>
        </r>
      </text>
    </comment>
    <comment ref="G264" authorId="0" shapeId="0" xr:uid="{509651B9-EEFD-4D27-B481-C3A61CC4A0EC}">
      <text>
        <r>
          <rPr>
            <b/>
            <sz val="9"/>
            <color indexed="81"/>
            <rFont val="Tahoma"/>
            <family val="2"/>
            <charset val="238"/>
          </rPr>
          <t>VLOŽTE JEDNOTKOVOU CENU ZHOTOVITELE ZA POLOŽKU</t>
        </r>
      </text>
    </comment>
    <comment ref="G266" authorId="0" shapeId="0" xr:uid="{4A5841DE-69B7-4ADD-AB62-5F48A497A460}">
      <text>
        <r>
          <rPr>
            <b/>
            <sz val="9"/>
            <color indexed="81"/>
            <rFont val="Tahoma"/>
            <family val="2"/>
            <charset val="238"/>
          </rPr>
          <t>VLOŽTE JEDNOTKOVOU CENU ZHOTOVITELE ZA POLOŽKU</t>
        </r>
      </text>
    </comment>
    <comment ref="G267" authorId="0" shapeId="0" xr:uid="{EE86E729-8C41-44D2-BCF8-069A8DAC0265}">
      <text>
        <r>
          <rPr>
            <b/>
            <sz val="9"/>
            <color indexed="81"/>
            <rFont val="Tahoma"/>
            <family val="2"/>
            <charset val="238"/>
          </rPr>
          <t>VLOŽTE JEDNOTKOVOU CENU ZHOTOVITELE ZA POLOŽKU</t>
        </r>
      </text>
    </comment>
    <comment ref="G268" authorId="0" shapeId="0" xr:uid="{3B25579B-284F-4C98-8871-C470875ECF17}">
      <text>
        <r>
          <rPr>
            <b/>
            <sz val="9"/>
            <color indexed="81"/>
            <rFont val="Tahoma"/>
            <family val="2"/>
            <charset val="238"/>
          </rPr>
          <t>VLOŽTE JEDNOTKOVOU CENU ZHOTOVITELE ZA POLOŽKU</t>
        </r>
      </text>
    </comment>
    <comment ref="G269" authorId="0" shapeId="0" xr:uid="{B9EC8F8D-FD5F-4FC3-954D-8512800AE9E0}">
      <text>
        <r>
          <rPr>
            <b/>
            <sz val="9"/>
            <color indexed="81"/>
            <rFont val="Tahoma"/>
            <family val="2"/>
            <charset val="238"/>
          </rPr>
          <t>VLOŽTE JEDNOTKOVOU CENU ZHOTOVITELE ZA POLOŽKU</t>
        </r>
      </text>
    </comment>
    <comment ref="G270" authorId="0" shapeId="0" xr:uid="{60E36A48-250A-4D53-AE93-16558AF7ECF4}">
      <text>
        <r>
          <rPr>
            <b/>
            <sz val="9"/>
            <color indexed="81"/>
            <rFont val="Tahoma"/>
            <family val="2"/>
            <charset val="238"/>
          </rPr>
          <t>VLOŽTE JEDNOTKOVOU CENU ZHOTOVITELE ZA POLOŽKU</t>
        </r>
      </text>
    </comment>
    <comment ref="G271" authorId="0" shapeId="0" xr:uid="{4616B63D-EE22-42B8-A044-78217E9609A4}">
      <text>
        <r>
          <rPr>
            <b/>
            <sz val="9"/>
            <color indexed="81"/>
            <rFont val="Tahoma"/>
            <family val="2"/>
            <charset val="238"/>
          </rPr>
          <t>VLOŽTE JEDNOTKOVOU CENU ZHOTOVITELE ZA POLOŽKU</t>
        </r>
      </text>
    </comment>
    <comment ref="G272" authorId="0" shapeId="0" xr:uid="{8B60DC2B-B4DE-4E8E-A960-78509092272E}">
      <text>
        <r>
          <rPr>
            <b/>
            <sz val="9"/>
            <color indexed="81"/>
            <rFont val="Tahoma"/>
            <family val="2"/>
            <charset val="238"/>
          </rPr>
          <t>VLOŽTE JEDNOTKOVOU CENU ZHOTOVITELE ZA POLOŽKU</t>
        </r>
      </text>
    </comment>
    <comment ref="G273" authorId="0" shapeId="0" xr:uid="{93752A2A-6CE2-426F-9A52-7C60D5A01E33}">
      <text>
        <r>
          <rPr>
            <b/>
            <sz val="9"/>
            <color indexed="81"/>
            <rFont val="Tahoma"/>
            <family val="2"/>
            <charset val="238"/>
          </rPr>
          <t>VLOŽTE JEDNOTKOVOU CENU ZHOTOVITELE ZA POLOŽKU</t>
        </r>
      </text>
    </comment>
    <comment ref="G274" authorId="0" shapeId="0" xr:uid="{956FA89C-A603-4C30-813A-0B5251386C85}">
      <text>
        <r>
          <rPr>
            <b/>
            <sz val="9"/>
            <color indexed="81"/>
            <rFont val="Tahoma"/>
            <family val="2"/>
            <charset val="238"/>
          </rPr>
          <t>VLOŽTE JEDNOTKOVOU CENU ZHOTOVITELE ZA POLOŽKU</t>
        </r>
      </text>
    </comment>
    <comment ref="G275" authorId="0" shapeId="0" xr:uid="{3B8AF536-C789-4283-BDC3-88EC07490378}">
      <text>
        <r>
          <rPr>
            <b/>
            <sz val="9"/>
            <color indexed="81"/>
            <rFont val="Tahoma"/>
            <family val="2"/>
            <charset val="238"/>
          </rPr>
          <t>VLOŽTE JEDNOTKOVOU CENU ZHOTOVITELE ZA POLOŽKU</t>
        </r>
      </text>
    </comment>
    <comment ref="G276" authorId="0" shapeId="0" xr:uid="{5649DCD9-B868-42AB-BB86-5EB8FEFF6356}">
      <text>
        <r>
          <rPr>
            <b/>
            <sz val="9"/>
            <color indexed="81"/>
            <rFont val="Tahoma"/>
            <family val="2"/>
            <charset val="238"/>
          </rPr>
          <t>VLOŽTE JEDNOTKOVOU CENU ZHOTOVITELE ZA POLOŽKU</t>
        </r>
      </text>
    </comment>
    <comment ref="G277" authorId="0" shapeId="0" xr:uid="{3E8759C2-3E79-4A18-A556-A1DCA4DA0EF5}">
      <text>
        <r>
          <rPr>
            <b/>
            <sz val="9"/>
            <color indexed="81"/>
            <rFont val="Tahoma"/>
            <family val="2"/>
            <charset val="238"/>
          </rPr>
          <t>VLOŽTE JEDNOTKOVOU CENU ZHOTOVITELE ZA POLOŽKU</t>
        </r>
      </text>
    </comment>
    <comment ref="G278" authorId="0" shapeId="0" xr:uid="{4DB7DC87-B8D9-4789-8FC5-7C51EC02522D}">
      <text>
        <r>
          <rPr>
            <b/>
            <sz val="9"/>
            <color indexed="81"/>
            <rFont val="Tahoma"/>
            <family val="2"/>
            <charset val="238"/>
          </rPr>
          <t>VLOŽTE JEDNOTKOVOU CENU ZHOTOVITELE ZA POLOŽKU</t>
        </r>
      </text>
    </comment>
    <comment ref="G279" authorId="0" shapeId="0" xr:uid="{2F3B3982-13BE-442D-8C3D-1D23C2A86923}">
      <text>
        <r>
          <rPr>
            <b/>
            <sz val="9"/>
            <color indexed="81"/>
            <rFont val="Tahoma"/>
            <family val="2"/>
            <charset val="238"/>
          </rPr>
          <t>VLOŽTE JEDNOTKOVOU CENU ZHOTOVITELE ZA POLOŽKU</t>
        </r>
      </text>
    </comment>
    <comment ref="G280" authorId="0" shapeId="0" xr:uid="{AD3FF057-28A4-4D95-B256-A1E5D60D6D38}">
      <text>
        <r>
          <rPr>
            <b/>
            <sz val="9"/>
            <color indexed="81"/>
            <rFont val="Tahoma"/>
            <family val="2"/>
            <charset val="238"/>
          </rPr>
          <t>VLOŽTE JEDNOTKOVOU CENU ZHOTOVITELE ZA POLOŽKU</t>
        </r>
      </text>
    </comment>
    <comment ref="G281" authorId="0" shapeId="0" xr:uid="{14BA8FA4-AA90-468C-AEFA-544CFBFE4CB7}">
      <text>
        <r>
          <rPr>
            <b/>
            <sz val="9"/>
            <color indexed="81"/>
            <rFont val="Tahoma"/>
            <family val="2"/>
            <charset val="238"/>
          </rPr>
          <t>VLOŽTE JEDNOTKOVOU CENU ZHOTOVITELE ZA POLOŽKU</t>
        </r>
      </text>
    </comment>
    <comment ref="G282" authorId="0" shapeId="0" xr:uid="{59EA2D05-4248-4AEA-9C96-40DBA1966B3C}">
      <text>
        <r>
          <rPr>
            <b/>
            <sz val="9"/>
            <color indexed="81"/>
            <rFont val="Tahoma"/>
            <family val="2"/>
            <charset val="238"/>
          </rPr>
          <t>VLOŽTE JEDNOTKOVOU CENU ZHOTOVITELE ZA POLOŽKU</t>
        </r>
      </text>
    </comment>
    <comment ref="G283" authorId="0" shapeId="0" xr:uid="{DFD8DF41-B9B5-4687-93ED-D219B64241B2}">
      <text>
        <r>
          <rPr>
            <b/>
            <sz val="9"/>
            <color indexed="81"/>
            <rFont val="Tahoma"/>
            <family val="2"/>
            <charset val="238"/>
          </rPr>
          <t>VLOŽTE JEDNOTKOVOU CENU ZHOTOVITELE ZA POLOŽKU</t>
        </r>
      </text>
    </comment>
    <comment ref="G284" authorId="0" shapeId="0" xr:uid="{6820C1F3-A743-4740-9E2C-C119E9D283C8}">
      <text>
        <r>
          <rPr>
            <b/>
            <sz val="9"/>
            <color indexed="81"/>
            <rFont val="Tahoma"/>
            <family val="2"/>
            <charset val="238"/>
          </rPr>
          <t>VLOŽTE JEDNOTKOVOU CENU ZHOTOVITELE ZA POLOŽKU</t>
        </r>
      </text>
    </comment>
    <comment ref="G285" authorId="0" shapeId="0" xr:uid="{FC7E2E5A-3D2E-4CDD-9E84-52455F5469F4}">
      <text>
        <r>
          <rPr>
            <b/>
            <sz val="9"/>
            <color indexed="81"/>
            <rFont val="Tahoma"/>
            <family val="2"/>
            <charset val="238"/>
          </rPr>
          <t>VLOŽTE JEDNOTKOVOU CENU ZHOTOVITELE ZA POLOŽKU</t>
        </r>
      </text>
    </comment>
    <comment ref="G286" authorId="0" shapeId="0" xr:uid="{0EC6FB29-78D6-4593-9195-6EA2A709220B}">
      <text>
        <r>
          <rPr>
            <b/>
            <sz val="9"/>
            <color indexed="81"/>
            <rFont val="Tahoma"/>
            <family val="2"/>
            <charset val="238"/>
          </rPr>
          <t>VLOŽTE JEDNOTKOVOU CENU ZHOTOVITELE ZA POLOŽKU</t>
        </r>
      </text>
    </comment>
    <comment ref="G287" authorId="0" shapeId="0" xr:uid="{FF676E22-06B0-4643-B30A-81633ED7E8DB}">
      <text>
        <r>
          <rPr>
            <b/>
            <sz val="9"/>
            <color indexed="81"/>
            <rFont val="Tahoma"/>
            <family val="2"/>
            <charset val="238"/>
          </rPr>
          <t>VLOŽTE JEDNOTKOVOU CENU ZHOTOVITELE ZA POLOŽKU</t>
        </r>
      </text>
    </comment>
    <comment ref="G288" authorId="0" shapeId="0" xr:uid="{FCCE92F2-4DAC-4148-B656-B19B31F9133B}">
      <text>
        <r>
          <rPr>
            <b/>
            <sz val="9"/>
            <color indexed="81"/>
            <rFont val="Tahoma"/>
            <family val="2"/>
            <charset val="238"/>
          </rPr>
          <t>VLOŽTE JEDNOTKOVOU CENU ZHOTOVITELE ZA POLOŽKU</t>
        </r>
      </text>
    </comment>
    <comment ref="G289" authorId="0" shapeId="0" xr:uid="{8C7E3F42-87A0-49CB-A885-B8A2F10ADBD0}">
      <text>
        <r>
          <rPr>
            <b/>
            <sz val="9"/>
            <color indexed="81"/>
            <rFont val="Tahoma"/>
            <family val="2"/>
            <charset val="238"/>
          </rPr>
          <t>VLOŽTE JEDNOTKOVOU CENU ZHOTOVITELE ZA POLOŽKU</t>
        </r>
      </text>
    </comment>
    <comment ref="G291" authorId="0" shapeId="0" xr:uid="{926A8517-EB0F-47BB-A499-489B4D4A95F5}">
      <text>
        <r>
          <rPr>
            <b/>
            <sz val="9"/>
            <color indexed="81"/>
            <rFont val="Tahoma"/>
            <family val="2"/>
            <charset val="238"/>
          </rPr>
          <t>VLOŽTE JEDNOTKOVOU CENU ZHOTOVITELE ZA POLOŽKU</t>
        </r>
      </text>
    </comment>
    <comment ref="G292" authorId="0" shapeId="0" xr:uid="{2AE2417B-BABE-41B2-A84C-021AE28C2008}">
      <text>
        <r>
          <rPr>
            <b/>
            <sz val="9"/>
            <color indexed="81"/>
            <rFont val="Tahoma"/>
            <family val="2"/>
            <charset val="238"/>
          </rPr>
          <t>VLOŽTE JEDNOTKOVOU CENU ZHOTOVITELE ZA POLOŽKU</t>
        </r>
      </text>
    </comment>
    <comment ref="G293" authorId="0" shapeId="0" xr:uid="{13E68F41-DBD7-4A0D-956B-870BB9366949}">
      <text>
        <r>
          <rPr>
            <b/>
            <sz val="9"/>
            <color indexed="81"/>
            <rFont val="Tahoma"/>
            <family val="2"/>
            <charset val="238"/>
          </rPr>
          <t>VLOŽTE JEDNOTKOVOU CENU ZHOTOVITELE ZA POLOŽKU</t>
        </r>
      </text>
    </comment>
    <comment ref="G294" authorId="0" shapeId="0" xr:uid="{056732D9-8578-450E-835D-A89484DC0749}">
      <text>
        <r>
          <rPr>
            <b/>
            <sz val="9"/>
            <color indexed="81"/>
            <rFont val="Tahoma"/>
            <family val="2"/>
            <charset val="238"/>
          </rPr>
          <t>VLOŽTE JEDNOTKOVOU CENU ZHOTOVITELE ZA POLOŽKU</t>
        </r>
      </text>
    </comment>
    <comment ref="G296" authorId="0" shapeId="0" xr:uid="{90B350E8-6A51-4274-9AA7-BFAEA6437EA6}">
      <text>
        <r>
          <rPr>
            <b/>
            <sz val="9"/>
            <color indexed="81"/>
            <rFont val="Tahoma"/>
            <family val="2"/>
            <charset val="238"/>
          </rPr>
          <t>VLOŽTE JEDNOTKOVOU CENU ZHOTOVITELE ZA POLOŽKU</t>
        </r>
      </text>
    </comment>
    <comment ref="G298" authorId="0" shapeId="0" xr:uid="{0D0D5BBD-FD3F-46AC-A920-917385CD63A7}">
      <text>
        <r>
          <rPr>
            <b/>
            <sz val="9"/>
            <color indexed="81"/>
            <rFont val="Tahoma"/>
            <family val="2"/>
            <charset val="238"/>
          </rPr>
          <t>VLOŽTE JEDNOTKOVOU CENU ZHOTOVITELE ZA POLOŽKU</t>
        </r>
      </text>
    </comment>
    <comment ref="G300" authorId="0" shapeId="0" xr:uid="{3D8C2D52-6F9E-4B0C-8A29-E687EB130F61}">
      <text>
        <r>
          <rPr>
            <b/>
            <sz val="9"/>
            <color indexed="81"/>
            <rFont val="Tahoma"/>
            <family val="2"/>
            <charset val="238"/>
          </rPr>
          <t>VLOŽTE JEDNOTKOVOU CENU ZHOTOVITELE ZA POLOŽKU</t>
        </r>
      </text>
    </comment>
    <comment ref="G302" authorId="0" shapeId="0" xr:uid="{2BA68792-A38A-4F67-9B61-9225AE57613D}">
      <text>
        <r>
          <rPr>
            <b/>
            <sz val="9"/>
            <color indexed="81"/>
            <rFont val="Tahoma"/>
            <family val="2"/>
            <charset val="238"/>
          </rPr>
          <t>VLOŽTE JEDNOTKOVOU CENU ZHOTOVITELE ZA POLOŽKU</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8FD7EA7F-9AA5-4FFD-AA6D-702C66F26EA7}">
      <text>
        <r>
          <rPr>
            <b/>
            <sz val="9"/>
            <color indexed="81"/>
            <rFont val="Tahoma"/>
            <family val="2"/>
            <charset val="238"/>
          </rPr>
          <t>VLOŽTE JEDNOTKOVOU CENU ZHOTOVITELE ZA POLOŽKU</t>
        </r>
      </text>
    </comment>
    <comment ref="G15" authorId="0" shapeId="0" xr:uid="{1B784D94-2AEB-4CFF-8BBF-8BF2472880A7}">
      <text>
        <r>
          <rPr>
            <b/>
            <sz val="9"/>
            <color indexed="81"/>
            <rFont val="Tahoma"/>
            <family val="2"/>
            <charset val="238"/>
          </rPr>
          <t>VLOŽTE JEDNOTKOVOU CENU ZHOTOVITELE ZA POLOŽKU</t>
        </r>
      </text>
    </comment>
    <comment ref="G17" authorId="0" shapeId="0" xr:uid="{99367448-6ADC-48E4-ACE5-31CA93FC0EBF}">
      <text>
        <r>
          <rPr>
            <b/>
            <sz val="9"/>
            <color indexed="81"/>
            <rFont val="Tahoma"/>
            <family val="2"/>
            <charset val="238"/>
          </rPr>
          <t>VLOŽTE JEDNOTKOVOU CENU ZHOTOVITELE ZA POLOŽKU</t>
        </r>
      </text>
    </comment>
    <comment ref="G19" authorId="0" shapeId="0" xr:uid="{6DCE3EBD-ED13-4F99-816F-6421C1679F6C}">
      <text>
        <r>
          <rPr>
            <b/>
            <sz val="9"/>
            <color indexed="81"/>
            <rFont val="Tahoma"/>
            <family val="2"/>
            <charset val="238"/>
          </rPr>
          <t>VLOŽTE JEDNOTKOVOU CENU ZHOTOVITELE ZA POLOŽKU</t>
        </r>
      </text>
    </comment>
    <comment ref="G21" authorId="0" shapeId="0" xr:uid="{3441417F-7CDF-46F2-AE7D-55D15F3F07A2}">
      <text>
        <r>
          <rPr>
            <b/>
            <sz val="9"/>
            <color indexed="81"/>
            <rFont val="Tahoma"/>
            <family val="2"/>
            <charset val="238"/>
          </rPr>
          <t>VLOŽTE JEDNOTKOVOU CENU ZHOTOVITELE ZA POLOŽKU</t>
        </r>
      </text>
    </comment>
    <comment ref="G24" authorId="0" shapeId="0" xr:uid="{D9E61EDF-3ACA-47D1-AC56-E54D77E6BAE2}">
      <text>
        <r>
          <rPr>
            <b/>
            <sz val="9"/>
            <color indexed="81"/>
            <rFont val="Tahoma"/>
            <family val="2"/>
            <charset val="238"/>
          </rPr>
          <t>VLOŽTE JEDNOTKOVOU CENU ZHOTOVITELE ZA POLOŽKU</t>
        </r>
      </text>
    </comment>
    <comment ref="G27" authorId="0" shapeId="0" xr:uid="{7EAC74FB-4AC4-4FB2-AD73-0D106EAB78B7}">
      <text>
        <r>
          <rPr>
            <b/>
            <sz val="9"/>
            <color indexed="81"/>
            <rFont val="Tahoma"/>
            <family val="2"/>
            <charset val="238"/>
          </rPr>
          <t>VLOŽTE JEDNOTKOVOU CENU ZHOTOVITELE ZA POLOŽKU</t>
        </r>
      </text>
    </comment>
    <comment ref="G29" authorId="0" shapeId="0" xr:uid="{CEB67831-BC9C-4BFD-AA3E-93EFF2A5BBEB}">
      <text>
        <r>
          <rPr>
            <b/>
            <sz val="9"/>
            <color indexed="81"/>
            <rFont val="Tahoma"/>
            <family val="2"/>
            <charset val="238"/>
          </rPr>
          <t>VLOŽTE JEDNOTKOVOU CENU ZHOTOVITELE ZA POLOŽKU</t>
        </r>
      </text>
    </comment>
    <comment ref="G31" authorId="0" shapeId="0" xr:uid="{771C2311-ABD3-4A75-B4AC-C73E80DDD873}">
      <text>
        <r>
          <rPr>
            <b/>
            <sz val="9"/>
            <color indexed="81"/>
            <rFont val="Tahoma"/>
            <family val="2"/>
            <charset val="238"/>
          </rPr>
          <t>VLOŽTE JEDNOTKOVOU CENU ZHOTOVITELE ZA POLOŽKU</t>
        </r>
      </text>
    </comment>
    <comment ref="G33" authorId="0" shapeId="0" xr:uid="{E0A33881-2DCC-4042-B6C0-39060AB82051}">
      <text>
        <r>
          <rPr>
            <b/>
            <sz val="9"/>
            <color indexed="81"/>
            <rFont val="Tahoma"/>
            <family val="2"/>
            <charset val="238"/>
          </rPr>
          <t>VLOŽTE JEDNOTKOVOU CENU ZHOTOVITELE ZA POLOŽKU</t>
        </r>
      </text>
    </comment>
    <comment ref="G35" authorId="0" shapeId="0" xr:uid="{EFEC17AD-8AAF-4091-AEAE-7D3F9E338FA2}">
      <text>
        <r>
          <rPr>
            <b/>
            <sz val="9"/>
            <color indexed="81"/>
            <rFont val="Tahoma"/>
            <family val="2"/>
            <charset val="238"/>
          </rPr>
          <t>VLOŽTE JEDNOTKOVOU CENU ZHOTOVITELE ZA POLOŽKU</t>
        </r>
      </text>
    </comment>
    <comment ref="G37" authorId="0" shapeId="0" xr:uid="{C8BEA130-C05D-43CF-8CAD-7E8A1B3C0ADA}">
      <text>
        <r>
          <rPr>
            <b/>
            <sz val="9"/>
            <color indexed="81"/>
            <rFont val="Tahoma"/>
            <family val="2"/>
            <charset val="238"/>
          </rPr>
          <t>VLOŽTE JEDNOTKOVOU CENU ZHOTOVITELE ZA POLOŽKU</t>
        </r>
      </text>
    </comment>
    <comment ref="G40" authorId="0" shapeId="0" xr:uid="{2F59E106-CE6F-4113-920B-EB954234398E}">
      <text>
        <r>
          <rPr>
            <b/>
            <sz val="9"/>
            <color indexed="81"/>
            <rFont val="Tahoma"/>
            <family val="2"/>
            <charset val="238"/>
          </rPr>
          <t>VLOŽTE JEDNOTKOVOU CENU ZHOTOVITELE ZA POLOŽKU</t>
        </r>
      </text>
    </comment>
    <comment ref="G42" authorId="0" shapeId="0" xr:uid="{AE11AC39-A86E-484A-9CA9-420D4CC376A2}">
      <text>
        <r>
          <rPr>
            <b/>
            <sz val="9"/>
            <color indexed="81"/>
            <rFont val="Tahoma"/>
            <family val="2"/>
            <charset val="238"/>
          </rPr>
          <t>VLOŽTE JEDNOTKOVOU CENU ZHOTOVITELE ZA POLOŽKU</t>
        </r>
      </text>
    </comment>
    <comment ref="G45" authorId="0" shapeId="0" xr:uid="{DDA9B97F-6B1A-4201-9E43-5B7D6F03CDCF}">
      <text>
        <r>
          <rPr>
            <b/>
            <sz val="9"/>
            <color indexed="81"/>
            <rFont val="Tahoma"/>
            <family val="2"/>
            <charset val="238"/>
          </rPr>
          <t>VLOŽTE JEDNOTKOVOU CENU ZHOTOVITELE ZA POLOŽKU</t>
        </r>
      </text>
    </comment>
    <comment ref="G47" authorId="0" shapeId="0" xr:uid="{C441A1F3-D2AF-402B-9416-C6838280FCB0}">
      <text>
        <r>
          <rPr>
            <b/>
            <sz val="9"/>
            <color indexed="81"/>
            <rFont val="Tahoma"/>
            <family val="2"/>
            <charset val="238"/>
          </rPr>
          <t>VLOŽTE JEDNOTKOVOU CENU ZHOTOVITELE ZA POLOŽKU</t>
        </r>
      </text>
    </comment>
    <comment ref="G49" authorId="0" shapeId="0" xr:uid="{F320D937-591B-4811-B27C-EC0335639399}">
      <text>
        <r>
          <rPr>
            <b/>
            <sz val="9"/>
            <color indexed="81"/>
            <rFont val="Tahoma"/>
            <family val="2"/>
            <charset val="238"/>
          </rPr>
          <t>VLOŽTE JEDNOTKOVOU CENU ZHOTOVITELE ZA POLOŽKU</t>
        </r>
      </text>
    </comment>
    <comment ref="G51" authorId="0" shapeId="0" xr:uid="{1D2517BF-3479-48AF-9952-EB4B277C6463}">
      <text>
        <r>
          <rPr>
            <b/>
            <sz val="9"/>
            <color indexed="81"/>
            <rFont val="Tahoma"/>
            <family val="2"/>
            <charset val="238"/>
          </rPr>
          <t>VLOŽTE JEDNOTKOVOU CENU ZHOTOVITELE ZA POLOŽKU</t>
        </r>
      </text>
    </comment>
    <comment ref="G53" authorId="0" shapeId="0" xr:uid="{5A73C631-83D3-47DF-8EFE-3DD18A49FE2D}">
      <text>
        <r>
          <rPr>
            <b/>
            <sz val="9"/>
            <color indexed="81"/>
            <rFont val="Tahoma"/>
            <family val="2"/>
            <charset val="238"/>
          </rPr>
          <t>VLOŽTE JEDNOTKOVOU CENU ZHOTOVITELE ZA POLOŽKU</t>
        </r>
      </text>
    </comment>
    <comment ref="G55" authorId="0" shapeId="0" xr:uid="{432D6DA5-46BD-443B-A4F9-8E64F97A37AF}">
      <text>
        <r>
          <rPr>
            <b/>
            <sz val="9"/>
            <color indexed="81"/>
            <rFont val="Tahoma"/>
            <family val="2"/>
            <charset val="238"/>
          </rPr>
          <t>VLOŽTE JEDNOTKOVOU CENU ZHOTOVITELE ZA POLOŽKU</t>
        </r>
      </text>
    </comment>
    <comment ref="G57" authorId="0" shapeId="0" xr:uid="{88527DD7-2664-4C5E-8ACD-857FDFF54B07}">
      <text>
        <r>
          <rPr>
            <b/>
            <sz val="9"/>
            <color indexed="81"/>
            <rFont val="Tahoma"/>
            <family val="2"/>
            <charset val="238"/>
          </rPr>
          <t>VLOŽTE JEDNOTKOVOU CENU ZHOTOVITELE ZA POLOŽKU</t>
        </r>
      </text>
    </comment>
    <comment ref="G59" authorId="0" shapeId="0" xr:uid="{1D10A822-F935-4C92-816D-35A670FEFF60}">
      <text>
        <r>
          <rPr>
            <b/>
            <sz val="9"/>
            <color indexed="81"/>
            <rFont val="Tahoma"/>
            <family val="2"/>
            <charset val="238"/>
          </rPr>
          <t>VLOŽTE JEDNOTKOVOU CENU ZHOTOVITELE ZA POLOŽKU</t>
        </r>
      </text>
    </comment>
    <comment ref="G61" authorId="0" shapeId="0" xr:uid="{40799B99-61DC-4818-9B39-32B9C7D4B34B}">
      <text>
        <r>
          <rPr>
            <b/>
            <sz val="9"/>
            <color indexed="81"/>
            <rFont val="Tahoma"/>
            <family val="2"/>
            <charset val="238"/>
          </rPr>
          <t>VLOŽTE JEDNOTKOVOU CENU ZHOTOVITELE ZA POLOŽKU</t>
        </r>
      </text>
    </comment>
    <comment ref="G63" authorId="0" shapeId="0" xr:uid="{727C7B4B-5E1F-4EE5-9384-2869AC9FB125}">
      <text>
        <r>
          <rPr>
            <b/>
            <sz val="9"/>
            <color indexed="81"/>
            <rFont val="Tahoma"/>
            <family val="2"/>
            <charset val="238"/>
          </rPr>
          <t>VLOŽTE JEDNOTKOVOU CENU ZHOTOVITELE ZA POLOŽKU</t>
        </r>
      </text>
    </comment>
    <comment ref="G66" authorId="0" shapeId="0" xr:uid="{8A4871E5-0E14-4C27-BD37-6F07CD3C4232}">
      <text>
        <r>
          <rPr>
            <b/>
            <sz val="9"/>
            <color indexed="81"/>
            <rFont val="Tahoma"/>
            <family val="2"/>
            <charset val="238"/>
          </rPr>
          <t>VLOŽTE JEDNOTKOVOU CENU ZHOTOVITELE ZA POLOŽKU</t>
        </r>
      </text>
    </comment>
    <comment ref="G68" authorId="0" shapeId="0" xr:uid="{6465269B-D49E-4EB3-9648-6A85FD62C38B}">
      <text>
        <r>
          <rPr>
            <b/>
            <sz val="9"/>
            <color indexed="81"/>
            <rFont val="Tahoma"/>
            <family val="2"/>
            <charset val="238"/>
          </rPr>
          <t>VLOŽTE JEDNOTKOVOU CENU ZHOTOVITELE ZA POLOŽKU</t>
        </r>
      </text>
    </comment>
    <comment ref="G69" authorId="0" shapeId="0" xr:uid="{21E38313-E00E-45D1-A24A-24B95782CA4C}">
      <text>
        <r>
          <rPr>
            <b/>
            <sz val="9"/>
            <color indexed="81"/>
            <rFont val="Tahoma"/>
            <family val="2"/>
            <charset val="238"/>
          </rPr>
          <t>VLOŽTE JEDNOTKOVOU CENU ZHOTOVITELE ZA POLOŽKU</t>
        </r>
      </text>
    </comment>
    <comment ref="G72" authorId="0" shapeId="0" xr:uid="{3ABC832B-6C03-4728-99C0-94CB104F09D4}">
      <text>
        <r>
          <rPr>
            <b/>
            <sz val="9"/>
            <color indexed="81"/>
            <rFont val="Tahoma"/>
            <family val="2"/>
            <charset val="238"/>
          </rPr>
          <t>VLOŽTE JEDNOTKOVOU CENU ZHOTOVITELE ZA POLOŽKU</t>
        </r>
      </text>
    </comment>
    <comment ref="G75" authorId="0" shapeId="0" xr:uid="{EAB61C6D-BA2F-47A8-8BFE-ACDC9EF3D4D9}">
      <text>
        <r>
          <rPr>
            <b/>
            <sz val="9"/>
            <color indexed="81"/>
            <rFont val="Tahoma"/>
            <family val="2"/>
            <charset val="238"/>
          </rPr>
          <t>VLOŽTE JEDNOTKOVOU CENU ZHOTOVITELE ZA POLOŽKU</t>
        </r>
      </text>
    </comment>
    <comment ref="G77" authorId="0" shapeId="0" xr:uid="{EA1A0F45-721E-4E23-94A1-8F4863C49240}">
      <text>
        <r>
          <rPr>
            <b/>
            <sz val="9"/>
            <color indexed="81"/>
            <rFont val="Tahoma"/>
            <family val="2"/>
            <charset val="238"/>
          </rPr>
          <t>VLOŽTE JEDNOTKOVOU CENU ZHOTOVITELE ZA POLOŽKU</t>
        </r>
      </text>
    </comment>
    <comment ref="G80" authorId="0" shapeId="0" xr:uid="{28DD8B16-E4F0-4C81-822D-425F711E3637}">
      <text>
        <r>
          <rPr>
            <b/>
            <sz val="9"/>
            <color indexed="81"/>
            <rFont val="Tahoma"/>
            <family val="2"/>
            <charset val="238"/>
          </rPr>
          <t>VLOŽTE JEDNOTKOVOU CENU ZHOTOVITELE ZA POLOŽKU</t>
        </r>
      </text>
    </comment>
    <comment ref="G83" authorId="0" shapeId="0" xr:uid="{0CA7A820-8D96-4ABE-8A73-ACFAEB01E7F8}">
      <text>
        <r>
          <rPr>
            <b/>
            <sz val="9"/>
            <color indexed="81"/>
            <rFont val="Tahoma"/>
            <family val="2"/>
            <charset val="238"/>
          </rPr>
          <t>VLOŽTE JEDNOTKOVOU CENU ZHOTOVITELE ZA POLOŽKU</t>
        </r>
      </text>
    </comment>
    <comment ref="G86" authorId="0" shapeId="0" xr:uid="{95EA5333-E7A9-48CB-AFF2-B9FD55C59FF3}">
      <text>
        <r>
          <rPr>
            <b/>
            <sz val="9"/>
            <color indexed="81"/>
            <rFont val="Tahoma"/>
            <family val="2"/>
            <charset val="238"/>
          </rPr>
          <t>VLOŽTE JEDNOTKOVOU CENU ZHOTOVITELE ZA POLOŽKU</t>
        </r>
      </text>
    </comment>
    <comment ref="G89" authorId="0" shapeId="0" xr:uid="{4BE78719-738A-4DED-BF3E-6D4A69CB247B}">
      <text>
        <r>
          <rPr>
            <b/>
            <sz val="9"/>
            <color indexed="81"/>
            <rFont val="Tahoma"/>
            <family val="2"/>
            <charset val="238"/>
          </rPr>
          <t>VLOŽTE JEDNOTKOVOU CENU ZHOTOVITELE ZA POLOŽKU</t>
        </r>
      </text>
    </comment>
    <comment ref="G91" authorId="0" shapeId="0" xr:uid="{E7C87436-5F16-430C-A709-B15C10BBC67A}">
      <text>
        <r>
          <rPr>
            <b/>
            <sz val="9"/>
            <color indexed="81"/>
            <rFont val="Tahoma"/>
            <family val="2"/>
            <charset val="238"/>
          </rPr>
          <t>VLOŽTE JEDNOTKOVOU CENU ZHOTOVITELE ZA POLOŽKU</t>
        </r>
      </text>
    </comment>
    <comment ref="G93" authorId="0" shapeId="0" xr:uid="{0ED7D53B-6108-4DE0-876B-576E2ED5F56D}">
      <text>
        <r>
          <rPr>
            <b/>
            <sz val="9"/>
            <color indexed="81"/>
            <rFont val="Tahoma"/>
            <family val="2"/>
            <charset val="238"/>
          </rPr>
          <t>VLOŽTE JEDNOTKOVOU CENU ZHOTOVITELE ZA POLOŽKU</t>
        </r>
      </text>
    </comment>
    <comment ref="G95" authorId="0" shapeId="0" xr:uid="{6E35A286-29C1-4FCB-A19C-B97EE7DCD6D3}">
      <text>
        <r>
          <rPr>
            <b/>
            <sz val="9"/>
            <color indexed="81"/>
            <rFont val="Tahoma"/>
            <family val="2"/>
            <charset val="238"/>
          </rPr>
          <t>VLOŽTE JEDNOTKOVOU CENU ZHOTOVITELE ZA POLOŽKU</t>
        </r>
      </text>
    </comment>
    <comment ref="G97" authorId="0" shapeId="0" xr:uid="{15270DBF-2A89-466A-AC72-377824263B5C}">
      <text>
        <r>
          <rPr>
            <b/>
            <sz val="9"/>
            <color indexed="81"/>
            <rFont val="Tahoma"/>
            <family val="2"/>
            <charset val="238"/>
          </rPr>
          <t>VLOŽTE JEDNOTKOVOU CENU ZHOTOVITELE ZA POLOŽKU</t>
        </r>
      </text>
    </comment>
    <comment ref="G99" authorId="0" shapeId="0" xr:uid="{90D5A90D-3777-4E0A-8499-667A2F8A6558}">
      <text>
        <r>
          <rPr>
            <b/>
            <sz val="9"/>
            <color indexed="81"/>
            <rFont val="Tahoma"/>
            <family val="2"/>
            <charset val="238"/>
          </rPr>
          <t>VLOŽTE JEDNOTKOVOU CENU ZHOTOVITELE ZA POLOŽKU</t>
        </r>
      </text>
    </comment>
    <comment ref="G101" authorId="0" shapeId="0" xr:uid="{8E1E0BCB-4207-4CA8-B04E-147A5F8B94FA}">
      <text>
        <r>
          <rPr>
            <b/>
            <sz val="9"/>
            <color indexed="81"/>
            <rFont val="Tahoma"/>
            <family val="2"/>
            <charset val="238"/>
          </rPr>
          <t>VLOŽTE JEDNOTKOVOU CENU ZHOTOVITELE ZA POLOŽKU</t>
        </r>
      </text>
    </comment>
    <comment ref="G104" authorId="0" shapeId="0" xr:uid="{2DAF0CDF-DC75-40B5-8ACA-397F5C347979}">
      <text>
        <r>
          <rPr>
            <b/>
            <sz val="9"/>
            <color indexed="81"/>
            <rFont val="Tahoma"/>
            <family val="2"/>
            <charset val="238"/>
          </rPr>
          <t>VLOŽTE JEDNOTKOVOU CENU ZHOTOVITELE ZA POLOŽKU</t>
        </r>
      </text>
    </comment>
    <comment ref="G107" authorId="0" shapeId="0" xr:uid="{AE462E80-024D-414E-ABE4-24FB70CF12C5}">
      <text>
        <r>
          <rPr>
            <b/>
            <sz val="9"/>
            <color indexed="81"/>
            <rFont val="Tahoma"/>
            <family val="2"/>
            <charset val="238"/>
          </rPr>
          <t>VLOŽTE JEDNOTKOVOU CENU ZHOTOVITELE ZA POLOŽKU</t>
        </r>
      </text>
    </comment>
    <comment ref="G110" authorId="0" shapeId="0" xr:uid="{6181FC78-A032-4D21-8E45-892CC5865527}">
      <text>
        <r>
          <rPr>
            <b/>
            <sz val="9"/>
            <color indexed="81"/>
            <rFont val="Tahoma"/>
            <family val="2"/>
            <charset val="238"/>
          </rPr>
          <t>VLOŽTE JEDNOTKOVOU CENU ZHOTOVITELE ZA POLOŽKU</t>
        </r>
      </text>
    </comment>
    <comment ref="G112" authorId="0" shapeId="0" xr:uid="{33A7D11D-BFD7-4A4A-8781-9ABF482E3E5F}">
      <text>
        <r>
          <rPr>
            <b/>
            <sz val="9"/>
            <color indexed="81"/>
            <rFont val="Tahoma"/>
            <family val="2"/>
            <charset val="238"/>
          </rPr>
          <t>VLOŽTE JEDNOTKOVOU CENU ZHOTOVITELE ZA POLOŽKU</t>
        </r>
      </text>
    </comment>
    <comment ref="G114" authorId="0" shapeId="0" xr:uid="{F40DE0BD-F28A-4A67-A7D7-A6C6B48F74D0}">
      <text>
        <r>
          <rPr>
            <b/>
            <sz val="9"/>
            <color indexed="81"/>
            <rFont val="Tahoma"/>
            <family val="2"/>
            <charset val="238"/>
          </rPr>
          <t>VLOŽTE JEDNOTKOVOU CENU ZHOTOVITELE ZA POLOŽKU</t>
        </r>
      </text>
    </comment>
    <comment ref="G116" authorId="0" shapeId="0" xr:uid="{A7C87170-E945-4E30-8574-BD2AEAB34F52}">
      <text>
        <r>
          <rPr>
            <b/>
            <sz val="9"/>
            <color indexed="81"/>
            <rFont val="Tahoma"/>
            <family val="2"/>
            <charset val="238"/>
          </rPr>
          <t>VLOŽTE JEDNOTKOVOU CENU ZHOTOVITELE ZA POLOŽKU</t>
        </r>
      </text>
    </comment>
    <comment ref="G118" authorId="0" shapeId="0" xr:uid="{E6701E57-CCE2-4060-8DB2-0027B37B9B85}">
      <text>
        <r>
          <rPr>
            <b/>
            <sz val="9"/>
            <color indexed="81"/>
            <rFont val="Tahoma"/>
            <family val="2"/>
            <charset val="238"/>
          </rPr>
          <t>VLOŽTE JEDNOTKOVOU CENU ZHOTOVITELE ZA POLOŽKU</t>
        </r>
      </text>
    </comment>
    <comment ref="G121" authorId="0" shapeId="0" xr:uid="{4969B959-055A-45F5-9C13-B53619E5D6F4}">
      <text>
        <r>
          <rPr>
            <b/>
            <sz val="9"/>
            <color indexed="81"/>
            <rFont val="Tahoma"/>
            <family val="2"/>
            <charset val="238"/>
          </rPr>
          <t>VLOŽTE JEDNOTKOVOU CENU ZHOTOVITELE ZA POLOŽKU</t>
        </r>
      </text>
    </comment>
    <comment ref="G123" authorId="0" shapeId="0" xr:uid="{3CC8BE1A-0340-468F-B1B6-10E746515BD0}">
      <text>
        <r>
          <rPr>
            <b/>
            <sz val="9"/>
            <color indexed="81"/>
            <rFont val="Tahoma"/>
            <family val="2"/>
            <charset val="238"/>
          </rPr>
          <t>VLOŽTE JEDNOTKOVOU CENU ZHOTOVITELE ZA POLOŽKU</t>
        </r>
      </text>
    </comment>
    <comment ref="G125" authorId="0" shapeId="0" xr:uid="{F90F6DE6-5D6E-4EAC-95D2-8CD39CBE701C}">
      <text>
        <r>
          <rPr>
            <b/>
            <sz val="9"/>
            <color indexed="81"/>
            <rFont val="Tahoma"/>
            <family val="2"/>
            <charset val="238"/>
          </rPr>
          <t>VLOŽTE JEDNOTKOVOU CENU ZHOTOVITELE ZA POLOŽKU</t>
        </r>
      </text>
    </comment>
    <comment ref="G127" authorId="0" shapeId="0" xr:uid="{FD8C4D42-975F-4C65-AE97-4A03BEC63E77}">
      <text>
        <r>
          <rPr>
            <b/>
            <sz val="9"/>
            <color indexed="81"/>
            <rFont val="Tahoma"/>
            <family val="2"/>
            <charset val="238"/>
          </rPr>
          <t>VLOŽTE JEDNOTKOVOU CENU ZHOTOVITELE ZA POLOŽKU</t>
        </r>
      </text>
    </comment>
    <comment ref="G129" authorId="0" shapeId="0" xr:uid="{178BA6BA-BA79-4679-BB23-6BAD97CE9CE8}">
      <text>
        <r>
          <rPr>
            <b/>
            <sz val="9"/>
            <color indexed="81"/>
            <rFont val="Tahoma"/>
            <family val="2"/>
            <charset val="238"/>
          </rPr>
          <t>VLOŽTE JEDNOTKOVOU CENU ZHOTOVITELE ZA POLOŽKU</t>
        </r>
      </text>
    </comment>
    <comment ref="G131" authorId="0" shapeId="0" xr:uid="{E2B44430-4C6A-478F-B89E-011DE1860313}">
      <text>
        <r>
          <rPr>
            <b/>
            <sz val="9"/>
            <color indexed="81"/>
            <rFont val="Tahoma"/>
            <family val="2"/>
            <charset val="238"/>
          </rPr>
          <t>VLOŽTE JEDNOTKOVOU CENU ZHOTOVITELE ZA POLOŽKU</t>
        </r>
      </text>
    </comment>
    <comment ref="G133" authorId="0" shapeId="0" xr:uid="{FC7D3A9D-49B8-4D96-A79E-C04F90395EA5}">
      <text>
        <r>
          <rPr>
            <b/>
            <sz val="9"/>
            <color indexed="81"/>
            <rFont val="Tahoma"/>
            <family val="2"/>
            <charset val="238"/>
          </rPr>
          <t>VLOŽTE JEDNOTKOVOU CENU ZHOTOVITELE ZA POLOŽKU</t>
        </r>
      </text>
    </comment>
    <comment ref="G135" authorId="0" shapeId="0" xr:uid="{294B51BD-8428-4D39-8182-666268FDBE29}">
      <text>
        <r>
          <rPr>
            <b/>
            <sz val="9"/>
            <color indexed="81"/>
            <rFont val="Tahoma"/>
            <family val="2"/>
            <charset val="238"/>
          </rPr>
          <t>VLOŽTE JEDNOTKOVOU CENU ZHOTOVITELE ZA POLOŽKU</t>
        </r>
      </text>
    </comment>
    <comment ref="G137" authorId="0" shapeId="0" xr:uid="{FB41A04C-459A-411A-809D-77A28D30766E}">
      <text>
        <r>
          <rPr>
            <b/>
            <sz val="9"/>
            <color indexed="81"/>
            <rFont val="Tahoma"/>
            <family val="2"/>
            <charset val="238"/>
          </rPr>
          <t>VLOŽTE JEDNOTKOVOU CENU ZHOTOVITELE ZA POLOŽKU</t>
        </r>
      </text>
    </comment>
    <comment ref="G139" authorId="0" shapeId="0" xr:uid="{EEAA5D57-BC61-4C54-97CE-7127819AEC2B}">
      <text>
        <r>
          <rPr>
            <b/>
            <sz val="9"/>
            <color indexed="81"/>
            <rFont val="Tahoma"/>
            <family val="2"/>
            <charset val="238"/>
          </rPr>
          <t>VLOŽTE JEDNOTKOVOU CENU ZHOTOVITELE ZA POLOŽKU</t>
        </r>
      </text>
    </comment>
    <comment ref="G141" authorId="0" shapeId="0" xr:uid="{86C3D3C0-5AB5-440F-9178-E163659587B6}">
      <text>
        <r>
          <rPr>
            <b/>
            <sz val="9"/>
            <color indexed="81"/>
            <rFont val="Tahoma"/>
            <family val="2"/>
            <charset val="238"/>
          </rPr>
          <t>VLOŽTE JEDNOTKOVOU CENU ZHOTOVITELE ZA POLOŽKU</t>
        </r>
      </text>
    </comment>
    <comment ref="G144" authorId="0" shapeId="0" xr:uid="{96B20C9E-0670-41AF-8844-2BBC04C7BC4A}">
      <text>
        <r>
          <rPr>
            <b/>
            <sz val="9"/>
            <color indexed="81"/>
            <rFont val="Tahoma"/>
            <family val="2"/>
            <charset val="238"/>
          </rPr>
          <t>VLOŽTE JEDNOTKOVOU CENU ZHOTOVITELE ZA POLOŽKU</t>
        </r>
      </text>
    </comment>
    <comment ref="G147" authorId="0" shapeId="0" xr:uid="{44C0CF3B-23F0-46B1-997E-0FA4B91BD502}">
      <text>
        <r>
          <rPr>
            <b/>
            <sz val="9"/>
            <color indexed="81"/>
            <rFont val="Tahoma"/>
            <family val="2"/>
            <charset val="238"/>
          </rPr>
          <t>VLOŽTE JEDNOTKOVOU CENU ZHOTOVITELE ZA POLOŽKU</t>
        </r>
      </text>
    </comment>
    <comment ref="G150" authorId="0" shapeId="0" xr:uid="{05618EAE-AA32-4F57-A024-EACB891078CA}">
      <text>
        <r>
          <rPr>
            <b/>
            <sz val="9"/>
            <color indexed="81"/>
            <rFont val="Tahoma"/>
            <family val="2"/>
            <charset val="238"/>
          </rPr>
          <t>VLOŽTE JEDNOTKOVOU CENU ZHOTOVITELE ZA POLOŽKU</t>
        </r>
      </text>
    </comment>
    <comment ref="G151" authorId="0" shapeId="0" xr:uid="{A3797A90-0F6F-4F43-B719-26021899D1EA}">
      <text>
        <r>
          <rPr>
            <b/>
            <sz val="9"/>
            <color indexed="81"/>
            <rFont val="Tahoma"/>
            <family val="2"/>
            <charset val="238"/>
          </rPr>
          <t>VLOŽTE JEDNOTKOVOU CENU ZHOTOVITELE ZA POLOŽKU</t>
        </r>
      </text>
    </comment>
    <comment ref="G153" authorId="0" shapeId="0" xr:uid="{C2D0A11D-9146-438B-AD5E-49DDAE0A9F5B}">
      <text>
        <r>
          <rPr>
            <b/>
            <sz val="9"/>
            <color indexed="81"/>
            <rFont val="Tahoma"/>
            <family val="2"/>
            <charset val="238"/>
          </rPr>
          <t>VLOŽTE JEDNOTKOVOU CENU ZHOTOVITELE ZA POLOŽKU</t>
        </r>
      </text>
    </comment>
    <comment ref="G155" authorId="0" shapeId="0" xr:uid="{C03851CA-2468-42BA-90BA-0508D4D58874}">
      <text>
        <r>
          <rPr>
            <b/>
            <sz val="9"/>
            <color indexed="81"/>
            <rFont val="Tahoma"/>
            <family val="2"/>
            <charset val="238"/>
          </rPr>
          <t>VLOŽTE JEDNOTKOVOU CENU ZHOTOVITELE ZA POLOŽKU</t>
        </r>
      </text>
    </comment>
    <comment ref="G157" authorId="0" shapeId="0" xr:uid="{1DDE7588-C1D6-49EA-ACDA-6414DBC98B42}">
      <text>
        <r>
          <rPr>
            <b/>
            <sz val="9"/>
            <color indexed="81"/>
            <rFont val="Tahoma"/>
            <family val="2"/>
            <charset val="238"/>
          </rPr>
          <t>VLOŽTE JEDNOTKOVOU CENU ZHOTOVITELE ZA POLOŽKU</t>
        </r>
      </text>
    </comment>
    <comment ref="G158" authorId="0" shapeId="0" xr:uid="{28B82AF2-98F9-4E14-8C43-E487B6AA094A}">
      <text>
        <r>
          <rPr>
            <b/>
            <sz val="9"/>
            <color indexed="81"/>
            <rFont val="Tahoma"/>
            <family val="2"/>
            <charset val="238"/>
          </rPr>
          <t>VLOŽTE JEDNOTKOVOU CENU ZHOTOVITELE ZA POLOŽKU</t>
        </r>
      </text>
    </comment>
    <comment ref="G159" authorId="0" shapeId="0" xr:uid="{3A10102A-F5CD-43AB-A253-1CF14A5C58C4}">
      <text>
        <r>
          <rPr>
            <b/>
            <sz val="9"/>
            <color indexed="81"/>
            <rFont val="Tahoma"/>
            <family val="2"/>
            <charset val="238"/>
          </rPr>
          <t>VLOŽTE JEDNOTKOVOU CENU ZHOTOVITELE ZA POLOŽKU</t>
        </r>
      </text>
    </comment>
    <comment ref="G161" authorId="0" shapeId="0" xr:uid="{3BBCA11A-7141-4EFE-8274-94DB889BE045}">
      <text>
        <r>
          <rPr>
            <b/>
            <sz val="9"/>
            <color indexed="81"/>
            <rFont val="Tahoma"/>
            <family val="2"/>
            <charset val="238"/>
          </rPr>
          <t>VLOŽTE JEDNOTKOVOU CENU ZHOTOVITELE ZA POLOŽKU</t>
        </r>
      </text>
    </comment>
    <comment ref="G163" authorId="0" shapeId="0" xr:uid="{167C434C-60B1-4506-8A38-3506C3C4AE27}">
      <text>
        <r>
          <rPr>
            <b/>
            <sz val="9"/>
            <color indexed="81"/>
            <rFont val="Tahoma"/>
            <family val="2"/>
            <charset val="238"/>
          </rPr>
          <t>VLOŽTE JEDNOTKOVOU CENU ZHOTOVITELE ZA POLOŽKU</t>
        </r>
      </text>
    </comment>
    <comment ref="G165" authorId="0" shapeId="0" xr:uid="{3E113ECF-F0FD-41F5-A717-81F5634F4CB2}">
      <text>
        <r>
          <rPr>
            <b/>
            <sz val="9"/>
            <color indexed="81"/>
            <rFont val="Tahoma"/>
            <family val="2"/>
            <charset val="238"/>
          </rPr>
          <t>VLOŽTE JEDNOTKOVOU CENU ZHOTOVITELE ZA POLOŽKU</t>
        </r>
      </text>
    </comment>
    <comment ref="G167" authorId="0" shapeId="0" xr:uid="{01CF1D94-85DA-42AA-944D-0CF6CE5C0FB8}">
      <text>
        <r>
          <rPr>
            <b/>
            <sz val="9"/>
            <color indexed="81"/>
            <rFont val="Tahoma"/>
            <family val="2"/>
            <charset val="238"/>
          </rPr>
          <t>VLOŽTE JEDNOTKOVOU CENU ZHOTOVITELE ZA POLOŽKU</t>
        </r>
      </text>
    </comment>
    <comment ref="G169" authorId="0" shapeId="0" xr:uid="{86C8610E-BD63-40EA-94FE-6C200EEB2481}">
      <text>
        <r>
          <rPr>
            <b/>
            <sz val="9"/>
            <color indexed="81"/>
            <rFont val="Tahoma"/>
            <family val="2"/>
            <charset val="238"/>
          </rPr>
          <t>VLOŽTE JEDNOTKOVOU CENU ZHOTOVITELE ZA POLOŽKU</t>
        </r>
      </text>
    </comment>
    <comment ref="G171" authorId="0" shapeId="0" xr:uid="{F7A3AAFD-700F-4345-8213-BEC1ADD52A69}">
      <text>
        <r>
          <rPr>
            <b/>
            <sz val="9"/>
            <color indexed="81"/>
            <rFont val="Tahoma"/>
            <family val="2"/>
            <charset val="238"/>
          </rPr>
          <t>VLOŽTE JEDNOTKOVOU CENU ZHOTOVITELE ZA POLOŽKU</t>
        </r>
      </text>
    </comment>
    <comment ref="G173" authorId="0" shapeId="0" xr:uid="{8FCF45DF-109A-4A2D-8FD7-49135A33FDBB}">
      <text>
        <r>
          <rPr>
            <b/>
            <sz val="9"/>
            <color indexed="81"/>
            <rFont val="Tahoma"/>
            <family val="2"/>
            <charset val="238"/>
          </rPr>
          <t>VLOŽTE JEDNOTKOVOU CENU ZHOTOVITELE ZA POLOŽKU</t>
        </r>
      </text>
    </comment>
    <comment ref="G175" authorId="0" shapeId="0" xr:uid="{DEA6E40F-FCCB-4D47-B439-70BEF9980B68}">
      <text>
        <r>
          <rPr>
            <b/>
            <sz val="9"/>
            <color indexed="81"/>
            <rFont val="Tahoma"/>
            <family val="2"/>
            <charset val="238"/>
          </rPr>
          <t>VLOŽTE JEDNOTKOVOU CENU ZHOTOVITELE ZA POLOŽKU</t>
        </r>
      </text>
    </comment>
    <comment ref="G177" authorId="0" shapeId="0" xr:uid="{11927EF3-BCB1-4177-B9BE-92561DA11397}">
      <text>
        <r>
          <rPr>
            <b/>
            <sz val="9"/>
            <color indexed="81"/>
            <rFont val="Tahoma"/>
            <family val="2"/>
            <charset val="238"/>
          </rPr>
          <t>VLOŽTE JEDNOTKOVOU CENU ZHOTOVITELE ZA POLOŽKU</t>
        </r>
      </text>
    </comment>
    <comment ref="G178" authorId="0" shapeId="0" xr:uid="{50200CF7-B98D-45D8-BE77-9837E72022BC}">
      <text>
        <r>
          <rPr>
            <b/>
            <sz val="9"/>
            <color indexed="81"/>
            <rFont val="Tahoma"/>
            <family val="2"/>
            <charset val="238"/>
          </rPr>
          <t>VLOŽTE JEDNOTKOVOU CENU ZHOTOVITELE ZA POLOŽKU</t>
        </r>
      </text>
    </comment>
    <comment ref="G179" authorId="0" shapeId="0" xr:uid="{AEA7BC9A-9D21-4C40-9D78-8727D92AA5B7}">
      <text>
        <r>
          <rPr>
            <b/>
            <sz val="9"/>
            <color indexed="81"/>
            <rFont val="Tahoma"/>
            <family val="2"/>
            <charset val="238"/>
          </rPr>
          <t>VLOŽTE JEDNOTKOVOU CENU ZHOTOVITELE ZA POLOŽKU</t>
        </r>
      </text>
    </comment>
    <comment ref="G180" authorId="0" shapeId="0" xr:uid="{6893301E-DA93-405F-88BA-B073F69D4193}">
      <text>
        <r>
          <rPr>
            <b/>
            <sz val="9"/>
            <color indexed="81"/>
            <rFont val="Tahoma"/>
            <family val="2"/>
            <charset val="238"/>
          </rPr>
          <t>VLOŽTE JEDNOTKOVOU CENU ZHOTOVITELE ZA POLOŽKU</t>
        </r>
      </text>
    </comment>
    <comment ref="G181" authorId="0" shapeId="0" xr:uid="{0AA2AB7C-7563-4FC9-BEC8-BC61048D7F05}">
      <text>
        <r>
          <rPr>
            <b/>
            <sz val="9"/>
            <color indexed="81"/>
            <rFont val="Tahoma"/>
            <family val="2"/>
            <charset val="238"/>
          </rPr>
          <t>VLOŽTE JEDNOTKOVOU CENU ZHOTOVITELE ZA POLOŽKU</t>
        </r>
      </text>
    </comment>
    <comment ref="G182" authorId="0" shapeId="0" xr:uid="{FBECC5F9-B6D2-4947-8D8C-EC7EACA55F07}">
      <text>
        <r>
          <rPr>
            <b/>
            <sz val="9"/>
            <color indexed="81"/>
            <rFont val="Tahoma"/>
            <family val="2"/>
            <charset val="238"/>
          </rPr>
          <t>VLOŽTE JEDNOTKOVOU CENU ZHOTOVITELE ZA POLOŽKU</t>
        </r>
      </text>
    </comment>
    <comment ref="G184" authorId="0" shapeId="0" xr:uid="{F630D112-C3FE-4E84-868F-07A175CBA638}">
      <text>
        <r>
          <rPr>
            <b/>
            <sz val="9"/>
            <color indexed="81"/>
            <rFont val="Tahoma"/>
            <family val="2"/>
            <charset val="238"/>
          </rPr>
          <t>VLOŽTE JEDNOTKOVOU CENU ZHOTOVITELE ZA POLOŽKU</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88DDFAE1-22E9-4264-AE07-9B0C32AB7085}">
      <text>
        <r>
          <rPr>
            <b/>
            <sz val="9"/>
            <color indexed="81"/>
            <rFont val="Tahoma"/>
            <family val="2"/>
            <charset val="238"/>
          </rPr>
          <t>VLOŽTE JEDNOTKOVOU CENU ZHOTOVITELE ZA POLOŽKU</t>
        </r>
      </text>
    </comment>
    <comment ref="G14" authorId="0" shapeId="0" xr:uid="{00CAC73E-5F73-4B83-875D-5EB5D7CE1BFA}">
      <text>
        <r>
          <rPr>
            <b/>
            <sz val="9"/>
            <color indexed="81"/>
            <rFont val="Tahoma"/>
            <family val="2"/>
            <charset val="238"/>
          </rPr>
          <t>VLOŽTE JEDNOTKOVOU CENU ZHOTOVITELE ZA POLOŽKU</t>
        </r>
      </text>
    </comment>
    <comment ref="G17" authorId="0" shapeId="0" xr:uid="{84FB163E-3475-4609-9483-7BB4ADE83084}">
      <text>
        <r>
          <rPr>
            <b/>
            <sz val="9"/>
            <color indexed="81"/>
            <rFont val="Tahoma"/>
            <family val="2"/>
            <charset val="238"/>
          </rPr>
          <t>VLOŽTE JEDNOTKOVOU CENU ZHOTOVITELE ZA POLOŽKU</t>
        </r>
      </text>
    </comment>
    <comment ref="G20" authorId="0" shapeId="0" xr:uid="{991F0A0A-95C0-44CB-97B4-6E5B0DA7D2B0}">
      <text>
        <r>
          <rPr>
            <b/>
            <sz val="9"/>
            <color indexed="81"/>
            <rFont val="Tahoma"/>
            <family val="2"/>
            <charset val="238"/>
          </rPr>
          <t>VLOŽTE JEDNOTKOVOU CENU ZHOTOVITELE ZA POLOŽKU</t>
        </r>
      </text>
    </comment>
    <comment ref="G22" authorId="0" shapeId="0" xr:uid="{9224D22E-E379-47DA-A195-3542A99B5B2C}">
      <text>
        <r>
          <rPr>
            <b/>
            <sz val="9"/>
            <color indexed="81"/>
            <rFont val="Tahoma"/>
            <family val="2"/>
            <charset val="238"/>
          </rPr>
          <t>VLOŽTE JEDNOTKOVOU CENU ZHOTOVITELE ZA POLOŽKU</t>
        </r>
      </text>
    </comment>
    <comment ref="G24" authorId="0" shapeId="0" xr:uid="{2B216BDB-F809-4EEF-BE7C-F3A44D4B4BC4}">
      <text>
        <r>
          <rPr>
            <b/>
            <sz val="9"/>
            <color indexed="81"/>
            <rFont val="Tahoma"/>
            <family val="2"/>
            <charset val="238"/>
          </rPr>
          <t>VLOŽTE JEDNOTKOVOU CENU ZHOTOVITELE ZA POLOŽKU</t>
        </r>
      </text>
    </comment>
    <comment ref="G26" authorId="0" shapeId="0" xr:uid="{8CBFE2B3-3E78-4038-ADC4-9081C83F79E6}">
      <text>
        <r>
          <rPr>
            <b/>
            <sz val="9"/>
            <color indexed="81"/>
            <rFont val="Tahoma"/>
            <family val="2"/>
            <charset val="238"/>
          </rPr>
          <t>VLOŽTE JEDNOTKOVOU CENU ZHOTOVITELE ZA POLOŽKU</t>
        </r>
      </text>
    </comment>
    <comment ref="G28" authorId="0" shapeId="0" xr:uid="{F8263C4D-497C-44E6-92D9-7004CF84942F}">
      <text>
        <r>
          <rPr>
            <b/>
            <sz val="9"/>
            <color indexed="81"/>
            <rFont val="Tahoma"/>
            <family val="2"/>
            <charset val="238"/>
          </rPr>
          <t>VLOŽTE JEDNOTKOVOU CENU ZHOTOVITELE ZA POLOŽKU</t>
        </r>
      </text>
    </comment>
    <comment ref="G30" authorId="0" shapeId="0" xr:uid="{DF85462A-01D4-4370-9EB8-D09754C64538}">
      <text>
        <r>
          <rPr>
            <b/>
            <sz val="9"/>
            <color indexed="81"/>
            <rFont val="Tahoma"/>
            <family val="2"/>
            <charset val="238"/>
          </rPr>
          <t>VLOŽTE JEDNOTKOVOU CENU ZHOTOVITELE ZA POLOŽKU</t>
        </r>
      </text>
    </comment>
    <comment ref="G33" authorId="0" shapeId="0" xr:uid="{039E5E38-5755-4AF0-842D-88CD305A6CD3}">
      <text>
        <r>
          <rPr>
            <b/>
            <sz val="9"/>
            <color indexed="81"/>
            <rFont val="Tahoma"/>
            <family val="2"/>
            <charset val="238"/>
          </rPr>
          <t>VLOŽTE JEDNOTKOVOU CENU ZHOTOVITELE ZA POLOŽKU</t>
        </r>
      </text>
    </comment>
    <comment ref="G35" authorId="0" shapeId="0" xr:uid="{62EF7C2F-5900-4F91-97AA-12BBC8F47C15}">
      <text>
        <r>
          <rPr>
            <b/>
            <sz val="9"/>
            <color indexed="81"/>
            <rFont val="Tahoma"/>
            <family val="2"/>
            <charset val="238"/>
          </rPr>
          <t>VLOŽTE JEDNOTKOVOU CENU ZHOTOVITELE ZA POLOŽKU</t>
        </r>
      </text>
    </comment>
    <comment ref="G38" authorId="0" shapeId="0" xr:uid="{58AD680F-B339-4CC5-B11A-831C4734FEF0}">
      <text>
        <r>
          <rPr>
            <b/>
            <sz val="9"/>
            <color indexed="81"/>
            <rFont val="Tahoma"/>
            <family val="2"/>
            <charset val="238"/>
          </rPr>
          <t>VLOŽTE JEDNOTKOVOU CENU ZHOTOVITELE ZA POLOŽKU</t>
        </r>
      </text>
    </comment>
    <comment ref="G40" authorId="0" shapeId="0" xr:uid="{343DC007-CADA-405F-AADE-933F064B4A2F}">
      <text>
        <r>
          <rPr>
            <b/>
            <sz val="9"/>
            <color indexed="81"/>
            <rFont val="Tahoma"/>
            <family val="2"/>
            <charset val="238"/>
          </rPr>
          <t>VLOŽTE JEDNOTKOVOU CENU ZHOTOVITELE ZA POLOŽKU</t>
        </r>
      </text>
    </comment>
    <comment ref="G42" authorId="0" shapeId="0" xr:uid="{3ADA5217-33B8-48E3-AB2B-1FD4F6A7B322}">
      <text>
        <r>
          <rPr>
            <b/>
            <sz val="9"/>
            <color indexed="81"/>
            <rFont val="Tahoma"/>
            <family val="2"/>
            <charset val="238"/>
          </rPr>
          <t>VLOŽTE JEDNOTKOVOU CENU ZHOTOVITELE ZA POLOŽKU</t>
        </r>
      </text>
    </comment>
    <comment ref="G44" authorId="0" shapeId="0" xr:uid="{C4480AEE-1C03-4E8B-BE53-C0BD852859BB}">
      <text>
        <r>
          <rPr>
            <b/>
            <sz val="9"/>
            <color indexed="81"/>
            <rFont val="Tahoma"/>
            <family val="2"/>
            <charset val="238"/>
          </rPr>
          <t>VLOŽTE JEDNOTKOVOU CENU ZHOTOVITELE ZA POLOŽKU</t>
        </r>
      </text>
    </comment>
    <comment ref="G46" authorId="0" shapeId="0" xr:uid="{EA93B66F-80B0-461B-9616-AFC95C0370B0}">
      <text>
        <r>
          <rPr>
            <b/>
            <sz val="9"/>
            <color indexed="81"/>
            <rFont val="Tahoma"/>
            <family val="2"/>
            <charset val="238"/>
          </rPr>
          <t>VLOŽTE JEDNOTKOVOU CENU ZHOTOVITELE ZA POLOŽKU</t>
        </r>
      </text>
    </comment>
    <comment ref="G48" authorId="0" shapeId="0" xr:uid="{52D35093-6834-46D4-ABD4-02135E93D069}">
      <text>
        <r>
          <rPr>
            <b/>
            <sz val="9"/>
            <color indexed="81"/>
            <rFont val="Tahoma"/>
            <family val="2"/>
            <charset val="238"/>
          </rPr>
          <t>VLOŽTE JEDNOTKOVOU CENU ZHOTOVITELE ZA POLOŽKU</t>
        </r>
      </text>
    </comment>
    <comment ref="G50" authorId="0" shapeId="0" xr:uid="{2C798E54-196A-4183-8008-E7EEB5324AC1}">
      <text>
        <r>
          <rPr>
            <b/>
            <sz val="9"/>
            <color indexed="81"/>
            <rFont val="Tahoma"/>
            <family val="2"/>
            <charset val="238"/>
          </rPr>
          <t>VLOŽTE JEDNOTKOVOU CENU ZHOTOVITELE ZA POLOŽKU</t>
        </r>
      </text>
    </comment>
    <comment ref="G52" authorId="0" shapeId="0" xr:uid="{777651D2-C22F-4A70-B515-D05A32A1992B}">
      <text>
        <r>
          <rPr>
            <b/>
            <sz val="9"/>
            <color indexed="81"/>
            <rFont val="Tahoma"/>
            <family val="2"/>
            <charset val="238"/>
          </rPr>
          <t>VLOŽTE JEDNOTKOVOU CENU ZHOTOVITELE ZA POLOŽKU</t>
        </r>
      </text>
    </comment>
    <comment ref="G55" authorId="0" shapeId="0" xr:uid="{3C3C27DE-29A1-45E6-B9C0-5D34FD37ADA5}">
      <text>
        <r>
          <rPr>
            <b/>
            <sz val="9"/>
            <color indexed="81"/>
            <rFont val="Tahoma"/>
            <family val="2"/>
            <charset val="238"/>
          </rPr>
          <t>VLOŽTE JEDNOTKOVOU CENU ZHOTOVITELE ZA POLOŽKU</t>
        </r>
      </text>
    </comment>
    <comment ref="G57" authorId="0" shapeId="0" xr:uid="{340050FC-B955-4086-A0BD-D99166054D1C}">
      <text>
        <r>
          <rPr>
            <b/>
            <sz val="9"/>
            <color indexed="81"/>
            <rFont val="Tahoma"/>
            <family val="2"/>
            <charset val="238"/>
          </rPr>
          <t>VLOŽTE JEDNOTKOVOU CENU ZHOTOVITELE ZA POLOŽKU</t>
        </r>
      </text>
    </comment>
    <comment ref="G60" authorId="0" shapeId="0" xr:uid="{C89D35D8-1E86-4027-B4FD-5E16055FC358}">
      <text>
        <r>
          <rPr>
            <b/>
            <sz val="9"/>
            <color indexed="81"/>
            <rFont val="Tahoma"/>
            <family val="2"/>
            <charset val="238"/>
          </rPr>
          <t>VLOŽTE JEDNOTKOVOU CENU ZHOTOVITELE ZA POLOŽKU</t>
        </r>
      </text>
    </comment>
    <comment ref="G62" authorId="0" shapeId="0" xr:uid="{895FBF46-5BA5-45E7-B45E-4F2F07FEC708}">
      <text>
        <r>
          <rPr>
            <b/>
            <sz val="9"/>
            <color indexed="81"/>
            <rFont val="Tahoma"/>
            <family val="2"/>
            <charset val="238"/>
          </rPr>
          <t>VLOŽTE JEDNOTKOVOU CENU ZHOTOVITELE ZA POLOŽKU</t>
        </r>
      </text>
    </comment>
    <comment ref="G64" authorId="0" shapeId="0" xr:uid="{BF19BB51-4D45-43B1-B111-259F483257A9}">
      <text>
        <r>
          <rPr>
            <b/>
            <sz val="9"/>
            <color indexed="81"/>
            <rFont val="Tahoma"/>
            <family val="2"/>
            <charset val="238"/>
          </rPr>
          <t>VLOŽTE JEDNOTKOVOU CENU ZHOTOVITELE ZA POLOŽKU</t>
        </r>
      </text>
    </comment>
    <comment ref="G66" authorId="0" shapeId="0" xr:uid="{A3AFA699-1007-4178-BF8F-EC89731EB542}">
      <text>
        <r>
          <rPr>
            <b/>
            <sz val="9"/>
            <color indexed="81"/>
            <rFont val="Tahoma"/>
            <family val="2"/>
            <charset val="238"/>
          </rPr>
          <t>VLOŽTE JEDNOTKOVOU CENU ZHOTOVITELE ZA POLOŽKU</t>
        </r>
      </text>
    </comment>
    <comment ref="G68" authorId="0" shapeId="0" xr:uid="{001CA022-ACFA-4184-AB08-56A3CB875E1B}">
      <text>
        <r>
          <rPr>
            <b/>
            <sz val="9"/>
            <color indexed="81"/>
            <rFont val="Tahoma"/>
            <family val="2"/>
            <charset val="238"/>
          </rPr>
          <t>VLOŽTE JEDNOTKOVOU CENU ZHOTOVITELE ZA POLOŽKU</t>
        </r>
      </text>
    </comment>
    <comment ref="G70" authorId="0" shapeId="0" xr:uid="{0EE270A6-336A-488F-BF4E-46F1760764C0}">
      <text>
        <r>
          <rPr>
            <b/>
            <sz val="9"/>
            <color indexed="81"/>
            <rFont val="Tahoma"/>
            <family val="2"/>
            <charset val="238"/>
          </rPr>
          <t>VLOŽTE JEDNOTKOVOU CENU ZHOTOVITELE ZA POLOŽKU</t>
        </r>
      </text>
    </comment>
    <comment ref="G72" authorId="0" shapeId="0" xr:uid="{6A873B7D-BA2C-4A3C-B9F6-49923CAD21FA}">
      <text>
        <r>
          <rPr>
            <b/>
            <sz val="9"/>
            <color indexed="81"/>
            <rFont val="Tahoma"/>
            <family val="2"/>
            <charset val="238"/>
          </rPr>
          <t>VLOŽTE JEDNOTKOVOU CENU ZHOTOVITELE ZA POLOŽKU</t>
        </r>
      </text>
    </comment>
    <comment ref="G74" authorId="0" shapeId="0" xr:uid="{808B1077-FAC3-4CCF-9CB4-B31CEE8897C7}">
      <text>
        <r>
          <rPr>
            <b/>
            <sz val="9"/>
            <color indexed="81"/>
            <rFont val="Tahoma"/>
            <family val="2"/>
            <charset val="238"/>
          </rPr>
          <t>VLOŽTE JEDNOTKOVOU CENU ZHOTOVITELE ZA POLOŽKU</t>
        </r>
      </text>
    </comment>
    <comment ref="G77" authorId="0" shapeId="0" xr:uid="{3FE7C3EB-9239-4925-8E9F-791EFD535549}">
      <text>
        <r>
          <rPr>
            <b/>
            <sz val="9"/>
            <color indexed="81"/>
            <rFont val="Tahoma"/>
            <family val="2"/>
            <charset val="238"/>
          </rPr>
          <t>VLOŽTE JEDNOTKOVOU CENU ZHOTOVITELE ZA POLOŽKU</t>
        </r>
      </text>
    </comment>
    <comment ref="G79" authorId="0" shapeId="0" xr:uid="{2D2124DF-F03E-4E3C-A843-EB10B00243D5}">
      <text>
        <r>
          <rPr>
            <b/>
            <sz val="9"/>
            <color indexed="81"/>
            <rFont val="Tahoma"/>
            <family val="2"/>
            <charset val="238"/>
          </rPr>
          <t>VLOŽTE JEDNOTKOVOU CENU ZHOTOVITELE ZA POLOŽKU</t>
        </r>
      </text>
    </comment>
    <comment ref="G80" authorId="0" shapeId="0" xr:uid="{AF48C46F-BF51-4879-9376-E5F5C79A32A1}">
      <text>
        <r>
          <rPr>
            <b/>
            <sz val="9"/>
            <color indexed="81"/>
            <rFont val="Tahoma"/>
            <family val="2"/>
            <charset val="238"/>
          </rPr>
          <t>VLOŽTE JEDNOTKOVOU CENU ZHOTOVITELE ZA POLOŽKU</t>
        </r>
      </text>
    </comment>
    <comment ref="G83" authorId="0" shapeId="0" xr:uid="{55EF1BAC-BCBF-449C-A951-5CDAFA09056A}">
      <text>
        <r>
          <rPr>
            <b/>
            <sz val="9"/>
            <color indexed="81"/>
            <rFont val="Tahoma"/>
            <family val="2"/>
            <charset val="238"/>
          </rPr>
          <t>VLOŽTE JEDNOTKOVOU CENU ZHOTOVITELE ZA POLOŽKU</t>
        </r>
      </text>
    </comment>
    <comment ref="G86" authorId="0" shapeId="0" xr:uid="{EA6CE67C-C205-46CE-9795-E24FDDF57E71}">
      <text>
        <r>
          <rPr>
            <b/>
            <sz val="9"/>
            <color indexed="81"/>
            <rFont val="Tahoma"/>
            <family val="2"/>
            <charset val="238"/>
          </rPr>
          <t>VLOŽTE JEDNOTKOVOU CENU ZHOTOVITELE ZA POLOŽKU</t>
        </r>
      </text>
    </comment>
    <comment ref="G88" authorId="0" shapeId="0" xr:uid="{45AD743B-3B85-4738-99D6-F50C61325053}">
      <text>
        <r>
          <rPr>
            <b/>
            <sz val="9"/>
            <color indexed="81"/>
            <rFont val="Tahoma"/>
            <family val="2"/>
            <charset val="238"/>
          </rPr>
          <t>VLOŽTE JEDNOTKOVOU CENU ZHOTOVITELE ZA POLOŽKU</t>
        </r>
      </text>
    </comment>
    <comment ref="G91" authorId="0" shapeId="0" xr:uid="{F243A51D-E9CE-41D4-AD8B-7C2B3513D314}">
      <text>
        <r>
          <rPr>
            <b/>
            <sz val="9"/>
            <color indexed="81"/>
            <rFont val="Tahoma"/>
            <family val="2"/>
            <charset val="238"/>
          </rPr>
          <t>VLOŽTE JEDNOTKOVOU CENU ZHOTOVITELE ZA POLOŽKU</t>
        </r>
      </text>
    </comment>
    <comment ref="G93" authorId="0" shapeId="0" xr:uid="{8279998D-8BB6-4547-9FC0-34493E15B970}">
      <text>
        <r>
          <rPr>
            <b/>
            <sz val="9"/>
            <color indexed="81"/>
            <rFont val="Tahoma"/>
            <family val="2"/>
            <charset val="238"/>
          </rPr>
          <t>VLOŽTE JEDNOTKOVOU CENU ZHOTOVITELE ZA POLOŽKU</t>
        </r>
      </text>
    </comment>
    <comment ref="G95" authorId="0" shapeId="0" xr:uid="{163CB585-6438-4B42-A4EA-D5C50BC09DB6}">
      <text>
        <r>
          <rPr>
            <b/>
            <sz val="9"/>
            <color indexed="81"/>
            <rFont val="Tahoma"/>
            <family val="2"/>
            <charset val="238"/>
          </rPr>
          <t>VLOŽTE JEDNOTKOVOU CENU ZHOTOVITELE ZA POLOŽKU</t>
        </r>
      </text>
    </comment>
    <comment ref="G97" authorId="0" shapeId="0" xr:uid="{6DD0AB04-F30D-4A2E-919C-4AA2137E4CEA}">
      <text>
        <r>
          <rPr>
            <b/>
            <sz val="9"/>
            <color indexed="81"/>
            <rFont val="Tahoma"/>
            <family val="2"/>
            <charset val="238"/>
          </rPr>
          <t>VLOŽTE JEDNOTKOVOU CENU ZHOTOVITELE ZA POLOŽKU</t>
        </r>
      </text>
    </comment>
    <comment ref="G100" authorId="0" shapeId="0" xr:uid="{D95567EC-815F-4479-A868-FC3F6A79A79A}">
      <text>
        <r>
          <rPr>
            <b/>
            <sz val="9"/>
            <color indexed="81"/>
            <rFont val="Tahoma"/>
            <family val="2"/>
            <charset val="238"/>
          </rPr>
          <t>VLOŽTE JEDNOTKOVOU CENU ZHOTOVITELE ZA POLOŽKU</t>
        </r>
      </text>
    </comment>
    <comment ref="G102" authorId="0" shapeId="0" xr:uid="{00D11589-ACA3-46EF-9953-A9D8F028EFA1}">
      <text>
        <r>
          <rPr>
            <b/>
            <sz val="9"/>
            <color indexed="81"/>
            <rFont val="Tahoma"/>
            <family val="2"/>
            <charset val="238"/>
          </rPr>
          <t>VLOŽTE JEDNOTKOVOU CENU ZHOTOVITELE ZA POLOŽKU</t>
        </r>
      </text>
    </comment>
    <comment ref="G104" authorId="0" shapeId="0" xr:uid="{F4BAF979-EC84-4322-9536-F6E65EAA8DBC}">
      <text>
        <r>
          <rPr>
            <b/>
            <sz val="9"/>
            <color indexed="81"/>
            <rFont val="Tahoma"/>
            <family val="2"/>
            <charset val="238"/>
          </rPr>
          <t>VLOŽTE JEDNOTKOVOU CENU ZHOTOVITELE ZA POLOŽKU</t>
        </r>
      </text>
    </comment>
    <comment ref="G107" authorId="0" shapeId="0" xr:uid="{9D278D35-C470-4779-A952-1512FD0E09DB}">
      <text>
        <r>
          <rPr>
            <b/>
            <sz val="9"/>
            <color indexed="81"/>
            <rFont val="Tahoma"/>
            <family val="2"/>
            <charset val="238"/>
          </rPr>
          <t>VLOŽTE JEDNOTKOVOU CENU ZHOTOVITELE ZA POLOŽKU</t>
        </r>
      </text>
    </comment>
    <comment ref="G110" authorId="0" shapeId="0" xr:uid="{55FC1929-54BB-4BD4-8455-CE6E78606A84}">
      <text>
        <r>
          <rPr>
            <b/>
            <sz val="9"/>
            <color indexed="81"/>
            <rFont val="Tahoma"/>
            <family val="2"/>
            <charset val="238"/>
          </rPr>
          <t>VLOŽTE JEDNOTKOVOU CENU ZHOTOVITELE ZA POLOŽKU</t>
        </r>
      </text>
    </comment>
    <comment ref="G112" authorId="0" shapeId="0" xr:uid="{64AA8EBD-9D9F-4C79-9D7C-B031E3F5C35B}">
      <text>
        <r>
          <rPr>
            <b/>
            <sz val="9"/>
            <color indexed="81"/>
            <rFont val="Tahoma"/>
            <family val="2"/>
            <charset val="238"/>
          </rPr>
          <t>VLOŽTE JEDNOTKOVOU CENU ZHOTOVITELE ZA POLOŽKU</t>
        </r>
      </text>
    </comment>
    <comment ref="G114" authorId="0" shapeId="0" xr:uid="{5285EC47-FDDA-4A4B-82A0-6E430E9837F3}">
      <text>
        <r>
          <rPr>
            <b/>
            <sz val="9"/>
            <color indexed="81"/>
            <rFont val="Tahoma"/>
            <family val="2"/>
            <charset val="238"/>
          </rPr>
          <t>VLOŽTE JEDNOTKOVOU CENU ZHOTOVITELE ZA POLOŽKU</t>
        </r>
      </text>
    </comment>
    <comment ref="G116" authorId="0" shapeId="0" xr:uid="{189A8C65-E4A6-4DC1-AF9D-B69F074AE06B}">
      <text>
        <r>
          <rPr>
            <b/>
            <sz val="9"/>
            <color indexed="81"/>
            <rFont val="Tahoma"/>
            <family val="2"/>
            <charset val="238"/>
          </rPr>
          <t>VLOŽTE JEDNOTKOVOU CENU ZHOTOVITELE ZA POLOŽKU</t>
        </r>
      </text>
    </comment>
    <comment ref="G118" authorId="0" shapeId="0" xr:uid="{373D29C1-3354-4E2D-8D9B-0D327FC1F31B}">
      <text>
        <r>
          <rPr>
            <b/>
            <sz val="9"/>
            <color indexed="81"/>
            <rFont val="Tahoma"/>
            <family val="2"/>
            <charset val="238"/>
          </rPr>
          <t>VLOŽTE JEDNOTKOVOU CENU ZHOTOVITELE ZA POLOŽKU</t>
        </r>
      </text>
    </comment>
    <comment ref="G120" authorId="0" shapeId="0" xr:uid="{A196AC5D-4CFA-4F3B-B565-A3F90DCFAAD5}">
      <text>
        <r>
          <rPr>
            <b/>
            <sz val="9"/>
            <color indexed="81"/>
            <rFont val="Tahoma"/>
            <family val="2"/>
            <charset val="238"/>
          </rPr>
          <t>VLOŽTE JEDNOTKOVOU CENU ZHOTOVITELE ZA POLOŽKU</t>
        </r>
      </text>
    </comment>
    <comment ref="G123" authorId="0" shapeId="0" xr:uid="{446CA410-7CDE-45C6-AA80-4853588DC50E}">
      <text>
        <r>
          <rPr>
            <b/>
            <sz val="9"/>
            <color indexed="81"/>
            <rFont val="Tahoma"/>
            <family val="2"/>
            <charset val="238"/>
          </rPr>
          <t>VLOŽTE JEDNOTKOVOU CENU ZHOTOVITELE ZA POLOŽKU</t>
        </r>
      </text>
    </comment>
    <comment ref="G126" authorId="0" shapeId="0" xr:uid="{0226136E-3B82-4304-A371-515D5A7F405E}">
      <text>
        <r>
          <rPr>
            <b/>
            <sz val="9"/>
            <color indexed="81"/>
            <rFont val="Tahoma"/>
            <family val="2"/>
            <charset val="238"/>
          </rPr>
          <t>VLOŽTE JEDNOTKOVOU CENU ZHOTOVITELE ZA POLOŽKU</t>
        </r>
      </text>
    </comment>
    <comment ref="G128" authorId="0" shapeId="0" xr:uid="{DB044729-F49E-4673-9AF3-74441A0447DC}">
      <text>
        <r>
          <rPr>
            <b/>
            <sz val="9"/>
            <color indexed="81"/>
            <rFont val="Tahoma"/>
            <family val="2"/>
            <charset val="238"/>
          </rPr>
          <t>VLOŽTE JEDNOTKOVOU CENU ZHOTOVITELE ZA POLOŽKU</t>
        </r>
      </text>
    </comment>
    <comment ref="G130" authorId="0" shapeId="0" xr:uid="{BC43FD4F-D46B-4DA1-8CF1-4D60E663386E}">
      <text>
        <r>
          <rPr>
            <b/>
            <sz val="9"/>
            <color indexed="81"/>
            <rFont val="Tahoma"/>
            <family val="2"/>
            <charset val="238"/>
          </rPr>
          <t>VLOŽTE JEDNOTKOVOU CENU ZHOTOVITELE ZA POLOŽKU</t>
        </r>
      </text>
    </comment>
    <comment ref="G132" authorId="0" shapeId="0" xr:uid="{9D0D325D-BF7B-4150-9D86-73981B96A0FC}">
      <text>
        <r>
          <rPr>
            <b/>
            <sz val="9"/>
            <color indexed="81"/>
            <rFont val="Tahoma"/>
            <family val="2"/>
            <charset val="238"/>
          </rPr>
          <t>VLOŽTE JEDNOTKOVOU CENU ZHOTOVITELE ZA POLOŽKU</t>
        </r>
      </text>
    </comment>
    <comment ref="G135" authorId="0" shapeId="0" xr:uid="{84828EF0-4059-4D3F-B303-A3293EDA59E6}">
      <text>
        <r>
          <rPr>
            <b/>
            <sz val="9"/>
            <color indexed="81"/>
            <rFont val="Tahoma"/>
            <family val="2"/>
            <charset val="238"/>
          </rPr>
          <t>VLOŽTE JEDNOTKOVOU CENU ZHOTOVITELE ZA POLOŽKU</t>
        </r>
      </text>
    </comment>
    <comment ref="G137" authorId="0" shapeId="0" xr:uid="{C41E7B69-CB02-4824-8B19-D26EB51BF916}">
      <text>
        <r>
          <rPr>
            <b/>
            <sz val="9"/>
            <color indexed="81"/>
            <rFont val="Tahoma"/>
            <family val="2"/>
            <charset val="238"/>
          </rPr>
          <t>VLOŽTE JEDNOTKOVOU CENU ZHOTOVITELE ZA POLOŽKU</t>
        </r>
      </text>
    </comment>
    <comment ref="G139" authorId="0" shapeId="0" xr:uid="{DE8CA22F-A82A-437D-9794-A8229AFE043B}">
      <text>
        <r>
          <rPr>
            <b/>
            <sz val="9"/>
            <color indexed="81"/>
            <rFont val="Tahoma"/>
            <family val="2"/>
            <charset val="238"/>
          </rPr>
          <t>VLOŽTE JEDNOTKOVOU CENU ZHOTOVITELE ZA POLOŽKU</t>
        </r>
      </text>
    </comment>
    <comment ref="G141" authorId="0" shapeId="0" xr:uid="{13E02E9A-DA11-4395-B45E-96084492F550}">
      <text>
        <r>
          <rPr>
            <b/>
            <sz val="9"/>
            <color indexed="81"/>
            <rFont val="Tahoma"/>
            <family val="2"/>
            <charset val="238"/>
          </rPr>
          <t>VLOŽTE JEDNOTKOVOU CENU ZHOTOVITELE ZA POLOŽKU</t>
        </r>
      </text>
    </comment>
    <comment ref="G143" authorId="0" shapeId="0" xr:uid="{CB850508-073F-417D-9D77-EA2F4AD7D273}">
      <text>
        <r>
          <rPr>
            <b/>
            <sz val="9"/>
            <color indexed="81"/>
            <rFont val="Tahoma"/>
            <family val="2"/>
            <charset val="238"/>
          </rPr>
          <t>VLOŽTE JEDNOTKOVOU CENU ZHOTOVITELE ZA POLOŽKU</t>
        </r>
      </text>
    </comment>
    <comment ref="G145" authorId="0" shapeId="0" xr:uid="{1B414FF8-3F07-4F7E-899D-BD7CE4B9371A}">
      <text>
        <r>
          <rPr>
            <b/>
            <sz val="9"/>
            <color indexed="81"/>
            <rFont val="Tahoma"/>
            <family val="2"/>
            <charset val="238"/>
          </rPr>
          <t>VLOŽTE JEDNOTKOVOU CENU ZHOTOVITELE ZA POLOŽKU</t>
        </r>
      </text>
    </comment>
    <comment ref="G147" authorId="0" shapeId="0" xr:uid="{A84F85FC-B6AB-4720-B705-4AB89CA70B01}">
      <text>
        <r>
          <rPr>
            <b/>
            <sz val="9"/>
            <color indexed="81"/>
            <rFont val="Tahoma"/>
            <family val="2"/>
            <charset val="238"/>
          </rPr>
          <t>VLOŽTE JEDNOTKOVOU CENU ZHOTOVITELE ZA POLOŽKU</t>
        </r>
      </text>
    </comment>
    <comment ref="G149" authorId="0" shapeId="0" xr:uid="{93FDFE9B-EA26-452C-8404-0CACB318153A}">
      <text>
        <r>
          <rPr>
            <b/>
            <sz val="9"/>
            <color indexed="81"/>
            <rFont val="Tahoma"/>
            <family val="2"/>
            <charset val="238"/>
          </rPr>
          <t>VLOŽTE JEDNOTKOVOU CENU ZHOTOVITELE ZA POLOŽKU</t>
        </r>
      </text>
    </comment>
    <comment ref="G151" authorId="0" shapeId="0" xr:uid="{45B88572-339C-40C0-9463-5D444614BA9C}">
      <text>
        <r>
          <rPr>
            <b/>
            <sz val="9"/>
            <color indexed="81"/>
            <rFont val="Tahoma"/>
            <family val="2"/>
            <charset val="238"/>
          </rPr>
          <t>VLOŽTE JEDNOTKOVOU CENU ZHOTOVITELE ZA POLOŽKU</t>
        </r>
      </text>
    </comment>
    <comment ref="G153" authorId="0" shapeId="0" xr:uid="{4C72B824-D519-4FBC-B5B4-17B3A66E45B8}">
      <text>
        <r>
          <rPr>
            <b/>
            <sz val="9"/>
            <color indexed="81"/>
            <rFont val="Tahoma"/>
            <family val="2"/>
            <charset val="238"/>
          </rPr>
          <t>VLOŽTE JEDNOTKOVOU CENU ZHOTOVITELE ZA POLOŽKU</t>
        </r>
      </text>
    </comment>
    <comment ref="G155" authorId="0" shapeId="0" xr:uid="{3FD17AA8-DF78-4353-8F98-88F82A0CDED7}">
      <text>
        <r>
          <rPr>
            <b/>
            <sz val="9"/>
            <color indexed="81"/>
            <rFont val="Tahoma"/>
            <family val="2"/>
            <charset val="238"/>
          </rPr>
          <t>VLOŽTE JEDNOTKOVOU CENU ZHOTOVITELE ZA POLOŽKU</t>
        </r>
      </text>
    </comment>
    <comment ref="G158" authorId="0" shapeId="0" xr:uid="{05943C3D-21A6-4960-AC7B-45516D7F8D4C}">
      <text>
        <r>
          <rPr>
            <b/>
            <sz val="9"/>
            <color indexed="81"/>
            <rFont val="Tahoma"/>
            <family val="2"/>
            <charset val="238"/>
          </rPr>
          <t>VLOŽTE JEDNOTKOVOU CENU ZHOTOVITELE ZA POLOŽKU</t>
        </r>
      </text>
    </comment>
    <comment ref="G161" authorId="0" shapeId="0" xr:uid="{30CC6203-8DD4-446A-A9EA-EDE0AB13781C}">
      <text>
        <r>
          <rPr>
            <b/>
            <sz val="9"/>
            <color indexed="81"/>
            <rFont val="Tahoma"/>
            <family val="2"/>
            <charset val="238"/>
          </rPr>
          <t>VLOŽTE JEDNOTKOVOU CENU ZHOTOVITELE ZA POLOŽKU</t>
        </r>
      </text>
    </comment>
    <comment ref="G163" authorId="0" shapeId="0" xr:uid="{4BA358B3-D66A-412C-8F8D-DC57520C2F7B}">
      <text>
        <r>
          <rPr>
            <b/>
            <sz val="9"/>
            <color indexed="81"/>
            <rFont val="Tahoma"/>
            <family val="2"/>
            <charset val="238"/>
          </rPr>
          <t>VLOŽTE JEDNOTKOVOU CENU ZHOTOVITELE ZA POLOŽKU</t>
        </r>
      </text>
    </comment>
    <comment ref="G166" authorId="0" shapeId="0" xr:uid="{2C3CB61B-D551-41B3-9369-025B45D3EA2E}">
      <text>
        <r>
          <rPr>
            <b/>
            <sz val="9"/>
            <color indexed="81"/>
            <rFont val="Tahoma"/>
            <family val="2"/>
            <charset val="238"/>
          </rPr>
          <t>VLOŽTE JEDNOTKOVOU CENU ZHOTOVITELE ZA POLOŽKU</t>
        </r>
      </text>
    </comment>
    <comment ref="G169" authorId="0" shapeId="0" xr:uid="{0E32FF4E-7A66-4DEF-9622-D1094127181F}">
      <text>
        <r>
          <rPr>
            <b/>
            <sz val="9"/>
            <color indexed="81"/>
            <rFont val="Tahoma"/>
            <family val="2"/>
            <charset val="238"/>
          </rPr>
          <t>VLOŽTE JEDNOTKOVOU CENU ZHOTOVITELE ZA POLOŽKU</t>
        </r>
      </text>
    </comment>
    <comment ref="G170" authorId="0" shapeId="0" xr:uid="{485470F4-1BBC-4E76-BD22-9D9923B3D11A}">
      <text>
        <r>
          <rPr>
            <b/>
            <sz val="9"/>
            <color indexed="81"/>
            <rFont val="Tahoma"/>
            <family val="2"/>
            <charset val="238"/>
          </rPr>
          <t>VLOŽTE JEDNOTKOVOU CENU ZHOTOVITELE ZA POLOŽKU</t>
        </r>
      </text>
    </comment>
    <comment ref="G172" authorId="0" shapeId="0" xr:uid="{117FCCBA-BC5F-4DD2-B73B-0124822BD38E}">
      <text>
        <r>
          <rPr>
            <b/>
            <sz val="9"/>
            <color indexed="81"/>
            <rFont val="Tahoma"/>
            <family val="2"/>
            <charset val="238"/>
          </rPr>
          <t>VLOŽTE JEDNOTKOVOU CENU ZHOTOVITELE ZA POLOŽKU</t>
        </r>
      </text>
    </comment>
    <comment ref="G174" authorId="0" shapeId="0" xr:uid="{01BF25F6-685E-4DCB-A857-0CEFE653060D}">
      <text>
        <r>
          <rPr>
            <b/>
            <sz val="9"/>
            <color indexed="81"/>
            <rFont val="Tahoma"/>
            <family val="2"/>
            <charset val="238"/>
          </rPr>
          <t>VLOŽTE JEDNOTKOVOU CENU ZHOTOVITELE ZA POLOŽKU</t>
        </r>
      </text>
    </comment>
    <comment ref="G176" authorId="0" shapeId="0" xr:uid="{9A05FC14-E985-4036-8E51-9337683059BF}">
      <text>
        <r>
          <rPr>
            <b/>
            <sz val="9"/>
            <color indexed="81"/>
            <rFont val="Tahoma"/>
            <family val="2"/>
            <charset val="238"/>
          </rPr>
          <t>VLOŽTE JEDNOTKOVOU CENU ZHOTOVITELE ZA POLOŽKU</t>
        </r>
      </text>
    </comment>
    <comment ref="G177" authorId="0" shapeId="0" xr:uid="{DF077B36-BE69-42BB-8A6A-1FD2BD860687}">
      <text>
        <r>
          <rPr>
            <b/>
            <sz val="9"/>
            <color indexed="81"/>
            <rFont val="Tahoma"/>
            <family val="2"/>
            <charset val="238"/>
          </rPr>
          <t>VLOŽTE JEDNOTKOVOU CENU ZHOTOVITELE ZA POLOŽKU</t>
        </r>
      </text>
    </comment>
    <comment ref="G178" authorId="0" shapeId="0" xr:uid="{3AEF60AD-6F8E-4650-8518-0920D9993417}">
      <text>
        <r>
          <rPr>
            <b/>
            <sz val="9"/>
            <color indexed="81"/>
            <rFont val="Tahoma"/>
            <family val="2"/>
            <charset val="238"/>
          </rPr>
          <t>VLOŽTE JEDNOTKOVOU CENU ZHOTOVITELE ZA POLOŽKU</t>
        </r>
      </text>
    </comment>
    <comment ref="G179" authorId="0" shapeId="0" xr:uid="{619FF387-1040-4490-90CB-103EC8211928}">
      <text>
        <r>
          <rPr>
            <b/>
            <sz val="9"/>
            <color indexed="81"/>
            <rFont val="Tahoma"/>
            <family val="2"/>
            <charset val="238"/>
          </rPr>
          <t>VLOŽTE JEDNOTKOVOU CENU ZHOTOVITELE ZA POLOŽKU</t>
        </r>
      </text>
    </comment>
    <comment ref="G181" authorId="0" shapeId="0" xr:uid="{0E99395C-58DE-48BE-919F-D3F72902AF70}">
      <text>
        <r>
          <rPr>
            <b/>
            <sz val="9"/>
            <color indexed="81"/>
            <rFont val="Tahoma"/>
            <family val="2"/>
            <charset val="238"/>
          </rPr>
          <t>VLOŽTE JEDNOTKOVOU CENU ZHOTOVITELE ZA POLOŽKU</t>
        </r>
      </text>
    </comment>
    <comment ref="G184" authorId="0" shapeId="0" xr:uid="{83A05210-DE7C-4632-9B9E-475C7EC8C4EF}">
      <text>
        <r>
          <rPr>
            <b/>
            <sz val="9"/>
            <color indexed="81"/>
            <rFont val="Tahoma"/>
            <family val="2"/>
            <charset val="238"/>
          </rPr>
          <t>VLOŽTE JEDNOTKOVOU CENU ZHOTOVITELE ZA POLOŽKU</t>
        </r>
      </text>
    </comment>
    <comment ref="G186" authorId="0" shapeId="0" xr:uid="{E578334B-1A98-4512-A161-3EF3F586A6B5}">
      <text>
        <r>
          <rPr>
            <b/>
            <sz val="9"/>
            <color indexed="81"/>
            <rFont val="Tahoma"/>
            <family val="2"/>
            <charset val="238"/>
          </rPr>
          <t>VLOŽTE JEDNOTKOVOU CENU ZHOTOVITELE ZA POLOŽKU</t>
        </r>
      </text>
    </comment>
    <comment ref="G188" authorId="0" shapeId="0" xr:uid="{6D109AFD-006A-49B1-AC33-D429752E0C50}">
      <text>
        <r>
          <rPr>
            <b/>
            <sz val="9"/>
            <color indexed="81"/>
            <rFont val="Tahoma"/>
            <family val="2"/>
            <charset val="238"/>
          </rPr>
          <t>VLOŽTE JEDNOTKOVOU CENU ZHOTOVITELE ZA POLOŽKU</t>
        </r>
      </text>
    </comment>
    <comment ref="G190" authorId="0" shapeId="0" xr:uid="{7D81E6FE-8AD9-4609-A60F-4D6B65B9A338}">
      <text>
        <r>
          <rPr>
            <b/>
            <sz val="9"/>
            <color indexed="81"/>
            <rFont val="Tahoma"/>
            <family val="2"/>
            <charset val="238"/>
          </rPr>
          <t>VLOŽTE JEDNOTKOVOU CENU ZHOTOVITELE ZA POLOŽKU</t>
        </r>
      </text>
    </comment>
    <comment ref="G192" authorId="0" shapeId="0" xr:uid="{70A89DE0-8F92-4F87-8F6A-6D7603F54316}">
      <text>
        <r>
          <rPr>
            <b/>
            <sz val="9"/>
            <color indexed="81"/>
            <rFont val="Tahoma"/>
            <family val="2"/>
            <charset val="238"/>
          </rPr>
          <t>VLOŽTE JEDNOTKOVOU CENU ZHOTOVITELE ZA POLOŽKU</t>
        </r>
      </text>
    </comment>
    <comment ref="G194" authorId="0" shapeId="0" xr:uid="{3895B676-10E1-4B67-98C4-B1369CDFAFA1}">
      <text>
        <r>
          <rPr>
            <b/>
            <sz val="9"/>
            <color indexed="81"/>
            <rFont val="Tahoma"/>
            <family val="2"/>
            <charset val="238"/>
          </rPr>
          <t>VLOŽTE JEDNOTKOVOU CENU ZHOTOVITELE ZA POLOŽKU</t>
        </r>
      </text>
    </comment>
    <comment ref="G195" authorId="0" shapeId="0" xr:uid="{17861EA9-39FB-4F8F-B973-E1CE1447A219}">
      <text>
        <r>
          <rPr>
            <b/>
            <sz val="9"/>
            <color indexed="81"/>
            <rFont val="Tahoma"/>
            <family val="2"/>
            <charset val="238"/>
          </rPr>
          <t>VLOŽTE JEDNOTKOVOU CENU ZHOTOVITELE ZA POLOŽKU</t>
        </r>
      </text>
    </comment>
    <comment ref="G196" authorId="0" shapeId="0" xr:uid="{1B831D48-B937-46B3-92D3-5FAE97CB7798}">
      <text>
        <r>
          <rPr>
            <b/>
            <sz val="9"/>
            <color indexed="81"/>
            <rFont val="Tahoma"/>
            <family val="2"/>
            <charset val="238"/>
          </rPr>
          <t>VLOŽTE JEDNOTKOVOU CENU ZHOTOVITELE ZA POLOŽKU</t>
        </r>
      </text>
    </comment>
    <comment ref="G197" authorId="0" shapeId="0" xr:uid="{E637449D-9660-49E8-833A-5A07E46A8436}">
      <text>
        <r>
          <rPr>
            <b/>
            <sz val="9"/>
            <color indexed="81"/>
            <rFont val="Tahoma"/>
            <family val="2"/>
            <charset val="238"/>
          </rPr>
          <t>VLOŽTE JEDNOTKOVOU CENU ZHOTOVITELE ZA POLOŽKU</t>
        </r>
      </text>
    </comment>
    <comment ref="G198" authorId="0" shapeId="0" xr:uid="{44FEA5C4-CD71-4BFA-A456-0256AB4E83F9}">
      <text>
        <r>
          <rPr>
            <b/>
            <sz val="9"/>
            <color indexed="81"/>
            <rFont val="Tahoma"/>
            <family val="2"/>
            <charset val="238"/>
          </rPr>
          <t>VLOŽTE JEDNOTKOVOU CENU ZHOTOVITELE ZA POLOŽKU</t>
        </r>
      </text>
    </comment>
    <comment ref="G199" authorId="0" shapeId="0" xr:uid="{6EDFBDA0-729E-4E34-AD4A-11CB381025E3}">
      <text>
        <r>
          <rPr>
            <b/>
            <sz val="9"/>
            <color indexed="81"/>
            <rFont val="Tahoma"/>
            <family val="2"/>
            <charset val="238"/>
          </rPr>
          <t>VLOŽTE JEDNOTKOVOU CENU ZHOTOVITELE ZA POLOŽKU</t>
        </r>
      </text>
    </comment>
    <comment ref="G200" authorId="0" shapeId="0" xr:uid="{53F8482E-AB1A-4A99-B4AC-47E2DFEAFCB9}">
      <text>
        <r>
          <rPr>
            <b/>
            <sz val="9"/>
            <color indexed="81"/>
            <rFont val="Tahoma"/>
            <family val="2"/>
            <charset val="238"/>
          </rPr>
          <t>VLOŽTE JEDNOTKOVOU CENU ZHOTOVITELE ZA POLOŽKU</t>
        </r>
      </text>
    </comment>
    <comment ref="G201" authorId="0" shapeId="0" xr:uid="{8665558A-F445-46CA-B2C8-F32F5261128C}">
      <text>
        <r>
          <rPr>
            <b/>
            <sz val="9"/>
            <color indexed="81"/>
            <rFont val="Tahoma"/>
            <family val="2"/>
            <charset val="238"/>
          </rPr>
          <t>VLOŽTE JEDNOTKOVOU CENU ZHOTOVITELE ZA POLOŽKU</t>
        </r>
      </text>
    </comment>
    <comment ref="G202" authorId="0" shapeId="0" xr:uid="{BD5F5894-7B0C-4ED4-9A0E-69E93518651F}">
      <text>
        <r>
          <rPr>
            <b/>
            <sz val="9"/>
            <color indexed="81"/>
            <rFont val="Tahoma"/>
            <family val="2"/>
            <charset val="238"/>
          </rPr>
          <t>VLOŽTE JEDNOTKOVOU CENU ZHOTOVITELE ZA POLOŽKU</t>
        </r>
      </text>
    </comment>
    <comment ref="G203" authorId="0" shapeId="0" xr:uid="{92C42542-F3AB-4874-B956-A9F8D128F78E}">
      <text>
        <r>
          <rPr>
            <b/>
            <sz val="9"/>
            <color indexed="81"/>
            <rFont val="Tahoma"/>
            <family val="2"/>
            <charset val="238"/>
          </rPr>
          <t>VLOŽTE JEDNOTKOVOU CENU ZHOTOVITELE ZA POLOŽKU</t>
        </r>
      </text>
    </comment>
    <comment ref="G205" authorId="0" shapeId="0" xr:uid="{6FC6698E-62E3-4A94-B252-8CCECB21F681}">
      <text>
        <r>
          <rPr>
            <b/>
            <sz val="9"/>
            <color indexed="81"/>
            <rFont val="Tahoma"/>
            <family val="2"/>
            <charset val="238"/>
          </rPr>
          <t>VLOŽTE JEDNOTKOVOU CENU ZHOTOVITELE ZA POLOŽKU</t>
        </r>
      </text>
    </comment>
    <comment ref="G207" authorId="0" shapeId="0" xr:uid="{8D8CE1B0-5D2A-4AFD-AD46-3AFCC51DF27B}">
      <text>
        <r>
          <rPr>
            <b/>
            <sz val="9"/>
            <color indexed="81"/>
            <rFont val="Tahoma"/>
            <family val="2"/>
            <charset val="238"/>
          </rPr>
          <t>VLOŽTE JEDNOTKOVOU CENU ZHOTOVITELE ZA POLOŽKU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CCE89C39-FC73-4703-B76A-BC7ED23497A5}">
      <text>
        <r>
          <rPr>
            <b/>
            <sz val="9"/>
            <color indexed="81"/>
            <rFont val="Tahoma"/>
            <family val="2"/>
            <charset val="238"/>
          </rPr>
          <t>VLOŽTE JEDNOTKOVOU CENU ZHOTOVITELE ZA POLOŽKU</t>
        </r>
      </text>
    </comment>
    <comment ref="G16" authorId="0" shapeId="0" xr:uid="{C5ED6225-A2E0-40B5-BA07-CB5DF5AF02AF}">
      <text>
        <r>
          <rPr>
            <b/>
            <sz val="9"/>
            <color indexed="81"/>
            <rFont val="Tahoma"/>
            <family val="2"/>
            <charset val="238"/>
          </rPr>
          <t>VLOŽTE JEDNOTKOVOU CENU ZHOTOVITELE ZA POLOŽKU</t>
        </r>
      </text>
    </comment>
    <comment ref="G18" authorId="0" shapeId="0" xr:uid="{8917A756-63EA-4B16-8A85-63279CABFBFD}">
      <text>
        <r>
          <rPr>
            <b/>
            <sz val="9"/>
            <color indexed="81"/>
            <rFont val="Tahoma"/>
            <family val="2"/>
            <charset val="238"/>
          </rPr>
          <t>VLOŽTE JEDNOTKOVOU CENU ZHOTOVITELE ZA POLOŽKU</t>
        </r>
      </text>
    </comment>
    <comment ref="G20" authorId="0" shapeId="0" xr:uid="{A7A66DF1-1128-4603-A0AC-4B5EF595E072}">
      <text>
        <r>
          <rPr>
            <b/>
            <sz val="9"/>
            <color indexed="81"/>
            <rFont val="Tahoma"/>
            <family val="2"/>
            <charset val="238"/>
          </rPr>
          <t>VLOŽTE JEDNOTKOVOU CENU ZHOTOVITELE ZA POLOŽKU</t>
        </r>
      </text>
    </comment>
    <comment ref="G22" authorId="0" shapeId="0" xr:uid="{8EBD3EAA-0602-4A0D-88CF-3CCD9C7019B8}">
      <text>
        <r>
          <rPr>
            <b/>
            <sz val="9"/>
            <color indexed="81"/>
            <rFont val="Tahoma"/>
            <family val="2"/>
            <charset val="238"/>
          </rPr>
          <t>VLOŽTE JEDNOTKOVOU CENU ZHOTOVITELE ZA POLOŽKU</t>
        </r>
      </text>
    </comment>
    <comment ref="G24" authorId="0" shapeId="0" xr:uid="{C3CDE448-0DC2-439A-B08A-36E8F4AF3C98}">
      <text>
        <r>
          <rPr>
            <b/>
            <sz val="9"/>
            <color indexed="81"/>
            <rFont val="Tahoma"/>
            <family val="2"/>
            <charset val="238"/>
          </rPr>
          <t>VLOŽTE JEDNOTKOVOU CENU ZHOTOVITELE ZA POLOŽKU</t>
        </r>
      </text>
    </comment>
    <comment ref="G26" authorId="0" shapeId="0" xr:uid="{B56911FF-D7C2-4A41-846D-16D9C68FCBA2}">
      <text>
        <r>
          <rPr>
            <b/>
            <sz val="9"/>
            <color indexed="81"/>
            <rFont val="Tahoma"/>
            <family val="2"/>
            <charset val="238"/>
          </rPr>
          <t>VLOŽTE JEDNOTKOVOU CENU ZHOTOVITELE ZA POLOŽKU</t>
        </r>
      </text>
    </comment>
    <comment ref="G28" authorId="0" shapeId="0" xr:uid="{639D003F-1603-43FD-9E3C-8D90BF2050E5}">
      <text>
        <r>
          <rPr>
            <b/>
            <sz val="9"/>
            <color indexed="81"/>
            <rFont val="Tahoma"/>
            <family val="2"/>
            <charset val="238"/>
          </rPr>
          <t>VLOŽTE JEDNOTKOVOU CENU ZHOTOVITELE ZA POLOŽKU</t>
        </r>
      </text>
    </comment>
    <comment ref="G31" authorId="0" shapeId="0" xr:uid="{3553E5DA-F34E-4021-96D0-DF4DDFB17429}">
      <text>
        <r>
          <rPr>
            <b/>
            <sz val="9"/>
            <color indexed="81"/>
            <rFont val="Tahoma"/>
            <family val="2"/>
            <charset val="238"/>
          </rPr>
          <t>VLOŽTE JEDNOTKOVOU CENU ZHOTOVITELE ZA POLOŽKU</t>
        </r>
      </text>
    </comment>
    <comment ref="G34" authorId="0" shapeId="0" xr:uid="{59AB2561-5AA9-473E-9F96-4C89AEB90641}">
      <text>
        <r>
          <rPr>
            <b/>
            <sz val="9"/>
            <color indexed="81"/>
            <rFont val="Tahoma"/>
            <family val="2"/>
            <charset val="238"/>
          </rPr>
          <t>VLOŽTE JEDNOTKOVOU CENU ZHOTOVITELE ZA POLOŽKU</t>
        </r>
      </text>
    </comment>
    <comment ref="G36" authorId="0" shapeId="0" xr:uid="{2B8636C7-8E06-4CB8-9318-F90FB179DE8B}">
      <text>
        <r>
          <rPr>
            <b/>
            <sz val="9"/>
            <color indexed="81"/>
            <rFont val="Tahoma"/>
            <family val="2"/>
            <charset val="238"/>
          </rPr>
          <t>VLOŽTE JEDNOTKOVOU CENU ZHOTOVITELE ZA POLOŽKU</t>
        </r>
      </text>
    </comment>
    <comment ref="G38" authorId="0" shapeId="0" xr:uid="{3490D70B-3526-4273-9A3E-C349A5F7996F}">
      <text>
        <r>
          <rPr>
            <b/>
            <sz val="9"/>
            <color indexed="81"/>
            <rFont val="Tahoma"/>
            <family val="2"/>
            <charset val="238"/>
          </rPr>
          <t>VLOŽTE JEDNOTKOVOU CENU ZHOTOVITELE ZA POLOŽKU</t>
        </r>
      </text>
    </comment>
    <comment ref="G40" authorId="0" shapeId="0" xr:uid="{27EB96F8-B6A9-4A54-B7D9-0354B9649ED9}">
      <text>
        <r>
          <rPr>
            <b/>
            <sz val="9"/>
            <color indexed="81"/>
            <rFont val="Tahoma"/>
            <family val="2"/>
            <charset val="238"/>
          </rPr>
          <t>VLOŽTE JEDNOTKOVOU CENU ZHOTOVITELE ZA POLOŽKU</t>
        </r>
      </text>
    </comment>
    <comment ref="G42" authorId="0" shapeId="0" xr:uid="{19D4E5C1-2FD9-44BC-A8EF-94BCD34B4F11}">
      <text>
        <r>
          <rPr>
            <b/>
            <sz val="9"/>
            <color indexed="81"/>
            <rFont val="Tahoma"/>
            <family val="2"/>
            <charset val="238"/>
          </rPr>
          <t>VLOŽTE JEDNOTKOVOU CENU ZHOTOVITELE ZA POLOŽKU</t>
        </r>
      </text>
    </comment>
    <comment ref="G44" authorId="0" shapeId="0" xr:uid="{2B16260B-A092-472B-A1A2-23D09F06E9FF}">
      <text>
        <r>
          <rPr>
            <b/>
            <sz val="9"/>
            <color indexed="81"/>
            <rFont val="Tahoma"/>
            <family val="2"/>
            <charset val="238"/>
          </rPr>
          <t>VLOŽTE JEDNOTKOVOU CENU ZHOTOVITELE ZA POLOŽKU</t>
        </r>
      </text>
    </comment>
    <comment ref="G46" authorId="0" shapeId="0" xr:uid="{5AAD82C5-440F-4128-A7B4-7A2CE5A2FB22}">
      <text>
        <r>
          <rPr>
            <b/>
            <sz val="9"/>
            <color indexed="81"/>
            <rFont val="Tahoma"/>
            <family val="2"/>
            <charset val="238"/>
          </rPr>
          <t>VLOŽTE JEDNOTKOVOU CENU ZHOTOVITELE ZA POLOŽKU</t>
        </r>
      </text>
    </comment>
    <comment ref="G49" authorId="0" shapeId="0" xr:uid="{142D4B18-A6A1-420F-A248-80EF76CF84E9}">
      <text>
        <r>
          <rPr>
            <b/>
            <sz val="9"/>
            <color indexed="81"/>
            <rFont val="Tahoma"/>
            <family val="2"/>
            <charset val="238"/>
          </rPr>
          <t>VLOŽTE JEDNOTKOVOU CENU ZHOTOVITELE ZA POLOŽKU</t>
        </r>
      </text>
    </comment>
    <comment ref="G51" authorId="0" shapeId="0" xr:uid="{80F31204-58CA-4F25-B9CF-0E2FF9366C7D}">
      <text>
        <r>
          <rPr>
            <b/>
            <sz val="9"/>
            <color indexed="81"/>
            <rFont val="Tahoma"/>
            <family val="2"/>
            <charset val="238"/>
          </rPr>
          <t>VLOŽTE JEDNOTKOVOU CENU ZHOTOVITELE ZA POLOŽKU</t>
        </r>
      </text>
    </comment>
    <comment ref="G54" authorId="0" shapeId="0" xr:uid="{BD25D96B-89F9-43D2-A131-3021132A5BC1}">
      <text>
        <r>
          <rPr>
            <b/>
            <sz val="9"/>
            <color indexed="81"/>
            <rFont val="Tahoma"/>
            <family val="2"/>
            <charset val="238"/>
          </rPr>
          <t>VLOŽTE JEDNOTKOVOU CENU ZHOTOVITELE ZA POLOŽKU</t>
        </r>
      </text>
    </comment>
    <comment ref="G56" authorId="0" shapeId="0" xr:uid="{6E562140-8876-497B-9A49-7563D8D36CD5}">
      <text>
        <r>
          <rPr>
            <b/>
            <sz val="9"/>
            <color indexed="81"/>
            <rFont val="Tahoma"/>
            <family val="2"/>
            <charset val="238"/>
          </rPr>
          <t>VLOŽTE JEDNOTKOVOU CENU ZHOTOVITELE ZA POLOŽKU</t>
        </r>
      </text>
    </comment>
    <comment ref="G58" authorId="0" shapeId="0" xr:uid="{5024DE50-4AE8-497E-AB43-66DFEFE46176}">
      <text>
        <r>
          <rPr>
            <b/>
            <sz val="9"/>
            <color indexed="81"/>
            <rFont val="Tahoma"/>
            <family val="2"/>
            <charset val="238"/>
          </rPr>
          <t>VLOŽTE JEDNOTKOVOU CENU ZHOTOVITELE ZA POLOŽKU</t>
        </r>
      </text>
    </comment>
    <comment ref="G60" authorId="0" shapeId="0" xr:uid="{05D812FF-D190-4731-B4DA-B505624577D5}">
      <text>
        <r>
          <rPr>
            <b/>
            <sz val="9"/>
            <color indexed="81"/>
            <rFont val="Tahoma"/>
            <family val="2"/>
            <charset val="238"/>
          </rPr>
          <t>VLOŽTE JEDNOTKOVOU CENU ZHOTOVITELE ZA POLOŽKU</t>
        </r>
      </text>
    </comment>
    <comment ref="G62" authorId="0" shapeId="0" xr:uid="{A6BEE45B-CD60-444D-951C-B0F673921742}">
      <text>
        <r>
          <rPr>
            <b/>
            <sz val="9"/>
            <color indexed="81"/>
            <rFont val="Tahoma"/>
            <family val="2"/>
            <charset val="238"/>
          </rPr>
          <t>VLOŽTE JEDNOTKOVOU CENU ZHOTOVITELE ZA POLOŽKU</t>
        </r>
      </text>
    </comment>
    <comment ref="G64" authorId="0" shapeId="0" xr:uid="{06D45F7C-A414-4CC8-BFBF-5F6520C71712}">
      <text>
        <r>
          <rPr>
            <b/>
            <sz val="9"/>
            <color indexed="81"/>
            <rFont val="Tahoma"/>
            <family val="2"/>
            <charset val="238"/>
          </rPr>
          <t>VLOŽTE JEDNOTKOVOU CENU ZHOTOVITELE ZA POLOŽKU</t>
        </r>
      </text>
    </comment>
    <comment ref="G66" authorId="0" shapeId="0" xr:uid="{36341B57-19C9-497F-B196-990CB423B680}">
      <text>
        <r>
          <rPr>
            <b/>
            <sz val="9"/>
            <color indexed="81"/>
            <rFont val="Tahoma"/>
            <family val="2"/>
            <charset val="238"/>
          </rPr>
          <t>VLOŽTE JEDNOTKOVOU CENU ZHOTOVITELE ZA POLOŽKU</t>
        </r>
      </text>
    </comment>
    <comment ref="G68" authorId="0" shapeId="0" xr:uid="{E61A9CBD-011D-46B0-A790-AF4AD7631330}">
      <text>
        <r>
          <rPr>
            <b/>
            <sz val="9"/>
            <color indexed="81"/>
            <rFont val="Tahoma"/>
            <family val="2"/>
            <charset val="238"/>
          </rPr>
          <t>VLOŽTE JEDNOTKOVOU CENU ZHOTOVITELE ZA POLOŽKU</t>
        </r>
      </text>
    </comment>
    <comment ref="G71" authorId="0" shapeId="0" xr:uid="{D6CA7311-7AEB-484C-B3C4-F00BF6646E1E}">
      <text>
        <r>
          <rPr>
            <b/>
            <sz val="9"/>
            <color indexed="81"/>
            <rFont val="Tahoma"/>
            <family val="2"/>
            <charset val="238"/>
          </rPr>
          <t>VLOŽTE JEDNOTKOVOU CENU ZHOTOVITELE ZA POLOŽKU</t>
        </r>
      </text>
    </comment>
    <comment ref="G73" authorId="0" shapeId="0" xr:uid="{E8B2A25C-D9D3-4BEE-AFEB-896191C6C294}">
      <text>
        <r>
          <rPr>
            <b/>
            <sz val="9"/>
            <color indexed="81"/>
            <rFont val="Tahoma"/>
            <family val="2"/>
            <charset val="238"/>
          </rPr>
          <t>VLOŽTE JEDNOTKOVOU CENU ZHOTOVITELE ZA POLOŽKU</t>
        </r>
      </text>
    </comment>
    <comment ref="G74" authorId="0" shapeId="0" xr:uid="{43414FEE-58CC-47D5-AF92-B1DE8870A97F}">
      <text>
        <r>
          <rPr>
            <b/>
            <sz val="9"/>
            <color indexed="81"/>
            <rFont val="Tahoma"/>
            <family val="2"/>
            <charset val="238"/>
          </rPr>
          <t>VLOŽTE JEDNOTKOVOU CENU ZHOTOVITELE ZA POLOŽKU</t>
        </r>
      </text>
    </comment>
    <comment ref="G77" authorId="0" shapeId="0" xr:uid="{7DD1EE39-E5BB-41AF-A339-76993158A7AD}">
      <text>
        <r>
          <rPr>
            <b/>
            <sz val="9"/>
            <color indexed="81"/>
            <rFont val="Tahoma"/>
            <family val="2"/>
            <charset val="238"/>
          </rPr>
          <t>VLOŽTE JEDNOTKOVOU CENU ZHOTOVITELE ZA POLOŽKU</t>
        </r>
      </text>
    </comment>
    <comment ref="G79" authorId="0" shapeId="0" xr:uid="{CAAC3BD5-6290-42D5-A9E2-AE80EB1EFA69}">
      <text>
        <r>
          <rPr>
            <b/>
            <sz val="9"/>
            <color indexed="81"/>
            <rFont val="Tahoma"/>
            <family val="2"/>
            <charset val="238"/>
          </rPr>
          <t>VLOŽTE JEDNOTKOVOU CENU ZHOTOVITELE ZA POLOŽKU</t>
        </r>
      </text>
    </comment>
    <comment ref="G82" authorId="0" shapeId="0" xr:uid="{1118ABF9-6873-49EE-93EF-38FDE99B9E5D}">
      <text>
        <r>
          <rPr>
            <b/>
            <sz val="9"/>
            <color indexed="81"/>
            <rFont val="Tahoma"/>
            <family val="2"/>
            <charset val="238"/>
          </rPr>
          <t>VLOŽTE JEDNOTKOVOU CENU ZHOTOVITELE ZA POLOŽKU</t>
        </r>
      </text>
    </comment>
    <comment ref="G84" authorId="0" shapeId="0" xr:uid="{B36A3DEA-1D9C-4C8C-AECC-F2D1CA6AEF73}">
      <text>
        <r>
          <rPr>
            <b/>
            <sz val="9"/>
            <color indexed="81"/>
            <rFont val="Tahoma"/>
            <family val="2"/>
            <charset val="238"/>
          </rPr>
          <t>VLOŽTE JEDNOTKOVOU CENU ZHOTOVITELE ZA POLOŽKU</t>
        </r>
      </text>
    </comment>
    <comment ref="G87" authorId="0" shapeId="0" xr:uid="{676A9E2D-40AD-4EEB-B5C6-3FB4339C0B30}">
      <text>
        <r>
          <rPr>
            <b/>
            <sz val="9"/>
            <color indexed="81"/>
            <rFont val="Tahoma"/>
            <family val="2"/>
            <charset val="238"/>
          </rPr>
          <t>VLOŽTE JEDNOTKOVOU CENU ZHOTOVITELE ZA POLOŽKU</t>
        </r>
      </text>
    </comment>
    <comment ref="G89" authorId="0" shapeId="0" xr:uid="{4A854EC7-6C0A-4FC8-8F6A-AC6538D3818A}">
      <text>
        <r>
          <rPr>
            <b/>
            <sz val="9"/>
            <color indexed="81"/>
            <rFont val="Tahoma"/>
            <family val="2"/>
            <charset val="238"/>
          </rPr>
          <t>VLOŽTE JEDNOTKOVOU CENU ZHOTOVITELE ZA POLOŽKU</t>
        </r>
      </text>
    </comment>
    <comment ref="G92" authorId="0" shapeId="0" xr:uid="{4E1919A1-91BA-4902-95BA-9AE3B76EED32}">
      <text>
        <r>
          <rPr>
            <b/>
            <sz val="9"/>
            <color indexed="81"/>
            <rFont val="Tahoma"/>
            <family val="2"/>
            <charset val="238"/>
          </rPr>
          <t>VLOŽTE JEDNOTKOVOU CENU ZHOTOVITELE ZA POLOŽKU</t>
        </r>
      </text>
    </comment>
    <comment ref="G95" authorId="0" shapeId="0" xr:uid="{0BDF647A-69B8-4055-81F9-FDD314E6EDB9}">
      <text>
        <r>
          <rPr>
            <b/>
            <sz val="9"/>
            <color indexed="81"/>
            <rFont val="Tahoma"/>
            <family val="2"/>
            <charset val="238"/>
          </rPr>
          <t>VLOŽTE JEDNOTKOVOU CENU ZHOTOVITELE ZA POLOŽKU</t>
        </r>
      </text>
    </comment>
    <comment ref="G97" authorId="0" shapeId="0" xr:uid="{4EF18CE2-3AC5-4549-BF70-AB45A35038FC}">
      <text>
        <r>
          <rPr>
            <b/>
            <sz val="9"/>
            <color indexed="81"/>
            <rFont val="Tahoma"/>
            <family val="2"/>
            <charset val="238"/>
          </rPr>
          <t>VLOŽTE JEDNOTKOVOU CENU ZHOTOVITELE ZA POLOŽKU</t>
        </r>
      </text>
    </comment>
    <comment ref="G99" authorId="0" shapeId="0" xr:uid="{9B07294B-653A-42A7-8DEE-1393E609B996}">
      <text>
        <r>
          <rPr>
            <b/>
            <sz val="9"/>
            <color indexed="81"/>
            <rFont val="Tahoma"/>
            <family val="2"/>
            <charset val="238"/>
          </rPr>
          <t>VLOŽTE JEDNOTKOVOU CENU ZHOTOVITELE ZA POLOŽKU</t>
        </r>
      </text>
    </comment>
    <comment ref="G101" authorId="0" shapeId="0" xr:uid="{39D973F8-4433-43E2-93B9-35DB30C8E2BA}">
      <text>
        <r>
          <rPr>
            <b/>
            <sz val="9"/>
            <color indexed="81"/>
            <rFont val="Tahoma"/>
            <family val="2"/>
            <charset val="238"/>
          </rPr>
          <t>VLOŽTE JEDNOTKOVOU CENU ZHOTOVITELE ZA POLOŽKU</t>
        </r>
      </text>
    </comment>
    <comment ref="G103" authorId="0" shapeId="0" xr:uid="{BF9FF272-5DB7-461D-8CEA-15030DBD0AD3}">
      <text>
        <r>
          <rPr>
            <b/>
            <sz val="9"/>
            <color indexed="81"/>
            <rFont val="Tahoma"/>
            <family val="2"/>
            <charset val="238"/>
          </rPr>
          <t>VLOŽTE JEDNOTKOVOU CENU ZHOTOVITELE ZA POLOŽKU</t>
        </r>
      </text>
    </comment>
    <comment ref="G105" authorId="0" shapeId="0" xr:uid="{79FCDB9A-07AC-4349-AD25-0FC8D696AC2B}">
      <text>
        <r>
          <rPr>
            <b/>
            <sz val="9"/>
            <color indexed="81"/>
            <rFont val="Tahoma"/>
            <family val="2"/>
            <charset val="238"/>
          </rPr>
          <t>VLOŽTE JEDNOTKOVOU CENU ZHOTOVITELE ZA POLOŽKU</t>
        </r>
      </text>
    </comment>
    <comment ref="G107" authorId="0" shapeId="0" xr:uid="{1418F399-952E-4529-AD82-7B32F49F9F4A}">
      <text>
        <r>
          <rPr>
            <b/>
            <sz val="9"/>
            <color indexed="81"/>
            <rFont val="Tahoma"/>
            <family val="2"/>
            <charset val="238"/>
          </rPr>
          <t>VLOŽTE JEDNOTKOVOU CENU ZHOTOVITELE ZA POLOŽKU</t>
        </r>
      </text>
    </comment>
    <comment ref="G109" authorId="0" shapeId="0" xr:uid="{12E676CB-5E46-45BF-AE2E-B3BE8D2F45BB}">
      <text>
        <r>
          <rPr>
            <b/>
            <sz val="9"/>
            <color indexed="81"/>
            <rFont val="Tahoma"/>
            <family val="2"/>
            <charset val="238"/>
          </rPr>
          <t>VLOŽTE JEDNOTKOVOU CENU ZHOTOVITELE ZA POLOŽKU</t>
        </r>
      </text>
    </comment>
    <comment ref="G111" authorId="0" shapeId="0" xr:uid="{CE2F26BE-00BC-4347-949A-3F6462A4EE99}">
      <text>
        <r>
          <rPr>
            <b/>
            <sz val="9"/>
            <color indexed="81"/>
            <rFont val="Tahoma"/>
            <family val="2"/>
            <charset val="238"/>
          </rPr>
          <t>VLOŽTE JEDNOTKOVOU CENU ZHOTOVITELE ZA POLOŽKU</t>
        </r>
      </text>
    </comment>
    <comment ref="G113" authorId="0" shapeId="0" xr:uid="{EF5626E7-90C1-4DCC-A76E-29B678830171}">
      <text>
        <r>
          <rPr>
            <b/>
            <sz val="9"/>
            <color indexed="81"/>
            <rFont val="Tahoma"/>
            <family val="2"/>
            <charset val="238"/>
          </rPr>
          <t>VLOŽTE JEDNOTKOVOU CENU ZHOTOVITELE ZA POLOŽKU</t>
        </r>
      </text>
    </comment>
    <comment ref="G115" authorId="0" shapeId="0" xr:uid="{71E10D90-B63C-426B-A0C4-B73F9E667314}">
      <text>
        <r>
          <rPr>
            <b/>
            <sz val="9"/>
            <color indexed="81"/>
            <rFont val="Tahoma"/>
            <family val="2"/>
            <charset val="238"/>
          </rPr>
          <t>VLOŽTE JEDNOTKOVOU CENU ZHOTOVITELE ZA POLOŽKU</t>
        </r>
      </text>
    </comment>
    <comment ref="G118" authorId="0" shapeId="0" xr:uid="{D718A0D1-87C3-4860-B195-25899FBF2EFA}">
      <text>
        <r>
          <rPr>
            <b/>
            <sz val="9"/>
            <color indexed="81"/>
            <rFont val="Tahoma"/>
            <family val="2"/>
            <charset val="238"/>
          </rPr>
          <t>VLOŽTE JEDNOTKOVOU CENU ZHOTOVITELE ZA POLOŽKU</t>
        </r>
      </text>
    </comment>
    <comment ref="G120" authorId="0" shapeId="0" xr:uid="{5A86D04B-EDA4-4B38-BE9A-EF4A231A2A9C}">
      <text>
        <r>
          <rPr>
            <b/>
            <sz val="9"/>
            <color indexed="81"/>
            <rFont val="Tahoma"/>
            <family val="2"/>
            <charset val="238"/>
          </rPr>
          <t>VLOŽTE JEDNOTKOVOU CENU ZHOTOVITELE ZA POLOŽKU</t>
        </r>
      </text>
    </comment>
    <comment ref="G123" authorId="0" shapeId="0" xr:uid="{87FCD789-F793-4698-8877-2DCC8291649C}">
      <text>
        <r>
          <rPr>
            <b/>
            <sz val="9"/>
            <color indexed="81"/>
            <rFont val="Tahoma"/>
            <family val="2"/>
            <charset val="238"/>
          </rPr>
          <t>VLOŽTE JEDNOTKOVOU CENU ZHOTOVITELE ZA POLOŽKU</t>
        </r>
      </text>
    </comment>
    <comment ref="G126" authorId="0" shapeId="0" xr:uid="{7439D0E7-0A51-492C-838A-C1CC6760CBB8}">
      <text>
        <r>
          <rPr>
            <b/>
            <sz val="9"/>
            <color indexed="81"/>
            <rFont val="Tahoma"/>
            <family val="2"/>
            <charset val="238"/>
          </rPr>
          <t>VLOŽTE JEDNOTKOVOU CENU ZHOTOVITELE ZA POLOŽKU</t>
        </r>
      </text>
    </comment>
    <comment ref="G128" authorId="0" shapeId="0" xr:uid="{92AC6FA3-3E80-4EA9-9254-8C4EABB6278D}">
      <text>
        <r>
          <rPr>
            <b/>
            <sz val="9"/>
            <color indexed="81"/>
            <rFont val="Tahoma"/>
            <family val="2"/>
            <charset val="238"/>
          </rPr>
          <t>VLOŽTE JEDNOTKOVOU CENU ZHOTOVITELE ZA POLOŽKU</t>
        </r>
      </text>
    </comment>
    <comment ref="G131" authorId="0" shapeId="0" xr:uid="{DA726AF8-EFB6-44B7-A41D-B6206E72695C}">
      <text>
        <r>
          <rPr>
            <b/>
            <sz val="9"/>
            <color indexed="81"/>
            <rFont val="Tahoma"/>
            <family val="2"/>
            <charset val="238"/>
          </rPr>
          <t>VLOŽTE JEDNOTKOVOU CENU ZHOTOVITELE ZA POLOŽKU</t>
        </r>
      </text>
    </comment>
    <comment ref="G133" authorId="0" shapeId="0" xr:uid="{6E5C157E-01BD-4617-9EBA-B7D86B93793F}">
      <text>
        <r>
          <rPr>
            <b/>
            <sz val="9"/>
            <color indexed="81"/>
            <rFont val="Tahoma"/>
            <family val="2"/>
            <charset val="238"/>
          </rPr>
          <t>VLOŽTE JEDNOTKOVOU CENU ZHOTOVITELE ZA POLOŽKU</t>
        </r>
      </text>
    </comment>
    <comment ref="G135" authorId="0" shapeId="0" xr:uid="{159535F5-2E86-4EB0-9187-D619E3A37EEF}">
      <text>
        <r>
          <rPr>
            <b/>
            <sz val="9"/>
            <color indexed="81"/>
            <rFont val="Tahoma"/>
            <family val="2"/>
            <charset val="238"/>
          </rPr>
          <t>VLOŽTE JEDNOTKOVOU CENU ZHOTOVITELE ZA POLOŽKU</t>
        </r>
      </text>
    </comment>
    <comment ref="G137" authorId="0" shapeId="0" xr:uid="{CB78A067-DCFC-4B3E-A87B-72E99D124C20}">
      <text>
        <r>
          <rPr>
            <b/>
            <sz val="9"/>
            <color indexed="81"/>
            <rFont val="Tahoma"/>
            <family val="2"/>
            <charset val="238"/>
          </rPr>
          <t>VLOŽTE JEDNOTKOVOU CENU ZHOTOVITELE ZA POLOŽKU</t>
        </r>
      </text>
    </comment>
    <comment ref="G139" authorId="0" shapeId="0" xr:uid="{45DC460B-2449-49FB-A780-1075EA4940B3}">
      <text>
        <r>
          <rPr>
            <b/>
            <sz val="9"/>
            <color indexed="81"/>
            <rFont val="Tahoma"/>
            <family val="2"/>
            <charset val="238"/>
          </rPr>
          <t>VLOŽTE JEDNOTKOVOU CENU ZHOTOVITELE ZA POLOŽKU</t>
        </r>
      </text>
    </comment>
    <comment ref="G141" authorId="0" shapeId="0" xr:uid="{34347FA3-421A-4F31-AA9E-0C269CA839A8}">
      <text>
        <r>
          <rPr>
            <b/>
            <sz val="9"/>
            <color indexed="81"/>
            <rFont val="Tahoma"/>
            <family val="2"/>
            <charset val="238"/>
          </rPr>
          <t>VLOŽTE JEDNOTKOVOU CENU ZHOTOVITELE ZA POLOŽKU</t>
        </r>
      </text>
    </comment>
    <comment ref="G143" authorId="0" shapeId="0" xr:uid="{1AE1D075-32AA-4D9B-8524-571D607BE84D}">
      <text>
        <r>
          <rPr>
            <b/>
            <sz val="9"/>
            <color indexed="81"/>
            <rFont val="Tahoma"/>
            <family val="2"/>
            <charset val="238"/>
          </rPr>
          <t>VLOŽTE JEDNOTKOVOU CENU ZHOTOVITELE ZA POLOŽKU</t>
        </r>
      </text>
    </comment>
    <comment ref="G145" authorId="0" shapeId="0" xr:uid="{908B9B3E-28EB-46A8-9927-499F107EE474}">
      <text>
        <r>
          <rPr>
            <b/>
            <sz val="9"/>
            <color indexed="81"/>
            <rFont val="Tahoma"/>
            <family val="2"/>
            <charset val="238"/>
          </rPr>
          <t>VLOŽTE JEDNOTKOVOU CENU ZHOTOVITELE ZA POLOŽKU</t>
        </r>
      </text>
    </comment>
    <comment ref="G147" authorId="0" shapeId="0" xr:uid="{B32EDEA2-CD91-4106-800C-72C78E0ADE8F}">
      <text>
        <r>
          <rPr>
            <b/>
            <sz val="9"/>
            <color indexed="81"/>
            <rFont val="Tahoma"/>
            <family val="2"/>
            <charset val="238"/>
          </rPr>
          <t>VLOŽTE JEDNOTKOVOU CENU ZHOTOVITELE ZA POLOŽKU</t>
        </r>
      </text>
    </comment>
    <comment ref="G150" authorId="0" shapeId="0" xr:uid="{C99C2400-ADF8-4158-9148-D645EF6C24A3}">
      <text>
        <r>
          <rPr>
            <b/>
            <sz val="9"/>
            <color indexed="81"/>
            <rFont val="Tahoma"/>
            <family val="2"/>
            <charset val="238"/>
          </rPr>
          <t>VLOŽTE JEDNOTKOVOU CENU ZHOTOVITELE ZA POLOŽKU</t>
        </r>
      </text>
    </comment>
    <comment ref="G153" authorId="0" shapeId="0" xr:uid="{AE092700-9F0B-417E-83CC-29903374387C}">
      <text>
        <r>
          <rPr>
            <b/>
            <sz val="9"/>
            <color indexed="81"/>
            <rFont val="Tahoma"/>
            <family val="2"/>
            <charset val="238"/>
          </rPr>
          <t>VLOŽTE JEDNOTKOVOU CENU ZHOTOVITELE ZA POLOŽKU</t>
        </r>
      </text>
    </comment>
    <comment ref="G154" authorId="0" shapeId="0" xr:uid="{1543089D-43F8-4856-8D03-84A0A20C31EC}">
      <text>
        <r>
          <rPr>
            <b/>
            <sz val="9"/>
            <color indexed="81"/>
            <rFont val="Tahoma"/>
            <family val="2"/>
            <charset val="238"/>
          </rPr>
          <t>VLOŽTE JEDNOTKOVOU CENU ZHOTOVITELE ZA POLOŽKU</t>
        </r>
      </text>
    </comment>
    <comment ref="G156" authorId="0" shapeId="0" xr:uid="{01821B65-ADF1-499E-9DDB-6C9915BE78EC}">
      <text>
        <r>
          <rPr>
            <b/>
            <sz val="9"/>
            <color indexed="81"/>
            <rFont val="Tahoma"/>
            <family val="2"/>
            <charset val="238"/>
          </rPr>
          <t>VLOŽTE JEDNOTKOVOU CENU ZHOTOVITELE ZA POLOŽKU</t>
        </r>
      </text>
    </comment>
    <comment ref="G158" authorId="0" shapeId="0" xr:uid="{BEB991D2-4C69-418F-A62A-A07D199A500F}">
      <text>
        <r>
          <rPr>
            <b/>
            <sz val="9"/>
            <color indexed="81"/>
            <rFont val="Tahoma"/>
            <family val="2"/>
            <charset val="238"/>
          </rPr>
          <t>VLOŽTE JEDNOTKOVOU CENU ZHOTOVITELE ZA POLOŽKU</t>
        </r>
      </text>
    </comment>
    <comment ref="G160" authorId="0" shapeId="0" xr:uid="{523C8C3C-96C7-4592-A6E1-5D6FB9950EC1}">
      <text>
        <r>
          <rPr>
            <b/>
            <sz val="9"/>
            <color indexed="81"/>
            <rFont val="Tahoma"/>
            <family val="2"/>
            <charset val="238"/>
          </rPr>
          <t>VLOŽTE JEDNOTKOVOU CENU ZHOTOVITELE ZA POLOŽKU</t>
        </r>
      </text>
    </comment>
    <comment ref="G161" authorId="0" shapeId="0" xr:uid="{345C2781-2F4E-49B3-BFEC-EF94FFD03F61}">
      <text>
        <r>
          <rPr>
            <b/>
            <sz val="9"/>
            <color indexed="81"/>
            <rFont val="Tahoma"/>
            <family val="2"/>
            <charset val="238"/>
          </rPr>
          <t>VLOŽTE JEDNOTKOVOU CENU ZHOTOVITELE ZA POLOŽKU</t>
        </r>
      </text>
    </comment>
    <comment ref="G163" authorId="0" shapeId="0" xr:uid="{BAEF0FEF-FB15-4527-B334-DD43299A5D2B}">
      <text>
        <r>
          <rPr>
            <b/>
            <sz val="9"/>
            <color indexed="81"/>
            <rFont val="Tahoma"/>
            <family val="2"/>
            <charset val="238"/>
          </rPr>
          <t>VLOŽTE JEDNOTKOVOU CENU ZHOTOVITELE ZA POLOŽKU</t>
        </r>
      </text>
    </comment>
    <comment ref="G165" authorId="0" shapeId="0" xr:uid="{E1A8B34D-9AA6-4EA3-A019-E017DA757502}">
      <text>
        <r>
          <rPr>
            <b/>
            <sz val="9"/>
            <color indexed="81"/>
            <rFont val="Tahoma"/>
            <family val="2"/>
            <charset val="238"/>
          </rPr>
          <t>VLOŽTE JEDNOTKOVOU CENU ZHOTOVITELE ZA POLOŽKU</t>
        </r>
      </text>
    </comment>
    <comment ref="G167" authorId="0" shapeId="0" xr:uid="{F43E19F4-892D-4713-AB7B-1BA334649809}">
      <text>
        <r>
          <rPr>
            <b/>
            <sz val="9"/>
            <color indexed="81"/>
            <rFont val="Tahoma"/>
            <family val="2"/>
            <charset val="238"/>
          </rPr>
          <t>VLOŽTE JEDNOTKOVOU CENU ZHOTOVITELE ZA POLOŽKU</t>
        </r>
      </text>
    </comment>
    <comment ref="G170" authorId="0" shapeId="0" xr:uid="{F0B061BF-58F1-4A13-B904-47AD124B1DE1}">
      <text>
        <r>
          <rPr>
            <b/>
            <sz val="9"/>
            <color indexed="81"/>
            <rFont val="Tahoma"/>
            <family val="2"/>
            <charset val="238"/>
          </rPr>
          <t>VLOŽTE JEDNOTKOVOU CENU ZHOTOVITELE ZA POLOŽKU</t>
        </r>
      </text>
    </comment>
    <comment ref="G173" authorId="0" shapeId="0" xr:uid="{9D43EFC0-94EE-4F55-98C4-C81E14EAD362}">
      <text>
        <r>
          <rPr>
            <b/>
            <sz val="9"/>
            <color indexed="81"/>
            <rFont val="Tahoma"/>
            <family val="2"/>
            <charset val="238"/>
          </rPr>
          <t>VLOŽTE JEDNOTKOVOU CENU ZHOTOVITELE ZA POLOŽKU</t>
        </r>
      </text>
    </comment>
    <comment ref="G175" authorId="0" shapeId="0" xr:uid="{4EBF82F7-A4BB-4447-A597-CA4943FD57B5}">
      <text>
        <r>
          <rPr>
            <b/>
            <sz val="9"/>
            <color indexed="81"/>
            <rFont val="Tahoma"/>
            <family val="2"/>
            <charset val="238"/>
          </rPr>
          <t>VLOŽTE JEDNOTKOVOU CENU ZHOTOVITELE ZA POLOŽKU</t>
        </r>
      </text>
    </comment>
    <comment ref="G177" authorId="0" shapeId="0" xr:uid="{FE7383C9-63C5-406A-8AA9-DC58BCDB02E9}">
      <text>
        <r>
          <rPr>
            <b/>
            <sz val="9"/>
            <color indexed="81"/>
            <rFont val="Tahoma"/>
            <family val="2"/>
            <charset val="238"/>
          </rPr>
          <t>VLOŽTE JEDNOTKOVOU CENU ZHOTOVITELE ZA POLOŽKU</t>
        </r>
      </text>
    </comment>
    <comment ref="G179" authorId="0" shapeId="0" xr:uid="{98259281-75BB-4337-9FA6-70BFFE7498A2}">
      <text>
        <r>
          <rPr>
            <b/>
            <sz val="9"/>
            <color indexed="81"/>
            <rFont val="Tahoma"/>
            <family val="2"/>
            <charset val="238"/>
          </rPr>
          <t>VLOŽTE JEDNOTKOVOU CENU ZHOTOVITELE ZA POLOŽKU</t>
        </r>
      </text>
    </comment>
    <comment ref="G180" authorId="0" shapeId="0" xr:uid="{FE46CA9A-C6FC-4E53-A37C-38D1D24193E7}">
      <text>
        <r>
          <rPr>
            <b/>
            <sz val="9"/>
            <color indexed="81"/>
            <rFont val="Tahoma"/>
            <family val="2"/>
            <charset val="238"/>
          </rPr>
          <t>VLOŽTE JEDNOTKOVOU CENU ZHOTOVITELE ZA POLOŽKU</t>
        </r>
      </text>
    </comment>
    <comment ref="G181" authorId="0" shapeId="0" xr:uid="{F50118DE-9C59-4D75-A3AE-0500D8919903}">
      <text>
        <r>
          <rPr>
            <b/>
            <sz val="9"/>
            <color indexed="81"/>
            <rFont val="Tahoma"/>
            <family val="2"/>
            <charset val="238"/>
          </rPr>
          <t>VLOŽTE JEDNOTKOVOU CENU ZHOTOVITELE ZA POLOŽKU</t>
        </r>
      </text>
    </comment>
    <comment ref="G182" authorId="0" shapeId="0" xr:uid="{4878E1C4-D0E7-4892-95D0-9F1C02BE1035}">
      <text>
        <r>
          <rPr>
            <b/>
            <sz val="9"/>
            <color indexed="81"/>
            <rFont val="Tahoma"/>
            <family val="2"/>
            <charset val="238"/>
          </rPr>
          <t>VLOŽTE JEDNOTKOVOU CENU ZHOTOVITELE ZA POLOŽKU</t>
        </r>
      </text>
    </comment>
    <comment ref="G183" authorId="0" shapeId="0" xr:uid="{3114A95A-377D-4D94-AEA4-EF84C811A5E1}">
      <text>
        <r>
          <rPr>
            <b/>
            <sz val="9"/>
            <color indexed="81"/>
            <rFont val="Tahoma"/>
            <family val="2"/>
            <charset val="238"/>
          </rPr>
          <t>VLOŽTE JEDNOTKOVOU CENU ZHOTOVITELE ZA POLOŽKU</t>
        </r>
      </text>
    </comment>
    <comment ref="G184" authorId="0" shapeId="0" xr:uid="{954BC316-852C-4F03-91BB-3F5B29906E11}">
      <text>
        <r>
          <rPr>
            <b/>
            <sz val="9"/>
            <color indexed="81"/>
            <rFont val="Tahoma"/>
            <family val="2"/>
            <charset val="238"/>
          </rPr>
          <t>VLOŽTE JEDNOTKOVOU CENU ZHOTOVITELE ZA POLOŽKU</t>
        </r>
      </text>
    </comment>
    <comment ref="G185" authorId="0" shapeId="0" xr:uid="{7A44EBBA-E201-4B40-A5B4-4402D6E18AA3}">
      <text>
        <r>
          <rPr>
            <b/>
            <sz val="9"/>
            <color indexed="81"/>
            <rFont val="Tahoma"/>
            <family val="2"/>
            <charset val="238"/>
          </rPr>
          <t>VLOŽTE JEDNOTKOVOU CENU ZHOTOVITELE ZA POLOŽKU</t>
        </r>
      </text>
    </comment>
    <comment ref="G186" authorId="0" shapeId="0" xr:uid="{53A5AF2F-C7FF-4C51-8FB0-5093CC21F388}">
      <text>
        <r>
          <rPr>
            <b/>
            <sz val="9"/>
            <color indexed="81"/>
            <rFont val="Tahoma"/>
            <family val="2"/>
            <charset val="238"/>
          </rPr>
          <t>VLOŽTE JEDNOTKOVOU CENU ZHOTOVITELE ZA POLOŽKU</t>
        </r>
      </text>
    </comment>
    <comment ref="G187" authorId="0" shapeId="0" xr:uid="{A0A1B033-80E9-4037-91C0-13FC661B4BBF}">
      <text>
        <r>
          <rPr>
            <b/>
            <sz val="9"/>
            <color indexed="81"/>
            <rFont val="Tahoma"/>
            <family val="2"/>
            <charset val="238"/>
          </rPr>
          <t>VLOŽTE JEDNOTKOVOU CENU ZHOTOVITELE ZA POLOŽKU</t>
        </r>
      </text>
    </comment>
    <comment ref="G188" authorId="0" shapeId="0" xr:uid="{6FDCC257-6FDD-409C-A577-3E7C6107883D}">
      <text>
        <r>
          <rPr>
            <b/>
            <sz val="9"/>
            <color indexed="81"/>
            <rFont val="Tahoma"/>
            <family val="2"/>
            <charset val="238"/>
          </rPr>
          <t>VLOŽTE JEDNOTKOVOU CENU ZHOTOVITELE ZA POLOŽKU</t>
        </r>
      </text>
    </comment>
    <comment ref="G189" authorId="0" shapeId="0" xr:uid="{825BD659-E395-418A-A7D6-87CC745A51C2}">
      <text>
        <r>
          <rPr>
            <b/>
            <sz val="9"/>
            <color indexed="81"/>
            <rFont val="Tahoma"/>
            <family val="2"/>
            <charset val="238"/>
          </rPr>
          <t>VLOŽTE JEDNOTKOVOU CENU ZHOTOVITELE ZA POLOŽKU</t>
        </r>
      </text>
    </comment>
    <comment ref="G191" authorId="0" shapeId="0" xr:uid="{554071A9-ED9C-4AF6-815C-F4152F606B7B}">
      <text>
        <r>
          <rPr>
            <b/>
            <sz val="9"/>
            <color indexed="81"/>
            <rFont val="Tahoma"/>
            <family val="2"/>
            <charset val="238"/>
          </rPr>
          <t>VLOŽTE JEDNOTKOVOU CENU ZHOTOVITELE ZA POLOŽKU</t>
        </r>
      </text>
    </comment>
    <comment ref="G192" authorId="0" shapeId="0" xr:uid="{BA2B9855-E9EC-492C-AD22-568B2B808D7A}">
      <text>
        <r>
          <rPr>
            <b/>
            <sz val="9"/>
            <color indexed="81"/>
            <rFont val="Tahoma"/>
            <family val="2"/>
            <charset val="238"/>
          </rPr>
          <t>VLOŽTE JEDNOTKOVOU CENU ZHOTOVITELE ZA POLOŽKU</t>
        </r>
      </text>
    </comment>
    <comment ref="G193" authorId="0" shapeId="0" xr:uid="{B5F1681F-841A-4818-93FD-AF4972E7468B}">
      <text>
        <r>
          <rPr>
            <b/>
            <sz val="9"/>
            <color indexed="81"/>
            <rFont val="Tahoma"/>
            <family val="2"/>
            <charset val="238"/>
          </rPr>
          <t>VLOŽTE JEDNOTKOVOU CENU ZHOTOVITELE ZA POLOŽKU</t>
        </r>
      </text>
    </comment>
    <comment ref="G194" authorId="0" shapeId="0" xr:uid="{5E9BB515-D2CC-44D9-ADD5-08E99F1ECD5E}">
      <text>
        <r>
          <rPr>
            <b/>
            <sz val="9"/>
            <color indexed="81"/>
            <rFont val="Tahoma"/>
            <family val="2"/>
            <charset val="238"/>
          </rPr>
          <t>VLOŽTE JEDNOTKOVOU CENU ZHOTOVITELE ZA POLOŽKU</t>
        </r>
      </text>
    </comment>
    <comment ref="G196" authorId="0" shapeId="0" xr:uid="{25226E83-0E2A-4E71-8F9A-838C3CBEC528}">
      <text>
        <r>
          <rPr>
            <b/>
            <sz val="9"/>
            <color indexed="81"/>
            <rFont val="Tahoma"/>
            <family val="2"/>
            <charset val="238"/>
          </rPr>
          <t>VLOŽTE JEDNOTKOVOU CENU ZHOTOVITELE ZA POLOŽKU</t>
        </r>
      </text>
    </comment>
    <comment ref="G198" authorId="0" shapeId="0" xr:uid="{A80DF3CC-0E35-48F8-8E97-6A71EF28DC5B}">
      <text>
        <r>
          <rPr>
            <b/>
            <sz val="9"/>
            <color indexed="81"/>
            <rFont val="Tahoma"/>
            <family val="2"/>
            <charset val="238"/>
          </rPr>
          <t>VLOŽTE JEDNOTKOVOU CENU ZHOTOVITELE ZA POLOŽKU</t>
        </r>
      </text>
    </comment>
    <comment ref="G200" authorId="0" shapeId="0" xr:uid="{B24B7493-7891-482F-B88F-CA2704F9B62C}">
      <text>
        <r>
          <rPr>
            <b/>
            <sz val="9"/>
            <color indexed="81"/>
            <rFont val="Tahoma"/>
            <family val="2"/>
            <charset val="238"/>
          </rPr>
          <t>VLOŽTE JEDNOTKOVOU CENU ZHOTOVITELE ZA POLOŽKU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AF2672BA-9F8D-4588-BE70-7315A0D28F0D}">
      <text>
        <r>
          <rPr>
            <b/>
            <sz val="9"/>
            <color indexed="81"/>
            <rFont val="Tahoma"/>
            <family val="2"/>
            <charset val="238"/>
          </rPr>
          <t>VLOŽTE JEDNOTKOVOU CENU ZHOTOVITELE ZA POLOŽKU</t>
        </r>
      </text>
    </comment>
    <comment ref="G15" authorId="0" shapeId="0" xr:uid="{DA83A5A8-6878-4CE4-9478-9A21D3E476D3}">
      <text>
        <r>
          <rPr>
            <b/>
            <sz val="9"/>
            <color indexed="81"/>
            <rFont val="Tahoma"/>
            <family val="2"/>
            <charset val="238"/>
          </rPr>
          <t>VLOŽTE JEDNOTKOVOU CENU ZHOTOVITELE ZA POLOŽKU</t>
        </r>
      </text>
    </comment>
    <comment ref="G17" authorId="0" shapeId="0" xr:uid="{8E4B2B21-D2CF-42D4-8329-EEB6B7699827}">
      <text>
        <r>
          <rPr>
            <b/>
            <sz val="9"/>
            <color indexed="81"/>
            <rFont val="Tahoma"/>
            <family val="2"/>
            <charset val="238"/>
          </rPr>
          <t>VLOŽTE JEDNOTKOVOU CENU ZHOTOVITELE ZA POLOŽKU</t>
        </r>
      </text>
    </comment>
    <comment ref="G19" authorId="0" shapeId="0" xr:uid="{54D0595A-5A4F-444F-B1A1-D594AE280389}">
      <text>
        <r>
          <rPr>
            <b/>
            <sz val="9"/>
            <color indexed="81"/>
            <rFont val="Tahoma"/>
            <family val="2"/>
            <charset val="238"/>
          </rPr>
          <t>VLOŽTE JEDNOTKOVOU CENU ZHOTOVITELE ZA POLOŽKU</t>
        </r>
      </text>
    </comment>
    <comment ref="G22" authorId="0" shapeId="0" xr:uid="{5CD4B938-AA3D-4F47-99B6-84A0146DE09C}">
      <text>
        <r>
          <rPr>
            <b/>
            <sz val="9"/>
            <color indexed="81"/>
            <rFont val="Tahoma"/>
            <family val="2"/>
            <charset val="238"/>
          </rPr>
          <t>VLOŽTE JEDNOTKOVOU CENU ZHOTOVITELE ZA POLOŽKU</t>
        </r>
      </text>
    </comment>
    <comment ref="G24" authorId="0" shapeId="0" xr:uid="{EB5FFC25-290F-408E-B380-AA4A32CCC6D1}">
      <text>
        <r>
          <rPr>
            <b/>
            <sz val="9"/>
            <color indexed="81"/>
            <rFont val="Tahoma"/>
            <family val="2"/>
            <charset val="238"/>
          </rPr>
          <t>VLOŽTE JEDNOTKOVOU CENU ZHOTOVITELE ZA POLOŽKU</t>
        </r>
      </text>
    </comment>
    <comment ref="G27" authorId="0" shapeId="0" xr:uid="{46ED5924-4560-43BE-A2CE-76A3C90ACEE0}">
      <text>
        <r>
          <rPr>
            <b/>
            <sz val="9"/>
            <color indexed="81"/>
            <rFont val="Tahoma"/>
            <family val="2"/>
            <charset val="238"/>
          </rPr>
          <t>VLOŽTE JEDNOTKOVOU CENU ZHOTOVITELE ZA POLOŽKU</t>
        </r>
      </text>
    </comment>
    <comment ref="G29" authorId="0" shapeId="0" xr:uid="{63B6CE0F-15E5-4F36-BAE9-2058517F5E07}">
      <text>
        <r>
          <rPr>
            <b/>
            <sz val="9"/>
            <color indexed="81"/>
            <rFont val="Tahoma"/>
            <family val="2"/>
            <charset val="238"/>
          </rPr>
          <t>VLOŽTE JEDNOTKOVOU CENU ZHOTOVITELE ZA POLOŽKU</t>
        </r>
      </text>
    </comment>
    <comment ref="G31" authorId="0" shapeId="0" xr:uid="{50DBF2C6-F001-4E10-A89C-9599CCB599A3}">
      <text>
        <r>
          <rPr>
            <b/>
            <sz val="9"/>
            <color indexed="81"/>
            <rFont val="Tahoma"/>
            <family val="2"/>
            <charset val="238"/>
          </rPr>
          <t>VLOŽTE JEDNOTKOVOU CENU ZHOTOVITELE ZA POLOŽKU</t>
        </r>
      </text>
    </comment>
    <comment ref="G33" authorId="0" shapeId="0" xr:uid="{81EDAE89-AC03-4548-84BA-DB827BD302CD}">
      <text>
        <r>
          <rPr>
            <b/>
            <sz val="9"/>
            <color indexed="81"/>
            <rFont val="Tahoma"/>
            <family val="2"/>
            <charset val="238"/>
          </rPr>
          <t>VLOŽTE JEDNOTKOVOU CENU ZHOTOVITELE ZA POLOŽKU</t>
        </r>
      </text>
    </comment>
    <comment ref="G35" authorId="0" shapeId="0" xr:uid="{76495BC7-3ABD-44F9-81D7-5BB17CCF64C9}">
      <text>
        <r>
          <rPr>
            <b/>
            <sz val="9"/>
            <color indexed="81"/>
            <rFont val="Tahoma"/>
            <family val="2"/>
            <charset val="238"/>
          </rPr>
          <t>VLOŽTE JEDNOTKOVOU CENU ZHOTOVITELE ZA POLOŽKU</t>
        </r>
      </text>
    </comment>
    <comment ref="G37" authorId="0" shapeId="0" xr:uid="{14104B20-A4DF-47D1-97CB-F30682B23BDC}">
      <text>
        <r>
          <rPr>
            <b/>
            <sz val="9"/>
            <color indexed="81"/>
            <rFont val="Tahoma"/>
            <family val="2"/>
            <charset val="238"/>
          </rPr>
          <t>VLOŽTE JEDNOTKOVOU CENU ZHOTOVITELE ZA POLOŽKU</t>
        </r>
      </text>
    </comment>
    <comment ref="G40" authorId="0" shapeId="0" xr:uid="{A4A93B3D-B558-4DD7-AF60-20B3FFE12E65}">
      <text>
        <r>
          <rPr>
            <b/>
            <sz val="9"/>
            <color indexed="81"/>
            <rFont val="Tahoma"/>
            <family val="2"/>
            <charset val="238"/>
          </rPr>
          <t>VLOŽTE JEDNOTKOVOU CENU ZHOTOVITELE ZA POLOŽKU</t>
        </r>
      </text>
    </comment>
    <comment ref="G42" authorId="0" shapeId="0" xr:uid="{8BE82384-100D-45D0-B2CD-1F820DD96D05}">
      <text>
        <r>
          <rPr>
            <b/>
            <sz val="9"/>
            <color indexed="81"/>
            <rFont val="Tahoma"/>
            <family val="2"/>
            <charset val="238"/>
          </rPr>
          <t>VLOŽTE JEDNOTKOVOU CENU ZHOTOVITELE ZA POLOŽKU</t>
        </r>
      </text>
    </comment>
    <comment ref="G45" authorId="0" shapeId="0" xr:uid="{D40E0D8A-ECEF-4868-BFE0-731AB36BFC01}">
      <text>
        <r>
          <rPr>
            <b/>
            <sz val="9"/>
            <color indexed="81"/>
            <rFont val="Tahoma"/>
            <family val="2"/>
            <charset val="238"/>
          </rPr>
          <t>VLOŽTE JEDNOTKOVOU CENU ZHOTOVITELE ZA POLOŽKU</t>
        </r>
      </text>
    </comment>
    <comment ref="G47" authorId="0" shapeId="0" xr:uid="{8B02FF93-0FAD-4D36-9F89-5609184DD235}">
      <text>
        <r>
          <rPr>
            <b/>
            <sz val="9"/>
            <color indexed="81"/>
            <rFont val="Tahoma"/>
            <family val="2"/>
            <charset val="238"/>
          </rPr>
          <t>VLOŽTE JEDNOTKOVOU CENU ZHOTOVITELE ZA POLOŽKU</t>
        </r>
      </text>
    </comment>
    <comment ref="G49" authorId="0" shapeId="0" xr:uid="{B5B13125-E536-4983-B3D9-AE7B58DB4C6C}">
      <text>
        <r>
          <rPr>
            <b/>
            <sz val="9"/>
            <color indexed="81"/>
            <rFont val="Tahoma"/>
            <family val="2"/>
            <charset val="238"/>
          </rPr>
          <t>VLOŽTE JEDNOTKOVOU CENU ZHOTOVITELE ZA POLOŽKU</t>
        </r>
      </text>
    </comment>
    <comment ref="G51" authorId="0" shapeId="0" xr:uid="{185A5187-F3B0-4CBA-9668-52B037560752}">
      <text>
        <r>
          <rPr>
            <b/>
            <sz val="9"/>
            <color indexed="81"/>
            <rFont val="Tahoma"/>
            <family val="2"/>
            <charset val="238"/>
          </rPr>
          <t>VLOŽTE JEDNOTKOVOU CENU ZHOTOVITELE ZA POLOŽKU</t>
        </r>
      </text>
    </comment>
    <comment ref="G53" authorId="0" shapeId="0" xr:uid="{4E9797FE-6F19-46F8-95D1-508F8D71A4AD}">
      <text>
        <r>
          <rPr>
            <b/>
            <sz val="9"/>
            <color indexed="81"/>
            <rFont val="Tahoma"/>
            <family val="2"/>
            <charset val="238"/>
          </rPr>
          <t>VLOŽTE JEDNOTKOVOU CENU ZHOTOVITELE ZA POLOŽKU</t>
        </r>
      </text>
    </comment>
    <comment ref="G55" authorId="0" shapeId="0" xr:uid="{EA39069D-0BD8-4467-B197-803AD656D8FA}">
      <text>
        <r>
          <rPr>
            <b/>
            <sz val="9"/>
            <color indexed="81"/>
            <rFont val="Tahoma"/>
            <family val="2"/>
            <charset val="238"/>
          </rPr>
          <t>VLOŽTE JEDNOTKOVOU CENU ZHOTOVITELE ZA POLOŽKU</t>
        </r>
      </text>
    </comment>
    <comment ref="G57" authorId="0" shapeId="0" xr:uid="{BC80B52B-4719-46EF-B980-022C9172D157}">
      <text>
        <r>
          <rPr>
            <b/>
            <sz val="9"/>
            <color indexed="81"/>
            <rFont val="Tahoma"/>
            <family val="2"/>
            <charset val="238"/>
          </rPr>
          <t>VLOŽTE JEDNOTKOVOU CENU ZHOTOVITELE ZA POLOŽKU</t>
        </r>
      </text>
    </comment>
    <comment ref="G59" authorId="0" shapeId="0" xr:uid="{68C0AC85-26DE-43F7-90B3-3B62D54D52AA}">
      <text>
        <r>
          <rPr>
            <b/>
            <sz val="9"/>
            <color indexed="81"/>
            <rFont val="Tahoma"/>
            <family val="2"/>
            <charset val="238"/>
          </rPr>
          <t>VLOŽTE JEDNOTKOVOU CENU ZHOTOVITELE ZA POLOŽKU</t>
        </r>
      </text>
    </comment>
    <comment ref="G61" authorId="0" shapeId="0" xr:uid="{BAC542A8-DA86-44A9-A603-DF0A0AEE9877}">
      <text>
        <r>
          <rPr>
            <b/>
            <sz val="9"/>
            <color indexed="81"/>
            <rFont val="Tahoma"/>
            <family val="2"/>
            <charset val="238"/>
          </rPr>
          <t>VLOŽTE JEDNOTKOVOU CENU ZHOTOVITELE ZA POLOŽKU</t>
        </r>
      </text>
    </comment>
    <comment ref="G63" authorId="0" shapeId="0" xr:uid="{0322E855-B9F2-47A0-A3D2-DE411953FB64}">
      <text>
        <r>
          <rPr>
            <b/>
            <sz val="9"/>
            <color indexed="81"/>
            <rFont val="Tahoma"/>
            <family val="2"/>
            <charset val="238"/>
          </rPr>
          <t>VLOŽTE JEDNOTKOVOU CENU ZHOTOVITELE ZA POLOŽKU</t>
        </r>
      </text>
    </comment>
    <comment ref="G66" authorId="0" shapeId="0" xr:uid="{6E6B5A9A-079F-4393-87C2-065BCAE8FE5A}">
      <text>
        <r>
          <rPr>
            <b/>
            <sz val="9"/>
            <color indexed="81"/>
            <rFont val="Tahoma"/>
            <family val="2"/>
            <charset val="238"/>
          </rPr>
          <t>VLOŽTE JEDNOTKOVOU CENU ZHOTOVITELE ZA POLOŽKU</t>
        </r>
      </text>
    </comment>
    <comment ref="G68" authorId="0" shapeId="0" xr:uid="{59D08691-698A-4F5C-9583-0EA6CF7A001F}">
      <text>
        <r>
          <rPr>
            <b/>
            <sz val="9"/>
            <color indexed="81"/>
            <rFont val="Tahoma"/>
            <family val="2"/>
            <charset val="238"/>
          </rPr>
          <t>VLOŽTE JEDNOTKOVOU CENU ZHOTOVITELE ZA POLOŽKU</t>
        </r>
      </text>
    </comment>
    <comment ref="G69" authorId="0" shapeId="0" xr:uid="{9370120F-ABEE-4AB2-BEBE-C3FBD3B50CF3}">
      <text>
        <r>
          <rPr>
            <b/>
            <sz val="9"/>
            <color indexed="81"/>
            <rFont val="Tahoma"/>
            <family val="2"/>
            <charset val="238"/>
          </rPr>
          <t>VLOŽTE JEDNOTKOVOU CENU ZHOTOVITELE ZA POLOŽKU</t>
        </r>
      </text>
    </comment>
    <comment ref="G72" authorId="0" shapeId="0" xr:uid="{5E47639D-4008-48DF-9E0D-C867076C30D4}">
      <text>
        <r>
          <rPr>
            <b/>
            <sz val="9"/>
            <color indexed="81"/>
            <rFont val="Tahoma"/>
            <family val="2"/>
            <charset val="238"/>
          </rPr>
          <t>VLOŽTE JEDNOTKOVOU CENU ZHOTOVITELE ZA POLOŽKU</t>
        </r>
      </text>
    </comment>
    <comment ref="G75" authorId="0" shapeId="0" xr:uid="{1FBD79B6-C99B-42E9-8261-AF5825BA02D4}">
      <text>
        <r>
          <rPr>
            <b/>
            <sz val="9"/>
            <color indexed="81"/>
            <rFont val="Tahoma"/>
            <family val="2"/>
            <charset val="238"/>
          </rPr>
          <t>VLOŽTE JEDNOTKOVOU CENU ZHOTOVITELE ZA POLOŽKU</t>
        </r>
      </text>
    </comment>
    <comment ref="G77" authorId="0" shapeId="0" xr:uid="{FF20AC54-ED56-41BF-A130-88E88DF58865}">
      <text>
        <r>
          <rPr>
            <b/>
            <sz val="9"/>
            <color indexed="81"/>
            <rFont val="Tahoma"/>
            <family val="2"/>
            <charset val="238"/>
          </rPr>
          <t>VLOŽTE JEDNOTKOVOU CENU ZHOTOVITELE ZA POLOŽKU</t>
        </r>
      </text>
    </comment>
    <comment ref="G80" authorId="0" shapeId="0" xr:uid="{6450AC82-E799-4D62-B677-5A226EE0C6F6}">
      <text>
        <r>
          <rPr>
            <b/>
            <sz val="9"/>
            <color indexed="81"/>
            <rFont val="Tahoma"/>
            <family val="2"/>
            <charset val="238"/>
          </rPr>
          <t>VLOŽTE JEDNOTKOVOU CENU ZHOTOVITELE ZA POLOŽKU</t>
        </r>
      </text>
    </comment>
    <comment ref="G83" authorId="0" shapeId="0" xr:uid="{3B830A63-3B16-4451-8D5A-DBA4191654AA}">
      <text>
        <r>
          <rPr>
            <b/>
            <sz val="9"/>
            <color indexed="81"/>
            <rFont val="Tahoma"/>
            <family val="2"/>
            <charset val="238"/>
          </rPr>
          <t>VLOŽTE JEDNOTKOVOU CENU ZHOTOVITELE ZA POLOŽKU</t>
        </r>
      </text>
    </comment>
    <comment ref="G86" authorId="0" shapeId="0" xr:uid="{34133D05-8473-47CA-A9E8-A5BDD2DCF9F3}">
      <text>
        <r>
          <rPr>
            <b/>
            <sz val="9"/>
            <color indexed="81"/>
            <rFont val="Tahoma"/>
            <family val="2"/>
            <charset val="238"/>
          </rPr>
          <t>VLOŽTE JEDNOTKOVOU CENU ZHOTOVITELE ZA POLOŽKU</t>
        </r>
      </text>
    </comment>
    <comment ref="G89" authorId="0" shapeId="0" xr:uid="{8EACF4BE-E772-457E-9ED4-C9BC17624D65}">
      <text>
        <r>
          <rPr>
            <b/>
            <sz val="9"/>
            <color indexed="81"/>
            <rFont val="Tahoma"/>
            <family val="2"/>
            <charset val="238"/>
          </rPr>
          <t>VLOŽTE JEDNOTKOVOU CENU ZHOTOVITELE ZA POLOŽKU</t>
        </r>
      </text>
    </comment>
    <comment ref="G92" authorId="0" shapeId="0" xr:uid="{71CC1D86-ADE3-4BA6-B619-F05A9E025D0C}">
      <text>
        <r>
          <rPr>
            <b/>
            <sz val="9"/>
            <color indexed="81"/>
            <rFont val="Tahoma"/>
            <family val="2"/>
            <charset val="238"/>
          </rPr>
          <t>VLOŽTE JEDNOTKOVOU CENU ZHOTOVITELE ZA POLOŽKU</t>
        </r>
      </text>
    </comment>
    <comment ref="G94" authorId="0" shapeId="0" xr:uid="{BE343D45-3897-4C8F-AF01-658E32CB3855}">
      <text>
        <r>
          <rPr>
            <b/>
            <sz val="9"/>
            <color indexed="81"/>
            <rFont val="Tahoma"/>
            <family val="2"/>
            <charset val="238"/>
          </rPr>
          <t>VLOŽTE JEDNOTKOVOU CENU ZHOTOVITELE ZA POLOŽKU</t>
        </r>
      </text>
    </comment>
    <comment ref="G97" authorId="0" shapeId="0" xr:uid="{280016E9-BE8D-402B-B8FA-97ACADA10E10}">
      <text>
        <r>
          <rPr>
            <b/>
            <sz val="9"/>
            <color indexed="81"/>
            <rFont val="Tahoma"/>
            <family val="2"/>
            <charset val="238"/>
          </rPr>
          <t>VLOŽTE JEDNOTKOVOU CENU ZHOTOVITELE ZA POLOŽKU</t>
        </r>
      </text>
    </comment>
    <comment ref="G99" authorId="0" shapeId="0" xr:uid="{4E242441-9B50-4EC7-8C80-993F040ADDA1}">
      <text>
        <r>
          <rPr>
            <b/>
            <sz val="9"/>
            <color indexed="81"/>
            <rFont val="Tahoma"/>
            <family val="2"/>
            <charset val="238"/>
          </rPr>
          <t>VLOŽTE JEDNOTKOVOU CENU ZHOTOVITELE ZA POLOŽKU</t>
        </r>
      </text>
    </comment>
    <comment ref="G101" authorId="0" shapeId="0" xr:uid="{F7DB6D42-C3BB-4261-A70F-533989C8CBD1}">
      <text>
        <r>
          <rPr>
            <b/>
            <sz val="9"/>
            <color indexed="81"/>
            <rFont val="Tahoma"/>
            <family val="2"/>
            <charset val="238"/>
          </rPr>
          <t>VLOŽTE JEDNOTKOVOU CENU ZHOTOVITELE ZA POLOŽKU</t>
        </r>
      </text>
    </comment>
    <comment ref="G103" authorId="0" shapeId="0" xr:uid="{603E526B-67CD-4D13-9B3B-6CA2E1326BE0}">
      <text>
        <r>
          <rPr>
            <b/>
            <sz val="9"/>
            <color indexed="81"/>
            <rFont val="Tahoma"/>
            <family val="2"/>
            <charset val="238"/>
          </rPr>
          <t>VLOŽTE JEDNOTKOVOU CENU ZHOTOVITELE ZA POLOŽKU</t>
        </r>
      </text>
    </comment>
    <comment ref="G105" authorId="0" shapeId="0" xr:uid="{5DAECA73-EFB1-43F3-8C6B-F5103493E702}">
      <text>
        <r>
          <rPr>
            <b/>
            <sz val="9"/>
            <color indexed="81"/>
            <rFont val="Tahoma"/>
            <family val="2"/>
            <charset val="238"/>
          </rPr>
          <t>VLOŽTE JEDNOTKOVOU CENU ZHOTOVITELE ZA POLOŽKU</t>
        </r>
      </text>
    </comment>
    <comment ref="G107" authorId="0" shapeId="0" xr:uid="{3AA507C2-F43D-459B-8A05-082F0DAD2172}">
      <text>
        <r>
          <rPr>
            <b/>
            <sz val="9"/>
            <color indexed="81"/>
            <rFont val="Tahoma"/>
            <family val="2"/>
            <charset val="238"/>
          </rPr>
          <t>VLOŽTE JEDNOTKOVOU CENU ZHOTOVITELE ZA POLOŽKU</t>
        </r>
      </text>
    </comment>
    <comment ref="G109" authorId="0" shapeId="0" xr:uid="{A1BF150B-18DB-413D-9326-F6F34794937C}">
      <text>
        <r>
          <rPr>
            <b/>
            <sz val="9"/>
            <color indexed="81"/>
            <rFont val="Tahoma"/>
            <family val="2"/>
            <charset val="238"/>
          </rPr>
          <t>VLOŽTE JEDNOTKOVOU CENU ZHOTOVITELE ZA POLOŽKU</t>
        </r>
      </text>
    </comment>
    <comment ref="G112" authorId="0" shapeId="0" xr:uid="{4AB9BF80-9584-436B-8589-4E00B5A8D96C}">
      <text>
        <r>
          <rPr>
            <b/>
            <sz val="9"/>
            <color indexed="81"/>
            <rFont val="Tahoma"/>
            <family val="2"/>
            <charset val="238"/>
          </rPr>
          <t>VLOŽTE JEDNOTKOVOU CENU ZHOTOVITELE ZA POLOŽKU</t>
        </r>
      </text>
    </comment>
    <comment ref="G113" authorId="0" shapeId="0" xr:uid="{EC1C52FC-7B0B-44BA-BE53-932DC256E5CF}">
      <text>
        <r>
          <rPr>
            <b/>
            <sz val="9"/>
            <color indexed="81"/>
            <rFont val="Tahoma"/>
            <family val="2"/>
            <charset val="238"/>
          </rPr>
          <t>VLOŽTE JEDNOTKOVOU CENU ZHOTOVITELE ZA POLOŽKU</t>
        </r>
      </text>
    </comment>
    <comment ref="G115" authorId="0" shapeId="0" xr:uid="{CA46E083-FD42-497B-9504-98290D7EE7E1}">
      <text>
        <r>
          <rPr>
            <b/>
            <sz val="9"/>
            <color indexed="81"/>
            <rFont val="Tahoma"/>
            <family val="2"/>
            <charset val="238"/>
          </rPr>
          <t>VLOŽTE JEDNOTKOVOU CENU ZHOTOVITELE ZA POLOŽKU</t>
        </r>
      </text>
    </comment>
    <comment ref="G117" authorId="0" shapeId="0" xr:uid="{84463330-27C8-411B-8C09-FF09DACA0D0D}">
      <text>
        <r>
          <rPr>
            <b/>
            <sz val="9"/>
            <color indexed="81"/>
            <rFont val="Tahoma"/>
            <family val="2"/>
            <charset val="238"/>
          </rPr>
          <t>VLOŽTE JEDNOTKOVOU CENU ZHOTOVITELE ZA POLOŽKU</t>
        </r>
      </text>
    </comment>
    <comment ref="G120" authorId="0" shapeId="0" xr:uid="{F96AD697-6489-44F0-8E23-EB87FEC0AD76}">
      <text>
        <r>
          <rPr>
            <b/>
            <sz val="9"/>
            <color indexed="81"/>
            <rFont val="Tahoma"/>
            <family val="2"/>
            <charset val="238"/>
          </rPr>
          <t>VLOŽTE JEDNOTKOVOU CENU ZHOTOVITELE ZA POLOŽKU</t>
        </r>
      </text>
    </comment>
    <comment ref="G123" authorId="0" shapeId="0" xr:uid="{5614A949-17FC-4F24-8DC0-7BF630947E85}">
      <text>
        <r>
          <rPr>
            <b/>
            <sz val="9"/>
            <color indexed="81"/>
            <rFont val="Tahoma"/>
            <family val="2"/>
            <charset val="238"/>
          </rPr>
          <t>VLOŽTE JEDNOTKOVOU CENU ZHOTOVITELE ZA POLOŽKU</t>
        </r>
      </text>
    </comment>
    <comment ref="G125" authorId="0" shapeId="0" xr:uid="{15FEF362-BAE6-458C-A53E-ADCB63B6A7D3}">
      <text>
        <r>
          <rPr>
            <b/>
            <sz val="9"/>
            <color indexed="81"/>
            <rFont val="Tahoma"/>
            <family val="2"/>
            <charset val="238"/>
          </rPr>
          <t>VLOŽTE JEDNOTKOVOU CENU ZHOTOVITELE ZA POLOŽKU</t>
        </r>
      </text>
    </comment>
    <comment ref="G127" authorId="0" shapeId="0" xr:uid="{6FDC8E34-D01D-4ECD-AFA9-0DB7417B7A5E}">
      <text>
        <r>
          <rPr>
            <b/>
            <sz val="9"/>
            <color indexed="81"/>
            <rFont val="Tahoma"/>
            <family val="2"/>
            <charset val="238"/>
          </rPr>
          <t>VLOŽTE JEDNOTKOVOU CENU ZHOTOVITELE ZA POLOŽKU</t>
        </r>
      </text>
    </comment>
    <comment ref="G128" authorId="0" shapeId="0" xr:uid="{438C8BAC-DD12-4E28-9900-5257A240363B}">
      <text>
        <r>
          <rPr>
            <b/>
            <sz val="9"/>
            <color indexed="81"/>
            <rFont val="Tahoma"/>
            <family val="2"/>
            <charset val="238"/>
          </rPr>
          <t>VLOŽTE JEDNOTKOVOU CENU ZHOTOVITELE ZA POLOŽKU</t>
        </r>
      </text>
    </comment>
    <comment ref="G129" authorId="0" shapeId="0" xr:uid="{F6C67863-4123-4B79-96A9-01AC2DBB5083}">
      <text>
        <r>
          <rPr>
            <b/>
            <sz val="9"/>
            <color indexed="81"/>
            <rFont val="Tahoma"/>
            <family val="2"/>
            <charset val="238"/>
          </rPr>
          <t>VLOŽTE JEDNOTKOVOU CENU ZHOTOVITELE ZA POLOŽKU</t>
        </r>
      </text>
    </comment>
    <comment ref="G130" authorId="0" shapeId="0" xr:uid="{0F4F081C-AB28-4AAC-B6D0-9E5770BFF3C8}">
      <text>
        <r>
          <rPr>
            <b/>
            <sz val="9"/>
            <color indexed="81"/>
            <rFont val="Tahoma"/>
            <family val="2"/>
            <charset val="238"/>
          </rPr>
          <t>VLOŽTE JEDNOTKOVOU CENU ZHOTOVITELE ZA POLOŽKU</t>
        </r>
      </text>
    </comment>
    <comment ref="G131" authorId="0" shapeId="0" xr:uid="{9F09BDBD-2472-4DED-BEB5-9FAC0783540D}">
      <text>
        <r>
          <rPr>
            <b/>
            <sz val="9"/>
            <color indexed="81"/>
            <rFont val="Tahoma"/>
            <family val="2"/>
            <charset val="238"/>
          </rPr>
          <t>VLOŽTE JEDNOTKOVOU CENU ZHOTOVITELE ZA POLOŽKU</t>
        </r>
      </text>
    </comment>
    <comment ref="G132" authorId="0" shapeId="0" xr:uid="{863050AC-5B81-40FB-9CA5-0E30B3831A68}">
      <text>
        <r>
          <rPr>
            <b/>
            <sz val="9"/>
            <color indexed="81"/>
            <rFont val="Tahoma"/>
            <family val="2"/>
            <charset val="238"/>
          </rPr>
          <t>VLOŽTE JEDNOTKOVOU CENU ZHOTOVITELE ZA POLOŽKU</t>
        </r>
      </text>
    </comment>
    <comment ref="G134" authorId="0" shapeId="0" xr:uid="{83FE9575-0094-4883-A9C5-271863173599}">
      <text>
        <r>
          <rPr>
            <b/>
            <sz val="9"/>
            <color indexed="81"/>
            <rFont val="Tahoma"/>
            <family val="2"/>
            <charset val="238"/>
          </rPr>
          <t>VLOŽTE JEDNOTKOVOU CENU ZHOTOVITELE ZA POLOŽKU</t>
        </r>
      </text>
    </comment>
    <comment ref="G135" authorId="0" shapeId="0" xr:uid="{EFEE432B-75EA-4F85-85B2-0B716A3274F5}">
      <text>
        <r>
          <rPr>
            <b/>
            <sz val="9"/>
            <color indexed="81"/>
            <rFont val="Tahoma"/>
            <family val="2"/>
            <charset val="238"/>
          </rPr>
          <t>VLOŽTE JEDNOTKOVOU CENU ZHOTOVITELE ZA POLOŽKU</t>
        </r>
      </text>
    </comment>
    <comment ref="G136" authorId="0" shapeId="0" xr:uid="{678CAFE9-83BF-4F5C-B294-D02FB990D67D}">
      <text>
        <r>
          <rPr>
            <b/>
            <sz val="9"/>
            <color indexed="81"/>
            <rFont val="Tahoma"/>
            <family val="2"/>
            <charset val="238"/>
          </rPr>
          <t>VLOŽTE JEDNOTKOVOU CENU ZHOTOVITELE ZA POLOŽKU</t>
        </r>
      </text>
    </comment>
    <comment ref="G137" authorId="0" shapeId="0" xr:uid="{41A925E7-26D6-43DA-AEDE-17FDEE2D011F}">
      <text>
        <r>
          <rPr>
            <b/>
            <sz val="9"/>
            <color indexed="81"/>
            <rFont val="Tahoma"/>
            <family val="2"/>
            <charset val="238"/>
          </rPr>
          <t>VLOŽTE JEDNOTKOVOU CENU ZHOTOVITELE ZA POLOŽKU</t>
        </r>
      </text>
    </comment>
    <comment ref="G139" authorId="0" shapeId="0" xr:uid="{9D267E79-F937-4994-9B5F-21322FF01472}">
      <text>
        <r>
          <rPr>
            <b/>
            <sz val="9"/>
            <color indexed="81"/>
            <rFont val="Tahoma"/>
            <family val="2"/>
            <charset val="238"/>
          </rPr>
          <t>VLOŽTE JEDNOTKOVOU CENU ZHOTOVITELE ZA POLOŽKU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D35D129A-91C8-47CD-A8F6-0FF49BCE6BCF}">
      <text>
        <r>
          <rPr>
            <b/>
            <sz val="9"/>
            <color indexed="81"/>
            <rFont val="Tahoma"/>
            <family val="2"/>
            <charset val="238"/>
          </rPr>
          <t>VLOŽTE JEDNOTKOVOU CENU ZHOTOVITELE ZA POLOŽKU</t>
        </r>
      </text>
    </comment>
    <comment ref="G16" authorId="0" shapeId="0" xr:uid="{7DFFFDF7-28EA-4B1B-ACDB-B0FB5C26ACC9}">
      <text>
        <r>
          <rPr>
            <b/>
            <sz val="9"/>
            <color indexed="81"/>
            <rFont val="Tahoma"/>
            <family val="2"/>
            <charset val="238"/>
          </rPr>
          <t>VLOŽTE JEDNOTKOVOU CENU ZHOTOVITELE ZA POLOŽKU</t>
        </r>
      </text>
    </comment>
    <comment ref="G18" authorId="0" shapeId="0" xr:uid="{86BE3D0C-2552-456C-B223-590C6606E89D}">
      <text>
        <r>
          <rPr>
            <b/>
            <sz val="9"/>
            <color indexed="81"/>
            <rFont val="Tahoma"/>
            <family val="2"/>
            <charset val="238"/>
          </rPr>
          <t>VLOŽTE JEDNOTKOVOU CENU ZHOTOVITELE ZA POLOŽKU</t>
        </r>
      </text>
    </comment>
    <comment ref="G20" authorId="0" shapeId="0" xr:uid="{CD8F5D44-EC85-4F6C-8683-0F6F11823FDA}">
      <text>
        <r>
          <rPr>
            <b/>
            <sz val="9"/>
            <color indexed="81"/>
            <rFont val="Tahoma"/>
            <family val="2"/>
            <charset val="238"/>
          </rPr>
          <t>VLOŽTE JEDNOTKOVOU CENU ZHOTOVITELE ZA POLOŽKU</t>
        </r>
      </text>
    </comment>
    <comment ref="G22" authorId="0" shapeId="0" xr:uid="{9B9710D4-1710-44CE-B7ED-7DE2372F1CDA}">
      <text>
        <r>
          <rPr>
            <b/>
            <sz val="9"/>
            <color indexed="81"/>
            <rFont val="Tahoma"/>
            <family val="2"/>
            <charset val="238"/>
          </rPr>
          <t>VLOŽTE JEDNOTKOVOU CENU ZHOTOVITELE ZA POLOŽKU</t>
        </r>
      </text>
    </comment>
    <comment ref="G25" authorId="0" shapeId="0" xr:uid="{A0ECFC3B-373E-4454-B3A0-3F44A827D8E7}">
      <text>
        <r>
          <rPr>
            <b/>
            <sz val="9"/>
            <color indexed="81"/>
            <rFont val="Tahoma"/>
            <family val="2"/>
            <charset val="238"/>
          </rPr>
          <t>VLOŽTE JEDNOTKOVOU CENU ZHOTOVITELE ZA POLOŽKU</t>
        </r>
      </text>
    </comment>
    <comment ref="G28" authorId="0" shapeId="0" xr:uid="{C2EB1F30-A466-4FD3-A545-0AF55AE6CE00}">
      <text>
        <r>
          <rPr>
            <b/>
            <sz val="9"/>
            <color indexed="81"/>
            <rFont val="Tahoma"/>
            <family val="2"/>
            <charset val="238"/>
          </rPr>
          <t>VLOŽTE JEDNOTKOVOU CENU ZHOTOVITELE ZA POLOŽKU</t>
        </r>
      </text>
    </comment>
    <comment ref="G30" authorId="0" shapeId="0" xr:uid="{F7EA9430-3953-4F06-9626-2661A5FFA1DC}">
      <text>
        <r>
          <rPr>
            <b/>
            <sz val="9"/>
            <color indexed="81"/>
            <rFont val="Tahoma"/>
            <family val="2"/>
            <charset val="238"/>
          </rPr>
          <t>VLOŽTE JEDNOTKOVOU CENU ZHOTOVITELE ZA POLOŽKU</t>
        </r>
      </text>
    </comment>
    <comment ref="G32" authorId="0" shapeId="0" xr:uid="{1207C7B6-5B2D-4526-A215-DFBC75EB702C}">
      <text>
        <r>
          <rPr>
            <b/>
            <sz val="9"/>
            <color indexed="81"/>
            <rFont val="Tahoma"/>
            <family val="2"/>
            <charset val="238"/>
          </rPr>
          <t>VLOŽTE JEDNOTKOVOU CENU ZHOTOVITELE ZA POLOŽKU</t>
        </r>
      </text>
    </comment>
    <comment ref="G34" authorId="0" shapeId="0" xr:uid="{52FFE3F2-211C-4DC3-8863-2A362BDB3208}">
      <text>
        <r>
          <rPr>
            <b/>
            <sz val="9"/>
            <color indexed="81"/>
            <rFont val="Tahoma"/>
            <family val="2"/>
            <charset val="238"/>
          </rPr>
          <t>VLOŽTE JEDNOTKOVOU CENU ZHOTOVITELE ZA POLOŽKU</t>
        </r>
      </text>
    </comment>
    <comment ref="G36" authorId="0" shapeId="0" xr:uid="{92BE9958-B577-41AF-94EF-08A2D3AAF477}">
      <text>
        <r>
          <rPr>
            <b/>
            <sz val="9"/>
            <color indexed="81"/>
            <rFont val="Tahoma"/>
            <family val="2"/>
            <charset val="238"/>
          </rPr>
          <t>VLOŽTE JEDNOTKOVOU CENU ZHOTOVITELE ZA POLOŽKU</t>
        </r>
      </text>
    </comment>
    <comment ref="G38" authorId="0" shapeId="0" xr:uid="{63FAEA91-78E2-4E5E-A53B-E40F3EBA937D}">
      <text>
        <r>
          <rPr>
            <b/>
            <sz val="9"/>
            <color indexed="81"/>
            <rFont val="Tahoma"/>
            <family val="2"/>
            <charset val="238"/>
          </rPr>
          <t>VLOŽTE JEDNOTKOVOU CENU ZHOTOVITELE ZA POLOŽKU</t>
        </r>
      </text>
    </comment>
    <comment ref="G40" authorId="0" shapeId="0" xr:uid="{90D36EAF-7ABE-41A4-866E-A2CFA842E130}">
      <text>
        <r>
          <rPr>
            <b/>
            <sz val="9"/>
            <color indexed="81"/>
            <rFont val="Tahoma"/>
            <family val="2"/>
            <charset val="238"/>
          </rPr>
          <t>VLOŽTE JEDNOTKOVOU CENU ZHOTOVITELE ZA POLOŽKU</t>
        </r>
      </text>
    </comment>
    <comment ref="G42" authorId="0" shapeId="0" xr:uid="{539FA66D-B2C1-4EEC-9C0A-F88DCE3FBF2F}">
      <text>
        <r>
          <rPr>
            <b/>
            <sz val="9"/>
            <color indexed="81"/>
            <rFont val="Tahoma"/>
            <family val="2"/>
            <charset val="238"/>
          </rPr>
          <t>VLOŽTE JEDNOTKOVOU CENU ZHOTOVITELE ZA POLOŽKU</t>
        </r>
      </text>
    </comment>
    <comment ref="G44" authorId="0" shapeId="0" xr:uid="{58386146-87A8-47B0-8479-6C8E3675E50D}">
      <text>
        <r>
          <rPr>
            <b/>
            <sz val="9"/>
            <color indexed="81"/>
            <rFont val="Tahoma"/>
            <family val="2"/>
            <charset val="238"/>
          </rPr>
          <t>VLOŽTE JEDNOTKOVOU CENU ZHOTOVITELE ZA POLOŽKU</t>
        </r>
      </text>
    </comment>
    <comment ref="G46" authorId="0" shapeId="0" xr:uid="{00D5E83D-873C-448B-8C38-0FE4F34BE3DB}">
      <text>
        <r>
          <rPr>
            <b/>
            <sz val="9"/>
            <color indexed="81"/>
            <rFont val="Tahoma"/>
            <family val="2"/>
            <charset val="238"/>
          </rPr>
          <t>VLOŽTE JEDNOTKOVOU CENU ZHOTOVITELE ZA POLOŽKU</t>
        </r>
      </text>
    </comment>
    <comment ref="G49" authorId="0" shapeId="0" xr:uid="{293DDFE1-79C7-4181-B3B5-3FF7FD579EA7}">
      <text>
        <r>
          <rPr>
            <b/>
            <sz val="9"/>
            <color indexed="81"/>
            <rFont val="Tahoma"/>
            <family val="2"/>
            <charset val="238"/>
          </rPr>
          <t>VLOŽTE JEDNOTKOVOU CENU ZHOTOVITELE ZA POLOŽKU</t>
        </r>
      </text>
    </comment>
    <comment ref="G52" authorId="0" shapeId="0" xr:uid="{37AD0573-FE40-41CD-90D6-2AC684CD2B49}">
      <text>
        <r>
          <rPr>
            <b/>
            <sz val="9"/>
            <color indexed="81"/>
            <rFont val="Tahoma"/>
            <family val="2"/>
            <charset val="238"/>
          </rPr>
          <t>VLOŽTE JEDNOTKOVOU CENU ZHOTOVITELE ZA POLOŽKU</t>
        </r>
      </text>
    </comment>
    <comment ref="G54" authorId="0" shapeId="0" xr:uid="{A4519A2D-697E-446E-8114-78BB67D34CB9}">
      <text>
        <r>
          <rPr>
            <b/>
            <sz val="9"/>
            <color indexed="81"/>
            <rFont val="Tahoma"/>
            <family val="2"/>
            <charset val="238"/>
          </rPr>
          <t>VLOŽTE JEDNOTKOVOU CENU ZHOTOVITELE ZA POLOŽKU</t>
        </r>
      </text>
    </comment>
    <comment ref="G57" authorId="0" shapeId="0" xr:uid="{30ABB03E-AEEC-40F9-84C5-297277AE2355}">
      <text>
        <r>
          <rPr>
            <b/>
            <sz val="9"/>
            <color indexed="81"/>
            <rFont val="Tahoma"/>
            <family val="2"/>
            <charset val="238"/>
          </rPr>
          <t>VLOŽTE JEDNOTKOVOU CENU ZHOTOVITELE ZA POLOŽKU</t>
        </r>
      </text>
    </comment>
    <comment ref="G59" authorId="0" shapeId="0" xr:uid="{5BBA1A8A-B6CB-4AB1-9449-C73039863FD9}">
      <text>
        <r>
          <rPr>
            <b/>
            <sz val="9"/>
            <color indexed="81"/>
            <rFont val="Tahoma"/>
            <family val="2"/>
            <charset val="238"/>
          </rPr>
          <t>VLOŽTE JEDNOTKOVOU CENU ZHOTOVITELE ZA POLOŽKU</t>
        </r>
      </text>
    </comment>
    <comment ref="G61" authorId="0" shapeId="0" xr:uid="{D9C50B2C-B216-4632-8F53-B438F55B724F}">
      <text>
        <r>
          <rPr>
            <b/>
            <sz val="9"/>
            <color indexed="81"/>
            <rFont val="Tahoma"/>
            <family val="2"/>
            <charset val="238"/>
          </rPr>
          <t>VLOŽTE JEDNOTKOVOU CENU ZHOTOVITELE ZA POLOŽKU</t>
        </r>
      </text>
    </comment>
    <comment ref="G63" authorId="0" shapeId="0" xr:uid="{F75D888D-934D-4202-973A-800A2281B8A6}">
      <text>
        <r>
          <rPr>
            <b/>
            <sz val="9"/>
            <color indexed="81"/>
            <rFont val="Tahoma"/>
            <family val="2"/>
            <charset val="238"/>
          </rPr>
          <t>VLOŽTE JEDNOTKOVOU CENU ZHOTOVITELE ZA POLOŽKU</t>
        </r>
      </text>
    </comment>
    <comment ref="G65" authorId="0" shapeId="0" xr:uid="{BAABE751-B623-4AD2-8A13-67345FB52843}">
      <text>
        <r>
          <rPr>
            <b/>
            <sz val="9"/>
            <color indexed="81"/>
            <rFont val="Tahoma"/>
            <family val="2"/>
            <charset val="238"/>
          </rPr>
          <t>VLOŽTE JEDNOTKOVOU CENU ZHOTOVITELE ZA POLOŽKU</t>
        </r>
      </text>
    </comment>
    <comment ref="G67" authorId="0" shapeId="0" xr:uid="{98D70814-BF1E-4C7E-9F82-61640BAACD31}">
      <text>
        <r>
          <rPr>
            <b/>
            <sz val="9"/>
            <color indexed="81"/>
            <rFont val="Tahoma"/>
            <family val="2"/>
            <charset val="238"/>
          </rPr>
          <t>VLOŽTE JEDNOTKOVOU CENU ZHOTOVITELE ZA POLOŽKU</t>
        </r>
      </text>
    </comment>
    <comment ref="G69" authorId="0" shapeId="0" xr:uid="{31E44BF7-6D22-4A63-A940-0499281E7D39}">
      <text>
        <r>
          <rPr>
            <b/>
            <sz val="9"/>
            <color indexed="81"/>
            <rFont val="Tahoma"/>
            <family val="2"/>
            <charset val="238"/>
          </rPr>
          <t>VLOŽTE JEDNOTKOVOU CENU ZHOTOVITELE ZA POLOŽKU</t>
        </r>
      </text>
    </comment>
    <comment ref="G71" authorId="0" shapeId="0" xr:uid="{A6FDBD68-E980-4E5E-BF40-F7382BD4F529}">
      <text>
        <r>
          <rPr>
            <b/>
            <sz val="9"/>
            <color indexed="81"/>
            <rFont val="Tahoma"/>
            <family val="2"/>
            <charset val="238"/>
          </rPr>
          <t>VLOŽTE JEDNOTKOVOU CENU ZHOTOVITELE ZA POLOŽKU</t>
        </r>
      </text>
    </comment>
    <comment ref="G73" authorId="0" shapeId="0" xr:uid="{EEE8D30D-785B-416E-AA45-B9F9291A6BB9}">
      <text>
        <r>
          <rPr>
            <b/>
            <sz val="9"/>
            <color indexed="81"/>
            <rFont val="Tahoma"/>
            <family val="2"/>
            <charset val="238"/>
          </rPr>
          <t>VLOŽTE JEDNOTKOVOU CENU ZHOTOVITELE ZA POLOŽKU</t>
        </r>
      </text>
    </comment>
    <comment ref="G75" authorId="0" shapeId="0" xr:uid="{484D6445-1F0E-4EBB-8608-F43D84ACAFA4}">
      <text>
        <r>
          <rPr>
            <b/>
            <sz val="9"/>
            <color indexed="81"/>
            <rFont val="Tahoma"/>
            <family val="2"/>
            <charset val="238"/>
          </rPr>
          <t>VLOŽTE JEDNOTKOVOU CENU ZHOTOVITELE ZA POLOŽKU</t>
        </r>
      </text>
    </comment>
    <comment ref="G78" authorId="0" shapeId="0" xr:uid="{3EACAC83-1CF5-4AF1-809F-AB4490C967E3}">
      <text>
        <r>
          <rPr>
            <b/>
            <sz val="9"/>
            <color indexed="81"/>
            <rFont val="Tahoma"/>
            <family val="2"/>
            <charset val="238"/>
          </rPr>
          <t>VLOŽTE JEDNOTKOVOU CENU ZHOTOVITELE ZA POLOŽKU</t>
        </r>
      </text>
    </comment>
    <comment ref="G80" authorId="0" shapeId="0" xr:uid="{056A2A87-B2F5-4486-9A0E-6E4242F6561F}">
      <text>
        <r>
          <rPr>
            <b/>
            <sz val="9"/>
            <color indexed="81"/>
            <rFont val="Tahoma"/>
            <family val="2"/>
            <charset val="238"/>
          </rPr>
          <t>VLOŽTE JEDNOTKOVOU CENU ZHOTOVITELE ZA POLOŽKU</t>
        </r>
      </text>
    </comment>
    <comment ref="G81" authorId="0" shapeId="0" xr:uid="{76BDA56C-0A6D-4007-8294-87B13D92D69E}">
      <text>
        <r>
          <rPr>
            <b/>
            <sz val="9"/>
            <color indexed="81"/>
            <rFont val="Tahoma"/>
            <family val="2"/>
            <charset val="238"/>
          </rPr>
          <t>VLOŽTE JEDNOTKOVOU CENU ZHOTOVITELE ZA POLOŽKU</t>
        </r>
      </text>
    </comment>
    <comment ref="G84" authorId="0" shapeId="0" xr:uid="{2F59D855-23F3-4CBF-835F-9D247A7FB627}">
      <text>
        <r>
          <rPr>
            <b/>
            <sz val="9"/>
            <color indexed="81"/>
            <rFont val="Tahoma"/>
            <family val="2"/>
            <charset val="238"/>
          </rPr>
          <t>VLOŽTE JEDNOTKOVOU CENU ZHOTOVITELE ZA POLOŽKU</t>
        </r>
      </text>
    </comment>
    <comment ref="G87" authorId="0" shapeId="0" xr:uid="{A8FD85B5-1723-474E-9939-BBD92EE03A35}">
      <text>
        <r>
          <rPr>
            <b/>
            <sz val="9"/>
            <color indexed="81"/>
            <rFont val="Tahoma"/>
            <family val="2"/>
            <charset val="238"/>
          </rPr>
          <t>VLOŽTE JEDNOTKOVOU CENU ZHOTOVITELE ZA POLOŽKU</t>
        </r>
      </text>
    </comment>
    <comment ref="G89" authorId="0" shapeId="0" xr:uid="{2CAC5F87-53F1-4C8E-A87F-A011E67DDA83}">
      <text>
        <r>
          <rPr>
            <b/>
            <sz val="9"/>
            <color indexed="81"/>
            <rFont val="Tahoma"/>
            <family val="2"/>
            <charset val="238"/>
          </rPr>
          <t>VLOŽTE JEDNOTKOVOU CENU ZHOTOVITELE ZA POLOŽKU</t>
        </r>
      </text>
    </comment>
    <comment ref="G92" authorId="0" shapeId="0" xr:uid="{6D4C61BF-D578-4D80-8950-A7C933736394}">
      <text>
        <r>
          <rPr>
            <b/>
            <sz val="9"/>
            <color indexed="81"/>
            <rFont val="Tahoma"/>
            <family val="2"/>
            <charset val="238"/>
          </rPr>
          <t>VLOŽTE JEDNOTKOVOU CENU ZHOTOVITELE ZA POLOŽKU</t>
        </r>
      </text>
    </comment>
    <comment ref="G94" authorId="0" shapeId="0" xr:uid="{4F6B2812-ACEA-41A7-98AB-33470F7E8219}">
      <text>
        <r>
          <rPr>
            <b/>
            <sz val="9"/>
            <color indexed="81"/>
            <rFont val="Tahoma"/>
            <family val="2"/>
            <charset val="238"/>
          </rPr>
          <t>VLOŽTE JEDNOTKOVOU CENU ZHOTOVITELE ZA POLOŽKU</t>
        </r>
      </text>
    </comment>
    <comment ref="G97" authorId="0" shapeId="0" xr:uid="{8110DE63-694A-4ADE-84B7-D270FC2D779C}">
      <text>
        <r>
          <rPr>
            <b/>
            <sz val="9"/>
            <color indexed="81"/>
            <rFont val="Tahoma"/>
            <family val="2"/>
            <charset val="238"/>
          </rPr>
          <t>VLOŽTE JEDNOTKOVOU CENU ZHOTOVITELE ZA POLOŽKU</t>
        </r>
      </text>
    </comment>
    <comment ref="G99" authorId="0" shapeId="0" xr:uid="{52F7AD3C-5777-451A-B0D7-5298F8B86378}">
      <text>
        <r>
          <rPr>
            <b/>
            <sz val="9"/>
            <color indexed="81"/>
            <rFont val="Tahoma"/>
            <family val="2"/>
            <charset val="238"/>
          </rPr>
          <t>VLOŽTE JEDNOTKOVOU CENU ZHOTOVITELE ZA POLOŽKU</t>
        </r>
      </text>
    </comment>
    <comment ref="G102" authorId="0" shapeId="0" xr:uid="{F20340FD-CE08-4FAB-882B-FCA9F3D20B0F}">
      <text>
        <r>
          <rPr>
            <b/>
            <sz val="9"/>
            <color indexed="81"/>
            <rFont val="Tahoma"/>
            <family val="2"/>
            <charset val="238"/>
          </rPr>
          <t>VLOŽTE JEDNOTKOVOU CENU ZHOTOVITELE ZA POLOŽKU</t>
        </r>
      </text>
    </comment>
    <comment ref="G105" authorId="0" shapeId="0" xr:uid="{1F76B819-FBA1-4351-BA7A-DD4E843A657F}">
      <text>
        <r>
          <rPr>
            <b/>
            <sz val="9"/>
            <color indexed="81"/>
            <rFont val="Tahoma"/>
            <family val="2"/>
            <charset val="238"/>
          </rPr>
          <t>VLOŽTE JEDNOTKOVOU CENU ZHOTOVITELE ZA POLOŽKU</t>
        </r>
      </text>
    </comment>
    <comment ref="G107" authorId="0" shapeId="0" xr:uid="{9730A21A-799C-427E-A17A-4AB36DD21EF9}">
      <text>
        <r>
          <rPr>
            <b/>
            <sz val="9"/>
            <color indexed="81"/>
            <rFont val="Tahoma"/>
            <family val="2"/>
            <charset val="238"/>
          </rPr>
          <t>VLOŽTE JEDNOTKOVOU CENU ZHOTOVITELE ZA POLOŽKU</t>
        </r>
      </text>
    </comment>
    <comment ref="G109" authorId="0" shapeId="0" xr:uid="{FC070442-AA3F-44A7-B101-837D9B0CBC2D}">
      <text>
        <r>
          <rPr>
            <b/>
            <sz val="9"/>
            <color indexed="81"/>
            <rFont val="Tahoma"/>
            <family val="2"/>
            <charset val="238"/>
          </rPr>
          <t>VLOŽTE JEDNOTKOVOU CENU ZHOTOVITELE ZA POLOŽKU</t>
        </r>
      </text>
    </comment>
    <comment ref="G111" authorId="0" shapeId="0" xr:uid="{B1669150-3B63-4581-BAC2-13F8DE713290}">
      <text>
        <r>
          <rPr>
            <b/>
            <sz val="9"/>
            <color indexed="81"/>
            <rFont val="Tahoma"/>
            <family val="2"/>
            <charset val="238"/>
          </rPr>
          <t>VLOŽTE JEDNOTKOVOU CENU ZHOTOVITELE ZA POLOŽKU</t>
        </r>
      </text>
    </comment>
    <comment ref="G114" authorId="0" shapeId="0" xr:uid="{4DC8F79A-2B46-4B09-B2FF-C015AB591242}">
      <text>
        <r>
          <rPr>
            <b/>
            <sz val="9"/>
            <color indexed="81"/>
            <rFont val="Tahoma"/>
            <family val="2"/>
            <charset val="238"/>
          </rPr>
          <t>VLOŽTE JEDNOTKOVOU CENU ZHOTOVITELE ZA POLOŽKU</t>
        </r>
      </text>
    </comment>
    <comment ref="G117" authorId="0" shapeId="0" xr:uid="{DC66D978-2FCA-43E8-809D-CB7434733237}">
      <text>
        <r>
          <rPr>
            <b/>
            <sz val="9"/>
            <color indexed="81"/>
            <rFont val="Tahoma"/>
            <family val="2"/>
            <charset val="238"/>
          </rPr>
          <t>VLOŽTE JEDNOTKOVOU CENU ZHOTOVITELE ZA POLOŽKU</t>
        </r>
      </text>
    </comment>
    <comment ref="G120" authorId="0" shapeId="0" xr:uid="{D64517C3-5FD9-4E60-9FA1-C61A2F4FE964}">
      <text>
        <r>
          <rPr>
            <b/>
            <sz val="9"/>
            <color indexed="81"/>
            <rFont val="Tahoma"/>
            <family val="2"/>
            <charset val="238"/>
          </rPr>
          <t>VLOŽTE JEDNOTKOVOU CENU ZHOTOVITELE ZA POLOŽKU</t>
        </r>
      </text>
    </comment>
    <comment ref="G123" authorId="0" shapeId="0" xr:uid="{8E787EBA-4D2E-4B6A-A633-7C52F49BCF67}">
      <text>
        <r>
          <rPr>
            <b/>
            <sz val="9"/>
            <color indexed="81"/>
            <rFont val="Tahoma"/>
            <family val="2"/>
            <charset val="238"/>
          </rPr>
          <t>VLOŽTE JEDNOTKOVOU CENU ZHOTOVITELE ZA POLOŽKU</t>
        </r>
      </text>
    </comment>
    <comment ref="G126" authorId="0" shapeId="0" xr:uid="{4CA91ECE-AC40-4F77-A0B8-139C86D73C0D}">
      <text>
        <r>
          <rPr>
            <b/>
            <sz val="9"/>
            <color indexed="81"/>
            <rFont val="Tahoma"/>
            <family val="2"/>
            <charset val="238"/>
          </rPr>
          <t>VLOŽTE JEDNOTKOVOU CENU ZHOTOVITELE ZA POLOŽKU</t>
        </r>
      </text>
    </comment>
    <comment ref="G128" authorId="0" shapeId="0" xr:uid="{851C9BEA-9CF4-48EA-892B-3FC7C5417D5F}">
      <text>
        <r>
          <rPr>
            <b/>
            <sz val="9"/>
            <color indexed="81"/>
            <rFont val="Tahoma"/>
            <family val="2"/>
            <charset val="238"/>
          </rPr>
          <t>VLOŽTE JEDNOTKOVOU CENU ZHOTOVITELE ZA POLOŽKU</t>
        </r>
      </text>
    </comment>
    <comment ref="G130" authorId="0" shapeId="0" xr:uid="{70F7BCFE-C593-4782-8274-B1E1E3A27EF9}">
      <text>
        <r>
          <rPr>
            <b/>
            <sz val="9"/>
            <color indexed="81"/>
            <rFont val="Tahoma"/>
            <family val="2"/>
            <charset val="238"/>
          </rPr>
          <t>VLOŽTE JEDNOTKOVOU CENU ZHOTOVITELE ZA POLOŽKU</t>
        </r>
      </text>
    </comment>
    <comment ref="G132" authorId="0" shapeId="0" xr:uid="{745DB92E-47AC-4D51-B33B-5774AE28329F}">
      <text>
        <r>
          <rPr>
            <b/>
            <sz val="9"/>
            <color indexed="81"/>
            <rFont val="Tahoma"/>
            <family val="2"/>
            <charset val="238"/>
          </rPr>
          <t>VLOŽTE JEDNOTKOVOU CENU ZHOTOVITELE ZA POLOŽKU</t>
        </r>
      </text>
    </comment>
    <comment ref="G135" authorId="0" shapeId="0" xr:uid="{338C495C-38A8-4500-9A99-7C4574A0993C}">
      <text>
        <r>
          <rPr>
            <b/>
            <sz val="9"/>
            <color indexed="81"/>
            <rFont val="Tahoma"/>
            <family val="2"/>
            <charset val="238"/>
          </rPr>
          <t>VLOŽTE JEDNOTKOVOU CENU ZHOTOVITELE ZA POLOŽKU</t>
        </r>
      </text>
    </comment>
    <comment ref="G137" authorId="0" shapeId="0" xr:uid="{B7E48A82-2D8B-4164-9744-5A9D40C70C81}">
      <text>
        <r>
          <rPr>
            <b/>
            <sz val="9"/>
            <color indexed="81"/>
            <rFont val="Tahoma"/>
            <family val="2"/>
            <charset val="238"/>
          </rPr>
          <t>VLOŽTE JEDNOTKOVOU CENU ZHOTOVITELE ZA POLOŽKU</t>
        </r>
      </text>
    </comment>
    <comment ref="G139" authorId="0" shapeId="0" xr:uid="{145A9DFF-5C8A-4FFA-A3C2-2847CE06D2DA}">
      <text>
        <r>
          <rPr>
            <b/>
            <sz val="9"/>
            <color indexed="81"/>
            <rFont val="Tahoma"/>
            <family val="2"/>
            <charset val="238"/>
          </rPr>
          <t>VLOŽTE JEDNOTKOVOU CENU ZHOTOVITELE ZA POLOŽKU</t>
        </r>
      </text>
    </comment>
    <comment ref="G141" authorId="0" shapeId="0" xr:uid="{CE4DCF30-F307-4E68-8BF7-3E3A1EF230D2}">
      <text>
        <r>
          <rPr>
            <b/>
            <sz val="9"/>
            <color indexed="81"/>
            <rFont val="Tahoma"/>
            <family val="2"/>
            <charset val="238"/>
          </rPr>
          <t>VLOŽTE JEDNOTKOVOU CENU ZHOTOVITELE ZA POLOŽKU</t>
        </r>
      </text>
    </comment>
    <comment ref="G143" authorId="0" shapeId="0" xr:uid="{57EECEF8-310E-49EE-88EE-6BEF08AE6126}">
      <text>
        <r>
          <rPr>
            <b/>
            <sz val="9"/>
            <color indexed="81"/>
            <rFont val="Tahoma"/>
            <family val="2"/>
            <charset val="238"/>
          </rPr>
          <t>VLOŽTE JEDNOTKOVOU CENU ZHOTOVITELE ZA POLOŽKU</t>
        </r>
      </text>
    </comment>
    <comment ref="G145" authorId="0" shapeId="0" xr:uid="{76E3DF79-6E11-4DBF-B0A4-A75D8147F462}">
      <text>
        <r>
          <rPr>
            <b/>
            <sz val="9"/>
            <color indexed="81"/>
            <rFont val="Tahoma"/>
            <family val="2"/>
            <charset val="238"/>
          </rPr>
          <t>VLOŽTE JEDNOTKOVOU CENU ZHOTOVITELE ZA POLOŽKU</t>
        </r>
      </text>
    </comment>
    <comment ref="G148" authorId="0" shapeId="0" xr:uid="{B174D7F5-B27C-40A6-81A0-595420E7A8F6}">
      <text>
        <r>
          <rPr>
            <b/>
            <sz val="9"/>
            <color indexed="81"/>
            <rFont val="Tahoma"/>
            <family val="2"/>
            <charset val="238"/>
          </rPr>
          <t>VLOŽTE JEDNOTKOVOU CENU ZHOTOVITELE ZA POLOŽKU</t>
        </r>
      </text>
    </comment>
    <comment ref="G151" authorId="0" shapeId="0" xr:uid="{3C60BC27-B790-4A60-81D9-E5DF31982E83}">
      <text>
        <r>
          <rPr>
            <b/>
            <sz val="9"/>
            <color indexed="81"/>
            <rFont val="Tahoma"/>
            <family val="2"/>
            <charset val="238"/>
          </rPr>
          <t>VLOŽTE JEDNOTKOVOU CENU ZHOTOVITELE ZA POLOŽKU</t>
        </r>
      </text>
    </comment>
    <comment ref="G154" authorId="0" shapeId="0" xr:uid="{C6A4691D-9792-49DB-AAC7-7796F04F1787}">
      <text>
        <r>
          <rPr>
            <b/>
            <sz val="9"/>
            <color indexed="81"/>
            <rFont val="Tahoma"/>
            <family val="2"/>
            <charset val="238"/>
          </rPr>
          <t>VLOŽTE JEDNOTKOVOU CENU ZHOTOVITELE ZA POLOŽKU</t>
        </r>
      </text>
    </comment>
    <comment ref="G155" authorId="0" shapeId="0" xr:uid="{C02C31A1-30C3-42F9-9E36-E53EDD6938BA}">
      <text>
        <r>
          <rPr>
            <b/>
            <sz val="9"/>
            <color indexed="81"/>
            <rFont val="Tahoma"/>
            <family val="2"/>
            <charset val="238"/>
          </rPr>
          <t>VLOŽTE JEDNOTKOVOU CENU ZHOTOVITELE ZA POLOŽKU</t>
        </r>
      </text>
    </comment>
    <comment ref="G157" authorId="0" shapeId="0" xr:uid="{9D6EDF64-0D8B-49F2-880F-249364A1683E}">
      <text>
        <r>
          <rPr>
            <b/>
            <sz val="9"/>
            <color indexed="81"/>
            <rFont val="Tahoma"/>
            <family val="2"/>
            <charset val="238"/>
          </rPr>
          <t>VLOŽTE JEDNOTKOVOU CENU ZHOTOVITELE ZA POLOŽKU</t>
        </r>
      </text>
    </comment>
    <comment ref="G159" authorId="0" shapeId="0" xr:uid="{4BD133E7-5B7D-446C-B2F5-5B0A12118BAF}">
      <text>
        <r>
          <rPr>
            <b/>
            <sz val="9"/>
            <color indexed="81"/>
            <rFont val="Tahoma"/>
            <family val="2"/>
            <charset val="238"/>
          </rPr>
          <t>VLOŽTE JEDNOTKOVOU CENU ZHOTOVITELE ZA POLOŽKU</t>
        </r>
      </text>
    </comment>
    <comment ref="G161" authorId="0" shapeId="0" xr:uid="{4AAFF374-BE01-4030-A573-5A951AD10424}">
      <text>
        <r>
          <rPr>
            <b/>
            <sz val="9"/>
            <color indexed="81"/>
            <rFont val="Tahoma"/>
            <family val="2"/>
            <charset val="238"/>
          </rPr>
          <t>VLOŽTE JEDNOTKOVOU CENU ZHOTOVITELE ZA POLOŽKU</t>
        </r>
      </text>
    </comment>
    <comment ref="G162" authorId="0" shapeId="0" xr:uid="{E2F8115F-B44B-45A4-9C9E-1FE1BCF5E7C4}">
      <text>
        <r>
          <rPr>
            <b/>
            <sz val="9"/>
            <color indexed="81"/>
            <rFont val="Tahoma"/>
            <family val="2"/>
            <charset val="238"/>
          </rPr>
          <t>VLOŽTE JEDNOTKOVOU CENU ZHOTOVITELE ZA POLOŽKU</t>
        </r>
      </text>
    </comment>
    <comment ref="G164" authorId="0" shapeId="0" xr:uid="{30298260-FD9C-4186-9D92-B08C8E86EC25}">
      <text>
        <r>
          <rPr>
            <b/>
            <sz val="9"/>
            <color indexed="81"/>
            <rFont val="Tahoma"/>
            <family val="2"/>
            <charset val="238"/>
          </rPr>
          <t>VLOŽTE JEDNOTKOVOU CENU ZHOTOVITELE ZA POLOŽKU</t>
        </r>
      </text>
    </comment>
    <comment ref="G166" authorId="0" shapeId="0" xr:uid="{A5A90BAE-4332-42CA-92F5-FDAB89360F4A}">
      <text>
        <r>
          <rPr>
            <b/>
            <sz val="9"/>
            <color indexed="81"/>
            <rFont val="Tahoma"/>
            <family val="2"/>
            <charset val="238"/>
          </rPr>
          <t>VLOŽTE JEDNOTKOVOU CENU ZHOTOVITELE ZA POLOŽKU</t>
        </r>
      </text>
    </comment>
    <comment ref="G168" authorId="0" shapeId="0" xr:uid="{D0267441-2835-43E7-BDFB-8DA90C6D767D}">
      <text>
        <r>
          <rPr>
            <b/>
            <sz val="9"/>
            <color indexed="81"/>
            <rFont val="Tahoma"/>
            <family val="2"/>
            <charset val="238"/>
          </rPr>
          <t>VLOŽTE JEDNOTKOVOU CENU ZHOTOVITELE ZA POLOŽKU</t>
        </r>
      </text>
    </comment>
    <comment ref="G171" authorId="0" shapeId="0" xr:uid="{C7E73BDA-2E31-4BDF-8503-DA5FFE3F7359}">
      <text>
        <r>
          <rPr>
            <b/>
            <sz val="9"/>
            <color indexed="81"/>
            <rFont val="Tahoma"/>
            <family val="2"/>
            <charset val="238"/>
          </rPr>
          <t>VLOŽTE JEDNOTKOVOU CENU ZHOTOVITELE ZA POLOŽKU</t>
        </r>
      </text>
    </comment>
    <comment ref="G173" authorId="0" shapeId="0" xr:uid="{BA0C15A3-0944-46AA-A956-CA0BF8D90EB1}">
      <text>
        <r>
          <rPr>
            <b/>
            <sz val="9"/>
            <color indexed="81"/>
            <rFont val="Tahoma"/>
            <family val="2"/>
            <charset val="238"/>
          </rPr>
          <t>VLOŽTE JEDNOTKOVOU CENU ZHOTOVITELE ZA POLOŽKU</t>
        </r>
      </text>
    </comment>
    <comment ref="G175" authorId="0" shapeId="0" xr:uid="{AD3B421F-C46F-4BD5-98B5-14BA229C45CE}">
      <text>
        <r>
          <rPr>
            <b/>
            <sz val="9"/>
            <color indexed="81"/>
            <rFont val="Tahoma"/>
            <family val="2"/>
            <charset val="238"/>
          </rPr>
          <t>VLOŽTE JEDNOTKOVOU CENU ZHOTOVITELE ZA POLOŽKU</t>
        </r>
      </text>
    </comment>
    <comment ref="G178" authorId="0" shapeId="0" xr:uid="{96B4D85A-FB9E-4699-BC96-DF69657D7802}">
      <text>
        <r>
          <rPr>
            <b/>
            <sz val="9"/>
            <color indexed="81"/>
            <rFont val="Tahoma"/>
            <family val="2"/>
            <charset val="238"/>
          </rPr>
          <t>VLOŽTE JEDNOTKOVOU CENU ZHOTOVITELE ZA POLOŽKU</t>
        </r>
      </text>
    </comment>
    <comment ref="G180" authorId="0" shapeId="0" xr:uid="{93D84287-484D-4AC3-86BB-1C71BEC5D054}">
      <text>
        <r>
          <rPr>
            <b/>
            <sz val="9"/>
            <color indexed="81"/>
            <rFont val="Tahoma"/>
            <family val="2"/>
            <charset val="238"/>
          </rPr>
          <t>VLOŽTE JEDNOTKOVOU CENU ZHOTOVITELE ZA POLOŽKU</t>
        </r>
      </text>
    </comment>
    <comment ref="G182" authorId="0" shapeId="0" xr:uid="{130308FC-5280-468E-B9ED-6A0786D9CC9D}">
      <text>
        <r>
          <rPr>
            <b/>
            <sz val="9"/>
            <color indexed="81"/>
            <rFont val="Tahoma"/>
            <family val="2"/>
            <charset val="238"/>
          </rPr>
          <t>VLOŽTE JEDNOTKOVOU CENU ZHOTOVITELE ZA POLOŽKU</t>
        </r>
      </text>
    </comment>
    <comment ref="G184" authorId="0" shapeId="0" xr:uid="{F0517A58-C5D8-49AF-B0B9-9341B0D190A8}">
      <text>
        <r>
          <rPr>
            <b/>
            <sz val="9"/>
            <color indexed="81"/>
            <rFont val="Tahoma"/>
            <family val="2"/>
            <charset val="238"/>
          </rPr>
          <t>VLOŽTE JEDNOTKOVOU CENU ZHOTOVITELE ZA POLOŽKU</t>
        </r>
      </text>
    </comment>
    <comment ref="G186" authorId="0" shapeId="0" xr:uid="{169675F9-5628-4970-9987-E83FF2FACEF3}">
      <text>
        <r>
          <rPr>
            <b/>
            <sz val="9"/>
            <color indexed="81"/>
            <rFont val="Tahoma"/>
            <family val="2"/>
            <charset val="238"/>
          </rPr>
          <t>VLOŽTE JEDNOTKOVOU CENU ZHOTOVITELE ZA POLOŽKU</t>
        </r>
      </text>
    </comment>
    <comment ref="G188" authorId="0" shapeId="0" xr:uid="{8947C21F-B25D-4754-931B-9FFE053FADE0}">
      <text>
        <r>
          <rPr>
            <b/>
            <sz val="9"/>
            <color indexed="81"/>
            <rFont val="Tahoma"/>
            <family val="2"/>
            <charset val="238"/>
          </rPr>
          <t>VLOŽTE JEDNOTKOVOU CENU ZHOTOVITELE ZA POLOŽKU</t>
        </r>
      </text>
    </comment>
    <comment ref="G190" authorId="0" shapeId="0" xr:uid="{B57AA709-4F0F-48BF-8208-A71C4F7A25A3}">
      <text>
        <r>
          <rPr>
            <b/>
            <sz val="9"/>
            <color indexed="81"/>
            <rFont val="Tahoma"/>
            <family val="2"/>
            <charset val="238"/>
          </rPr>
          <t>VLOŽTE JEDNOTKOVOU CENU ZHOTOVITELE ZA POLOŽKU</t>
        </r>
      </text>
    </comment>
    <comment ref="G192" authorId="0" shapeId="0" xr:uid="{8B0C3A59-0C27-4B2B-847E-7778C4A6BB89}">
      <text>
        <r>
          <rPr>
            <b/>
            <sz val="9"/>
            <color indexed="81"/>
            <rFont val="Tahoma"/>
            <family val="2"/>
            <charset val="238"/>
          </rPr>
          <t>VLOŽTE JEDNOTKOVOU CENU ZHOTOVITELE ZA POLOŽKU</t>
        </r>
      </text>
    </comment>
    <comment ref="G194" authorId="0" shapeId="0" xr:uid="{21B66010-AD48-4971-9ADE-A9F6745E5529}">
      <text>
        <r>
          <rPr>
            <b/>
            <sz val="9"/>
            <color indexed="81"/>
            <rFont val="Tahoma"/>
            <family val="2"/>
            <charset val="238"/>
          </rPr>
          <t>VLOŽTE JEDNOTKOVOU CENU ZHOTOVITELE ZA POLOŽKU</t>
        </r>
      </text>
    </comment>
    <comment ref="G196" authorId="0" shapeId="0" xr:uid="{4FA8A51E-50F7-4106-9A8C-60AA1E024A48}">
      <text>
        <r>
          <rPr>
            <b/>
            <sz val="9"/>
            <color indexed="81"/>
            <rFont val="Tahoma"/>
            <family val="2"/>
            <charset val="238"/>
          </rPr>
          <t>VLOŽTE JEDNOTKOVOU CENU ZHOTOVITELE ZA POLOŽKU</t>
        </r>
      </text>
    </comment>
    <comment ref="G198" authorId="0" shapeId="0" xr:uid="{4343DCA0-1FA6-4224-B4DB-7B64434C023E}">
      <text>
        <r>
          <rPr>
            <b/>
            <sz val="9"/>
            <color indexed="81"/>
            <rFont val="Tahoma"/>
            <family val="2"/>
            <charset val="238"/>
          </rPr>
          <t>VLOŽTE JEDNOTKOVOU CENU ZHOTOVITELE ZA POLOŽKU</t>
        </r>
      </text>
    </comment>
    <comment ref="G199" authorId="0" shapeId="0" xr:uid="{31B5BA50-65C9-4CDF-89EB-BB0F733AB3AF}">
      <text>
        <r>
          <rPr>
            <b/>
            <sz val="9"/>
            <color indexed="81"/>
            <rFont val="Tahoma"/>
            <family val="2"/>
            <charset val="238"/>
          </rPr>
          <t>VLOŽTE JEDNOTKOVOU CENU ZHOTOVITELE ZA POLOŽKU</t>
        </r>
      </text>
    </comment>
    <comment ref="G200" authorId="0" shapeId="0" xr:uid="{6C0DDEC0-26C9-403F-A3C5-038121414754}">
      <text>
        <r>
          <rPr>
            <b/>
            <sz val="9"/>
            <color indexed="81"/>
            <rFont val="Tahoma"/>
            <family val="2"/>
            <charset val="238"/>
          </rPr>
          <t>VLOŽTE JEDNOTKOVOU CENU ZHOTOVITELE ZA POLOŽKU</t>
        </r>
      </text>
    </comment>
    <comment ref="G201" authorId="0" shapeId="0" xr:uid="{810F9CC2-D0BB-47C5-A9B6-6D592864B532}">
      <text>
        <r>
          <rPr>
            <b/>
            <sz val="9"/>
            <color indexed="81"/>
            <rFont val="Tahoma"/>
            <family val="2"/>
            <charset val="238"/>
          </rPr>
          <t>VLOŽTE JEDNOTKOVOU CENU ZHOTOVITELE ZA POLOŽKU</t>
        </r>
      </text>
    </comment>
    <comment ref="G202" authorId="0" shapeId="0" xr:uid="{0B4460C5-2FAE-4075-AFF7-39E64AE8BA5E}">
      <text>
        <r>
          <rPr>
            <b/>
            <sz val="9"/>
            <color indexed="81"/>
            <rFont val="Tahoma"/>
            <family val="2"/>
            <charset val="238"/>
          </rPr>
          <t>VLOŽTE JEDNOTKOVOU CENU ZHOTOVITELE ZA POLOŽKU</t>
        </r>
      </text>
    </comment>
    <comment ref="G203" authorId="0" shapeId="0" xr:uid="{C422A2A6-DCD6-4BDB-A1E9-FC2873F8CE9A}">
      <text>
        <r>
          <rPr>
            <b/>
            <sz val="9"/>
            <color indexed="81"/>
            <rFont val="Tahoma"/>
            <family val="2"/>
            <charset val="238"/>
          </rPr>
          <t>VLOŽTE JEDNOTKOVOU CENU ZHOTOVITELE ZA POLOŽKU</t>
        </r>
      </text>
    </comment>
    <comment ref="G205" authorId="0" shapeId="0" xr:uid="{7DF20284-9BD1-4F9E-8569-C2295537A69F}">
      <text>
        <r>
          <rPr>
            <b/>
            <sz val="9"/>
            <color indexed="81"/>
            <rFont val="Tahoma"/>
            <family val="2"/>
            <charset val="238"/>
          </rPr>
          <t>VLOŽTE JEDNOTKOVOU CENU ZHOTOVITELE ZA POLOŽKU</t>
        </r>
      </text>
    </comment>
    <comment ref="G207" authorId="0" shapeId="0" xr:uid="{4A885279-D189-4783-B786-5F53FBFF237F}">
      <text>
        <r>
          <rPr>
            <b/>
            <sz val="9"/>
            <color indexed="81"/>
            <rFont val="Tahoma"/>
            <family val="2"/>
            <charset val="238"/>
          </rPr>
          <t>VLOŽTE JEDNOTKOVOU CENU ZHOTOVITELE ZA POLOŽKU</t>
        </r>
      </text>
    </comment>
    <comment ref="G209" authorId="0" shapeId="0" xr:uid="{F2F3BA1B-8C2D-4487-B6FF-DC1BA490004D}">
      <text>
        <r>
          <rPr>
            <b/>
            <sz val="9"/>
            <color indexed="81"/>
            <rFont val="Tahoma"/>
            <family val="2"/>
            <charset val="238"/>
          </rPr>
          <t>VLOŽTE JEDNOTKOVOU CENU ZHOTOVITELE ZA POLOŽKU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8CC96709-61D4-4FC7-B922-EBC10DBD73B5}">
      <text>
        <r>
          <rPr>
            <b/>
            <sz val="9"/>
            <color indexed="81"/>
            <rFont val="Tahoma"/>
            <family val="2"/>
            <charset val="238"/>
          </rPr>
          <t>VLOŽTE JEDNOTKOVOU CENU ZHOTOVITELE ZA POLOŽKU</t>
        </r>
      </text>
    </comment>
    <comment ref="G16" authorId="0" shapeId="0" xr:uid="{ED356D4D-66D9-4540-85FA-3D7DDAD08F6C}">
      <text>
        <r>
          <rPr>
            <b/>
            <sz val="9"/>
            <color indexed="81"/>
            <rFont val="Tahoma"/>
            <family val="2"/>
            <charset val="238"/>
          </rPr>
          <t>VLOŽTE JEDNOTKOVOU CENU ZHOTOVITELE ZA POLOŽKU</t>
        </r>
      </text>
    </comment>
    <comment ref="G19" authorId="0" shapeId="0" xr:uid="{1FC92D33-305E-462E-83F3-CBF173AAEF1F}">
      <text>
        <r>
          <rPr>
            <b/>
            <sz val="9"/>
            <color indexed="81"/>
            <rFont val="Tahoma"/>
            <family val="2"/>
            <charset val="238"/>
          </rPr>
          <t>VLOŽTE JEDNOTKOVOU CENU ZHOTOVITELE ZA POLOŽKU</t>
        </r>
      </text>
    </comment>
    <comment ref="G21" authorId="0" shapeId="0" xr:uid="{ABF8DC21-CBC1-401F-AE19-7A55D7258762}">
      <text>
        <r>
          <rPr>
            <b/>
            <sz val="9"/>
            <color indexed="81"/>
            <rFont val="Tahoma"/>
            <family val="2"/>
            <charset val="238"/>
          </rPr>
          <t>VLOŽTE JEDNOTKOVOU CENU ZHOTOVITELE ZA POLOŽKU</t>
        </r>
      </text>
    </comment>
    <comment ref="G24" authorId="0" shapeId="0" xr:uid="{11F44146-C389-4BAB-BBF0-5E5F5A7941DB}">
      <text>
        <r>
          <rPr>
            <b/>
            <sz val="9"/>
            <color indexed="81"/>
            <rFont val="Tahoma"/>
            <family val="2"/>
            <charset val="238"/>
          </rPr>
          <t>VLOŽTE JEDNOTKOVOU CENU ZHOTOVITELE ZA POLOŽKU</t>
        </r>
      </text>
    </comment>
    <comment ref="G26" authorId="0" shapeId="0" xr:uid="{8950F4BC-FEA8-43CB-87E4-3ECF0AC8054E}">
      <text>
        <r>
          <rPr>
            <b/>
            <sz val="9"/>
            <color indexed="81"/>
            <rFont val="Tahoma"/>
            <family val="2"/>
            <charset val="238"/>
          </rPr>
          <t>VLOŽTE JEDNOTKOVOU CENU ZHOTOVITELE ZA POLOŽKU</t>
        </r>
      </text>
    </comment>
    <comment ref="G28" authorId="0" shapeId="0" xr:uid="{038EF95A-1BEF-4D8C-A0EE-1453A8F35B54}">
      <text>
        <r>
          <rPr>
            <b/>
            <sz val="9"/>
            <color indexed="81"/>
            <rFont val="Tahoma"/>
            <family val="2"/>
            <charset val="238"/>
          </rPr>
          <t>VLOŽTE JEDNOTKOVOU CENU ZHOTOVITELE ZA POLOŽKU</t>
        </r>
      </text>
    </comment>
    <comment ref="G30" authorId="0" shapeId="0" xr:uid="{9E81E265-7631-4411-A151-D8AD06F66C46}">
      <text>
        <r>
          <rPr>
            <b/>
            <sz val="9"/>
            <color indexed="81"/>
            <rFont val="Tahoma"/>
            <family val="2"/>
            <charset val="238"/>
          </rPr>
          <t>VLOŽTE JEDNOTKOVOU CENU ZHOTOVITELE ZA POLOŽKU</t>
        </r>
      </text>
    </comment>
    <comment ref="G32" authorId="0" shapeId="0" xr:uid="{D57F6C9A-5176-4FF2-B886-1527B71D8CF1}">
      <text>
        <r>
          <rPr>
            <b/>
            <sz val="9"/>
            <color indexed="81"/>
            <rFont val="Tahoma"/>
            <family val="2"/>
            <charset val="238"/>
          </rPr>
          <t>VLOŽTE JEDNOTKOVOU CENU ZHOTOVITELE ZA POLOŽKU</t>
        </r>
      </text>
    </comment>
    <comment ref="G35" authorId="0" shapeId="0" xr:uid="{8F5DF170-00C5-4F6C-B4B2-8B51E171FBB6}">
      <text>
        <r>
          <rPr>
            <b/>
            <sz val="9"/>
            <color indexed="81"/>
            <rFont val="Tahoma"/>
            <family val="2"/>
            <charset val="238"/>
          </rPr>
          <t>VLOŽTE JEDNOTKOVOU CENU ZHOTOVITELE ZA POLOŽKU</t>
        </r>
      </text>
    </comment>
    <comment ref="G37" authorId="0" shapeId="0" xr:uid="{809FCD73-4F53-4748-8F84-B3C75D5D4992}">
      <text>
        <r>
          <rPr>
            <b/>
            <sz val="9"/>
            <color indexed="81"/>
            <rFont val="Tahoma"/>
            <family val="2"/>
            <charset val="238"/>
          </rPr>
          <t>VLOŽTE JEDNOTKOVOU CENU ZHOTOVITELE ZA POLOŽKU</t>
        </r>
      </text>
    </comment>
    <comment ref="G40" authorId="0" shapeId="0" xr:uid="{484029C9-DEF0-4CD3-A5FD-EFE2429EB91E}">
      <text>
        <r>
          <rPr>
            <b/>
            <sz val="9"/>
            <color indexed="81"/>
            <rFont val="Tahoma"/>
            <family val="2"/>
            <charset val="238"/>
          </rPr>
          <t>VLOŽTE JEDNOTKOVOU CENU ZHOTOVITELE ZA POLOŽKU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043FF4DA-AD2B-4987-81B1-3F919E53ED54}">
      <text>
        <r>
          <rPr>
            <b/>
            <sz val="9"/>
            <color indexed="81"/>
            <rFont val="Tahoma"/>
            <family val="2"/>
            <charset val="238"/>
          </rPr>
          <t>VLOŽTE JEDNOTKOVOU CENU ZHOTOVITELE ZA POLOŽKU</t>
        </r>
      </text>
    </comment>
    <comment ref="G15" authorId="0" shapeId="0" xr:uid="{B32B45D6-AEC9-40F1-B3B4-5CF3B287C67F}">
      <text>
        <r>
          <rPr>
            <b/>
            <sz val="9"/>
            <color indexed="81"/>
            <rFont val="Tahoma"/>
            <family val="2"/>
            <charset val="238"/>
          </rPr>
          <t>VLOŽTE JEDNOTKOVOU CENU ZHOTOVITELE ZA POLOŽKU</t>
        </r>
      </text>
    </comment>
    <comment ref="G17" authorId="0" shapeId="0" xr:uid="{48EA54EB-D4AC-4E84-9909-C1CE4E731672}">
      <text>
        <r>
          <rPr>
            <b/>
            <sz val="9"/>
            <color indexed="81"/>
            <rFont val="Tahoma"/>
            <family val="2"/>
            <charset val="238"/>
          </rPr>
          <t>VLOŽTE JEDNOTKOVOU CENU ZHOTOVITELE ZA POLOŽKU</t>
        </r>
      </text>
    </comment>
    <comment ref="G19" authorId="0" shapeId="0" xr:uid="{1A570DC8-AB05-4CD5-AB5D-209FA20D6EA5}">
      <text>
        <r>
          <rPr>
            <b/>
            <sz val="9"/>
            <color indexed="81"/>
            <rFont val="Tahoma"/>
            <family val="2"/>
            <charset val="238"/>
          </rPr>
          <t>VLOŽTE JEDNOTKOVOU CENU ZHOTOVITELE ZA POLOŽKU</t>
        </r>
      </text>
    </comment>
    <comment ref="G21" authorId="0" shapeId="0" xr:uid="{D2AB9FF9-FB8E-4619-97DC-5E6561A90D50}">
      <text>
        <r>
          <rPr>
            <b/>
            <sz val="9"/>
            <color indexed="81"/>
            <rFont val="Tahoma"/>
            <family val="2"/>
            <charset val="238"/>
          </rPr>
          <t>VLOŽTE JEDNOTKOVOU CENU ZHOTOVITELE ZA POLOŽKU</t>
        </r>
      </text>
    </comment>
    <comment ref="G23" authorId="0" shapeId="0" xr:uid="{2CA9ADB1-C811-4C4E-9030-23AC12DF6649}">
      <text>
        <r>
          <rPr>
            <b/>
            <sz val="9"/>
            <color indexed="81"/>
            <rFont val="Tahoma"/>
            <family val="2"/>
            <charset val="238"/>
          </rPr>
          <t>VLOŽTE JEDNOTKOVOU CENU ZHOTOVITELE ZA POLOŽKU</t>
        </r>
      </text>
    </comment>
    <comment ref="G25" authorId="0" shapeId="0" xr:uid="{336CF491-D95A-4A7F-B043-54E077A3C168}">
      <text>
        <r>
          <rPr>
            <b/>
            <sz val="9"/>
            <color indexed="81"/>
            <rFont val="Tahoma"/>
            <family val="2"/>
            <charset val="238"/>
          </rPr>
          <t>VLOŽTE JEDNOTKOVOU CENU ZHOTOVITELE ZA POLOŽKU</t>
        </r>
      </text>
    </comment>
    <comment ref="G27" authorId="0" shapeId="0" xr:uid="{DCC662AB-4ADD-42EB-82D0-54CDF04A82F3}">
      <text>
        <r>
          <rPr>
            <b/>
            <sz val="9"/>
            <color indexed="81"/>
            <rFont val="Tahoma"/>
            <family val="2"/>
            <charset val="238"/>
          </rPr>
          <t>VLOŽTE JEDNOTKOVOU CENU ZHOTOVITELE ZA POLOŽKU</t>
        </r>
      </text>
    </comment>
    <comment ref="G30" authorId="0" shapeId="0" xr:uid="{C9515E8D-B60B-4521-AEE2-1AAE7D2FF3EA}">
      <text>
        <r>
          <rPr>
            <b/>
            <sz val="9"/>
            <color indexed="81"/>
            <rFont val="Tahoma"/>
            <family val="2"/>
            <charset val="238"/>
          </rPr>
          <t>VLOŽTE JEDNOTKOVOU CENU ZHOTOVITELE ZA POLOŽKU</t>
        </r>
      </text>
    </comment>
    <comment ref="G32" authorId="0" shapeId="0" xr:uid="{93CB357D-03EA-452C-A6BA-09E9994DD135}">
      <text>
        <r>
          <rPr>
            <b/>
            <sz val="9"/>
            <color indexed="81"/>
            <rFont val="Tahoma"/>
            <family val="2"/>
            <charset val="238"/>
          </rPr>
          <t>VLOŽTE JEDNOTKOVOU CENU ZHOTOVITELE ZA POLOŽKU</t>
        </r>
      </text>
    </comment>
    <comment ref="G35" authorId="0" shapeId="0" xr:uid="{1BDFD707-8A5D-4530-B51B-4B616B9DFB6A}">
      <text>
        <r>
          <rPr>
            <b/>
            <sz val="9"/>
            <color indexed="81"/>
            <rFont val="Tahoma"/>
            <family val="2"/>
            <charset val="238"/>
          </rPr>
          <t>VLOŽTE JEDNOTKOVOU CENU ZHOTOVITELE ZA POLOŽKU</t>
        </r>
      </text>
    </comment>
    <comment ref="G37" authorId="0" shapeId="0" xr:uid="{4F844C21-7A08-429D-81A2-A7F7E947C867}">
      <text>
        <r>
          <rPr>
            <b/>
            <sz val="9"/>
            <color indexed="81"/>
            <rFont val="Tahoma"/>
            <family val="2"/>
            <charset val="238"/>
          </rPr>
          <t>VLOŽTE JEDNOTKOVOU CENU ZHOTOVITELE ZA POLOŽKU</t>
        </r>
      </text>
    </comment>
    <comment ref="G39" authorId="0" shapeId="0" xr:uid="{F1769973-9A18-4E5E-943C-07DD9A1E15BA}">
      <text>
        <r>
          <rPr>
            <b/>
            <sz val="9"/>
            <color indexed="81"/>
            <rFont val="Tahoma"/>
            <family val="2"/>
            <charset val="238"/>
          </rPr>
          <t>VLOŽTE JEDNOTKOVOU CENU ZHOTOVITELE ZA POLOŽKU</t>
        </r>
      </text>
    </comment>
    <comment ref="G41" authorId="0" shapeId="0" xr:uid="{D8FE5BA6-4CA8-493E-B0C9-3724A472C346}">
      <text>
        <r>
          <rPr>
            <b/>
            <sz val="9"/>
            <color indexed="81"/>
            <rFont val="Tahoma"/>
            <family val="2"/>
            <charset val="238"/>
          </rPr>
          <t>VLOŽTE JEDNOTKOVOU CENU ZHOTOVITELE ZA POLOŽKU</t>
        </r>
      </text>
    </comment>
    <comment ref="G43" authorId="0" shapeId="0" xr:uid="{C31674B0-4090-442C-B9E8-F6D541B2AC54}">
      <text>
        <r>
          <rPr>
            <b/>
            <sz val="9"/>
            <color indexed="81"/>
            <rFont val="Tahoma"/>
            <family val="2"/>
            <charset val="238"/>
          </rPr>
          <t>VLOŽTE JEDNOTKOVOU CENU ZHOTOVITELE ZA POLOŽKU</t>
        </r>
      </text>
    </comment>
    <comment ref="G46" authorId="0" shapeId="0" xr:uid="{3E995A70-787D-4333-B410-86BC5812039D}">
      <text>
        <r>
          <rPr>
            <b/>
            <sz val="9"/>
            <color indexed="81"/>
            <rFont val="Tahoma"/>
            <family val="2"/>
            <charset val="238"/>
          </rPr>
          <t>VLOŽTE JEDNOTKOVOU CENU ZHOTOVITELE ZA POLOŽKU</t>
        </r>
      </text>
    </comment>
    <comment ref="G48" authorId="0" shapeId="0" xr:uid="{9BE995C5-31F5-4C12-B094-17D4AB1C5649}">
      <text>
        <r>
          <rPr>
            <b/>
            <sz val="9"/>
            <color indexed="81"/>
            <rFont val="Tahoma"/>
            <family val="2"/>
            <charset val="238"/>
          </rPr>
          <t>VLOŽTE JEDNOTKOVOU CENU ZHOTOVITELE ZA POLOŽKU</t>
        </r>
      </text>
    </comment>
    <comment ref="G51" authorId="0" shapeId="0" xr:uid="{F366E18D-CB05-47BF-880B-40EF0E5AC21A}">
      <text>
        <r>
          <rPr>
            <b/>
            <sz val="9"/>
            <color indexed="81"/>
            <rFont val="Tahoma"/>
            <family val="2"/>
            <charset val="238"/>
          </rPr>
          <t>VLOŽTE JEDNOTKOVOU CENU ZHOTOVITELE ZA POLOŽKU</t>
        </r>
      </text>
    </comment>
    <comment ref="G53" authorId="0" shapeId="0" xr:uid="{13653EC8-1507-4FD8-92DE-7B9DF593F69C}">
      <text>
        <r>
          <rPr>
            <b/>
            <sz val="9"/>
            <color indexed="81"/>
            <rFont val="Tahoma"/>
            <family val="2"/>
            <charset val="238"/>
          </rPr>
          <t>VLOŽTE JEDNOTKOVOU CENU ZHOTOVITELE ZA POLOŽKU</t>
        </r>
      </text>
    </comment>
    <comment ref="G55" authorId="0" shapeId="0" xr:uid="{D7EA3784-37FA-440B-B7B4-F47F663AEF05}">
      <text>
        <r>
          <rPr>
            <b/>
            <sz val="9"/>
            <color indexed="81"/>
            <rFont val="Tahoma"/>
            <family val="2"/>
            <charset val="238"/>
          </rPr>
          <t>VLOŽTE JEDNOTKOVOU CENU ZHOTOVITELE ZA POLOŽKU</t>
        </r>
      </text>
    </comment>
    <comment ref="G57" authorId="0" shapeId="0" xr:uid="{D96A2924-6728-46CC-80E2-A44DD0B7F8B1}">
      <text>
        <r>
          <rPr>
            <b/>
            <sz val="9"/>
            <color indexed="81"/>
            <rFont val="Tahoma"/>
            <family val="2"/>
            <charset val="238"/>
          </rPr>
          <t>VLOŽTE JEDNOTKOVOU CENU ZHOTOVITELE ZA POLOŽKU</t>
        </r>
      </text>
    </comment>
    <comment ref="G59" authorId="0" shapeId="0" xr:uid="{81DEBFA8-8380-4513-943A-CE461CE5ECA8}">
      <text>
        <r>
          <rPr>
            <b/>
            <sz val="9"/>
            <color indexed="81"/>
            <rFont val="Tahoma"/>
            <family val="2"/>
            <charset val="238"/>
          </rPr>
          <t>VLOŽTE JEDNOTKOVOU CENU ZHOTOVITELE ZA POLOŽKU</t>
        </r>
      </text>
    </comment>
    <comment ref="G61" authorId="0" shapeId="0" xr:uid="{D18E6999-41E6-48C7-B474-1512927700A8}">
      <text>
        <r>
          <rPr>
            <b/>
            <sz val="9"/>
            <color indexed="81"/>
            <rFont val="Tahoma"/>
            <family val="2"/>
            <charset val="238"/>
          </rPr>
          <t>VLOŽTE JEDNOTKOVOU CENU ZHOTOVITELE ZA POLOŽKU</t>
        </r>
      </text>
    </comment>
    <comment ref="G63" authorId="0" shapeId="0" xr:uid="{966B9BE1-B282-43B1-B61F-88836BB22B15}">
      <text>
        <r>
          <rPr>
            <b/>
            <sz val="9"/>
            <color indexed="81"/>
            <rFont val="Tahoma"/>
            <family val="2"/>
            <charset val="238"/>
          </rPr>
          <t>VLOŽTE JEDNOTKOVOU CENU ZHOTOVITELE ZA POLOŽKU</t>
        </r>
      </text>
    </comment>
    <comment ref="G65" authorId="0" shapeId="0" xr:uid="{B16BDC40-592D-4BFF-933C-686448BA6ACE}">
      <text>
        <r>
          <rPr>
            <b/>
            <sz val="9"/>
            <color indexed="81"/>
            <rFont val="Tahoma"/>
            <family val="2"/>
            <charset val="238"/>
          </rPr>
          <t>VLOŽTE JEDNOTKOVOU CENU ZHOTOVITELE ZA POLOŽKU</t>
        </r>
      </text>
    </comment>
    <comment ref="G67" authorId="0" shapeId="0" xr:uid="{00E4C409-6602-447C-9FB4-88DF7D1B7F9E}">
      <text>
        <r>
          <rPr>
            <b/>
            <sz val="9"/>
            <color indexed="81"/>
            <rFont val="Tahoma"/>
            <family val="2"/>
            <charset val="238"/>
          </rPr>
          <t>VLOŽTE JEDNOTKOVOU CENU ZHOTOVITELE ZA POLOŽKU</t>
        </r>
      </text>
    </comment>
    <comment ref="G69" authorId="0" shapeId="0" xr:uid="{ADD55961-9A0F-47FB-AFFE-641749594E11}">
      <text>
        <r>
          <rPr>
            <b/>
            <sz val="9"/>
            <color indexed="81"/>
            <rFont val="Tahoma"/>
            <family val="2"/>
            <charset val="238"/>
          </rPr>
          <t>VLOŽTE JEDNOTKOVOU CENU ZHOTOVITELE ZA POLOŽKU</t>
        </r>
      </text>
    </comment>
    <comment ref="G72" authorId="0" shapeId="0" xr:uid="{EFE7EFBA-E0C0-4A1B-AA15-EE033D9F7E48}">
      <text>
        <r>
          <rPr>
            <b/>
            <sz val="9"/>
            <color indexed="81"/>
            <rFont val="Tahoma"/>
            <family val="2"/>
            <charset val="238"/>
          </rPr>
          <t>VLOŽTE JEDNOTKOVOU CENU ZHOTOVITELE ZA POLOŽKU</t>
        </r>
      </text>
    </comment>
    <comment ref="G74" authorId="0" shapeId="0" xr:uid="{BD722E7A-D2AF-4736-96B2-0BC28E72C945}">
      <text>
        <r>
          <rPr>
            <b/>
            <sz val="9"/>
            <color indexed="81"/>
            <rFont val="Tahoma"/>
            <family val="2"/>
            <charset val="238"/>
          </rPr>
          <t>VLOŽTE JEDNOTKOVOU CENU ZHOTOVITELE ZA POLOŽKU</t>
        </r>
      </text>
    </comment>
    <comment ref="G76" authorId="0" shapeId="0" xr:uid="{3ED1BCDD-520F-4C1B-B821-69ACE30F8FA3}">
      <text>
        <r>
          <rPr>
            <b/>
            <sz val="9"/>
            <color indexed="81"/>
            <rFont val="Tahoma"/>
            <family val="2"/>
            <charset val="238"/>
          </rPr>
          <t>VLOŽTE JEDNOTKOVOU CENU ZHOTOVITELE ZA POLOŽKU</t>
        </r>
      </text>
    </comment>
    <comment ref="G79" authorId="0" shapeId="0" xr:uid="{EDBAC5EE-4EE1-4B41-A47E-D469C7F3019C}">
      <text>
        <r>
          <rPr>
            <b/>
            <sz val="9"/>
            <color indexed="81"/>
            <rFont val="Tahoma"/>
            <family val="2"/>
            <charset val="238"/>
          </rPr>
          <t>VLOŽTE JEDNOTKOVOU CENU ZHOTOVITELE ZA POLOŽKU</t>
        </r>
      </text>
    </comment>
    <comment ref="G82" authorId="0" shapeId="0" xr:uid="{6FE87F24-BE08-45C1-8689-EA751C9DAC3A}">
      <text>
        <r>
          <rPr>
            <b/>
            <sz val="9"/>
            <color indexed="81"/>
            <rFont val="Tahoma"/>
            <family val="2"/>
            <charset val="238"/>
          </rPr>
          <t>VLOŽTE JEDNOTKOVOU CENU ZHOTOVITELE ZA POLOŽKU</t>
        </r>
      </text>
    </comment>
    <comment ref="G84" authorId="0" shapeId="0" xr:uid="{1C86B33F-BDC8-45C1-8453-7585A16AE50B}">
      <text>
        <r>
          <rPr>
            <b/>
            <sz val="9"/>
            <color indexed="81"/>
            <rFont val="Tahoma"/>
            <family val="2"/>
            <charset val="238"/>
          </rPr>
          <t>VLOŽTE JEDNOTKOVOU CENU ZHOTOVITELE ZA POLOŽKU</t>
        </r>
      </text>
    </comment>
    <comment ref="G87" authorId="0" shapeId="0" xr:uid="{80E04E66-37B0-401B-B0EA-0ED007FE3774}">
      <text>
        <r>
          <rPr>
            <b/>
            <sz val="9"/>
            <color indexed="81"/>
            <rFont val="Tahoma"/>
            <family val="2"/>
            <charset val="238"/>
          </rPr>
          <t>VLOŽTE JEDNOTKOVOU CENU ZHOTOVITELE ZA POLOŽKU</t>
        </r>
      </text>
    </comment>
    <comment ref="G89" authorId="0" shapeId="0" xr:uid="{B4C50C9A-F81F-4E75-A625-1776E8730DC5}">
      <text>
        <r>
          <rPr>
            <b/>
            <sz val="9"/>
            <color indexed="81"/>
            <rFont val="Tahoma"/>
            <family val="2"/>
            <charset val="238"/>
          </rPr>
          <t>VLOŽTE JEDNOTKOVOU CENU ZHOTOVITELE ZA POLOŽKU</t>
        </r>
      </text>
    </comment>
    <comment ref="G92" authorId="0" shapeId="0" xr:uid="{B928A177-AFA1-486B-98B4-DBE4557E3C78}">
      <text>
        <r>
          <rPr>
            <b/>
            <sz val="9"/>
            <color indexed="81"/>
            <rFont val="Tahoma"/>
            <family val="2"/>
            <charset val="238"/>
          </rPr>
          <t>VLOŽTE JEDNOTKOVOU CENU ZHOTOVITELE ZA POLOŽKU</t>
        </r>
      </text>
    </comment>
    <comment ref="G95" authorId="0" shapeId="0" xr:uid="{52A33EA5-694C-4EF6-9BA7-0662A72DE22B}">
      <text>
        <r>
          <rPr>
            <b/>
            <sz val="9"/>
            <color indexed="81"/>
            <rFont val="Tahoma"/>
            <family val="2"/>
            <charset val="238"/>
          </rPr>
          <t>VLOŽTE JEDNOTKOVOU CENU ZHOTOVITELE ZA POLOŽKU</t>
        </r>
      </text>
    </comment>
    <comment ref="G97" authorId="0" shapeId="0" xr:uid="{6889C9EA-438A-4A2C-B45A-58337E4DE9F5}">
      <text>
        <r>
          <rPr>
            <b/>
            <sz val="9"/>
            <color indexed="81"/>
            <rFont val="Tahoma"/>
            <family val="2"/>
            <charset val="238"/>
          </rPr>
          <t>VLOŽTE JEDNOTKOVOU CENU ZHOTOVITELE ZA POLOŽKU</t>
        </r>
      </text>
    </comment>
    <comment ref="G99" authorId="0" shapeId="0" xr:uid="{15D79569-DE58-4491-B4E7-6F8A76C24C1F}">
      <text>
        <r>
          <rPr>
            <b/>
            <sz val="9"/>
            <color indexed="81"/>
            <rFont val="Tahoma"/>
            <family val="2"/>
            <charset val="238"/>
          </rPr>
          <t>VLOŽTE JEDNOTKOVOU CENU ZHOTOVITELE ZA POLOŽKU</t>
        </r>
      </text>
    </comment>
    <comment ref="G101" authorId="0" shapeId="0" xr:uid="{F5E96F94-6532-46FD-965F-5CC06D4A6B44}">
      <text>
        <r>
          <rPr>
            <b/>
            <sz val="9"/>
            <color indexed="81"/>
            <rFont val="Tahoma"/>
            <family val="2"/>
            <charset val="238"/>
          </rPr>
          <t>VLOŽTE JEDNOTKOVOU CENU ZHOTOVITELE ZA POLOŽKU</t>
        </r>
      </text>
    </comment>
    <comment ref="G103" authorId="0" shapeId="0" xr:uid="{96673211-3654-4CA4-BB33-3FABA608E579}">
      <text>
        <r>
          <rPr>
            <b/>
            <sz val="9"/>
            <color indexed="81"/>
            <rFont val="Tahoma"/>
            <family val="2"/>
            <charset val="238"/>
          </rPr>
          <t>VLOŽTE JEDNOTKOVOU CENU ZHOTOVITELE ZA POLOŽKU</t>
        </r>
      </text>
    </comment>
    <comment ref="G105" authorId="0" shapeId="0" xr:uid="{23171494-CD53-4740-8942-6B6BC71AD605}">
      <text>
        <r>
          <rPr>
            <b/>
            <sz val="9"/>
            <color indexed="81"/>
            <rFont val="Tahoma"/>
            <family val="2"/>
            <charset val="238"/>
          </rPr>
          <t>VLOŽTE JEDNOTKOVOU CENU ZHOTOVITELE ZA POLOŽKU</t>
        </r>
      </text>
    </comment>
    <comment ref="G107" authorId="0" shapeId="0" xr:uid="{C4DDBF6B-4A2F-41FA-BD8A-4E6C0B0AA0C2}">
      <text>
        <r>
          <rPr>
            <b/>
            <sz val="9"/>
            <color indexed="81"/>
            <rFont val="Tahoma"/>
            <family val="2"/>
            <charset val="238"/>
          </rPr>
          <t>VLOŽTE JEDNOTKOVOU CENU ZHOTOVITELE ZA POLOŽKU</t>
        </r>
      </text>
    </comment>
    <comment ref="G109" authorId="0" shapeId="0" xr:uid="{79375647-BAEA-4A3B-89F8-A1BB1FDD26E3}">
      <text>
        <r>
          <rPr>
            <b/>
            <sz val="9"/>
            <color indexed="81"/>
            <rFont val="Tahoma"/>
            <family val="2"/>
            <charset val="238"/>
          </rPr>
          <t>VLOŽTE JEDNOTKOVOU CENU ZHOTOVITELE ZA POLOŽKU</t>
        </r>
      </text>
    </comment>
    <comment ref="G111" authorId="0" shapeId="0" xr:uid="{ACC41E7E-CE37-424E-AB03-7D5D32DC442A}">
      <text>
        <r>
          <rPr>
            <b/>
            <sz val="9"/>
            <color indexed="81"/>
            <rFont val="Tahoma"/>
            <family val="2"/>
            <charset val="238"/>
          </rPr>
          <t>VLOŽTE JEDNOTKOVOU CENU ZHOTOVITELE ZA POLOŽKU</t>
        </r>
      </text>
    </comment>
    <comment ref="G113" authorId="0" shapeId="0" xr:uid="{B6F4F70B-5E55-4638-B07A-00EE3C0ECB4B}">
      <text>
        <r>
          <rPr>
            <b/>
            <sz val="9"/>
            <color indexed="81"/>
            <rFont val="Tahoma"/>
            <family val="2"/>
            <charset val="238"/>
          </rPr>
          <t>VLOŽTE JEDNOTKOVOU CENU ZHOTOVITELE ZA POLOŽKU</t>
        </r>
      </text>
    </comment>
    <comment ref="G115" authorId="0" shapeId="0" xr:uid="{2D13E3DE-B041-4788-8B8B-2F3516703934}">
      <text>
        <r>
          <rPr>
            <b/>
            <sz val="9"/>
            <color indexed="81"/>
            <rFont val="Tahoma"/>
            <family val="2"/>
            <charset val="238"/>
          </rPr>
          <t>VLOŽTE JEDNOTKOVOU CENU ZHOTOVITELE ZA POLOŽKU</t>
        </r>
      </text>
    </comment>
    <comment ref="G118" authorId="0" shapeId="0" xr:uid="{C30CD942-2F25-4EE8-B0E2-68A996060A55}">
      <text>
        <r>
          <rPr>
            <b/>
            <sz val="9"/>
            <color indexed="81"/>
            <rFont val="Tahoma"/>
            <family val="2"/>
            <charset val="238"/>
          </rPr>
          <t>VLOŽTE JEDNOTKOVOU CENU ZHOTOVITELE ZA POLOŽKU</t>
        </r>
      </text>
    </comment>
    <comment ref="G120" authorId="0" shapeId="0" xr:uid="{28DA9815-AE88-42CD-BCB8-818994009EB5}">
      <text>
        <r>
          <rPr>
            <b/>
            <sz val="9"/>
            <color indexed="81"/>
            <rFont val="Tahoma"/>
            <family val="2"/>
            <charset val="238"/>
          </rPr>
          <t>VLOŽTE JEDNOTKOVOU CENU ZHOTOVITELE ZA POLOŽKU</t>
        </r>
      </text>
    </comment>
    <comment ref="G123" authorId="0" shapeId="0" xr:uid="{5DE4E843-FBAD-403E-B582-EA861DC9B3E2}">
      <text>
        <r>
          <rPr>
            <b/>
            <sz val="9"/>
            <color indexed="81"/>
            <rFont val="Tahoma"/>
            <family val="2"/>
            <charset val="238"/>
          </rPr>
          <t>VLOŽTE JEDNOTKOVOU CENU ZHOTOVITELE ZA POLOŽKU</t>
        </r>
      </text>
    </comment>
    <comment ref="G126" authorId="0" shapeId="0" xr:uid="{CF127619-735A-4C65-B561-513BD006B486}">
      <text>
        <r>
          <rPr>
            <b/>
            <sz val="9"/>
            <color indexed="81"/>
            <rFont val="Tahoma"/>
            <family val="2"/>
            <charset val="238"/>
          </rPr>
          <t>VLOŽTE JEDNOTKOVOU CENU ZHOTOVITELE ZA POLOŽKU</t>
        </r>
      </text>
    </comment>
    <comment ref="G129" authorId="0" shapeId="0" xr:uid="{1ADF5463-9A23-4404-8FA2-AB47101D198F}">
      <text>
        <r>
          <rPr>
            <b/>
            <sz val="9"/>
            <color indexed="81"/>
            <rFont val="Tahoma"/>
            <family val="2"/>
            <charset val="238"/>
          </rPr>
          <t>VLOŽTE JEDNOTKOVOU CENU ZHOTOVITELE ZA POLOŽKU</t>
        </r>
      </text>
    </comment>
    <comment ref="G132" authorId="0" shapeId="0" xr:uid="{7DCC864E-100A-4A8A-B103-97ABE357D407}">
      <text>
        <r>
          <rPr>
            <b/>
            <sz val="9"/>
            <color indexed="81"/>
            <rFont val="Tahoma"/>
            <family val="2"/>
            <charset val="238"/>
          </rPr>
          <t>VLOŽTE JEDNOTKOVOU CENU ZHOTOVITELE ZA POLOŽKU</t>
        </r>
      </text>
    </comment>
    <comment ref="G134" authorId="0" shapeId="0" xr:uid="{30A26781-94FB-46CE-90BB-926EA2A6BE53}">
      <text>
        <r>
          <rPr>
            <b/>
            <sz val="9"/>
            <color indexed="81"/>
            <rFont val="Tahoma"/>
            <family val="2"/>
            <charset val="238"/>
          </rPr>
          <t>VLOŽTE JEDNOTKOVOU CENU ZHOTOVITELE ZA POLOŽKU</t>
        </r>
      </text>
    </comment>
    <comment ref="G136" authorId="0" shapeId="0" xr:uid="{6BB956D8-613B-491E-B8B9-E4F59539E03A}">
      <text>
        <r>
          <rPr>
            <b/>
            <sz val="9"/>
            <color indexed="81"/>
            <rFont val="Tahoma"/>
            <family val="2"/>
            <charset val="238"/>
          </rPr>
          <t>VLOŽTE JEDNOTKOVOU CENU ZHOTOVITELE ZA POLOŽKU</t>
        </r>
      </text>
    </comment>
    <comment ref="G139" authorId="0" shapeId="0" xr:uid="{DA21E123-32CC-4629-9715-0B3C1029F5E7}">
      <text>
        <r>
          <rPr>
            <b/>
            <sz val="9"/>
            <color indexed="81"/>
            <rFont val="Tahoma"/>
            <family val="2"/>
            <charset val="238"/>
          </rPr>
          <t>VLOŽTE JEDNOTKOVOU CENU ZHOTOVITELE ZA POLOŽKU</t>
        </r>
      </text>
    </comment>
    <comment ref="G142" authorId="0" shapeId="0" xr:uid="{A193C3F5-D7E4-4AB4-8D72-0347F8B6C0F0}">
      <text>
        <r>
          <rPr>
            <b/>
            <sz val="9"/>
            <color indexed="81"/>
            <rFont val="Tahoma"/>
            <family val="2"/>
            <charset val="238"/>
          </rPr>
          <t>VLOŽTE JEDNOTKOVOU CENU ZHOTOVITELE ZA POLOŽKU</t>
        </r>
      </text>
    </comment>
    <comment ref="G145" authorId="0" shapeId="0" xr:uid="{EF424746-BBBA-414D-B845-042E6BA1A0B7}">
      <text>
        <r>
          <rPr>
            <b/>
            <sz val="9"/>
            <color indexed="81"/>
            <rFont val="Tahoma"/>
            <family val="2"/>
            <charset val="238"/>
          </rPr>
          <t>VLOŽTE JEDNOTKOVOU CENU ZHOTOVITELE ZA POLOŽKU</t>
        </r>
      </text>
    </comment>
    <comment ref="G146" authorId="0" shapeId="0" xr:uid="{B188466B-C68A-4BD8-955C-D053EF9410E7}">
      <text>
        <r>
          <rPr>
            <b/>
            <sz val="9"/>
            <color indexed="81"/>
            <rFont val="Tahoma"/>
            <family val="2"/>
            <charset val="238"/>
          </rPr>
          <t>VLOŽTE JEDNOTKOVOU CENU ZHOTOVITELE ZA POLOŽKU</t>
        </r>
      </text>
    </comment>
    <comment ref="G148" authorId="0" shapeId="0" xr:uid="{E921D801-6A1C-4EA8-8402-2153A11AD109}">
      <text>
        <r>
          <rPr>
            <b/>
            <sz val="9"/>
            <color indexed="81"/>
            <rFont val="Tahoma"/>
            <family val="2"/>
            <charset val="238"/>
          </rPr>
          <t>VLOŽTE JEDNOTKOVOU CENU ZHOTOVITELE ZA POLOŽKU</t>
        </r>
      </text>
    </comment>
    <comment ref="G150" authorId="0" shapeId="0" xr:uid="{687EC371-B305-48A6-9AD7-874C190AFC4F}">
      <text>
        <r>
          <rPr>
            <b/>
            <sz val="9"/>
            <color indexed="81"/>
            <rFont val="Tahoma"/>
            <family val="2"/>
            <charset val="238"/>
          </rPr>
          <t>VLOŽTE JEDNOTKOVOU CENU ZHOTOVITELE ZA POLOŽKU</t>
        </r>
      </text>
    </comment>
    <comment ref="G151" authorId="0" shapeId="0" xr:uid="{786D123A-2FBA-4783-BE13-B9AF725BEE94}">
      <text>
        <r>
          <rPr>
            <b/>
            <sz val="9"/>
            <color indexed="81"/>
            <rFont val="Tahoma"/>
            <family val="2"/>
            <charset val="238"/>
          </rPr>
          <t>VLOŽTE JEDNOTKOVOU CENU ZHOTOVITELE ZA POLOŽKU</t>
        </r>
      </text>
    </comment>
    <comment ref="G153" authorId="0" shapeId="0" xr:uid="{FB4C163C-7F3C-49D3-9CAE-85AF78A5CE21}">
      <text>
        <r>
          <rPr>
            <b/>
            <sz val="9"/>
            <color indexed="81"/>
            <rFont val="Tahoma"/>
            <family val="2"/>
            <charset val="238"/>
          </rPr>
          <t>VLOŽTE JEDNOTKOVOU CENU ZHOTOVITELE ZA POLOŽKU</t>
        </r>
      </text>
    </comment>
    <comment ref="G155" authorId="0" shapeId="0" xr:uid="{A995FCB5-0C66-4B81-A2A1-0EE2FABF4BA1}">
      <text>
        <r>
          <rPr>
            <b/>
            <sz val="9"/>
            <color indexed="81"/>
            <rFont val="Tahoma"/>
            <family val="2"/>
            <charset val="238"/>
          </rPr>
          <t>VLOŽTE JEDNOTKOVOU CENU ZHOTOVITELE ZA POLOŽKU</t>
        </r>
      </text>
    </comment>
    <comment ref="G156" authorId="0" shapeId="0" xr:uid="{F9F7ED02-189F-4ADA-9851-9BD49747AFC5}">
      <text>
        <r>
          <rPr>
            <b/>
            <sz val="9"/>
            <color indexed="81"/>
            <rFont val="Tahoma"/>
            <family val="2"/>
            <charset val="238"/>
          </rPr>
          <t>VLOŽTE JEDNOTKOVOU CENU ZHOTOVITELE ZA POLOŽKU</t>
        </r>
      </text>
    </comment>
    <comment ref="G158" authorId="0" shapeId="0" xr:uid="{876F0820-1EAF-48F8-96CC-36FB2E46F5FB}">
      <text>
        <r>
          <rPr>
            <b/>
            <sz val="9"/>
            <color indexed="81"/>
            <rFont val="Tahoma"/>
            <family val="2"/>
            <charset val="238"/>
          </rPr>
          <t>VLOŽTE JEDNOTKOVOU CENU ZHOTOVITELE ZA POLOŽKU</t>
        </r>
      </text>
    </comment>
    <comment ref="G160" authorId="0" shapeId="0" xr:uid="{EBC89F39-21B2-452C-BA49-23C24FF77AD2}">
      <text>
        <r>
          <rPr>
            <b/>
            <sz val="9"/>
            <color indexed="81"/>
            <rFont val="Tahoma"/>
            <family val="2"/>
            <charset val="238"/>
          </rPr>
          <t>VLOŽTE JEDNOTKOVOU CENU ZHOTOVITELE ZA POLOŽKU</t>
        </r>
      </text>
    </comment>
    <comment ref="G162" authorId="0" shapeId="0" xr:uid="{A9DF1DAD-6291-4583-8109-789B60745069}">
      <text>
        <r>
          <rPr>
            <b/>
            <sz val="9"/>
            <color indexed="81"/>
            <rFont val="Tahoma"/>
            <family val="2"/>
            <charset val="238"/>
          </rPr>
          <t>VLOŽTE JEDNOTKOVOU CENU ZHOTOVITELE ZA POLOŽKU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DAC44CAE-2277-475A-8C6D-E4C0CC502335}">
      <text>
        <r>
          <rPr>
            <b/>
            <sz val="9"/>
            <color indexed="81"/>
            <rFont val="Tahoma"/>
            <family val="2"/>
            <charset val="238"/>
          </rPr>
          <t>VLOŽTE JEDNOTKOVOU CENU ZHOTOVITELE ZA POLOŽKU</t>
        </r>
      </text>
    </comment>
    <comment ref="G16" authorId="0" shapeId="0" xr:uid="{BC011141-8E77-4BA4-B612-275988934392}">
      <text>
        <r>
          <rPr>
            <b/>
            <sz val="9"/>
            <color indexed="81"/>
            <rFont val="Tahoma"/>
            <family val="2"/>
            <charset val="238"/>
          </rPr>
          <t>VLOŽTE JEDNOTKOVOU CENU ZHOTOVITELE ZA POLOŽKU</t>
        </r>
      </text>
    </comment>
    <comment ref="G18" authorId="0" shapeId="0" xr:uid="{E3C981E4-E0DC-41B1-9E31-95CE277B2228}">
      <text>
        <r>
          <rPr>
            <b/>
            <sz val="9"/>
            <color indexed="81"/>
            <rFont val="Tahoma"/>
            <family val="2"/>
            <charset val="238"/>
          </rPr>
          <t>VLOŽTE JEDNOTKOVOU CENU ZHOTOVITELE ZA POLOŽKU</t>
        </r>
      </text>
    </comment>
    <comment ref="G20" authorId="0" shapeId="0" xr:uid="{3C3E1B46-1DBC-4746-86CB-996E942F69F1}">
      <text>
        <r>
          <rPr>
            <b/>
            <sz val="9"/>
            <color indexed="81"/>
            <rFont val="Tahoma"/>
            <family val="2"/>
            <charset val="238"/>
          </rPr>
          <t>VLOŽTE JEDNOTKOVOU CENU ZHOTOVITELE ZA POLOŽKU</t>
        </r>
      </text>
    </comment>
    <comment ref="G22" authorId="0" shapeId="0" xr:uid="{8E573F35-92E2-4467-BD2F-0B660BBDBA8D}">
      <text>
        <r>
          <rPr>
            <b/>
            <sz val="9"/>
            <color indexed="81"/>
            <rFont val="Tahoma"/>
            <family val="2"/>
            <charset val="238"/>
          </rPr>
          <t>VLOŽTE JEDNOTKOVOU CENU ZHOTOVITELE ZA POLOŽKU</t>
        </r>
      </text>
    </comment>
    <comment ref="G24" authorId="0" shapeId="0" xr:uid="{E4D08712-DE42-47BB-99F4-170797538DFC}">
      <text>
        <r>
          <rPr>
            <b/>
            <sz val="9"/>
            <color indexed="81"/>
            <rFont val="Tahoma"/>
            <family val="2"/>
            <charset val="238"/>
          </rPr>
          <t>VLOŽTE JEDNOTKOVOU CENU ZHOTOVITELE ZA POLOŽKU</t>
        </r>
      </text>
    </comment>
    <comment ref="G26" authorId="0" shapeId="0" xr:uid="{A36E9E89-54E1-4882-A004-2AD937ECDE0F}">
      <text>
        <r>
          <rPr>
            <b/>
            <sz val="9"/>
            <color indexed="81"/>
            <rFont val="Tahoma"/>
            <family val="2"/>
            <charset val="238"/>
          </rPr>
          <t>VLOŽTE JEDNOTKOVOU CENU ZHOTOVITELE ZA POLOŽKU</t>
        </r>
      </text>
    </comment>
    <comment ref="G28" authorId="0" shapeId="0" xr:uid="{4A94A74D-5121-46E8-9E07-5891A11D1652}">
      <text>
        <r>
          <rPr>
            <b/>
            <sz val="9"/>
            <color indexed="81"/>
            <rFont val="Tahoma"/>
            <family val="2"/>
            <charset val="238"/>
          </rPr>
          <t>VLOŽTE JEDNOTKOVOU CENU ZHOTOVITELE ZA POLOŽKU</t>
        </r>
      </text>
    </comment>
    <comment ref="G30" authorId="0" shapeId="0" xr:uid="{57654D11-60F1-4241-A8E3-3DE73A38C466}">
      <text>
        <r>
          <rPr>
            <b/>
            <sz val="9"/>
            <color indexed="81"/>
            <rFont val="Tahoma"/>
            <family val="2"/>
            <charset val="238"/>
          </rPr>
          <t>VLOŽTE JEDNOTKOVOU CENU ZHOTOVITELE ZA POLOŽKU</t>
        </r>
      </text>
    </comment>
    <comment ref="G33" authorId="0" shapeId="0" xr:uid="{8D82076E-B3EF-46D4-8410-753D1568C678}">
      <text>
        <r>
          <rPr>
            <b/>
            <sz val="9"/>
            <color indexed="81"/>
            <rFont val="Tahoma"/>
            <family val="2"/>
            <charset val="238"/>
          </rPr>
          <t>VLOŽTE JEDNOTKOVOU CENU ZHOTOVITELE ZA POLOŽKU</t>
        </r>
      </text>
    </comment>
    <comment ref="G36" authorId="0" shapeId="0" xr:uid="{04EE4463-7B36-49CC-843D-FC76965EDBB5}">
      <text>
        <r>
          <rPr>
            <b/>
            <sz val="9"/>
            <color indexed="81"/>
            <rFont val="Tahoma"/>
            <family val="2"/>
            <charset val="238"/>
          </rPr>
          <t>VLOŽTE JEDNOTKOVOU CENU ZHOTOVITELE ZA POLOŽKU</t>
        </r>
      </text>
    </comment>
    <comment ref="G38" authorId="0" shapeId="0" xr:uid="{FB62967F-204B-4DCC-8B3B-A5E87BF74776}">
      <text>
        <r>
          <rPr>
            <b/>
            <sz val="9"/>
            <color indexed="81"/>
            <rFont val="Tahoma"/>
            <family val="2"/>
            <charset val="238"/>
          </rPr>
          <t>VLOŽTE JEDNOTKOVOU CENU ZHOTOVITELE ZA POLOŽKU</t>
        </r>
      </text>
    </comment>
    <comment ref="G40" authorId="0" shapeId="0" xr:uid="{4A103986-D92E-44A7-971C-8292720FEC51}">
      <text>
        <r>
          <rPr>
            <b/>
            <sz val="9"/>
            <color indexed="81"/>
            <rFont val="Tahoma"/>
            <family val="2"/>
            <charset val="238"/>
          </rPr>
          <t>VLOŽTE JEDNOTKOVOU CENU ZHOTOVITELE ZA POLOŽKU</t>
        </r>
      </text>
    </comment>
    <comment ref="G42" authorId="0" shapeId="0" xr:uid="{9280DE37-C189-4FD5-ADC8-CF74D0F33BBE}">
      <text>
        <r>
          <rPr>
            <b/>
            <sz val="9"/>
            <color indexed="81"/>
            <rFont val="Tahoma"/>
            <family val="2"/>
            <charset val="238"/>
          </rPr>
          <t>VLOŽTE JEDNOTKOVOU CENU ZHOTOVITELE ZA POLOŽKU</t>
        </r>
      </text>
    </comment>
    <comment ref="G44" authorId="0" shapeId="0" xr:uid="{A6B0D42A-F36B-47BD-B0CA-8773C069157B}">
      <text>
        <r>
          <rPr>
            <b/>
            <sz val="9"/>
            <color indexed="81"/>
            <rFont val="Tahoma"/>
            <family val="2"/>
            <charset val="238"/>
          </rPr>
          <t>VLOŽTE JEDNOTKOVOU CENU ZHOTOVITELE ZA POLOŽKU</t>
        </r>
      </text>
    </comment>
    <comment ref="G46" authorId="0" shapeId="0" xr:uid="{141EF10B-7BEA-4F66-8573-75676D3747B2}">
      <text>
        <r>
          <rPr>
            <b/>
            <sz val="9"/>
            <color indexed="81"/>
            <rFont val="Tahoma"/>
            <family val="2"/>
            <charset val="238"/>
          </rPr>
          <t>VLOŽTE JEDNOTKOVOU CENU ZHOTOVITELE ZA POLOŽKU</t>
        </r>
      </text>
    </comment>
    <comment ref="G48" authorId="0" shapeId="0" xr:uid="{780FC6C7-B3DB-43A0-9624-66B04CC6E760}">
      <text>
        <r>
          <rPr>
            <b/>
            <sz val="9"/>
            <color indexed="81"/>
            <rFont val="Tahoma"/>
            <family val="2"/>
            <charset val="238"/>
          </rPr>
          <t>VLOŽTE JEDNOTKOVOU CENU ZHOTOVITELE ZA POLOŽKU</t>
        </r>
      </text>
    </comment>
    <comment ref="G50" authorId="0" shapeId="0" xr:uid="{73216988-A08A-4765-9279-E56EC4EC6263}">
      <text>
        <r>
          <rPr>
            <b/>
            <sz val="9"/>
            <color indexed="81"/>
            <rFont val="Tahoma"/>
            <family val="2"/>
            <charset val="238"/>
          </rPr>
          <t>VLOŽTE JEDNOTKOVOU CENU ZHOTOVITELE ZA POLOŽKU</t>
        </r>
      </text>
    </comment>
    <comment ref="G53" authorId="0" shapeId="0" xr:uid="{DB7CEB99-6877-4302-B9FA-610AE06E6613}">
      <text>
        <r>
          <rPr>
            <b/>
            <sz val="9"/>
            <color indexed="81"/>
            <rFont val="Tahoma"/>
            <family val="2"/>
            <charset val="238"/>
          </rPr>
          <t>VLOŽTE JEDNOTKOVOU CENU ZHOTOVITELE ZA POLOŽKU</t>
        </r>
      </text>
    </comment>
    <comment ref="G55" authorId="0" shapeId="0" xr:uid="{4EAD7DA7-81D6-48AB-A765-8CA82395151E}">
      <text>
        <r>
          <rPr>
            <b/>
            <sz val="9"/>
            <color indexed="81"/>
            <rFont val="Tahoma"/>
            <family val="2"/>
            <charset val="238"/>
          </rPr>
          <t>VLOŽTE JEDNOTKOVOU CENU ZHOTOVITELE ZA POLOŽKU</t>
        </r>
      </text>
    </comment>
    <comment ref="G58" authorId="0" shapeId="0" xr:uid="{71648247-ADAB-4883-BC56-6EB98FD61A29}">
      <text>
        <r>
          <rPr>
            <b/>
            <sz val="9"/>
            <color indexed="81"/>
            <rFont val="Tahoma"/>
            <family val="2"/>
            <charset val="238"/>
          </rPr>
          <t>VLOŽTE JEDNOTKOVOU CENU ZHOTOVITELE ZA POLOŽKU</t>
        </r>
      </text>
    </comment>
    <comment ref="G60" authorId="0" shapeId="0" xr:uid="{14755E56-6B0D-418E-B312-2BA0831347F0}">
      <text>
        <r>
          <rPr>
            <b/>
            <sz val="9"/>
            <color indexed="81"/>
            <rFont val="Tahoma"/>
            <family val="2"/>
            <charset val="238"/>
          </rPr>
          <t>VLOŽTE JEDNOTKOVOU CENU ZHOTOVITELE ZA POLOŽKU</t>
        </r>
      </text>
    </comment>
    <comment ref="G62" authorId="0" shapeId="0" xr:uid="{CAE55C53-1633-4B61-A486-F1DEF0FEB663}">
      <text>
        <r>
          <rPr>
            <b/>
            <sz val="9"/>
            <color indexed="81"/>
            <rFont val="Tahoma"/>
            <family val="2"/>
            <charset val="238"/>
          </rPr>
          <t>VLOŽTE JEDNOTKOVOU CENU ZHOTOVITELE ZA POLOŽKU</t>
        </r>
      </text>
    </comment>
    <comment ref="G64" authorId="0" shapeId="0" xr:uid="{582BA5E4-0271-46E9-8156-822C62E9F0A0}">
      <text>
        <r>
          <rPr>
            <b/>
            <sz val="9"/>
            <color indexed="81"/>
            <rFont val="Tahoma"/>
            <family val="2"/>
            <charset val="238"/>
          </rPr>
          <t>VLOŽTE JEDNOTKOVOU CENU ZHOTOVITELE ZA POLOŽKU</t>
        </r>
      </text>
    </comment>
    <comment ref="G66" authorId="0" shapeId="0" xr:uid="{9DF3A3F6-6500-4218-929D-42AEB0BC187B}">
      <text>
        <r>
          <rPr>
            <b/>
            <sz val="9"/>
            <color indexed="81"/>
            <rFont val="Tahoma"/>
            <family val="2"/>
            <charset val="238"/>
          </rPr>
          <t>VLOŽTE JEDNOTKOVOU CENU ZHOTOVITELE ZA POLOŽKU</t>
        </r>
      </text>
    </comment>
    <comment ref="G68" authorId="0" shapeId="0" xr:uid="{D78C7552-BCDD-4DFD-9754-C6A71AF52F26}">
      <text>
        <r>
          <rPr>
            <b/>
            <sz val="9"/>
            <color indexed="81"/>
            <rFont val="Tahoma"/>
            <family val="2"/>
            <charset val="238"/>
          </rPr>
          <t>VLOŽTE JEDNOTKOVOU CENU ZHOTOVITELE ZA POLOŽKU</t>
        </r>
      </text>
    </comment>
    <comment ref="G70" authorId="0" shapeId="0" xr:uid="{FA0ABD72-F645-4FBF-A6DE-664D28BD32A6}">
      <text>
        <r>
          <rPr>
            <b/>
            <sz val="9"/>
            <color indexed="81"/>
            <rFont val="Tahoma"/>
            <family val="2"/>
            <charset val="238"/>
          </rPr>
          <t>VLOŽTE JEDNOTKOVOU CENU ZHOTOVITELE ZA POLOŽKU</t>
        </r>
      </text>
    </comment>
    <comment ref="G72" authorId="0" shapeId="0" xr:uid="{3E134822-F8A4-4797-B89F-6F8ACE570AC0}">
      <text>
        <r>
          <rPr>
            <b/>
            <sz val="9"/>
            <color indexed="81"/>
            <rFont val="Tahoma"/>
            <family val="2"/>
            <charset val="238"/>
          </rPr>
          <t>VLOŽTE JEDNOTKOVOU CENU ZHOTOVITELE ZA POLOŽKU</t>
        </r>
      </text>
    </comment>
    <comment ref="G75" authorId="0" shapeId="0" xr:uid="{E4997D96-E9E1-4435-9C73-1059C11EB47B}">
      <text>
        <r>
          <rPr>
            <b/>
            <sz val="9"/>
            <color indexed="81"/>
            <rFont val="Tahoma"/>
            <family val="2"/>
            <charset val="238"/>
          </rPr>
          <t>VLOŽTE JEDNOTKOVOU CENU ZHOTOVITELE ZA POLOŽKU</t>
        </r>
      </text>
    </comment>
    <comment ref="G77" authorId="0" shapeId="0" xr:uid="{E9346135-247F-417C-A1E0-6DDB94AE2982}">
      <text>
        <r>
          <rPr>
            <b/>
            <sz val="9"/>
            <color indexed="81"/>
            <rFont val="Tahoma"/>
            <family val="2"/>
            <charset val="238"/>
          </rPr>
          <t>VLOŽTE JEDNOTKOVOU CENU ZHOTOVITELE ZA POLOŽKU</t>
        </r>
      </text>
    </comment>
    <comment ref="G78" authorId="0" shapeId="0" xr:uid="{02006234-9804-47CE-90B5-0B80EC1A2210}">
      <text>
        <r>
          <rPr>
            <b/>
            <sz val="9"/>
            <color indexed="81"/>
            <rFont val="Tahoma"/>
            <family val="2"/>
            <charset val="238"/>
          </rPr>
          <t>VLOŽTE JEDNOTKOVOU CENU ZHOTOVITELE ZA POLOŽKU</t>
        </r>
      </text>
    </comment>
    <comment ref="G81" authorId="0" shapeId="0" xr:uid="{C21BD931-B9B4-407B-8CD3-BE430809A6DE}">
      <text>
        <r>
          <rPr>
            <b/>
            <sz val="9"/>
            <color indexed="81"/>
            <rFont val="Tahoma"/>
            <family val="2"/>
            <charset val="238"/>
          </rPr>
          <t>VLOŽTE JEDNOTKOVOU CENU ZHOTOVITELE ZA POLOŽKU</t>
        </r>
      </text>
    </comment>
    <comment ref="G83" authorId="0" shapeId="0" xr:uid="{B79B41B4-CCBF-44F2-867F-31F1226205EA}">
      <text>
        <r>
          <rPr>
            <b/>
            <sz val="9"/>
            <color indexed="81"/>
            <rFont val="Tahoma"/>
            <family val="2"/>
            <charset val="238"/>
          </rPr>
          <t>VLOŽTE JEDNOTKOVOU CENU ZHOTOVITELE ZA POLOŽKU</t>
        </r>
      </text>
    </comment>
    <comment ref="G86" authorId="0" shapeId="0" xr:uid="{AEA464FC-23F6-44CA-964B-9910CAF30591}">
      <text>
        <r>
          <rPr>
            <b/>
            <sz val="9"/>
            <color indexed="81"/>
            <rFont val="Tahoma"/>
            <family val="2"/>
            <charset val="238"/>
          </rPr>
          <t>VLOŽTE JEDNOTKOVOU CENU ZHOTOVITELE ZA POLOŽKU</t>
        </r>
      </text>
    </comment>
    <comment ref="G88" authorId="0" shapeId="0" xr:uid="{28E7A906-74E9-4A50-ABAA-2D6339F4D7A9}">
      <text>
        <r>
          <rPr>
            <b/>
            <sz val="9"/>
            <color indexed="81"/>
            <rFont val="Tahoma"/>
            <family val="2"/>
            <charset val="238"/>
          </rPr>
          <t>VLOŽTE JEDNOTKOVOU CENU ZHOTOVITELE ZA POLOŽKU</t>
        </r>
      </text>
    </comment>
    <comment ref="G90" authorId="0" shapeId="0" xr:uid="{5FFBD0D3-27D3-4EAB-BBC1-2C8CC9C7BF96}">
      <text>
        <r>
          <rPr>
            <b/>
            <sz val="9"/>
            <color indexed="81"/>
            <rFont val="Tahoma"/>
            <family val="2"/>
            <charset val="238"/>
          </rPr>
          <t>VLOŽTE JEDNOTKOVOU CENU ZHOTOVITELE ZA POLOŽKU</t>
        </r>
      </text>
    </comment>
    <comment ref="G92" authorId="0" shapeId="0" xr:uid="{1ABBA58D-BDCF-49EF-981E-C8E5568DE39E}">
      <text>
        <r>
          <rPr>
            <b/>
            <sz val="9"/>
            <color indexed="81"/>
            <rFont val="Tahoma"/>
            <family val="2"/>
            <charset val="238"/>
          </rPr>
          <t>VLOŽTE JEDNOTKOVOU CENU ZHOTOVITELE ZA POLOŽKU</t>
        </r>
      </text>
    </comment>
    <comment ref="G95" authorId="0" shapeId="0" xr:uid="{BE6B16DA-27B3-4712-BB20-8AB00CC39F8A}">
      <text>
        <r>
          <rPr>
            <b/>
            <sz val="9"/>
            <color indexed="81"/>
            <rFont val="Tahoma"/>
            <family val="2"/>
            <charset val="238"/>
          </rPr>
          <t>VLOŽTE JEDNOTKOVOU CENU ZHOTOVITELE ZA POLOŽKU</t>
        </r>
      </text>
    </comment>
    <comment ref="G98" authorId="0" shapeId="0" xr:uid="{22F82604-ACAB-48A1-8DA6-A73728051776}">
      <text>
        <r>
          <rPr>
            <b/>
            <sz val="9"/>
            <color indexed="81"/>
            <rFont val="Tahoma"/>
            <family val="2"/>
            <charset val="238"/>
          </rPr>
          <t>VLOŽTE JEDNOTKOVOU CENU ZHOTOVITELE ZA POLOŽKU</t>
        </r>
      </text>
    </comment>
    <comment ref="G100" authorId="0" shapeId="0" xr:uid="{7D115C81-677A-4FD4-B16D-9088FEA44ABD}">
      <text>
        <r>
          <rPr>
            <b/>
            <sz val="9"/>
            <color indexed="81"/>
            <rFont val="Tahoma"/>
            <family val="2"/>
            <charset val="238"/>
          </rPr>
          <t>VLOŽTE JEDNOTKOVOU CENU ZHOTOVITELE ZA POLOŽKU</t>
        </r>
      </text>
    </comment>
    <comment ref="G102" authorId="0" shapeId="0" xr:uid="{79D233D0-2BD4-4B73-B16C-F8D090EC4010}">
      <text>
        <r>
          <rPr>
            <b/>
            <sz val="9"/>
            <color indexed="81"/>
            <rFont val="Tahoma"/>
            <family val="2"/>
            <charset val="238"/>
          </rPr>
          <t>VLOŽTE JEDNOTKOVOU CENU ZHOTOVITELE ZA POLOŽKU</t>
        </r>
      </text>
    </comment>
    <comment ref="G104" authorId="0" shapeId="0" xr:uid="{34380A47-6213-4219-BFBF-CC07C760B1F5}">
      <text>
        <r>
          <rPr>
            <b/>
            <sz val="9"/>
            <color indexed="81"/>
            <rFont val="Tahoma"/>
            <family val="2"/>
            <charset val="238"/>
          </rPr>
          <t>VLOŽTE JEDNOTKOVOU CENU ZHOTOVITELE ZA POLOŽKU</t>
        </r>
      </text>
    </comment>
    <comment ref="G106" authorId="0" shapeId="0" xr:uid="{88E20FD3-0F60-4D48-9618-2EED829CFB82}">
      <text>
        <r>
          <rPr>
            <b/>
            <sz val="9"/>
            <color indexed="81"/>
            <rFont val="Tahoma"/>
            <family val="2"/>
            <charset val="238"/>
          </rPr>
          <t>VLOŽTE JEDNOTKOVOU CENU ZHOTOVITELE ZA POLOŽKU</t>
        </r>
      </text>
    </comment>
    <comment ref="G108" authorId="0" shapeId="0" xr:uid="{C6AA859D-FA40-4EA5-B3F5-A6D9522392BD}">
      <text>
        <r>
          <rPr>
            <b/>
            <sz val="9"/>
            <color indexed="81"/>
            <rFont val="Tahoma"/>
            <family val="2"/>
            <charset val="238"/>
          </rPr>
          <t>VLOŽTE JEDNOTKOVOU CENU ZHOTOVITELE ZA POLOŽKU</t>
        </r>
      </text>
    </comment>
    <comment ref="G110" authorId="0" shapeId="0" xr:uid="{7DBADA58-A3CB-4B8D-B1C6-067BF1B764B4}">
      <text>
        <r>
          <rPr>
            <b/>
            <sz val="9"/>
            <color indexed="81"/>
            <rFont val="Tahoma"/>
            <family val="2"/>
            <charset val="238"/>
          </rPr>
          <t>VLOŽTE JEDNOTKOVOU CENU ZHOTOVITELE ZA POLOŽKU</t>
        </r>
      </text>
    </comment>
    <comment ref="G112" authorId="0" shapeId="0" xr:uid="{7461BD88-16E1-4A1D-9334-052BC5A7CEB5}">
      <text>
        <r>
          <rPr>
            <b/>
            <sz val="9"/>
            <color indexed="81"/>
            <rFont val="Tahoma"/>
            <family val="2"/>
            <charset val="238"/>
          </rPr>
          <t>VLOŽTE JEDNOTKOVOU CENU ZHOTOVITELE ZA POLOŽKU</t>
        </r>
      </text>
    </comment>
    <comment ref="G114" authorId="0" shapeId="0" xr:uid="{A6EB6B99-A090-46F0-AD03-1592562D25B7}">
      <text>
        <r>
          <rPr>
            <b/>
            <sz val="9"/>
            <color indexed="81"/>
            <rFont val="Tahoma"/>
            <family val="2"/>
            <charset val="238"/>
          </rPr>
          <t>VLOŽTE JEDNOTKOVOU CENU ZHOTOVITELE ZA POLOŽKU</t>
        </r>
      </text>
    </comment>
    <comment ref="G116" authorId="0" shapeId="0" xr:uid="{6FEFE23C-341B-4CFD-915A-83ADF13B1FF3}">
      <text>
        <r>
          <rPr>
            <b/>
            <sz val="9"/>
            <color indexed="81"/>
            <rFont val="Tahoma"/>
            <family val="2"/>
            <charset val="238"/>
          </rPr>
          <t>VLOŽTE JEDNOTKOVOU CENU ZHOTOVITELE ZA POLOŽKU</t>
        </r>
      </text>
    </comment>
    <comment ref="G118" authorId="0" shapeId="0" xr:uid="{21334440-4607-472C-A5D1-7470AAE164A2}">
      <text>
        <r>
          <rPr>
            <b/>
            <sz val="9"/>
            <color indexed="81"/>
            <rFont val="Tahoma"/>
            <family val="2"/>
            <charset val="238"/>
          </rPr>
          <t>VLOŽTE JEDNOTKOVOU CENU ZHOTOVITELE ZA POLOŽKU</t>
        </r>
      </text>
    </comment>
    <comment ref="G121" authorId="0" shapeId="0" xr:uid="{CF8E017D-AE70-4DA2-9773-5683E6CCBCB4}">
      <text>
        <r>
          <rPr>
            <b/>
            <sz val="9"/>
            <color indexed="81"/>
            <rFont val="Tahoma"/>
            <family val="2"/>
            <charset val="238"/>
          </rPr>
          <t>VLOŽTE JEDNOTKOVOU CENU ZHOTOVITELE ZA POLOŽKU</t>
        </r>
      </text>
    </comment>
    <comment ref="G123" authorId="0" shapeId="0" xr:uid="{6FEAA4F8-5245-429E-AE5A-8854F847D8AE}">
      <text>
        <r>
          <rPr>
            <b/>
            <sz val="9"/>
            <color indexed="81"/>
            <rFont val="Tahoma"/>
            <family val="2"/>
            <charset val="238"/>
          </rPr>
          <t>VLOŽTE JEDNOTKOVOU CENU ZHOTOVITELE ZA POLOŽKU</t>
        </r>
      </text>
    </comment>
    <comment ref="G126" authorId="0" shapeId="0" xr:uid="{D496A31C-B83E-4AED-A6AD-F50B4823F94E}">
      <text>
        <r>
          <rPr>
            <b/>
            <sz val="9"/>
            <color indexed="81"/>
            <rFont val="Tahoma"/>
            <family val="2"/>
            <charset val="238"/>
          </rPr>
          <t>VLOŽTE JEDNOTKOVOU CENU ZHOTOVITELE ZA POLOŽKU</t>
        </r>
      </text>
    </comment>
    <comment ref="G128" authorId="0" shapeId="0" xr:uid="{C6EE45BD-3B78-416B-88BF-3CE2CAC47D79}">
      <text>
        <r>
          <rPr>
            <b/>
            <sz val="9"/>
            <color indexed="81"/>
            <rFont val="Tahoma"/>
            <family val="2"/>
            <charset val="238"/>
          </rPr>
          <t>VLOŽTE JEDNOTKOVOU CENU ZHOTOVITELE ZA POLOŽKU</t>
        </r>
      </text>
    </comment>
    <comment ref="G130" authorId="0" shapeId="0" xr:uid="{1E1BAC40-2DB9-40EA-9A6E-9C4305A71BFE}">
      <text>
        <r>
          <rPr>
            <b/>
            <sz val="9"/>
            <color indexed="81"/>
            <rFont val="Tahoma"/>
            <family val="2"/>
            <charset val="238"/>
          </rPr>
          <t>VLOŽTE JEDNOTKOVOU CENU ZHOTOVITELE ZA POLOŽKU</t>
        </r>
      </text>
    </comment>
    <comment ref="G132" authorId="0" shapeId="0" xr:uid="{DAAFE3B6-E0FF-4911-8968-3362C12EAD8D}">
      <text>
        <r>
          <rPr>
            <b/>
            <sz val="9"/>
            <color indexed="81"/>
            <rFont val="Tahoma"/>
            <family val="2"/>
            <charset val="238"/>
          </rPr>
          <t>VLOŽTE JEDNOTKOVOU CENU ZHOTOVITELE ZA POLOŽKU</t>
        </r>
      </text>
    </comment>
    <comment ref="G134" authorId="0" shapeId="0" xr:uid="{642CB584-3E31-41D3-8684-BFC1E5293554}">
      <text>
        <r>
          <rPr>
            <b/>
            <sz val="9"/>
            <color indexed="81"/>
            <rFont val="Tahoma"/>
            <family val="2"/>
            <charset val="238"/>
          </rPr>
          <t>VLOŽTE JEDNOTKOVOU CENU ZHOTOVITELE ZA POLOŽKU</t>
        </r>
      </text>
    </comment>
    <comment ref="G137" authorId="0" shapeId="0" xr:uid="{4DC4B040-12F2-419A-B2E0-8D5037D3ADE2}">
      <text>
        <r>
          <rPr>
            <b/>
            <sz val="9"/>
            <color indexed="81"/>
            <rFont val="Tahoma"/>
            <family val="2"/>
            <charset val="238"/>
          </rPr>
          <t>VLOŽTE JEDNOTKOVOU CENU ZHOTOVITELE ZA POLOŽKU</t>
        </r>
      </text>
    </comment>
    <comment ref="G139" authorId="0" shapeId="0" xr:uid="{0A82235E-6889-4532-9FA8-DB80C6F44C5C}">
      <text>
        <r>
          <rPr>
            <b/>
            <sz val="9"/>
            <color indexed="81"/>
            <rFont val="Tahoma"/>
            <family val="2"/>
            <charset val="238"/>
          </rPr>
          <t>VLOŽTE JEDNOTKOVOU CENU ZHOTOVITELE ZA POLOŽKU</t>
        </r>
      </text>
    </comment>
    <comment ref="G141" authorId="0" shapeId="0" xr:uid="{344083FC-2344-438D-91C3-5AD2C4D959A3}">
      <text>
        <r>
          <rPr>
            <b/>
            <sz val="9"/>
            <color indexed="81"/>
            <rFont val="Tahoma"/>
            <family val="2"/>
            <charset val="238"/>
          </rPr>
          <t>VLOŽTE JEDNOTKOVOU CENU ZHOTOVITELE ZA POLOŽKU</t>
        </r>
      </text>
    </comment>
    <comment ref="G143" authorId="0" shapeId="0" xr:uid="{550346E5-3409-4DB4-9341-3031B85B8069}">
      <text>
        <r>
          <rPr>
            <b/>
            <sz val="9"/>
            <color indexed="81"/>
            <rFont val="Tahoma"/>
            <family val="2"/>
            <charset val="238"/>
          </rPr>
          <t>VLOŽTE JEDNOTKOVOU CENU ZHOTOVITELE ZA POLOŽKU</t>
        </r>
      </text>
    </comment>
    <comment ref="G145" authorId="0" shapeId="0" xr:uid="{96EC4C72-B68B-4E87-9D37-3D6B5C1C28B6}">
      <text>
        <r>
          <rPr>
            <b/>
            <sz val="9"/>
            <color indexed="81"/>
            <rFont val="Tahoma"/>
            <family val="2"/>
            <charset val="238"/>
          </rPr>
          <t>VLOŽTE JEDNOTKOVOU CENU ZHOTOVITELE ZA POLOŽKU</t>
        </r>
      </text>
    </comment>
    <comment ref="G147" authorId="0" shapeId="0" xr:uid="{336D4DF8-5378-436B-9C35-87E1037BB7E1}">
      <text>
        <r>
          <rPr>
            <b/>
            <sz val="9"/>
            <color indexed="81"/>
            <rFont val="Tahoma"/>
            <family val="2"/>
            <charset val="238"/>
          </rPr>
          <t>VLOŽTE JEDNOTKOVOU CENU ZHOTOVITELE ZA POLOŽKU</t>
        </r>
      </text>
    </comment>
    <comment ref="G149" authorId="0" shapeId="0" xr:uid="{16A0F478-511E-4B00-9FFC-DED48B17645F}">
      <text>
        <r>
          <rPr>
            <b/>
            <sz val="9"/>
            <color indexed="81"/>
            <rFont val="Tahoma"/>
            <family val="2"/>
            <charset val="238"/>
          </rPr>
          <t>VLOŽTE JEDNOTKOVOU CENU ZHOTOVITELE ZA POLOŽKU</t>
        </r>
      </text>
    </comment>
    <comment ref="G151" authorId="0" shapeId="0" xr:uid="{1AC7FFAF-7914-4BB0-A546-FBA9CDED131B}">
      <text>
        <r>
          <rPr>
            <b/>
            <sz val="9"/>
            <color indexed="81"/>
            <rFont val="Tahoma"/>
            <family val="2"/>
            <charset val="238"/>
          </rPr>
          <t>VLOŽTE JEDNOTKOVOU CENU ZHOTOVITELE ZA POLOŽKU</t>
        </r>
      </text>
    </comment>
    <comment ref="G153" authorId="0" shapeId="0" xr:uid="{00D8735E-07D6-4E1A-A3BE-B3E47123BCCE}">
      <text>
        <r>
          <rPr>
            <b/>
            <sz val="9"/>
            <color indexed="81"/>
            <rFont val="Tahoma"/>
            <family val="2"/>
            <charset val="238"/>
          </rPr>
          <t>VLOŽTE JEDNOTKOVOU CENU ZHOTOVITELE ZA POLOŽKU</t>
        </r>
      </text>
    </comment>
    <comment ref="G155" authorId="0" shapeId="0" xr:uid="{BD7FBBE7-EB26-45EA-9772-2590D04B7C34}">
      <text>
        <r>
          <rPr>
            <b/>
            <sz val="9"/>
            <color indexed="81"/>
            <rFont val="Tahoma"/>
            <family val="2"/>
            <charset val="238"/>
          </rPr>
          <t>VLOŽTE JEDNOTKOVOU CENU ZHOTOVITELE ZA POLOŽKU</t>
        </r>
      </text>
    </comment>
    <comment ref="G157" authorId="0" shapeId="0" xr:uid="{3BB12229-EB03-4AF8-A4A5-773D22EAAFB5}">
      <text>
        <r>
          <rPr>
            <b/>
            <sz val="9"/>
            <color indexed="81"/>
            <rFont val="Tahoma"/>
            <family val="2"/>
            <charset val="238"/>
          </rPr>
          <t>VLOŽTE JEDNOTKOVOU CENU ZHOTOVITELE ZA POLOŽKU</t>
        </r>
      </text>
    </comment>
    <comment ref="G160" authorId="0" shapeId="0" xr:uid="{271050D7-28B6-41D1-8B9E-0E5844BEE921}">
      <text>
        <r>
          <rPr>
            <b/>
            <sz val="9"/>
            <color indexed="81"/>
            <rFont val="Tahoma"/>
            <family val="2"/>
            <charset val="238"/>
          </rPr>
          <t>VLOŽTE JEDNOTKOVOU CENU ZHOTOVITELE ZA POLOŽKU</t>
        </r>
      </text>
    </comment>
    <comment ref="G163" authorId="0" shapeId="0" xr:uid="{786C41F9-816C-47C1-AD57-7B5372164BA8}">
      <text>
        <r>
          <rPr>
            <b/>
            <sz val="9"/>
            <color indexed="81"/>
            <rFont val="Tahoma"/>
            <family val="2"/>
            <charset val="238"/>
          </rPr>
          <t>VLOŽTE JEDNOTKOVOU CENU ZHOTOVITELE ZA POLOŽKU</t>
        </r>
      </text>
    </comment>
    <comment ref="G166" authorId="0" shapeId="0" xr:uid="{DA1D349F-4ABC-45BE-90D8-79967969075F}">
      <text>
        <r>
          <rPr>
            <b/>
            <sz val="9"/>
            <color indexed="81"/>
            <rFont val="Tahoma"/>
            <family val="2"/>
            <charset val="238"/>
          </rPr>
          <t>VLOŽTE JEDNOTKOVOU CENU ZHOTOVITELE ZA POLOŽKU</t>
        </r>
      </text>
    </comment>
    <comment ref="G167" authorId="0" shapeId="0" xr:uid="{58F7EE56-1B16-4071-ACC9-B3D04998D513}">
      <text>
        <r>
          <rPr>
            <b/>
            <sz val="9"/>
            <color indexed="81"/>
            <rFont val="Tahoma"/>
            <family val="2"/>
            <charset val="238"/>
          </rPr>
          <t>VLOŽTE JEDNOTKOVOU CENU ZHOTOVITELE ZA POLOŽKU</t>
        </r>
      </text>
    </comment>
    <comment ref="G169" authorId="0" shapeId="0" xr:uid="{35D016D0-818D-4732-9495-46B9809D21FB}">
      <text>
        <r>
          <rPr>
            <b/>
            <sz val="9"/>
            <color indexed="81"/>
            <rFont val="Tahoma"/>
            <family val="2"/>
            <charset val="238"/>
          </rPr>
          <t>VLOŽTE JEDNOTKOVOU CENU ZHOTOVITELE ZA POLOŽKU</t>
        </r>
      </text>
    </comment>
    <comment ref="G171" authorId="0" shapeId="0" xr:uid="{F4FDBBDC-8D5C-4050-861B-74D31E91958D}">
      <text>
        <r>
          <rPr>
            <b/>
            <sz val="9"/>
            <color indexed="81"/>
            <rFont val="Tahoma"/>
            <family val="2"/>
            <charset val="238"/>
          </rPr>
          <t>VLOŽTE JEDNOTKOVOU CENU ZHOTOVITELE ZA POLOŽKU</t>
        </r>
      </text>
    </comment>
    <comment ref="G173" authorId="0" shapeId="0" xr:uid="{42F6E957-A1CF-4320-9E59-FFAAE0610C22}">
      <text>
        <r>
          <rPr>
            <b/>
            <sz val="9"/>
            <color indexed="81"/>
            <rFont val="Tahoma"/>
            <family val="2"/>
            <charset val="238"/>
          </rPr>
          <t>VLOŽTE JEDNOTKOVOU CENU ZHOTOVITELE ZA POLOŽKU</t>
        </r>
      </text>
    </comment>
    <comment ref="G174" authorId="0" shapeId="0" xr:uid="{F3D6F595-5804-4ED8-9D04-1A8C22CE1396}">
      <text>
        <r>
          <rPr>
            <b/>
            <sz val="9"/>
            <color indexed="81"/>
            <rFont val="Tahoma"/>
            <family val="2"/>
            <charset val="238"/>
          </rPr>
          <t>VLOŽTE JEDNOTKOVOU CENU ZHOTOVITELE ZA POLOŽKU</t>
        </r>
      </text>
    </comment>
    <comment ref="G175" authorId="0" shapeId="0" xr:uid="{0A451E17-3ED0-47C0-91E9-59F0C74AB9A4}">
      <text>
        <r>
          <rPr>
            <b/>
            <sz val="9"/>
            <color indexed="81"/>
            <rFont val="Tahoma"/>
            <family val="2"/>
            <charset val="238"/>
          </rPr>
          <t>VLOŽTE JEDNOTKOVOU CENU ZHOTOVITELE ZA POLOŽKU</t>
        </r>
      </text>
    </comment>
    <comment ref="G177" authorId="0" shapeId="0" xr:uid="{9405DCEA-600A-49AB-AB98-68CCB6D3381B}">
      <text>
        <r>
          <rPr>
            <b/>
            <sz val="9"/>
            <color indexed="81"/>
            <rFont val="Tahoma"/>
            <family val="2"/>
            <charset val="238"/>
          </rPr>
          <t>VLOŽTE JEDNOTKOVOU CENU ZHOTOVITELE ZA POLOŽKU</t>
        </r>
      </text>
    </comment>
    <comment ref="G179" authorId="0" shapeId="0" xr:uid="{0BCCEBA4-66A8-440C-9F5C-1FCAF44BD01C}">
      <text>
        <r>
          <rPr>
            <b/>
            <sz val="9"/>
            <color indexed="81"/>
            <rFont val="Tahoma"/>
            <family val="2"/>
            <charset val="238"/>
          </rPr>
          <t>VLOŽTE JEDNOTKOVOU CENU ZHOTOVITELE ZA POLOŽKU</t>
        </r>
      </text>
    </comment>
    <comment ref="G181" authorId="0" shapeId="0" xr:uid="{A250AB79-F0A9-4A29-A6BB-E6C3B1C9F3D6}">
      <text>
        <r>
          <rPr>
            <b/>
            <sz val="9"/>
            <color indexed="81"/>
            <rFont val="Tahoma"/>
            <family val="2"/>
            <charset val="238"/>
          </rPr>
          <t>VLOŽTE JEDNOTKOVOU CENU ZHOTOVITELE ZA POLOŽKU</t>
        </r>
      </text>
    </comment>
    <comment ref="G183" authorId="0" shapeId="0" xr:uid="{29E7BC6E-51C0-43C7-9704-50E04DFB48DD}">
      <text>
        <r>
          <rPr>
            <b/>
            <sz val="9"/>
            <color indexed="81"/>
            <rFont val="Tahoma"/>
            <family val="2"/>
            <charset val="238"/>
          </rPr>
          <t>VLOŽTE JEDNOTKOVOU CENU ZHOTOVITELE ZA POLOŽKU</t>
        </r>
      </text>
    </comment>
    <comment ref="G185" authorId="0" shapeId="0" xr:uid="{69675E1B-9570-4FD0-A277-0C14E6985E80}">
      <text>
        <r>
          <rPr>
            <b/>
            <sz val="9"/>
            <color indexed="81"/>
            <rFont val="Tahoma"/>
            <family val="2"/>
            <charset val="238"/>
          </rPr>
          <t>VLOŽTE JEDNOTKOVOU CENU ZHOTOVITELE ZA POLOŽKU</t>
        </r>
      </text>
    </comment>
    <comment ref="G187" authorId="0" shapeId="0" xr:uid="{0A60D661-D12C-43B6-85A6-664BD1F576AA}">
      <text>
        <r>
          <rPr>
            <b/>
            <sz val="9"/>
            <color indexed="81"/>
            <rFont val="Tahoma"/>
            <family val="2"/>
            <charset val="238"/>
          </rPr>
          <t>VLOŽTE JEDNOTKOVOU CENU ZHOTOVITELE ZA POLOŽKU</t>
        </r>
      </text>
    </comment>
    <comment ref="G189" authorId="0" shapeId="0" xr:uid="{66A03687-CB74-4129-85EA-FEF1A92EF9E3}">
      <text>
        <r>
          <rPr>
            <b/>
            <sz val="9"/>
            <color indexed="81"/>
            <rFont val="Tahoma"/>
            <family val="2"/>
            <charset val="238"/>
          </rPr>
          <t>VLOŽTE JEDNOTKOVOU CENU ZHOTOVITELE ZA POLOŽKU</t>
        </r>
      </text>
    </comment>
    <comment ref="G191" authorId="0" shapeId="0" xr:uid="{4CA0659E-8812-4491-AEDA-638D52714592}">
      <text>
        <r>
          <rPr>
            <b/>
            <sz val="9"/>
            <color indexed="81"/>
            <rFont val="Tahoma"/>
            <family val="2"/>
            <charset val="238"/>
          </rPr>
          <t>VLOŽTE JEDNOTKOVOU CENU ZHOTOVITELE ZA POLOŽKU</t>
        </r>
      </text>
    </comment>
    <comment ref="G192" authorId="0" shapeId="0" xr:uid="{9298E560-39E4-438C-B265-6D8A2C890D53}">
      <text>
        <r>
          <rPr>
            <b/>
            <sz val="9"/>
            <color indexed="81"/>
            <rFont val="Tahoma"/>
            <family val="2"/>
            <charset val="238"/>
          </rPr>
          <t>VLOŽTE JEDNOTKOVOU CENU ZHOTOVITELE ZA POLOŽKU</t>
        </r>
      </text>
    </comment>
    <comment ref="G193" authorId="0" shapeId="0" xr:uid="{D7BE07D0-53E8-41F7-AB41-EB8770C75BB4}">
      <text>
        <r>
          <rPr>
            <b/>
            <sz val="9"/>
            <color indexed="81"/>
            <rFont val="Tahoma"/>
            <family val="2"/>
            <charset val="238"/>
          </rPr>
          <t>VLOŽTE JEDNOTKOVOU CENU ZHOTOVITELE ZA POLOŽKU</t>
        </r>
      </text>
    </comment>
    <comment ref="G194" authorId="0" shapeId="0" xr:uid="{28D47A4B-43DE-4A1F-A8B6-388C92E71115}">
      <text>
        <r>
          <rPr>
            <b/>
            <sz val="9"/>
            <color indexed="81"/>
            <rFont val="Tahoma"/>
            <family val="2"/>
            <charset val="238"/>
          </rPr>
          <t>VLOŽTE JEDNOTKOVOU CENU ZHOTOVITELE ZA POLOŽKU</t>
        </r>
      </text>
    </comment>
    <comment ref="G195" authorId="0" shapeId="0" xr:uid="{E237B448-8C80-4F72-8F9E-10BEB8FCC8DB}">
      <text>
        <r>
          <rPr>
            <b/>
            <sz val="9"/>
            <color indexed="81"/>
            <rFont val="Tahoma"/>
            <family val="2"/>
            <charset val="238"/>
          </rPr>
          <t>VLOŽTE JEDNOTKOVOU CENU ZHOTOVITELE ZA POLOŽKU</t>
        </r>
      </text>
    </comment>
    <comment ref="G196" authorId="0" shapeId="0" xr:uid="{EF0D4E9E-23F4-4342-9CFD-240B6FF620C7}">
      <text>
        <r>
          <rPr>
            <b/>
            <sz val="9"/>
            <color indexed="81"/>
            <rFont val="Tahoma"/>
            <family val="2"/>
            <charset val="238"/>
          </rPr>
          <t>VLOŽTE JEDNOTKOVOU CENU ZHOTOVITELE ZA POLOŽKU</t>
        </r>
      </text>
    </comment>
    <comment ref="G197" authorId="0" shapeId="0" xr:uid="{88DE6C16-1188-490F-B04D-8C78EA896580}">
      <text>
        <r>
          <rPr>
            <b/>
            <sz val="9"/>
            <color indexed="81"/>
            <rFont val="Tahoma"/>
            <family val="2"/>
            <charset val="238"/>
          </rPr>
          <t>VLOŽTE JEDNOTKOVOU CENU ZHOTOVITELE ZA POLOŽKU</t>
        </r>
      </text>
    </comment>
    <comment ref="G198" authorId="0" shapeId="0" xr:uid="{6DDA044D-BE92-4E95-9F04-D1E765B11275}">
      <text>
        <r>
          <rPr>
            <b/>
            <sz val="9"/>
            <color indexed="81"/>
            <rFont val="Tahoma"/>
            <family val="2"/>
            <charset val="238"/>
          </rPr>
          <t>VLOŽTE JEDNOTKOVOU CENU ZHOTOVITELE ZA POLOŽKU</t>
        </r>
      </text>
    </comment>
    <comment ref="G199" authorId="0" shapeId="0" xr:uid="{6C5E06CA-532C-48B9-AFC9-BA7A252B7373}">
      <text>
        <r>
          <rPr>
            <b/>
            <sz val="9"/>
            <color indexed="81"/>
            <rFont val="Tahoma"/>
            <family val="2"/>
            <charset val="238"/>
          </rPr>
          <t>VLOŽTE JEDNOTKOVOU CENU ZHOTOVITELE ZA POLOŽKU</t>
        </r>
      </text>
    </comment>
    <comment ref="G200" authorId="0" shapeId="0" xr:uid="{4394FAEC-41E2-445C-B627-BBA8487D14F2}">
      <text>
        <r>
          <rPr>
            <b/>
            <sz val="9"/>
            <color indexed="81"/>
            <rFont val="Tahoma"/>
            <family val="2"/>
            <charset val="238"/>
          </rPr>
          <t>VLOŽTE JEDNOTKOVOU CENU ZHOTOVITELE ZA POLOŽKU</t>
        </r>
      </text>
    </comment>
    <comment ref="G201" authorId="0" shapeId="0" xr:uid="{D2617C45-6261-4E88-9E1C-A451403DB0A3}">
      <text>
        <r>
          <rPr>
            <b/>
            <sz val="9"/>
            <color indexed="81"/>
            <rFont val="Tahoma"/>
            <family val="2"/>
            <charset val="238"/>
          </rPr>
          <t>VLOŽTE JEDNOTKOVOU CENU ZHOTOVITELE ZA POLOŽKU</t>
        </r>
      </text>
    </comment>
    <comment ref="G202" authorId="0" shapeId="0" xr:uid="{B9BB8942-46D5-48DC-B5E1-311720EEEA3F}">
      <text>
        <r>
          <rPr>
            <b/>
            <sz val="9"/>
            <color indexed="81"/>
            <rFont val="Tahoma"/>
            <family val="2"/>
            <charset val="238"/>
          </rPr>
          <t>VLOŽTE JEDNOTKOVOU CENU ZHOTOVITELE ZA POLOŽKU</t>
        </r>
      </text>
    </comment>
    <comment ref="G204" authorId="0" shapeId="0" xr:uid="{DC87FC08-5444-4C54-B453-8C25B080CD6B}">
      <text>
        <r>
          <rPr>
            <b/>
            <sz val="9"/>
            <color indexed="81"/>
            <rFont val="Tahoma"/>
            <family val="2"/>
            <charset val="238"/>
          </rPr>
          <t>VLOŽTE JEDNOTKOVOU CENU ZHOTOVITELE ZA POLOŽKU</t>
        </r>
      </text>
    </comment>
    <comment ref="G206" authorId="0" shapeId="0" xr:uid="{0AA7D871-8796-4D1C-AC62-A0B5DE15FF73}">
      <text>
        <r>
          <rPr>
            <b/>
            <sz val="9"/>
            <color indexed="81"/>
            <rFont val="Tahoma"/>
            <family val="2"/>
            <charset val="238"/>
          </rPr>
          <t>VLOŽTE JEDNOTKOVOU CENU ZHOTOVITELE ZA POLOŽKU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User2</author>
  </authors>
  <commentList>
    <comment ref="G13" authorId="0" shapeId="0" xr:uid="{5475890D-44B2-4717-8935-B25D7CE92F58}">
      <text>
        <r>
          <rPr>
            <b/>
            <sz val="9"/>
            <color indexed="81"/>
            <rFont val="Tahoma"/>
            <family val="2"/>
            <charset val="238"/>
          </rPr>
          <t>VLOŽTE JEDNOTKOVOU CENU ZHOTOVITELE ZA POLOŽKU</t>
        </r>
      </text>
    </comment>
    <comment ref="G16" authorId="0" shapeId="0" xr:uid="{010AF895-5E99-418C-991A-D2310BC84B53}">
      <text>
        <r>
          <rPr>
            <b/>
            <sz val="9"/>
            <color indexed="81"/>
            <rFont val="Tahoma"/>
            <family val="2"/>
            <charset val="238"/>
          </rPr>
          <t>VLOŽTE JEDNOTKOVOU CENU ZHOTOVITELE ZA POLOŽKU</t>
        </r>
      </text>
    </comment>
    <comment ref="G18" authorId="0" shapeId="0" xr:uid="{5BA6F274-BB37-487F-9B91-021FBA24E437}">
      <text>
        <r>
          <rPr>
            <b/>
            <sz val="9"/>
            <color indexed="81"/>
            <rFont val="Tahoma"/>
            <family val="2"/>
            <charset val="238"/>
          </rPr>
          <t>VLOŽTE JEDNOTKOVOU CENU ZHOTOVITELE ZA POLOŽKU</t>
        </r>
      </text>
    </comment>
    <comment ref="G20" authorId="0" shapeId="0" xr:uid="{CCA5C95A-47F9-4A59-B9C7-689FF1987FA4}">
      <text>
        <r>
          <rPr>
            <b/>
            <sz val="9"/>
            <color indexed="81"/>
            <rFont val="Tahoma"/>
            <family val="2"/>
            <charset val="238"/>
          </rPr>
          <t>VLOŽTE JEDNOTKOVOU CENU ZHOTOVITELE ZA POLOŽKU</t>
        </r>
      </text>
    </comment>
    <comment ref="G22" authorId="0" shapeId="0" xr:uid="{6E673ED1-6000-4286-A7BF-88D9CFBD6A6C}">
      <text>
        <r>
          <rPr>
            <b/>
            <sz val="9"/>
            <color indexed="81"/>
            <rFont val="Tahoma"/>
            <family val="2"/>
            <charset val="238"/>
          </rPr>
          <t>VLOŽTE JEDNOTKOVOU CENU ZHOTOVITELE ZA POLOŽKU</t>
        </r>
      </text>
    </comment>
    <comment ref="G24" authorId="0" shapeId="0" xr:uid="{F5779E3E-1ABC-49F1-BC20-F05CBD7F26EF}">
      <text>
        <r>
          <rPr>
            <b/>
            <sz val="9"/>
            <color indexed="81"/>
            <rFont val="Tahoma"/>
            <family val="2"/>
            <charset val="238"/>
          </rPr>
          <t>VLOŽTE JEDNOTKOVOU CENU ZHOTOVITELE ZA POLOŽKU</t>
        </r>
      </text>
    </comment>
    <comment ref="G26" authorId="0" shapeId="0" xr:uid="{D662DA8A-45A9-490C-ADDB-4A55238D4F95}">
      <text>
        <r>
          <rPr>
            <b/>
            <sz val="9"/>
            <color indexed="81"/>
            <rFont val="Tahoma"/>
            <family val="2"/>
            <charset val="238"/>
          </rPr>
          <t>VLOŽTE JEDNOTKOVOU CENU ZHOTOVITELE ZA POLOŽKU</t>
        </r>
      </text>
    </comment>
    <comment ref="G29" authorId="0" shapeId="0" xr:uid="{D017D7DF-6E3E-4748-BBDD-06E39C661C28}">
      <text>
        <r>
          <rPr>
            <b/>
            <sz val="9"/>
            <color indexed="81"/>
            <rFont val="Tahoma"/>
            <family val="2"/>
            <charset val="238"/>
          </rPr>
          <t>VLOŽTE JEDNOTKOVOU CENU ZHOTOVITELE ZA POLOŽKU</t>
        </r>
      </text>
    </comment>
    <comment ref="G32" authorId="0" shapeId="0" xr:uid="{0F1E5FB6-5FBF-49D3-856D-70660E57E7B9}">
      <text>
        <r>
          <rPr>
            <b/>
            <sz val="9"/>
            <color indexed="81"/>
            <rFont val="Tahoma"/>
            <family val="2"/>
            <charset val="238"/>
          </rPr>
          <t>VLOŽTE JEDNOTKOVOU CENU ZHOTOVITELE ZA POLOŽKU</t>
        </r>
      </text>
    </comment>
    <comment ref="G34" authorId="0" shapeId="0" xr:uid="{732587B6-B1DF-4555-91E6-B731CE715307}">
      <text>
        <r>
          <rPr>
            <b/>
            <sz val="9"/>
            <color indexed="81"/>
            <rFont val="Tahoma"/>
            <family val="2"/>
            <charset val="238"/>
          </rPr>
          <t>VLOŽTE JEDNOTKOVOU CENU ZHOTOVITELE ZA POLOŽKU</t>
        </r>
      </text>
    </comment>
    <comment ref="G36" authorId="0" shapeId="0" xr:uid="{368032C3-7EA9-4876-A1D2-244279381E79}">
      <text>
        <r>
          <rPr>
            <b/>
            <sz val="9"/>
            <color indexed="81"/>
            <rFont val="Tahoma"/>
            <family val="2"/>
            <charset val="238"/>
          </rPr>
          <t>VLOŽTE JEDNOTKOVOU CENU ZHOTOVITELE ZA POLOŽKU</t>
        </r>
      </text>
    </comment>
    <comment ref="G38" authorId="0" shapeId="0" xr:uid="{63EBEDE0-CFD7-4906-9E3C-7FB54121CBB6}">
      <text>
        <r>
          <rPr>
            <b/>
            <sz val="9"/>
            <color indexed="81"/>
            <rFont val="Tahoma"/>
            <family val="2"/>
            <charset val="238"/>
          </rPr>
          <t>VLOŽTE JEDNOTKOVOU CENU ZHOTOVITELE ZA POLOŽKU</t>
        </r>
      </text>
    </comment>
    <comment ref="G40" authorId="0" shapeId="0" xr:uid="{4B02C0A1-C410-40C0-9385-3A6529EACF95}">
      <text>
        <r>
          <rPr>
            <b/>
            <sz val="9"/>
            <color indexed="81"/>
            <rFont val="Tahoma"/>
            <family val="2"/>
            <charset val="238"/>
          </rPr>
          <t>VLOŽTE JEDNOTKOVOU CENU ZHOTOVITELE ZA POLOŽKU</t>
        </r>
      </text>
    </comment>
    <comment ref="G42" authorId="0" shapeId="0" xr:uid="{E860D28E-0055-4188-84F7-7FD4079D3A6F}">
      <text>
        <r>
          <rPr>
            <b/>
            <sz val="9"/>
            <color indexed="81"/>
            <rFont val="Tahoma"/>
            <family val="2"/>
            <charset val="238"/>
          </rPr>
          <t>VLOŽTE JEDNOTKOVOU CENU ZHOTOVITELE ZA POLOŽKU</t>
        </r>
      </text>
    </comment>
    <comment ref="G44" authorId="0" shapeId="0" xr:uid="{286792C4-75D7-4C30-ADFC-75213EC0CFCF}">
      <text>
        <r>
          <rPr>
            <b/>
            <sz val="9"/>
            <color indexed="81"/>
            <rFont val="Tahoma"/>
            <family val="2"/>
            <charset val="238"/>
          </rPr>
          <t>VLOŽTE JEDNOTKOVOU CENU ZHOTOVITELE ZA POLOŽKU</t>
        </r>
      </text>
    </comment>
    <comment ref="G46" authorId="0" shapeId="0" xr:uid="{51577CB5-3678-4274-9B9C-B0413BA83843}">
      <text>
        <r>
          <rPr>
            <b/>
            <sz val="9"/>
            <color indexed="81"/>
            <rFont val="Tahoma"/>
            <family val="2"/>
            <charset val="238"/>
          </rPr>
          <t>VLOŽTE JEDNOTKOVOU CENU ZHOTOVITELE ZA POLOŽKU</t>
        </r>
      </text>
    </comment>
    <comment ref="G49" authorId="0" shapeId="0" xr:uid="{06BF8A5C-27CB-49B8-885E-3D9099205B98}">
      <text>
        <r>
          <rPr>
            <b/>
            <sz val="9"/>
            <color indexed="81"/>
            <rFont val="Tahoma"/>
            <family val="2"/>
            <charset val="238"/>
          </rPr>
          <t>VLOŽTE JEDNOTKOVOU CENU ZHOTOVITELE ZA POLOŽKU</t>
        </r>
      </text>
    </comment>
    <comment ref="G51" authorId="0" shapeId="0" xr:uid="{018FD242-CF88-4884-864B-F47D18802811}">
      <text>
        <r>
          <rPr>
            <b/>
            <sz val="9"/>
            <color indexed="81"/>
            <rFont val="Tahoma"/>
            <family val="2"/>
            <charset val="238"/>
          </rPr>
          <t>VLOŽTE JEDNOTKOVOU CENU ZHOTOVITELE ZA POLOŽKU</t>
        </r>
      </text>
    </comment>
    <comment ref="G54" authorId="0" shapeId="0" xr:uid="{7C54744A-372D-41FA-9211-FB8109D51A66}">
      <text>
        <r>
          <rPr>
            <b/>
            <sz val="9"/>
            <color indexed="81"/>
            <rFont val="Tahoma"/>
            <family val="2"/>
            <charset val="238"/>
          </rPr>
          <t>VLOŽTE JEDNOTKOVOU CENU ZHOTOVITELE ZA POLOŽKU</t>
        </r>
      </text>
    </comment>
    <comment ref="G56" authorId="0" shapeId="0" xr:uid="{405BBB40-83D3-4F89-A6FD-1984B57BC489}">
      <text>
        <r>
          <rPr>
            <b/>
            <sz val="9"/>
            <color indexed="81"/>
            <rFont val="Tahoma"/>
            <family val="2"/>
            <charset val="238"/>
          </rPr>
          <t>VLOŽTE JEDNOTKOVOU CENU ZHOTOVITELE ZA POLOŽKU</t>
        </r>
      </text>
    </comment>
    <comment ref="G58" authorId="0" shapeId="0" xr:uid="{52A628D5-DF92-45DE-B370-D5141306A782}">
      <text>
        <r>
          <rPr>
            <b/>
            <sz val="9"/>
            <color indexed="81"/>
            <rFont val="Tahoma"/>
            <family val="2"/>
            <charset val="238"/>
          </rPr>
          <t>VLOŽTE JEDNOTKOVOU CENU ZHOTOVITELE ZA POLOŽKU</t>
        </r>
      </text>
    </comment>
    <comment ref="G60" authorId="0" shapeId="0" xr:uid="{D4351C36-BEDD-4880-843B-BB1345049BF9}">
      <text>
        <r>
          <rPr>
            <b/>
            <sz val="9"/>
            <color indexed="81"/>
            <rFont val="Tahoma"/>
            <family val="2"/>
            <charset val="238"/>
          </rPr>
          <t>VLOŽTE JEDNOTKOVOU CENU ZHOTOVITELE ZA POLOŽKU</t>
        </r>
      </text>
    </comment>
    <comment ref="G62" authorId="0" shapeId="0" xr:uid="{A12F6B10-6839-45C3-90C1-BECCE1AD59F9}">
      <text>
        <r>
          <rPr>
            <b/>
            <sz val="9"/>
            <color indexed="81"/>
            <rFont val="Tahoma"/>
            <family val="2"/>
            <charset val="238"/>
          </rPr>
          <t>VLOŽTE JEDNOTKOVOU CENU ZHOTOVITELE ZA POLOŽKU</t>
        </r>
      </text>
    </comment>
    <comment ref="G64" authorId="0" shapeId="0" xr:uid="{162CD02E-C89A-448F-94C6-721E2D01FE6B}">
      <text>
        <r>
          <rPr>
            <b/>
            <sz val="9"/>
            <color indexed="81"/>
            <rFont val="Tahoma"/>
            <family val="2"/>
            <charset val="238"/>
          </rPr>
          <t>VLOŽTE JEDNOTKOVOU CENU ZHOTOVITELE ZA POLOŽKU</t>
        </r>
      </text>
    </comment>
    <comment ref="G66" authorId="0" shapeId="0" xr:uid="{74ED4CD8-4DEE-4A1D-B56E-0B8F522F841B}">
      <text>
        <r>
          <rPr>
            <b/>
            <sz val="9"/>
            <color indexed="81"/>
            <rFont val="Tahoma"/>
            <family val="2"/>
            <charset val="238"/>
          </rPr>
          <t>VLOŽTE JEDNOTKOVOU CENU ZHOTOVITELE ZA POLOŽKU</t>
        </r>
      </text>
    </comment>
    <comment ref="G68" authorId="0" shapeId="0" xr:uid="{62C4F799-A4CF-4053-91B9-85B0FEEAE54E}">
      <text>
        <r>
          <rPr>
            <b/>
            <sz val="9"/>
            <color indexed="81"/>
            <rFont val="Tahoma"/>
            <family val="2"/>
            <charset val="238"/>
          </rPr>
          <t>VLOŽTE JEDNOTKOVOU CENU ZHOTOVITELE ZA POLOŽKU</t>
        </r>
      </text>
    </comment>
    <comment ref="G71" authorId="0" shapeId="0" xr:uid="{10015AA2-9FD8-4FBD-BC3F-2FACD6078E53}">
      <text>
        <r>
          <rPr>
            <b/>
            <sz val="9"/>
            <color indexed="81"/>
            <rFont val="Tahoma"/>
            <family val="2"/>
            <charset val="238"/>
          </rPr>
          <t>VLOŽTE JEDNOTKOVOU CENU ZHOTOVITELE ZA POLOŽKU</t>
        </r>
      </text>
    </comment>
    <comment ref="G73" authorId="0" shapeId="0" xr:uid="{CB75AECA-28C9-4D73-8020-290B0E58D26C}">
      <text>
        <r>
          <rPr>
            <b/>
            <sz val="9"/>
            <color indexed="81"/>
            <rFont val="Tahoma"/>
            <family val="2"/>
            <charset val="238"/>
          </rPr>
          <t>VLOŽTE JEDNOTKOVOU CENU ZHOTOVITELE ZA POLOŽKU</t>
        </r>
      </text>
    </comment>
    <comment ref="G74" authorId="0" shapeId="0" xr:uid="{35229036-F450-4AB4-93CF-7321359B48DC}">
      <text>
        <r>
          <rPr>
            <b/>
            <sz val="9"/>
            <color indexed="81"/>
            <rFont val="Tahoma"/>
            <family val="2"/>
            <charset val="238"/>
          </rPr>
          <t>VLOŽTE JEDNOTKOVOU CENU ZHOTOVITELE ZA POLOŽKU</t>
        </r>
      </text>
    </comment>
    <comment ref="G77" authorId="0" shapeId="0" xr:uid="{22C984B6-58C5-48AF-B6DA-F273E548AA08}">
      <text>
        <r>
          <rPr>
            <b/>
            <sz val="9"/>
            <color indexed="81"/>
            <rFont val="Tahoma"/>
            <family val="2"/>
            <charset val="238"/>
          </rPr>
          <t>VLOŽTE JEDNOTKOVOU CENU ZHOTOVITELE ZA POLOŽKU</t>
        </r>
      </text>
    </comment>
    <comment ref="G79" authorId="0" shapeId="0" xr:uid="{E5BCCA55-20FD-4411-9284-8397EAC9E867}">
      <text>
        <r>
          <rPr>
            <b/>
            <sz val="9"/>
            <color indexed="81"/>
            <rFont val="Tahoma"/>
            <family val="2"/>
            <charset val="238"/>
          </rPr>
          <t>VLOŽTE JEDNOTKOVOU CENU ZHOTOVITELE ZA POLOŽKU</t>
        </r>
      </text>
    </comment>
    <comment ref="G82" authorId="0" shapeId="0" xr:uid="{BA5EC2BA-04AB-4717-849C-F24DEE092B61}">
      <text>
        <r>
          <rPr>
            <b/>
            <sz val="9"/>
            <color indexed="81"/>
            <rFont val="Tahoma"/>
            <family val="2"/>
            <charset val="238"/>
          </rPr>
          <t>VLOŽTE JEDNOTKOVOU CENU ZHOTOVITELE ZA POLOŽKU</t>
        </r>
      </text>
    </comment>
    <comment ref="G84" authorId="0" shapeId="0" xr:uid="{ED913D1A-60C4-4BE5-BFB7-5A48271D7DB1}">
      <text>
        <r>
          <rPr>
            <b/>
            <sz val="9"/>
            <color indexed="81"/>
            <rFont val="Tahoma"/>
            <family val="2"/>
            <charset val="238"/>
          </rPr>
          <t>VLOŽTE JEDNOTKOVOU CENU ZHOTOVITELE ZA POLOŽKU</t>
        </r>
      </text>
    </comment>
    <comment ref="G86" authorId="0" shapeId="0" xr:uid="{DBDA1032-E058-4DB0-AF8B-63A6B50145EA}">
      <text>
        <r>
          <rPr>
            <b/>
            <sz val="9"/>
            <color indexed="81"/>
            <rFont val="Tahoma"/>
            <family val="2"/>
            <charset val="238"/>
          </rPr>
          <t>VLOŽTE JEDNOTKOVOU CENU ZHOTOVITELE ZA POLOŽKU</t>
        </r>
      </text>
    </comment>
    <comment ref="G88" authorId="0" shapeId="0" xr:uid="{6C5483AE-D225-4299-99BA-70F61576F84F}">
      <text>
        <r>
          <rPr>
            <b/>
            <sz val="9"/>
            <color indexed="81"/>
            <rFont val="Tahoma"/>
            <family val="2"/>
            <charset val="238"/>
          </rPr>
          <t>VLOŽTE JEDNOTKOVOU CENU ZHOTOVITELE ZA POLOŽKU</t>
        </r>
      </text>
    </comment>
    <comment ref="G91" authorId="0" shapeId="0" xr:uid="{5583F683-C2A2-4241-86E9-CD8351AA269A}">
      <text>
        <r>
          <rPr>
            <b/>
            <sz val="9"/>
            <color indexed="81"/>
            <rFont val="Tahoma"/>
            <family val="2"/>
            <charset val="238"/>
          </rPr>
          <t>VLOŽTE JEDNOTKOVOU CENU ZHOTOVITELE ZA POLOŽKU</t>
        </r>
      </text>
    </comment>
    <comment ref="G94" authorId="0" shapeId="0" xr:uid="{AAE53B45-164B-41F9-B6A0-02B63B48E666}">
      <text>
        <r>
          <rPr>
            <b/>
            <sz val="9"/>
            <color indexed="81"/>
            <rFont val="Tahoma"/>
            <family val="2"/>
            <charset val="238"/>
          </rPr>
          <t>VLOŽTE JEDNOTKOVOU CENU ZHOTOVITELE ZA POLOŽKU</t>
        </r>
      </text>
    </comment>
    <comment ref="G96" authorId="0" shapeId="0" xr:uid="{188C0956-500A-4166-B28F-2CAF0D031D0E}">
      <text>
        <r>
          <rPr>
            <b/>
            <sz val="9"/>
            <color indexed="81"/>
            <rFont val="Tahoma"/>
            <family val="2"/>
            <charset val="238"/>
          </rPr>
          <t>VLOŽTE JEDNOTKOVOU CENU ZHOTOVITELE ZA POLOŽKU</t>
        </r>
      </text>
    </comment>
    <comment ref="G98" authorId="0" shapeId="0" xr:uid="{F39AC5A3-9FB9-4398-87FD-BF76D4CF832C}">
      <text>
        <r>
          <rPr>
            <b/>
            <sz val="9"/>
            <color indexed="81"/>
            <rFont val="Tahoma"/>
            <family val="2"/>
            <charset val="238"/>
          </rPr>
          <t>VLOŽTE JEDNOTKOVOU CENU ZHOTOVITELE ZA POLOŽKU</t>
        </r>
      </text>
    </comment>
    <comment ref="G100" authorId="0" shapeId="0" xr:uid="{9EB870A7-C630-4E62-A407-BEAD76EE3361}">
      <text>
        <r>
          <rPr>
            <b/>
            <sz val="9"/>
            <color indexed="81"/>
            <rFont val="Tahoma"/>
            <family val="2"/>
            <charset val="238"/>
          </rPr>
          <t>VLOŽTE JEDNOTKOVOU CENU ZHOTOVITELE ZA POLOŽKU</t>
        </r>
      </text>
    </comment>
    <comment ref="G102" authorId="0" shapeId="0" xr:uid="{4FEC6CFA-7AD8-4566-A251-89F12CF2E4C0}">
      <text>
        <r>
          <rPr>
            <b/>
            <sz val="9"/>
            <color indexed="81"/>
            <rFont val="Tahoma"/>
            <family val="2"/>
            <charset val="238"/>
          </rPr>
          <t>VLOŽTE JEDNOTKOVOU CENU ZHOTOVITELE ZA POLOŽKU</t>
        </r>
      </text>
    </comment>
    <comment ref="G104" authorId="0" shapeId="0" xr:uid="{2F9E2203-C033-401F-BF7A-96802617ED68}">
      <text>
        <r>
          <rPr>
            <b/>
            <sz val="9"/>
            <color indexed="81"/>
            <rFont val="Tahoma"/>
            <family val="2"/>
            <charset val="238"/>
          </rPr>
          <t>VLOŽTE JEDNOTKOVOU CENU ZHOTOVITELE ZA POLOŽKU</t>
        </r>
      </text>
    </comment>
    <comment ref="G106" authorId="0" shapeId="0" xr:uid="{C4FA58AC-51CD-48C1-8A83-86B5240B761B}">
      <text>
        <r>
          <rPr>
            <b/>
            <sz val="9"/>
            <color indexed="81"/>
            <rFont val="Tahoma"/>
            <family val="2"/>
            <charset val="238"/>
          </rPr>
          <t>VLOŽTE JEDNOTKOVOU CENU ZHOTOVITELE ZA POLOŽKU</t>
        </r>
      </text>
    </comment>
    <comment ref="G109" authorId="0" shapeId="0" xr:uid="{733F13A6-086E-4577-B6FD-35CD27C3EE3F}">
      <text>
        <r>
          <rPr>
            <b/>
            <sz val="9"/>
            <color indexed="81"/>
            <rFont val="Tahoma"/>
            <family val="2"/>
            <charset val="238"/>
          </rPr>
          <t>VLOŽTE JEDNOTKOVOU CENU ZHOTOVITELE ZA POLOŽKU</t>
        </r>
      </text>
    </comment>
    <comment ref="G112" authorId="0" shapeId="0" xr:uid="{91609609-F03D-4618-B277-ADAA818CD17E}">
      <text>
        <r>
          <rPr>
            <b/>
            <sz val="9"/>
            <color indexed="81"/>
            <rFont val="Tahoma"/>
            <family val="2"/>
            <charset val="238"/>
          </rPr>
          <t>VLOŽTE JEDNOTKOVOU CENU ZHOTOVITELE ZA POLOŽKU</t>
        </r>
      </text>
    </comment>
    <comment ref="G114" authorId="0" shapeId="0" xr:uid="{30CE2232-A907-466A-A9ED-8E887E256521}">
      <text>
        <r>
          <rPr>
            <b/>
            <sz val="9"/>
            <color indexed="81"/>
            <rFont val="Tahoma"/>
            <family val="2"/>
            <charset val="238"/>
          </rPr>
          <t>VLOŽTE JEDNOTKOVOU CENU ZHOTOVITELE ZA POLOŽKU</t>
        </r>
      </text>
    </comment>
    <comment ref="G116" authorId="0" shapeId="0" xr:uid="{DDC42F07-B0F7-4852-BE0C-EEEA508DE866}">
      <text>
        <r>
          <rPr>
            <b/>
            <sz val="9"/>
            <color indexed="81"/>
            <rFont val="Tahoma"/>
            <family val="2"/>
            <charset val="238"/>
          </rPr>
          <t>VLOŽTE JEDNOTKOVOU CENU ZHOTOVITELE ZA POLOŽKU</t>
        </r>
      </text>
    </comment>
    <comment ref="G119" authorId="0" shapeId="0" xr:uid="{3549CC27-7B49-40DE-B90C-E1AB61288596}">
      <text>
        <r>
          <rPr>
            <b/>
            <sz val="9"/>
            <color indexed="81"/>
            <rFont val="Tahoma"/>
            <family val="2"/>
            <charset val="238"/>
          </rPr>
          <t>VLOŽTE JEDNOTKOVOU CENU ZHOTOVITELE ZA POLOŽKU</t>
        </r>
      </text>
    </comment>
    <comment ref="G121" authorId="0" shapeId="0" xr:uid="{590F5638-FCA4-4AE9-AC4E-51B8F0069C19}">
      <text>
        <r>
          <rPr>
            <b/>
            <sz val="9"/>
            <color indexed="81"/>
            <rFont val="Tahoma"/>
            <family val="2"/>
            <charset val="238"/>
          </rPr>
          <t>VLOŽTE JEDNOTKOVOU CENU ZHOTOVITELE ZA POLOŽKU</t>
        </r>
      </text>
    </comment>
    <comment ref="G123" authorId="0" shapeId="0" xr:uid="{3DAAED2C-BE81-4132-BB7C-89386FDE15D5}">
      <text>
        <r>
          <rPr>
            <b/>
            <sz val="9"/>
            <color indexed="81"/>
            <rFont val="Tahoma"/>
            <family val="2"/>
            <charset val="238"/>
          </rPr>
          <t>VLOŽTE JEDNOTKOVOU CENU ZHOTOVITELE ZA POLOŽKU</t>
        </r>
      </text>
    </comment>
    <comment ref="G125" authorId="0" shapeId="0" xr:uid="{D97AF847-0CCA-4CEE-875C-13F642527206}">
      <text>
        <r>
          <rPr>
            <b/>
            <sz val="9"/>
            <color indexed="81"/>
            <rFont val="Tahoma"/>
            <family val="2"/>
            <charset val="238"/>
          </rPr>
          <t>VLOŽTE JEDNOTKOVOU CENU ZHOTOVITELE ZA POLOŽKU</t>
        </r>
      </text>
    </comment>
    <comment ref="G127" authorId="0" shapeId="0" xr:uid="{40915891-AFC7-4F65-B14B-21B07BFA6916}">
      <text>
        <r>
          <rPr>
            <b/>
            <sz val="9"/>
            <color indexed="81"/>
            <rFont val="Tahoma"/>
            <family val="2"/>
            <charset val="238"/>
          </rPr>
          <t>VLOŽTE JEDNOTKOVOU CENU ZHOTOVITELE ZA POLOŽKU</t>
        </r>
      </text>
    </comment>
    <comment ref="G129" authorId="0" shapeId="0" xr:uid="{08DBB903-E118-49F4-9771-F2BC049B01D9}">
      <text>
        <r>
          <rPr>
            <b/>
            <sz val="9"/>
            <color indexed="81"/>
            <rFont val="Tahoma"/>
            <family val="2"/>
            <charset val="238"/>
          </rPr>
          <t>VLOŽTE JEDNOTKOVOU CENU ZHOTOVITELE ZA POLOŽKU</t>
        </r>
      </text>
    </comment>
    <comment ref="G131" authorId="0" shapeId="0" xr:uid="{80F8C831-7F3E-4E77-9B45-0B011C19F94D}">
      <text>
        <r>
          <rPr>
            <b/>
            <sz val="9"/>
            <color indexed="81"/>
            <rFont val="Tahoma"/>
            <family val="2"/>
            <charset val="238"/>
          </rPr>
          <t>VLOŽTE JEDNOTKOVOU CENU ZHOTOVITELE ZA POLOŽKU</t>
        </r>
      </text>
    </comment>
    <comment ref="G133" authorId="0" shapeId="0" xr:uid="{FE3C7B62-8BBD-4DC6-BEFF-7F0CF27F4F8C}">
      <text>
        <r>
          <rPr>
            <b/>
            <sz val="9"/>
            <color indexed="81"/>
            <rFont val="Tahoma"/>
            <family val="2"/>
            <charset val="238"/>
          </rPr>
          <t>VLOŽTE JEDNOTKOVOU CENU ZHOTOVITELE ZA POLOŽKU</t>
        </r>
      </text>
    </comment>
    <comment ref="G135" authorId="0" shapeId="0" xr:uid="{2321BC32-1A60-473C-9CEB-2047F5E98CF3}">
      <text>
        <r>
          <rPr>
            <b/>
            <sz val="9"/>
            <color indexed="81"/>
            <rFont val="Tahoma"/>
            <family val="2"/>
            <charset val="238"/>
          </rPr>
          <t>VLOŽTE JEDNOTKOVOU CENU ZHOTOVITELE ZA POLOŽKU</t>
        </r>
      </text>
    </comment>
    <comment ref="G137" authorId="0" shapeId="0" xr:uid="{0AB73624-DE0B-4783-95BB-0747F96D73A3}">
      <text>
        <r>
          <rPr>
            <b/>
            <sz val="9"/>
            <color indexed="81"/>
            <rFont val="Tahoma"/>
            <family val="2"/>
            <charset val="238"/>
          </rPr>
          <t>VLOŽTE JEDNOTKOVOU CENU ZHOTOVITELE ZA POLOŽKU</t>
        </r>
      </text>
    </comment>
    <comment ref="G140" authorId="0" shapeId="0" xr:uid="{987B377E-366B-4330-B290-386F31F62C43}">
      <text>
        <r>
          <rPr>
            <b/>
            <sz val="9"/>
            <color indexed="81"/>
            <rFont val="Tahoma"/>
            <family val="2"/>
            <charset val="238"/>
          </rPr>
          <t>VLOŽTE JEDNOTKOVOU CENU ZHOTOVITELE ZA POLOŽKU</t>
        </r>
      </text>
    </comment>
    <comment ref="G143" authorId="0" shapeId="0" xr:uid="{85F89B6B-D905-4CE3-A84F-FDBBC4131207}">
      <text>
        <r>
          <rPr>
            <b/>
            <sz val="9"/>
            <color indexed="81"/>
            <rFont val="Tahoma"/>
            <family val="2"/>
            <charset val="238"/>
          </rPr>
          <t>VLOŽTE JEDNOTKOVOU CENU ZHOTOVITELE ZA POLOŽKU</t>
        </r>
      </text>
    </comment>
    <comment ref="G146" authorId="0" shapeId="0" xr:uid="{E37733F3-69F9-4BF7-ACF3-800FFCCF628C}">
      <text>
        <r>
          <rPr>
            <b/>
            <sz val="9"/>
            <color indexed="81"/>
            <rFont val="Tahoma"/>
            <family val="2"/>
            <charset val="238"/>
          </rPr>
          <t>VLOŽTE JEDNOTKOVOU CENU ZHOTOVITELE ZA POLOŽKU</t>
        </r>
      </text>
    </comment>
    <comment ref="G147" authorId="0" shapeId="0" xr:uid="{29A27FC2-ED77-4297-9416-A3009AE538DC}">
      <text>
        <r>
          <rPr>
            <b/>
            <sz val="9"/>
            <color indexed="81"/>
            <rFont val="Tahoma"/>
            <family val="2"/>
            <charset val="238"/>
          </rPr>
          <t>VLOŽTE JEDNOTKOVOU CENU ZHOTOVITELE ZA POLOŽKU</t>
        </r>
      </text>
    </comment>
    <comment ref="G149" authorId="0" shapeId="0" xr:uid="{69B28865-05AE-4278-88A6-C7F1738D3655}">
      <text>
        <r>
          <rPr>
            <b/>
            <sz val="9"/>
            <color indexed="81"/>
            <rFont val="Tahoma"/>
            <family val="2"/>
            <charset val="238"/>
          </rPr>
          <t>VLOŽTE JEDNOTKOVOU CENU ZHOTOVITELE ZA POLOŽKU</t>
        </r>
      </text>
    </comment>
    <comment ref="G151" authorId="0" shapeId="0" xr:uid="{650E4C0B-AA02-43FD-A03F-B9E3BC6EE16F}">
      <text>
        <r>
          <rPr>
            <b/>
            <sz val="9"/>
            <color indexed="81"/>
            <rFont val="Tahoma"/>
            <family val="2"/>
            <charset val="238"/>
          </rPr>
          <t>VLOŽTE JEDNOTKOVOU CENU ZHOTOVITELE ZA POLOŽKU</t>
        </r>
      </text>
    </comment>
    <comment ref="G153" authorId="0" shapeId="0" xr:uid="{953DE13E-5FA7-46F6-8E2B-C916E9F9186C}">
      <text>
        <r>
          <rPr>
            <b/>
            <sz val="9"/>
            <color indexed="81"/>
            <rFont val="Tahoma"/>
            <family val="2"/>
            <charset val="238"/>
          </rPr>
          <t>VLOŽTE JEDNOTKOVOU CENU ZHOTOVITELE ZA POLOŽKU</t>
        </r>
      </text>
    </comment>
    <comment ref="G154" authorId="0" shapeId="0" xr:uid="{1ACE508D-D79A-4E99-9F1D-C4BE56522512}">
      <text>
        <r>
          <rPr>
            <b/>
            <sz val="9"/>
            <color indexed="81"/>
            <rFont val="Tahoma"/>
            <family val="2"/>
            <charset val="238"/>
          </rPr>
          <t>VLOŽTE JEDNOTKOVOU CENU ZHOTOVITELE ZA POLOŽKU</t>
        </r>
      </text>
    </comment>
    <comment ref="G155" authorId="0" shapeId="0" xr:uid="{74C9D01E-E8E0-4DB6-A805-1FA3B491F200}">
      <text>
        <r>
          <rPr>
            <b/>
            <sz val="9"/>
            <color indexed="81"/>
            <rFont val="Tahoma"/>
            <family val="2"/>
            <charset val="238"/>
          </rPr>
          <t>VLOŽTE JEDNOTKOVOU CENU ZHOTOVITELE ZA POLOŽKU</t>
        </r>
      </text>
    </comment>
    <comment ref="G157" authorId="0" shapeId="0" xr:uid="{87E13627-6E3C-499D-9AC4-BAA19D8FA7D5}">
      <text>
        <r>
          <rPr>
            <b/>
            <sz val="9"/>
            <color indexed="81"/>
            <rFont val="Tahoma"/>
            <family val="2"/>
            <charset val="238"/>
          </rPr>
          <t>VLOŽTE JEDNOTKOVOU CENU ZHOTOVITELE ZA POLOŽKU</t>
        </r>
      </text>
    </comment>
    <comment ref="G159" authorId="0" shapeId="0" xr:uid="{2E4D6784-A9D5-4982-9E62-4F3B2B5EC4E7}">
      <text>
        <r>
          <rPr>
            <b/>
            <sz val="9"/>
            <color indexed="81"/>
            <rFont val="Tahoma"/>
            <family val="2"/>
            <charset val="238"/>
          </rPr>
          <t>VLOŽTE JEDNOTKOVOU CENU ZHOTOVITELE ZA POLOŽKU</t>
        </r>
      </text>
    </comment>
    <comment ref="G161" authorId="0" shapeId="0" xr:uid="{EECF9805-D858-4D05-83F6-E3850C4F0A70}">
      <text>
        <r>
          <rPr>
            <b/>
            <sz val="9"/>
            <color indexed="81"/>
            <rFont val="Tahoma"/>
            <family val="2"/>
            <charset val="238"/>
          </rPr>
          <t>VLOŽTE JEDNOTKOVOU CENU ZHOTOVITELE ZA POLOŽKU</t>
        </r>
      </text>
    </comment>
    <comment ref="G163" authorId="0" shapeId="0" xr:uid="{B550B5F1-E868-4405-9F51-F983FD7D3D8F}">
      <text>
        <r>
          <rPr>
            <b/>
            <sz val="9"/>
            <color indexed="81"/>
            <rFont val="Tahoma"/>
            <family val="2"/>
            <charset val="238"/>
          </rPr>
          <t>VLOŽTE JEDNOTKOVOU CENU ZHOTOVITELE ZA POLOŽKU</t>
        </r>
      </text>
    </comment>
    <comment ref="G165" authorId="0" shapeId="0" xr:uid="{87ABCF6A-D14E-49E9-B0F0-2EB9D63D7DDF}">
      <text>
        <r>
          <rPr>
            <b/>
            <sz val="9"/>
            <color indexed="81"/>
            <rFont val="Tahoma"/>
            <family val="2"/>
            <charset val="238"/>
          </rPr>
          <t>VLOŽTE JEDNOTKOVOU CENU ZHOTOVITELE ZA POLOŽKU</t>
        </r>
      </text>
    </comment>
    <comment ref="G167" authorId="0" shapeId="0" xr:uid="{2286DDAC-F257-408A-A25D-4813E9234633}">
      <text>
        <r>
          <rPr>
            <b/>
            <sz val="9"/>
            <color indexed="81"/>
            <rFont val="Tahoma"/>
            <family val="2"/>
            <charset val="238"/>
          </rPr>
          <t>VLOŽTE JEDNOTKOVOU CENU ZHOTOVITELE ZA POLOŽKU</t>
        </r>
      </text>
    </comment>
    <comment ref="G169" authorId="0" shapeId="0" xr:uid="{211D87E8-67E1-438C-88DF-69582BF29434}">
      <text>
        <r>
          <rPr>
            <b/>
            <sz val="9"/>
            <color indexed="81"/>
            <rFont val="Tahoma"/>
            <family val="2"/>
            <charset val="238"/>
          </rPr>
          <t>VLOŽTE JEDNOTKOVOU CENU ZHOTOVITELE ZA POLOŽKU</t>
        </r>
      </text>
    </comment>
    <comment ref="G171" authorId="0" shapeId="0" xr:uid="{84877CA8-320A-4265-960F-1D4984329F6C}">
      <text>
        <r>
          <rPr>
            <b/>
            <sz val="9"/>
            <color indexed="81"/>
            <rFont val="Tahoma"/>
            <family val="2"/>
            <charset val="238"/>
          </rPr>
          <t>VLOŽTE JEDNOTKOVOU CENU ZHOTOVITELE ZA POLOŽKU</t>
        </r>
      </text>
    </comment>
    <comment ref="G172" authorId="0" shapeId="0" xr:uid="{19EF9D05-2908-4883-906C-0F5117045260}">
      <text>
        <r>
          <rPr>
            <b/>
            <sz val="9"/>
            <color indexed="81"/>
            <rFont val="Tahoma"/>
            <family val="2"/>
            <charset val="238"/>
          </rPr>
          <t>VLOŽTE JEDNOTKOVOU CENU ZHOTOVITELE ZA POLOŽKU</t>
        </r>
      </text>
    </comment>
    <comment ref="G173" authorId="0" shapeId="0" xr:uid="{5A5BDA2F-96DE-4D9A-AE61-F6A10133C01C}">
      <text>
        <r>
          <rPr>
            <b/>
            <sz val="9"/>
            <color indexed="81"/>
            <rFont val="Tahoma"/>
            <family val="2"/>
            <charset val="238"/>
          </rPr>
          <t>VLOŽTE JEDNOTKOVOU CENU ZHOTOVITELE ZA POLOŽKU</t>
        </r>
      </text>
    </comment>
    <comment ref="G174" authorId="0" shapeId="0" xr:uid="{5B2A6FA2-124D-4CF3-9F59-E4652D97BE82}">
      <text>
        <r>
          <rPr>
            <b/>
            <sz val="9"/>
            <color indexed="81"/>
            <rFont val="Tahoma"/>
            <family val="2"/>
            <charset val="238"/>
          </rPr>
          <t>VLOŽTE JEDNOTKOVOU CENU ZHOTOVITELE ZA POLOŽKU</t>
        </r>
      </text>
    </comment>
    <comment ref="G175" authorId="0" shapeId="0" xr:uid="{58FDC962-7618-4F7C-A3A9-3F7E037A08FE}">
      <text>
        <r>
          <rPr>
            <b/>
            <sz val="9"/>
            <color indexed="81"/>
            <rFont val="Tahoma"/>
            <family val="2"/>
            <charset val="238"/>
          </rPr>
          <t>VLOŽTE JEDNOTKOVOU CENU ZHOTOVITELE ZA POLOŽKU</t>
        </r>
      </text>
    </comment>
    <comment ref="G176" authorId="0" shapeId="0" xr:uid="{F7D94F8B-F46F-4E25-B034-2AE7DADBFD91}">
      <text>
        <r>
          <rPr>
            <b/>
            <sz val="9"/>
            <color indexed="81"/>
            <rFont val="Tahoma"/>
            <family val="2"/>
            <charset val="238"/>
          </rPr>
          <t>VLOŽTE JEDNOTKOVOU CENU ZHOTOVITELE ZA POLOŽKU</t>
        </r>
      </text>
    </comment>
    <comment ref="G177" authorId="0" shapeId="0" xr:uid="{6B487C79-A3EA-43BB-825A-B4FC58DE87AB}">
      <text>
        <r>
          <rPr>
            <b/>
            <sz val="9"/>
            <color indexed="81"/>
            <rFont val="Tahoma"/>
            <family val="2"/>
            <charset val="238"/>
          </rPr>
          <t>VLOŽTE JEDNOTKOVOU CENU ZHOTOVITELE ZA POLOŽKU</t>
        </r>
      </text>
    </comment>
    <comment ref="G178" authorId="0" shapeId="0" xr:uid="{284BF31B-A84E-40AC-97E9-BC598176F24E}">
      <text>
        <r>
          <rPr>
            <b/>
            <sz val="9"/>
            <color indexed="81"/>
            <rFont val="Tahoma"/>
            <family val="2"/>
            <charset val="238"/>
          </rPr>
          <t>VLOŽTE JEDNOTKOVOU CENU ZHOTOVITELE ZA POLOŽKU</t>
        </r>
      </text>
    </comment>
    <comment ref="G179" authorId="0" shapeId="0" xr:uid="{671CE7D3-1FE5-4207-848E-22C88AA72511}">
      <text>
        <r>
          <rPr>
            <b/>
            <sz val="9"/>
            <color indexed="81"/>
            <rFont val="Tahoma"/>
            <family val="2"/>
            <charset val="238"/>
          </rPr>
          <t>VLOŽTE JEDNOTKOVOU CENU ZHOTOVITELE ZA POLOŽKU</t>
        </r>
      </text>
    </comment>
    <comment ref="G181" authorId="0" shapeId="0" xr:uid="{5872E2C8-0621-4103-A895-D1689581C655}">
      <text>
        <r>
          <rPr>
            <b/>
            <sz val="9"/>
            <color indexed="81"/>
            <rFont val="Tahoma"/>
            <family val="2"/>
            <charset val="238"/>
          </rPr>
          <t>VLOŽTE JEDNOTKOVOU CENU ZHOTOVITELE ZA POLOŽKU</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3295FF4-33AA-42B5-8E08-3769337E4F55}" name="DSO_020_1_VODOVODNI_ODBOCENI" type="4" refreshedVersion="0" background="1">
    <webPr xml="1" sourceData="1" url="C:\Users\User2\Desktop\DSO_020_1_VODOVODNI_ODBOCENI.xml" htmlTables="1" htmlFormat="all"/>
  </connection>
</connections>
</file>

<file path=xl/sharedStrings.xml><?xml version="1.0" encoding="utf-8"?>
<sst xmlns="http://schemas.openxmlformats.org/spreadsheetml/2006/main" count="24065" uniqueCount="2449">
  <si>
    <t>Do takto obarvených buněk vyplňuje uchazeč nabídkovou cenu pro příslušný SO, DSO, PS, DPS.
V listu Rekapitulace probíhá doplňování a součet automaticky.</t>
  </si>
  <si>
    <t xml:space="preserve">STAVEBNÍ OBJEKTY - CELKEM </t>
  </si>
  <si>
    <t>STAVBA CELKEM</t>
  </si>
  <si>
    <r>
      <rPr>
        <sz val="11"/>
        <rFont val="Arial CE"/>
        <family val="2"/>
        <charset val="238"/>
      </rPr>
      <t>stavební úpravy odkyselovací stanice</t>
    </r>
    <r>
      <rPr>
        <i/>
        <sz val="11"/>
        <rFont val="Arial CE"/>
        <family val="2"/>
        <charset val="238"/>
      </rPr>
      <t xml:space="preserve"> - odhad, nutno dopracovat</t>
    </r>
    <r>
      <rPr>
        <sz val="11"/>
        <rFont val="Arial CE"/>
        <family val="2"/>
        <charset val="238"/>
      </rPr>
      <t xml:space="preserve"> </t>
    </r>
  </si>
  <si>
    <r>
      <rPr>
        <sz val="11"/>
        <rFont val="Arial CE"/>
        <family val="2"/>
        <charset val="238"/>
      </rPr>
      <t>výměna armatur v odkyselovací stanici</t>
    </r>
    <r>
      <rPr>
        <i/>
        <sz val="11"/>
        <rFont val="Arial CE"/>
        <family val="2"/>
        <charset val="238"/>
      </rPr>
      <t xml:space="preserve"> - odhad, nutno dopracovat</t>
    </r>
  </si>
  <si>
    <t>DPH 21%</t>
  </si>
  <si>
    <t>REKAPITULACE STAVBY</t>
  </si>
  <si>
    <t>Stavba :</t>
  </si>
  <si>
    <t>Objednavatel :</t>
  </si>
  <si>
    <t>Ing. Vladimír Klička, Boršov 57, 588 05 Dušejov</t>
  </si>
  <si>
    <t>Zhotovitel :</t>
  </si>
  <si>
    <t>Stupeň PD :</t>
  </si>
  <si>
    <t>CÚ :</t>
  </si>
  <si>
    <t>verze :</t>
  </si>
  <si>
    <t>č.</t>
  </si>
  <si>
    <t>STAVEBNÍ OBJEKT
SO (DSO)</t>
  </si>
  <si>
    <t>NÁZEV STAVEBNÍHO OBJEKTU
NÁZEV DÍLČÍHO STAVEBNÍHO OBJEKTU</t>
  </si>
  <si>
    <t>CENA DSO (DPS)
BEZ DPH</t>
  </si>
  <si>
    <t>CENA SO (PS)
bez DPH</t>
  </si>
  <si>
    <t>CENA CELKEM</t>
  </si>
  <si>
    <t>SO 010 SVODNÉ ŘADY</t>
  </si>
  <si>
    <t>STAVEBNÍ ÚPRAVY STÁV. OBJEKTU ODKYSELOVACÍ STANICE</t>
  </si>
  <si>
    <t>SVODNÝ ŘAD 1</t>
  </si>
  <si>
    <t>HDPE 100, d 110, SDR 11, 110/10,0 mm, terén nezpevněný</t>
  </si>
  <si>
    <t>SVODNÝ ŘAD 2</t>
  </si>
  <si>
    <t>samostatné vedení + vytyč. Vodič + kabel NN</t>
  </si>
  <si>
    <t>souběžné vedení s výtlaky, přívodem a kabelem NN</t>
  </si>
  <si>
    <t>STAVEBNÍ OBJEKTY ( DÍLČÍ STAVEBNÍ OBJEKTY )</t>
  </si>
  <si>
    <t>VEDLEJŠÍ ROZPOČTOVÉ NÁKLADY</t>
  </si>
  <si>
    <t>1.</t>
  </si>
  <si>
    <t>SO 010</t>
  </si>
  <si>
    <t>2.</t>
  </si>
  <si>
    <t>SO 020</t>
  </si>
  <si>
    <t>2.1.</t>
  </si>
  <si>
    <t>2.2.</t>
  </si>
  <si>
    <t>3.</t>
  </si>
  <si>
    <t>Projektant :</t>
  </si>
  <si>
    <t>SO 001</t>
  </si>
  <si>
    <t>DSO 010.1.</t>
  </si>
  <si>
    <t>DSO 010.2.</t>
  </si>
  <si>
    <t>DSO 020.1.</t>
  </si>
  <si>
    <t>SO 030</t>
  </si>
  <si>
    <t>4.</t>
  </si>
  <si>
    <t>4.1.</t>
  </si>
  <si>
    <t>DSO 030.1.</t>
  </si>
  <si>
    <t>5.</t>
  </si>
  <si>
    <t>SO 040</t>
  </si>
  <si>
    <t>5.1.</t>
  </si>
  <si>
    <t>DSO 040.1.</t>
  </si>
  <si>
    <t>SO 050</t>
  </si>
  <si>
    <t>6.</t>
  </si>
  <si>
    <t>6.1.</t>
  </si>
  <si>
    <t>6.2.</t>
  </si>
  <si>
    <t>DSO 050.1.</t>
  </si>
  <si>
    <t>DSO 050.2.</t>
  </si>
  <si>
    <t>7.</t>
  </si>
  <si>
    <t>SO 060</t>
  </si>
  <si>
    <t>7.1.</t>
  </si>
  <si>
    <t>DSO 060.1.</t>
  </si>
  <si>
    <t>8.</t>
  </si>
  <si>
    <t>8.1.</t>
  </si>
  <si>
    <t>9.</t>
  </si>
  <si>
    <t>9.1.</t>
  </si>
  <si>
    <t>2.3.</t>
  </si>
  <si>
    <t>DSO 010.3.</t>
  </si>
  <si>
    <t>2.4.</t>
  </si>
  <si>
    <t>DSO 010.4.</t>
  </si>
  <si>
    <t>3.1.</t>
  </si>
  <si>
    <t>MĚSTO ŽIROVNICE, ul. HRADECKÁ - ODDÍLNÁ KANALIZACE V KOMUNIKACI II/132</t>
  </si>
  <si>
    <t>MĚSTO ŽIROVNICE, Cholunská 665, 394 68 Žirovnice</t>
  </si>
  <si>
    <t>PŘELOŽKA VODOVODU</t>
  </si>
  <si>
    <t>DSO 010.1. PŘELOŽKA VODOVODU - ŘAD A</t>
  </si>
  <si>
    <t>DSO 010.2. PŘELOŽKA VODOVODU - ŘAD A1</t>
  </si>
  <si>
    <t>DSO 010.3. PŘELOŽKA VODOVODU - ŘAD A2</t>
  </si>
  <si>
    <t>DSO 010.4. PŘELOŽKA VODOVODU - ŘAD B</t>
  </si>
  <si>
    <t>2.5.</t>
  </si>
  <si>
    <t>DSO 010.5.</t>
  </si>
  <si>
    <t>ODBOČENÍ VODOVODU</t>
  </si>
  <si>
    <t>DSO 020.1. ODBOČENÍ VODOVODU</t>
  </si>
  <si>
    <t>SPLAŠKOVÁ KANALIZACE</t>
  </si>
  <si>
    <t>4.2.</t>
  </si>
  <si>
    <t>4.3.</t>
  </si>
  <si>
    <t>4.4.</t>
  </si>
  <si>
    <t>DSO 030.2.</t>
  </si>
  <si>
    <t>DSO 030.3.</t>
  </si>
  <si>
    <t>DSO 030.4.</t>
  </si>
  <si>
    <t>DSO 030.1. STOKA As</t>
  </si>
  <si>
    <t>DSO 030.2. STOKA A1s</t>
  </si>
  <si>
    <t>DSO 030.3. STOKA A1-1s</t>
  </si>
  <si>
    <t>DSO 030.4. STOKA A2s</t>
  </si>
  <si>
    <t>SPLAŠKOVÁ KANALIZAČNÍ ODBOČENÍ</t>
  </si>
  <si>
    <t>DSO 040.1. SPLAŠKOVÁ KANALIZAČNÍ ODBOČENÍ</t>
  </si>
  <si>
    <t>DEŠŤOVÁ KANALIZACE</t>
  </si>
  <si>
    <t>6.3.</t>
  </si>
  <si>
    <t>6.4.</t>
  </si>
  <si>
    <t>DSO 050.1. STOKA Ad</t>
  </si>
  <si>
    <t>DSO 050.2. STOKA A1d</t>
  </si>
  <si>
    <t>DSO 050.3. STOKA A2d</t>
  </si>
  <si>
    <t>DSO 050.3.</t>
  </si>
  <si>
    <t>DSO 050.4.</t>
  </si>
  <si>
    <t>DSO 050.4. VTOKOVÝ OBJEKT, HTÚ - ÚPRAVA SILNIČNÍHO PŘÍKOPU</t>
  </si>
  <si>
    <t>DEŠŤOVÁ KANALIZAČNÍ ODBOČENÍ</t>
  </si>
  <si>
    <t>DSO 060.1. DEŠŤOVÁ KANALIZAČNÍ ODBOČENÍ</t>
  </si>
  <si>
    <t>SO 070</t>
  </si>
  <si>
    <t>PROVIZORNÍ VODOVOD</t>
  </si>
  <si>
    <t>DSO 070.1.</t>
  </si>
  <si>
    <t>DSO 070.1. PROVIZORNÍ VODOVOD</t>
  </si>
  <si>
    <t>SO 080</t>
  </si>
  <si>
    <t>RUŠENÍ STÁVAJÍCÍCH SÍTÍ</t>
  </si>
  <si>
    <t>DSO 080.1.</t>
  </si>
  <si>
    <t>DSO 080.1. RUŠENÍ STÁVAJÍCÍCH SÍTÍ</t>
  </si>
  <si>
    <t>DSO 010.5. OPRAVA VRCHNÍCH VRSTEV KOMUNIKACÍ</t>
  </si>
  <si>
    <t>Název stavby:</t>
  </si>
  <si>
    <t>Doba výstavby:</t>
  </si>
  <si>
    <t xml:space="preserve"> </t>
  </si>
  <si>
    <t>Druh stavby:</t>
  </si>
  <si>
    <t>Začátek výstavby:</t>
  </si>
  <si>
    <t>Lokalita:</t>
  </si>
  <si>
    <t>k.ú.ŽIROVNICE, okr. PELHŘIMOV</t>
  </si>
  <si>
    <t>Konec výstavby:</t>
  </si>
  <si>
    <t>JKSO:</t>
  </si>
  <si>
    <t>8272111</t>
  </si>
  <si>
    <t>Zpracováno dne:</t>
  </si>
  <si>
    <t>Č</t>
  </si>
  <si>
    <t>Kód</t>
  </si>
  <si>
    <t>Zkrácený popis</t>
  </si>
  <si>
    <t>MJ</t>
  </si>
  <si>
    <t>Množství</t>
  </si>
  <si>
    <t>Cena/MJ</t>
  </si>
  <si>
    <t>Náklady (Kč)</t>
  </si>
  <si>
    <t>Hmotnost (t)</t>
  </si>
  <si>
    <t>Cenová</t>
  </si>
  <si>
    <t>ISWORK</t>
  </si>
  <si>
    <t>GROUPCODE</t>
  </si>
  <si>
    <t>VATTAX</t>
  </si>
  <si>
    <t>Rozměry</t>
  </si>
  <si>
    <t>(Kč)</t>
  </si>
  <si>
    <t>Dodávka</t>
  </si>
  <si>
    <t>Montáž</t>
  </si>
  <si>
    <t>Celkem</t>
  </si>
  <si>
    <t>Jednot.</t>
  </si>
  <si>
    <t>soustava</t>
  </si>
  <si>
    <t>Přesuny</t>
  </si>
  <si>
    <t>Typ skupiny</t>
  </si>
  <si>
    <t>HSV mat</t>
  </si>
  <si>
    <t>HSV prac</t>
  </si>
  <si>
    <t>PSV mat</t>
  </si>
  <si>
    <t>PSV prac</t>
  </si>
  <si>
    <t>Mont mat</t>
  </si>
  <si>
    <t>Mont prac</t>
  </si>
  <si>
    <t>Ostatní mat.</t>
  </si>
  <si>
    <t>MAT</t>
  </si>
  <si>
    <t>WORK</t>
  </si>
  <si>
    <t>CELK</t>
  </si>
  <si>
    <t/>
  </si>
  <si>
    <t>11</t>
  </si>
  <si>
    <t>Přípravné a přidružené práce</t>
  </si>
  <si>
    <t>1</t>
  </si>
  <si>
    <t>119000002RA0</t>
  </si>
  <si>
    <t>Dočasné zajištění kabelů ve výkopu (křížení)</t>
  </si>
  <si>
    <t>m</t>
  </si>
  <si>
    <t>15</t>
  </si>
  <si>
    <t>11_</t>
  </si>
  <si>
    <t>1_</t>
  </si>
  <si>
    <t>_</t>
  </si>
  <si>
    <t>Poznámka:</t>
  </si>
  <si>
    <t>2</t>
  </si>
  <si>
    <t>119000001RA0</t>
  </si>
  <si>
    <t>Dočasné zajištění potrubí ve výkopu (křížení)</t>
  </si>
  <si>
    <t>3</t>
  </si>
  <si>
    <t>115101201R00</t>
  </si>
  <si>
    <t>Čerpání vody na výšku do 10 m, přítok do 500 l/min</t>
  </si>
  <si>
    <t>h</t>
  </si>
  <si>
    <t>4</t>
  </si>
  <si>
    <t>115101301R00</t>
  </si>
  <si>
    <t>Pohotovost čerp.soupravy, výška 10 m, přítok 500 l</t>
  </si>
  <si>
    <t>den</t>
  </si>
  <si>
    <t>5</t>
  </si>
  <si>
    <t>113107222RAB</t>
  </si>
  <si>
    <t>Odstranění asfaltobetonové vozovky pl. nad 50 m2 - KSÚSV</t>
  </si>
  <si>
    <t>m2</t>
  </si>
  <si>
    <t>6</t>
  </si>
  <si>
    <t>113107220RAB</t>
  </si>
  <si>
    <t>Odstranění asfaltobetonové vozovky, pl. do 50 m2 - MOK</t>
  </si>
  <si>
    <t>7</t>
  </si>
  <si>
    <t>113106030RAB</t>
  </si>
  <si>
    <t>Odstranění zám.dlažby 8 cm vč.podkladu,pl.do 50 m2 - DLAŽBY, ZPEVNĚNÉ VSTUPY, VJEZDY</t>
  </si>
  <si>
    <t>8</t>
  </si>
  <si>
    <t>111000001VD</t>
  </si>
  <si>
    <t>Ztížený podchod pod plotem (M+D)</t>
  </si>
  <si>
    <t>soubor</t>
  </si>
  <si>
    <t>12</t>
  </si>
  <si>
    <t>Odkopávky a prokopávky</t>
  </si>
  <si>
    <t>9</t>
  </si>
  <si>
    <t>121101101R00</t>
  </si>
  <si>
    <t>Sejmutí ornice s přemístěním do 50 m</t>
  </si>
  <si>
    <t>m3</t>
  </si>
  <si>
    <t>12_</t>
  </si>
  <si>
    <t>10</t>
  </si>
  <si>
    <t>120001101R00</t>
  </si>
  <si>
    <t>Příplatek za ztížení vykopávky v blízkosti vedení</t>
  </si>
  <si>
    <t>13</t>
  </si>
  <si>
    <t>Hloubené vykopávky</t>
  </si>
  <si>
    <t>132201213R00</t>
  </si>
  <si>
    <t>Hloubení rýh š.do 200 cm hor.3 do 10000 m3,STROJNĚ</t>
  </si>
  <si>
    <t>13_</t>
  </si>
  <si>
    <t>132201219R00</t>
  </si>
  <si>
    <t>Příplatek za lepivost - hloubení rýh 200cm v hor.3</t>
  </si>
  <si>
    <t>132301213R00</t>
  </si>
  <si>
    <t>Hloubení rýh š.do 200 cm hor.4 do 10000 m3,STROJNĚ</t>
  </si>
  <si>
    <t>14</t>
  </si>
  <si>
    <t>132301219R00</t>
  </si>
  <si>
    <t>Příplatek za lepivost - hloubení rýh 200cm v hor.4</t>
  </si>
  <si>
    <t>132401211R00</t>
  </si>
  <si>
    <t>Hloubení rýh šířky do 200 cm v hor.5, STROJNĚ</t>
  </si>
  <si>
    <t>16</t>
  </si>
  <si>
    <t>132501211R00</t>
  </si>
  <si>
    <t>Hloubení rýh šířky do 200 cm v hor.6, STROJNĚ</t>
  </si>
  <si>
    <t>Rezerva pro výskyt horniny třídy VI. Stanoveno odhadem.</t>
  </si>
  <si>
    <t>Roubení</t>
  </si>
  <si>
    <t>17</t>
  </si>
  <si>
    <t>151101102R00</t>
  </si>
  <si>
    <t>Pažení a rozepření stěn rýh - příložné - hl.do 4 m</t>
  </si>
  <si>
    <t>15_</t>
  </si>
  <si>
    <t>18</t>
  </si>
  <si>
    <t>151101112R00</t>
  </si>
  <si>
    <t>Odstranění pažení stěn rýh - příložné - hl. do 4 m</t>
  </si>
  <si>
    <t>Přemístění výkopku</t>
  </si>
  <si>
    <t>19</t>
  </si>
  <si>
    <t>161101101R00</t>
  </si>
  <si>
    <t>Svislé přemístění výkopku z hor.1-4 do 2,5 m</t>
  </si>
  <si>
    <t>16_</t>
  </si>
  <si>
    <t>20</t>
  </si>
  <si>
    <t>161101151R00</t>
  </si>
  <si>
    <t>Svislé přemístění výkopku z hor.5-7 do 2,5 m</t>
  </si>
  <si>
    <t>21</t>
  </si>
  <si>
    <t>162701105R00</t>
  </si>
  <si>
    <t>Vodorovné přemístění výkopku z hor.1-4 do 10000 m</t>
  </si>
  <si>
    <t>22</t>
  </si>
  <si>
    <t>162701109R00</t>
  </si>
  <si>
    <t>Příplatek k vod. přemístění hor.1-4 za další 1 km</t>
  </si>
  <si>
    <t>23</t>
  </si>
  <si>
    <t>162701155R00</t>
  </si>
  <si>
    <t>Vodorovné přemístění výkopku z hor.5-7 do 10000 m</t>
  </si>
  <si>
    <t>24</t>
  </si>
  <si>
    <t>162701159R00</t>
  </si>
  <si>
    <t>Příplatek k vod. přemístění hor.5-7 za další 1 km</t>
  </si>
  <si>
    <t>25</t>
  </si>
  <si>
    <t>167101102R00</t>
  </si>
  <si>
    <t>Nakládání, skládání, překládání neulehlého výkopku z hor.1-4 v množství nad 100 m3</t>
  </si>
  <si>
    <t>26</t>
  </si>
  <si>
    <t>162401102RT3</t>
  </si>
  <si>
    <t>Vodorovné přemístění výkopku z hor.1-4 do 2000 m - odvozy mezideponie</t>
  </si>
  <si>
    <t>27</t>
  </si>
  <si>
    <t>167101101R00.1</t>
  </si>
  <si>
    <t>Nakládání, skládání, překládání ornice v množství do 100 m3</t>
  </si>
  <si>
    <t>28</t>
  </si>
  <si>
    <t>162100010RA0.1</t>
  </si>
  <si>
    <t>Vodorovné přemístění ornice - odvoz, dovoz - mezideponie</t>
  </si>
  <si>
    <t>Konstrukce ze zemin</t>
  </si>
  <si>
    <t>29</t>
  </si>
  <si>
    <t>175101101RT2</t>
  </si>
  <si>
    <t>Obsyp potrubí bez prohození sypaniny</t>
  </si>
  <si>
    <t>17_</t>
  </si>
  <si>
    <t>30</t>
  </si>
  <si>
    <t>175101109R00</t>
  </si>
  <si>
    <t>Příplatek za prohození sypaniny pro obsyp potrubí</t>
  </si>
  <si>
    <t>31</t>
  </si>
  <si>
    <t>174101101R00</t>
  </si>
  <si>
    <t>Zásyp jam, rýh, šachet se zhutněním</t>
  </si>
  <si>
    <t>Povrchové úpravy terénu</t>
  </si>
  <si>
    <t>32</t>
  </si>
  <si>
    <t>181300012RAA</t>
  </si>
  <si>
    <t>Rozprostření ornice v rovině tloušťka 20 cm</t>
  </si>
  <si>
    <t>18_</t>
  </si>
  <si>
    <t>Hloubení pro podzemní stěny, ražení a hloubení důlní</t>
  </si>
  <si>
    <t>33</t>
  </si>
  <si>
    <t>199000002R00</t>
  </si>
  <si>
    <t>Poplatek za skládku horniny 1- 4</t>
  </si>
  <si>
    <t>19_</t>
  </si>
  <si>
    <t>1 m3 =&gt; cca 2 t</t>
  </si>
  <si>
    <t>34</t>
  </si>
  <si>
    <t>199000003R00</t>
  </si>
  <si>
    <t>Poplatek za skládku horniny 5 - 7</t>
  </si>
  <si>
    <t>Úprava podloží a základové spáry</t>
  </si>
  <si>
    <t>35</t>
  </si>
  <si>
    <t>215901101RT5</t>
  </si>
  <si>
    <t>Zhutnění podloží z hornin nesoudržných do 92% PS</t>
  </si>
  <si>
    <t>21_</t>
  </si>
  <si>
    <t>2_</t>
  </si>
  <si>
    <t>36</t>
  </si>
  <si>
    <t>212810010RAB</t>
  </si>
  <si>
    <t>Trativody z PVC drenážních flexibilních trubek</t>
  </si>
  <si>
    <t>Základy</t>
  </si>
  <si>
    <t>37</t>
  </si>
  <si>
    <t>271313511R00</t>
  </si>
  <si>
    <t>Beton podkladní pod základové konstrukce, prostý</t>
  </si>
  <si>
    <t>27_</t>
  </si>
  <si>
    <t>45</t>
  </si>
  <si>
    <t>Podkladní a vedlejší konstrukce (kromě vozovek a železničního svršku)</t>
  </si>
  <si>
    <t>38</t>
  </si>
  <si>
    <t>451573111R00</t>
  </si>
  <si>
    <t>Lože pod potrubí ze štěrkopísku f = 0-4 mm</t>
  </si>
  <si>
    <t>45_</t>
  </si>
  <si>
    <t>4_</t>
  </si>
  <si>
    <t>56</t>
  </si>
  <si>
    <t>Podkladní vrstvy komunikací, letišť a ploch</t>
  </si>
  <si>
    <t>39</t>
  </si>
  <si>
    <t>564851113RT4</t>
  </si>
  <si>
    <t>Podklad ze štěrkodrti po zhutnění tloušťky 17 cm - KSÚSV</t>
  </si>
  <si>
    <t>56_</t>
  </si>
  <si>
    <t>5_</t>
  </si>
  <si>
    <t>40</t>
  </si>
  <si>
    <t>564772111R00</t>
  </si>
  <si>
    <t>Podklad z kam.drceného 32-63 s výplň.kamen. 25 cm - KSÚSV</t>
  </si>
  <si>
    <t>41</t>
  </si>
  <si>
    <t>564762111R00</t>
  </si>
  <si>
    <t>Podklad z kam.drceného 32-63 s výplň.kamen. 20 cm - KSÚSV</t>
  </si>
  <si>
    <t>42</t>
  </si>
  <si>
    <t>43</t>
  </si>
  <si>
    <t>564851114RT2</t>
  </si>
  <si>
    <t>Podklad ze štěrkodrti po zhutnění tloušťky 18 cm - KSÚSV</t>
  </si>
  <si>
    <t>44</t>
  </si>
  <si>
    <t>565161111RT3</t>
  </si>
  <si>
    <t>Podklad z obal kam.ACP 16+,ACP 22+,do 3 m,tl. 8 cm - KSÚSV</t>
  </si>
  <si>
    <t>564871111RT4</t>
  </si>
  <si>
    <t>Podklad ze štěrkodrti po zhutnění tloušťky 25 cm - MOK</t>
  </si>
  <si>
    <t>46</t>
  </si>
  <si>
    <t>Podklad z kam.drceného 32-63 s výplň.kamen. 20 cm - MOK</t>
  </si>
  <si>
    <t>47</t>
  </si>
  <si>
    <t>564851111RT2</t>
  </si>
  <si>
    <t>Podklad ze štěrkodrti po zhutnění tloušťky 15 cm - MOK</t>
  </si>
  <si>
    <t>48</t>
  </si>
  <si>
    <t>565141111R00</t>
  </si>
  <si>
    <t>Podklad z obal kam.ACP 16+,ACP 22+,do 3 m,tl. 5 cm - MOK</t>
  </si>
  <si>
    <t>57</t>
  </si>
  <si>
    <t>Kryty pozemních komunikací, letišť a ploch z kameniva nebo živičné</t>
  </si>
  <si>
    <t>49</t>
  </si>
  <si>
    <t>573231147R00</t>
  </si>
  <si>
    <t>Postřik spojovací z KAE modifikované, 0,7 kg/m2 - KSÚSV</t>
  </si>
  <si>
    <t>57_</t>
  </si>
  <si>
    <t>50</t>
  </si>
  <si>
    <t>573231127R00</t>
  </si>
  <si>
    <t>Postřik spojovací z KAE, 0,7 kg/m2 - MOK</t>
  </si>
  <si>
    <t>59</t>
  </si>
  <si>
    <t>Kryty pozemních komunikací, letišť a ploch dlážděných (předlažby)</t>
  </si>
  <si>
    <t>51</t>
  </si>
  <si>
    <t>591050020RAA</t>
  </si>
  <si>
    <t>Komunikace z dlažby zámkové, podklad štěrkopísek, dlažba přírodní tloušťka 8 cm - DLAŽBY, ZPEVNĚNÉ VSTUPY, VJEZDY</t>
  </si>
  <si>
    <t>59_</t>
  </si>
  <si>
    <t>83</t>
  </si>
  <si>
    <t>Potrubí z trub kameninových</t>
  </si>
  <si>
    <t>52</t>
  </si>
  <si>
    <t>831350113RA0</t>
  </si>
  <si>
    <t>Kanalizační přípojka z trub PVC, D 160 mm</t>
  </si>
  <si>
    <t>83_</t>
  </si>
  <si>
    <t>8_</t>
  </si>
  <si>
    <t>53</t>
  </si>
  <si>
    <t>831350114RA0</t>
  </si>
  <si>
    <t>Kanalizační přípojka z trub PVC, D 250 mm</t>
  </si>
  <si>
    <t>89</t>
  </si>
  <si>
    <t>Ostatní konstrukce a práce na trubním vedení</t>
  </si>
  <si>
    <t>54</t>
  </si>
  <si>
    <t>894431121RBB</t>
  </si>
  <si>
    <t>Šachta, D 315 mm, dl.šach.roury do 2,0 m, přímá</t>
  </si>
  <si>
    <t>kus</t>
  </si>
  <si>
    <t>89_</t>
  </si>
  <si>
    <t>55</t>
  </si>
  <si>
    <t>894431121RDB</t>
  </si>
  <si>
    <t>Šachta, D 315 mm, dl.šach.roury 2,0 m, přímá</t>
  </si>
  <si>
    <t>93</t>
  </si>
  <si>
    <t>Různé dokončovací konstrukce a práce inženýrských staveb</t>
  </si>
  <si>
    <t>948942929R00</t>
  </si>
  <si>
    <t>Příplatek za montáž kanalizace v hornině mokré</t>
  </si>
  <si>
    <t>93_</t>
  </si>
  <si>
    <t>9_</t>
  </si>
  <si>
    <t>97</t>
  </si>
  <si>
    <t>Prorážení otvorů a ostatní bourací práce</t>
  </si>
  <si>
    <t>979089001R00</t>
  </si>
  <si>
    <t>Poplatek za uložení odpadního štěrku a kameniva, skupina odpadu 010408</t>
  </si>
  <si>
    <t>t</t>
  </si>
  <si>
    <t>97_</t>
  </si>
  <si>
    <t>H22</t>
  </si>
  <si>
    <t>Komunikace pozemní a letiště</t>
  </si>
  <si>
    <t>58</t>
  </si>
  <si>
    <t>998222011R00</t>
  </si>
  <si>
    <t>Přesun hmot, pozemní komunikace, kryt z kameniva + živičný (stavební přesuny)</t>
  </si>
  <si>
    <t>H22_</t>
  </si>
  <si>
    <t>998222091R00</t>
  </si>
  <si>
    <t>Přesun hmot, komunikace z kameniva, příplatek 1 km</t>
  </si>
  <si>
    <t>60</t>
  </si>
  <si>
    <t>998225111R00</t>
  </si>
  <si>
    <t>Přesun hmot, pozemní komunikace, kryt živičný (do 1 km)</t>
  </si>
  <si>
    <t>61</t>
  </si>
  <si>
    <t>998223011R00</t>
  </si>
  <si>
    <t>Přesun hmot, pozemní komunikace, kryt dlážděný (stavební přesuny)</t>
  </si>
  <si>
    <t>62</t>
  </si>
  <si>
    <t>998223091R00</t>
  </si>
  <si>
    <t>Přesun hmot, komunikace dlážděné, příplatek 1 km</t>
  </si>
  <si>
    <t>H27</t>
  </si>
  <si>
    <t>Vedení trubní dálková a přípojná</t>
  </si>
  <si>
    <t>63</t>
  </si>
  <si>
    <t>998276101R00</t>
  </si>
  <si>
    <t>Přesun hmot, trubní vedení plastová, otevř. výkop</t>
  </si>
  <si>
    <t>H27_</t>
  </si>
  <si>
    <t>64</t>
  </si>
  <si>
    <t>998276201R00</t>
  </si>
  <si>
    <t>Přesun hmot, trub.vedení plast. - lože, obsypy</t>
  </si>
  <si>
    <t>65</t>
  </si>
  <si>
    <t>998271301R00</t>
  </si>
  <si>
    <t>Přesun hmot pro kanalizace (bet. prefabrikáty, betony), otevř. výkop</t>
  </si>
  <si>
    <t>H31</t>
  </si>
  <si>
    <t>Hydromeliorace</t>
  </si>
  <si>
    <t>66</t>
  </si>
  <si>
    <t>998312021R00</t>
  </si>
  <si>
    <t>Přesun hmot pro odvodnění drenáží s výplní rýh</t>
  </si>
  <si>
    <t>H31_</t>
  </si>
  <si>
    <t>M46</t>
  </si>
  <si>
    <t>Zemní práce při montážích</t>
  </si>
  <si>
    <t>67</t>
  </si>
  <si>
    <t>460650001R00.1</t>
  </si>
  <si>
    <t>Příjezdová cesta štěrková / štěrkový povrch - ŠTĚRK / CESTA</t>
  </si>
  <si>
    <t>M46_</t>
  </si>
  <si>
    <t>Celkem:</t>
  </si>
  <si>
    <t>DSO 020.1. VODOVODNÍ ODBOČENÍ</t>
  </si>
  <si>
    <t>827131</t>
  </si>
  <si>
    <t>Rezerva pro výskyt horniny třídy V. Stanoveno odhadem.</t>
  </si>
  <si>
    <t>Postřik spojovací z KAE, 0,7 kg/m2 - KSÚSV</t>
  </si>
  <si>
    <t>722</t>
  </si>
  <si>
    <t>Vnitřní vodovod</t>
  </si>
  <si>
    <t>722190224R00.1</t>
  </si>
  <si>
    <t>Napojení na stávající přípojku vodovodní pro pevné připojení DN 25 (d 32 mm)</t>
  </si>
  <si>
    <t>722_</t>
  </si>
  <si>
    <t>72_</t>
  </si>
  <si>
    <t>831230110RAB.1</t>
  </si>
  <si>
    <t>Vodovodní přípojka z trub polyetylénových DN 25 (d 32 mm), hl. do 1,75 m</t>
  </si>
  <si>
    <t>893111111R00.1</t>
  </si>
  <si>
    <t>Šachta vodoměrná modulární 0,6 x 0,5 m, výška do 1,3 m (TYP 1)</t>
  </si>
  <si>
    <t>899721112R00</t>
  </si>
  <si>
    <t>Fólie výstražná z PVC, šířka 30 cm</t>
  </si>
  <si>
    <t>899731114R00</t>
  </si>
  <si>
    <t>Vodič signalizační CYY 6 mm2</t>
  </si>
  <si>
    <t>Příplatek za montáž vodovodních přípojek v hornině mokré</t>
  </si>
  <si>
    <t>Přesun hmot, pozemní komunikace, kryt z kameniva + živičný (stavební přesuny - nové konstrukce)</t>
  </si>
  <si>
    <t>H28</t>
  </si>
  <si>
    <t>Vedení elektrická a dráhy visuté</t>
  </si>
  <si>
    <t>998289011R00</t>
  </si>
  <si>
    <t>Přesun hmot pro kabelovody jakéhokoliv rozsahu</t>
  </si>
  <si>
    <t>H28_</t>
  </si>
  <si>
    <t>Ostatní materiál</t>
  </si>
  <si>
    <t>34572302</t>
  </si>
  <si>
    <t>Pásky stahovací SP 140 x 3,5 mm, PA</t>
  </si>
  <si>
    <t>100 ks</t>
  </si>
  <si>
    <t>0</t>
  </si>
  <si>
    <t>Z99999_</t>
  </si>
  <si>
    <t>Z_</t>
  </si>
  <si>
    <t>Stahovací pásky k uchycení vytyčovacího vodiče CYY 6 mm2. D_x000D_
1 ks á 2,0 m</t>
  </si>
  <si>
    <t>Objednatel:</t>
  </si>
  <si>
    <t>Projektant:</t>
  </si>
  <si>
    <t>k.ú. ŽIROVNICE, okr. PELHŘIMOV</t>
  </si>
  <si>
    <t>Zhotovitel:</t>
  </si>
  <si>
    <t>dle výběru investora / výběrového řízení</t>
  </si>
  <si>
    <t>Zpracoval:</t>
  </si>
  <si>
    <t>Všeobecné konstrukce a práce</t>
  </si>
  <si>
    <t>015 Kl 000990VD</t>
  </si>
  <si>
    <t>Zkouška únosnosti pláně</t>
  </si>
  <si>
    <t>soub.</t>
  </si>
  <si>
    <t>0_</t>
  </si>
  <si>
    <t>089VD</t>
  </si>
  <si>
    <t>0895008001VD</t>
  </si>
  <si>
    <t>Zaříznutí stávajícího potrubí z LT do DN 100</t>
  </si>
  <si>
    <t>ks</t>
  </si>
  <si>
    <t>RTS I / 2024</t>
  </si>
  <si>
    <t>089VD_</t>
  </si>
  <si>
    <t>Zaříznutí stávajícího potrubí z LT do DN 100, očištění řezu, sražení hrany, obroušení povrchu trubky pro umožnění napojení hrdlové spojky._x000D_
Výpočet - výměra, rozměr:_x000D_
2 =&gt; počet hrdlových spojek / napojení [ks]</t>
  </si>
  <si>
    <t>Pohotovost čerpací soupravy. Oceňují se všechny dny od ukončení montáže po započetí demontáže čerpací soustavy._x000D_
Výpočet:_x000D_
předpokad čerpání ve dnech =&gt; stanoveno odhadem</t>
  </si>
  <si>
    <t>113107418R00</t>
  </si>
  <si>
    <t>Odstranění podkladu nad 50 m2,kam.těžené tl.18 cm - KSÚSV</t>
  </si>
  <si>
    <t>113107415R00</t>
  </si>
  <si>
    <t>Odstranění podkladu nad 50 m2,kam.těžené tl.15 cm - MOK</t>
  </si>
  <si>
    <t>Příplatek za ztížení vykopávky v blízkosti vedení, stanoveno odhadem.</t>
  </si>
  <si>
    <t>Přípl.za lepivost, hloubení rýh 200cm, hor.3, STROJNĚ</t>
  </si>
  <si>
    <t>Přípl.za lepivost,hloubení rýh 200cm,hor.4,STROJNĚ</t>
  </si>
  <si>
    <t>138501201R00</t>
  </si>
  <si>
    <t>Dolamování rýh ve vrstvě do 0,5 m v hor.6</t>
  </si>
  <si>
    <t>Rezerva pro případné uložení drenážního potrubí DN 80. _x000D_
Výpočet - výměra, rozměr:_x000D_
10*0,25*1,10 =&gt; délka výkopku pro příp. drenážní potrubí [m] * plocha rýhy [m2] + rezerva 10%</t>
  </si>
  <si>
    <t>131201113R00</t>
  </si>
  <si>
    <t>Hloubení nezapaž. jam hor.3 do 10000 m3, STROJNĚ</t>
  </si>
  <si>
    <t>Položka obsahuje hloubení jámy,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výkopu._x000D_
Výpočet - výměra, rozměr:_x000D_
6,00*3,00*2,40*0,50*1,05 =&gt; PODVRT - START. JÁMA: délka [m] * šířka [m] * prům. hloubka [m] * 50% horn. tř. III. + rezerva 5%_x000D_
3,00*3,00*2,40*0,50*1,05 =&gt; PODVRT - CÍLOVÁ JÁMA: délka [m] * šířka [m] * prům. hloubka [m] * 50% horn. tř. III. + rezerva 5%</t>
  </si>
  <si>
    <t>131301113R00</t>
  </si>
  <si>
    <t>Hloubení nezapaž. jam hor.4 do 10000 m3, STROJNĚ</t>
  </si>
  <si>
    <t>Položka obsahuje hloubení jámy,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výkopu._x000D_
Výpočet - výměra, rozměr:_x000D_
6,00*3,00*2,40*0,40*1,05 =&gt; PODVRT - START. JÁMA: délka [m] * šířka [m] * prům. hloubka [m] * 40% horn. tř. IV. + rezerva 5%_x000D_
3,00*3,00*2,40*0,40*1,05 =&gt; PODVRT - CÍLOVÁ JÁMA: délka [m] * šířka [m] * prům. hloubka [m] * 40% horn. tř. IV. + rezerva 5%</t>
  </si>
  <si>
    <t>131401113R00</t>
  </si>
  <si>
    <t>Hloubení nezapaž. jam v hor.5 do 10000 m3, STROJNĚ</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</si>
  <si>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odvedením._x000D_
Výpočet - výměra, rozměr:_x000D_
6,00*3,00*2,40*0,10*1,05 =&gt; PODVRT - START. JÁMA: délka [m] * šířka [m] * prům. hloubka [m] * 10% horn. tř. V. + rezerva 5%_x000D_
3,00*3,00*2,40*0,10*1,05 =&gt; PODVRT - CÍLOVÁ JÁMA: délka [m] * šířka [m] * prům. hloubka [m] * 10% horn. tř. V. + rezerva 5%</t>
  </si>
  <si>
    <t>Ražení a hloubení tunelářské</t>
  </si>
  <si>
    <t>141721103R00</t>
  </si>
  <si>
    <t>Řízené protlačení a vtažení PE d 225 mm, hor.1 - 4</t>
  </si>
  <si>
    <t>14_</t>
  </si>
  <si>
    <t>151101101R00</t>
  </si>
  <si>
    <t>Pažení a rozepření stěn rýh - příložné - hl.do 2 m</t>
  </si>
  <si>
    <t>151101111R00</t>
  </si>
  <si>
    <t>Odstranění pažení stěn rýh - příložné - hl. do 2 m</t>
  </si>
  <si>
    <t>162701105RT3</t>
  </si>
  <si>
    <t>162701109RT3</t>
  </si>
  <si>
    <t>162701155RT3</t>
  </si>
  <si>
    <t>162701159RT3</t>
  </si>
  <si>
    <t>215901101R00</t>
  </si>
  <si>
    <t>Vodorovné nosné konstrukce (pro inženýrské stavby)</t>
  </si>
  <si>
    <t>421373121R00</t>
  </si>
  <si>
    <t>Osaz. podkl. a opěr. desek bet. zajišť. bloků, hmotn. do 50kg/ks</t>
  </si>
  <si>
    <t>42_</t>
  </si>
  <si>
    <t>Celkový počet desek, převzato z pol. kódu 59341745</t>
  </si>
  <si>
    <t>Osazení podkladových desek pod šoupátka a hydranty.</t>
  </si>
  <si>
    <t>722229104R00</t>
  </si>
  <si>
    <t>Montáž vodovodních armatur, 1závit, G 5/4"</t>
  </si>
  <si>
    <t>Montáž vodovodních armatur, 1závit, G 5/4" - Přechod PE - kov vnější závit 32 x 5/4". M_x000D_
Výpočet - výměra, rozměr:_x000D_
1 =&gt; DETEKCE PORUCHY: počet [ks]</t>
  </si>
  <si>
    <t>733</t>
  </si>
  <si>
    <t>Rozvod potrubí</t>
  </si>
  <si>
    <t>733175130R00</t>
  </si>
  <si>
    <t>Montáž tvarovek plast polyf.svař.dva spoje D 110mm</t>
  </si>
  <si>
    <t>733_</t>
  </si>
  <si>
    <t>73_</t>
  </si>
  <si>
    <t>Výpis trub a tvarovek:_x000D_
Položka oceňuje montáž všech jednoosých plastových (PE) tvarovek daného průměru, elektrosvařováním. Měrnou jednotkou se rozumí 1 kus tvarovky._x000D_
Počet určen z celkového součtu příslušných plastových tvarovek.</t>
  </si>
  <si>
    <t>733175140R00</t>
  </si>
  <si>
    <t>Montáž tvarovek plast polyf.svař.tři spoje D 110mm</t>
  </si>
  <si>
    <t>733175129R00</t>
  </si>
  <si>
    <t>Montáž tvarovek plast polyf.svař. dva spoje d 90 mm</t>
  </si>
  <si>
    <t>Položka oceňuje montáž všech jednoosých plastových (PE) tvarovek daného průměru, elektrosvařováním. Měrnou jednotkou se rozumí 1 kus tvarovky._x000D_
Počet určen z celkového součtu příslušných plastových tvarovek.</t>
  </si>
  <si>
    <t>85</t>
  </si>
  <si>
    <t>Potrubí z trub litinových</t>
  </si>
  <si>
    <t>857264121R00</t>
  </si>
  <si>
    <t>Montáž tvarovek litin. odboč. přír. výkop DN 100</t>
  </si>
  <si>
    <t>85_</t>
  </si>
  <si>
    <t>857262121R00</t>
  </si>
  <si>
    <t>Montáž tvarovek litin. jednoos. přír. výkop DN 100</t>
  </si>
  <si>
    <t>Výpis trub, tvarovek a armatur:_x000D_
Položka zahrnuje montáž všech litinových jednossých přírubových tvarovek (FF-kus, FFR-kus, LT-Spojka, přírubové koleno, ...) v otevřeném výkopu (štole / šachtě), včetně mezipřír. těsnění, korozivzdorných šroubů, matic a podložek dle TNV 755402 - Výstavba vodovodního potrubí. Počet určen z celkového součtu příslušných litinových armatur.</t>
  </si>
  <si>
    <t>857242121R00</t>
  </si>
  <si>
    <t>Montáž tvarovek litin. jednoos.přír. výkop DN 80</t>
  </si>
  <si>
    <t>87</t>
  </si>
  <si>
    <t>Potrubí z trub plastických, skleněných a čedičových</t>
  </si>
  <si>
    <t>871371121R00</t>
  </si>
  <si>
    <t>Montáž trubek polyetylenových ve výkopu d 225 mm</t>
  </si>
  <si>
    <t>87_</t>
  </si>
  <si>
    <t>Montáž PE potrubí v otevřeném výkopu, alt. mimo výkop, d 225 bez dodávky materiálu. M_x000D_
viz. PODÉLNÝ PROFIL A KLADEČSKÉ SCHÉMA SO_x000D_
Výpočet - výměra, rozměr:_x000D_
12,0 =&gt; délka montáže potrubí [m]</t>
  </si>
  <si>
    <t>871161121R00</t>
  </si>
  <si>
    <t>Montáž trubek polyetylenových ve výkopu d 32 mm</t>
  </si>
  <si>
    <t>Montáž PE potrubí v otevřeném výkopu d 32, bez dodávky materiálu. M_x000D_
viz. PODÉLNÝ PROFIL A KLADEČSKÉ SCHÉMA SO_x000D_
Výpočet - výměra, rozměr:_x000D_
5,0 =&gt; DETEKCE PORUCHY: max. délka montáže [m]</t>
  </si>
  <si>
    <t>68</t>
  </si>
  <si>
    <t>871251121R00</t>
  </si>
  <si>
    <t>Montáž trubek polyetylenových ve výkopu d 110 mm</t>
  </si>
  <si>
    <t>69</t>
  </si>
  <si>
    <t>871241121R00</t>
  </si>
  <si>
    <t>Montáž potrubí polyetylenového ve výkopu d 90 mm</t>
  </si>
  <si>
    <t>Montáž PE potrubí v otevřeném výkopu d 90 bez materiálu._x000D_
viz. PODÉLNÝ PROFIL A KLADEČSKÉ SCHÉMA SO_x000D_
Výpočet - výměra, rozměr:_x000D_
4,0 =&gt; celková delka potrubí [m]</t>
  </si>
  <si>
    <t>70</t>
  </si>
  <si>
    <t>877252121R00</t>
  </si>
  <si>
    <t>Přirážka za 1 spoj elektrotvarovky d 110 mm</t>
  </si>
  <si>
    <t>Cena vyjadřuje náklady na jeden spoj elektrospojkou v otevřeném výkopu, jak v běžné trase, tak i při montáži elektrospojek, oceňuje se příslušným počtem spojů = napojení._x000D_
Počet stanoven z položky č.: 753-911-XXXVD - Elektrospojka daného průměru, viz. Výpis trub, tvarovek a armatur.</t>
  </si>
  <si>
    <t>71</t>
  </si>
  <si>
    <t>877242121R00</t>
  </si>
  <si>
    <t>Přirážka za 1 spoj elektrotvarovky d 90 mm</t>
  </si>
  <si>
    <t>72</t>
  </si>
  <si>
    <t>891359111R00</t>
  </si>
  <si>
    <t>Montáž navrtávacích pasů DN 200</t>
  </si>
  <si>
    <t>Položka je určena pro montáž navrtávacích pasů na potrubí z trub osinkocementových, litinových, ocelových nebo plastických hmot. _x000D_
V položce jsou zakalkulovány i náklady na jejich montáž a výkop montážních jamek, na opravu izolace ocelových trubek a na osazení zemních souprav. _x000D_
V položce nejsou zakalkulovány náklady na dodání navrtávacích pasů a ventilů, tyto armatury se oceňují ve specifikaci, osazení ventilových poklopů._x000D_
Výpočet - výměra, rozměr:_x000D_
1 =&gt; DETEKCE PORUCHY: počet [ks]</t>
  </si>
  <si>
    <t>73</t>
  </si>
  <si>
    <t>899401112R00</t>
  </si>
  <si>
    <t>Osazení poklopů litinových šoupátkových</t>
  </si>
  <si>
    <t>V položkách osazení poklopů jsou zakalkulovány i náklady na jejich podezdění. M_x000D_
Výpočet - výměra, rozměr:_x000D_
1 =&gt; DETEKCE PORUCHY: počet poklopů [ks]</t>
  </si>
  <si>
    <t>74</t>
  </si>
  <si>
    <t>892271111R00</t>
  </si>
  <si>
    <t>Tlaková zkouška vodovodního potrubí DN 100</t>
  </si>
  <si>
    <t>75</t>
  </si>
  <si>
    <t>892273111R00</t>
  </si>
  <si>
    <t>Desinfekce vodovodního potrubí DN 100</t>
  </si>
  <si>
    <t>76</t>
  </si>
  <si>
    <t>892241111R00</t>
  </si>
  <si>
    <t>Tlaková zkouška vodovodního potrubí DN 80</t>
  </si>
  <si>
    <t>V položce jsou započteny náklady na přísun, montáž, demontáž a odsun zkoušecího čerpadla, napuštění tlakovou vodou a dodání vody pro tlakovou zkoušku._x000D_
Výpočet - výměra, rozměr:_x000D_
4,0 =&gt; délka potrubí dané dimenze [m]</t>
  </si>
  <si>
    <t>77</t>
  </si>
  <si>
    <t>892233111R00</t>
  </si>
  <si>
    <t>Desinfekce vodovodního potrubí DN 80</t>
  </si>
  <si>
    <t>Položka obsahuje napuštění a vypuštění vody, dodání vody a desinfekčního prostředku, náklady na bakteriologický rozbor vody._x000D_
Výpočet - výměra, rozměr:_x000D_
4,0 =&gt; délka potrubí dané dimenze [m]</t>
  </si>
  <si>
    <t>78</t>
  </si>
  <si>
    <t>79</t>
  </si>
  <si>
    <t>899712111R00</t>
  </si>
  <si>
    <t>Orientační tabulky na zdivu / oplocení</t>
  </si>
  <si>
    <t>Výpis trub, tvarovek a armatur:_x000D_
Tabulka výstražná 105x150 mm, na zdivu, příp. na oplocení.</t>
  </si>
  <si>
    <t>80</t>
  </si>
  <si>
    <t>899713111R00</t>
  </si>
  <si>
    <t>Orientační tabulky na sloupku ocelovém, betonovém</t>
  </si>
  <si>
    <t>Výpis trub, tvarovek a armatur:_x000D_
Tabulka výstražná 105x150 mm, na sloupku včetně jamky, zabetonování patky.</t>
  </si>
  <si>
    <t>81</t>
  </si>
  <si>
    <t>891261111R00</t>
  </si>
  <si>
    <t>Montáž vodovodních šoupátek ve výkopu DN 100</t>
  </si>
  <si>
    <t>Položka je určena pro montáž vodovodních šoupátek v otevřeném výkopu nebo v šachtách s osazením zemní teleskopické soupravy (bez poklopů). Počet určen z celkového součtu příslušných litinových armatur.</t>
  </si>
  <si>
    <t>82</t>
  </si>
  <si>
    <t>891241111R00</t>
  </si>
  <si>
    <t>Montáž vodovodních šoupátek ve výkopu DN 80</t>
  </si>
  <si>
    <t>V položkách osazení poklopů jsou zakalkulovány i náklady na jejich podezdění.</t>
  </si>
  <si>
    <t>84</t>
  </si>
  <si>
    <t>899401113R00</t>
  </si>
  <si>
    <t>Osazení poklopů litinových hydrantových</t>
  </si>
  <si>
    <t>891247111R00</t>
  </si>
  <si>
    <t>Montáž hydrantů podzemních DN 80</t>
  </si>
  <si>
    <t>Položka je určena pro montáž hydrantů podzemních (bez osazení poklopů) na potrubí.</t>
  </si>
  <si>
    <t>86</t>
  </si>
  <si>
    <t>891269111R00</t>
  </si>
  <si>
    <t>Montáž navrtávacích pasů DN 100</t>
  </si>
  <si>
    <t>Položka je určena pro montáž navrtávacích pasů dané světlosti.</t>
  </si>
  <si>
    <t>891163111R00</t>
  </si>
  <si>
    <t>Montáž ventilů hlavních pro přípojky DN 25</t>
  </si>
  <si>
    <t>88</t>
  </si>
  <si>
    <t>Osazení poklopů litinových domovních šoupátkových v položkách osazení poklopů jsou zakalkulovány i náklady na jejich podezdění. M</t>
  </si>
  <si>
    <t>90</t>
  </si>
  <si>
    <t>91</t>
  </si>
  <si>
    <t>92</t>
  </si>
  <si>
    <t>94</t>
  </si>
  <si>
    <t>95</t>
  </si>
  <si>
    <t>96</t>
  </si>
  <si>
    <t>M21</t>
  </si>
  <si>
    <t>Elektromontáže</t>
  </si>
  <si>
    <t>98</t>
  </si>
  <si>
    <t>210292021R00</t>
  </si>
  <si>
    <t>Uložení vyhledávacího vodiče CYY 6mm2, přípolož k potrubí</t>
  </si>
  <si>
    <t>M21_</t>
  </si>
  <si>
    <t>M23</t>
  </si>
  <si>
    <t>Montáže potrubí</t>
  </si>
  <si>
    <t>99</t>
  </si>
  <si>
    <t>230193006R00</t>
  </si>
  <si>
    <t>Nasunutí potrubní sekce do chráničky DN 200</t>
  </si>
  <si>
    <t>M23_</t>
  </si>
  <si>
    <t>Nasunutí potrubí PE d 110, SDR 11, RCn, do chráničky PE d 225, SDR 17, montáž potrubí v místě podvrtu, kompletace podvrtu._x000D_
Výpočet - výměra, rozměr:_x000D_
12,0 =&gt; délka výstroje chráničky [m]</t>
  </si>
  <si>
    <t>100</t>
  </si>
  <si>
    <t>230195031R00</t>
  </si>
  <si>
    <t>Montáž distanční objímky segmentových d 100-179 mm</t>
  </si>
  <si>
    <t>Montáž distanční objímky segmentových d 100-179 mm. _x000D_
Výpočet - výměra, rozměr:_x000D_
8 =&gt; počet objímek [ks]</t>
  </si>
  <si>
    <t>101</t>
  </si>
  <si>
    <t>230194007R00</t>
  </si>
  <si>
    <t>Utěsnění chráničky manžetou DN 200</t>
  </si>
  <si>
    <t>Utěsnění chráničky manžetou DN 200, 2x utěsnění na koncích chráničky. M_x000D_
Výpočet - výměra, rozměr:_x000D_
2 =&gt; počet těsnění [ks]</t>
  </si>
  <si>
    <t>102</t>
  </si>
  <si>
    <t>230032030R00</t>
  </si>
  <si>
    <t>Montáž přírubových spojů do PN 16, DN 100</t>
  </si>
  <si>
    <t>Položka zahrnuje montáž lemových nákružků a otočných přírub v přírubovém spoji ve výkopu._x000D_
Počet určen z celkového součtu příslušných armatur / tvarovek.</t>
  </si>
  <si>
    <t>103</t>
  </si>
  <si>
    <t>230032029R00</t>
  </si>
  <si>
    <t>Montáž přírubových spojů do PN 16, DN 80</t>
  </si>
  <si>
    <t>104</t>
  </si>
  <si>
    <t>286134728</t>
  </si>
  <si>
    <t>Trubka vodovodní HDPE PE 100, SDR 17, d 225x13,4 mm</t>
  </si>
  <si>
    <t>Trubka vodovodní HDPE PE 100, SDR 17, d 225x13,4 mm, tyče 12 m  (případně 6 m s nutným dopočtem elektrospojek) viz. PODÉLNÝ PROFIL A KLADEČSKÉ SCHÉMA SO._x000D_
Dodávka (D) materiálu bez montáže._x000D_
Výpočet - výměra, rozměr:_x000D_
12 =&gt; délka trubky [m] + ztratné 10%</t>
  </si>
  <si>
    <t>105</t>
  </si>
  <si>
    <t>2865350016</t>
  </si>
  <si>
    <t>Objímka distanční PEHD, d 100-111 mm, výška nopu 36 mm</t>
  </si>
  <si>
    <t>Distanční objímky (vymezovací objímky) typu BR jsou určeny pro malé průměry potrubí od 32 mm do 173 mm. Výšky 15; 25; 36; 45 mm. Jsou celoplastové a mají válečky pro jednodušší nasouvání potrubí do chráničky. Jednotlivé segmenty se spojí pomocí jednoduchého háčkového zámku a konce se utáhnou pomocí plastových  stahovacích pásků. D_x000D_
Vnější průměr: d 100 - 111 mm. _x000D_
Výška distanční objímky: 36 mm. _x000D_
Šířka distanční objímky: 100 mm. _x000D_
Materiál: PE HD Provozní teplota: -20° až +80° C. _x000D_
Vzdálenost mezi distančními objímkami je 1,5 m (od začátku a od konce prostupu 0,15 m). _x000D_
Výpočet - výměra, rozměr:_x000D_
8 =&gt; počet objímek [ks] - (1 ks á 1,5 m)</t>
  </si>
  <si>
    <t>106</t>
  </si>
  <si>
    <t>273443888</t>
  </si>
  <si>
    <t>Manžeta na chráničky EPDM 110 x 225 mm</t>
  </si>
  <si>
    <t>K uzavření konců chráničky slouží manžety na chráničky. Manžety brání vnikání spodní vody a různých živočichů nebo nečistot do chráničky. Nasazují se na trubku v průběhu montáže a upevňují se utažením nerezových pásků, které jsou k manžetě přiloženy při dodání.  Manžeta je vyrobena ze syntetického kaučuku EPDM, který je odolný proti vlhkosti a jehož trvanlivost je pro dané účely vyhovující. Manžety jsou odlévány do forem a jsou tudíž celistvé bez jakýchkoliv spojů, což zvyšuje těsnost po správně provedené montáži. D_x000D_
Výpočet - výměra, rozměr:_x000D_
2 =&gt; počet manžet [ks]</t>
  </si>
  <si>
    <t>107</t>
  </si>
  <si>
    <t>83500015VD</t>
  </si>
  <si>
    <t>Pas navrt. pro PE a PVC potrubí, D 225 / závit 5/4"</t>
  </si>
  <si>
    <t>Navrtávací pas na chráničku PE d 225 mm / výstup závit 5/4", pro umožnění detekce poruchy, napojením a volným vyvedením PE d 32 mm pod šoupátkový poklop. D_x000D_
Výpočet - výměra, rozměr:_x000D_
1 =&gt; DETEKCE PORUCHY: počet [ks]</t>
  </si>
  <si>
    <t>108</t>
  </si>
  <si>
    <t>28655381</t>
  </si>
  <si>
    <t>Přechod PE - kov vnější závit 32 x 5/4"</t>
  </si>
  <si>
    <t>Rozebíratelné svěrné spoje z polyetylenu pro trubky z lineárního HDPE. D_x000D_
Výpočet - výměra, rozměr:_x000D_
1 =&gt; DETEKCE PORUCHY: počet [ks]</t>
  </si>
  <si>
    <t>109</t>
  </si>
  <si>
    <t>83500067VD</t>
  </si>
  <si>
    <t>Poklop šoupátkový domovní</t>
  </si>
  <si>
    <t>Litionový poklop pro detekci poruchy v chráničce. D_x000D_
Výpočet - výměra, rozměr:_x000D_
1 =&gt; DETEKCE PORUCHY: počet [ks]</t>
  </si>
  <si>
    <t>110</t>
  </si>
  <si>
    <t>286134701</t>
  </si>
  <si>
    <t>Trubka vodovodní HDPE PE 100, SDR 11, d 32x3,0 mm</t>
  </si>
  <si>
    <t>Trubka vodovodní PE 100, SDR 11, d 32x3,0 mm, PAS 1075, návin. _x000D_
viz. PODÉLNÝ PROFIL A KLADEČSKÉ SCHÉMA SO._x000D_
Dodávka materiálu bez montáže. D_x000D_
Výpočet - výměra, rozměr:_x000D_
5 =&gt; DETEKCE PORUCHY: max. délka [m]</t>
  </si>
  <si>
    <t>111</t>
  </si>
  <si>
    <t>286134707</t>
  </si>
  <si>
    <t>Trubka vodovodní HDPE PE 100, SDR 11, d 110x10,0 mm, RCn, PAS 1075</t>
  </si>
  <si>
    <t>112</t>
  </si>
  <si>
    <t>753-911-614VD</t>
  </si>
  <si>
    <t>Elektrospojka d 110, SDR 11</t>
  </si>
  <si>
    <t>elektrospojky pro montáž tvarovek</t>
  </si>
  <si>
    <t>113</t>
  </si>
  <si>
    <t>elektrospojky pro spoj potrubí v běžné trase</t>
  </si>
  <si>
    <t>114</t>
  </si>
  <si>
    <t>286134706</t>
  </si>
  <si>
    <t>Trubka vodovodní PE 100, SDR 11 90x8,2 mm, RCn, PAS 1075</t>
  </si>
  <si>
    <t>Trubka vodovodní PE 100, SDR 11, 90x8,2 mm,RCn, PAS 1075, návin, příp. tyče 12 m  (případně 6m s nutným dopočtem elektrospojek).  _x000D_
viz. PODÉLNÝ PROFIL A KLADEČSKÉ SCHÉMA SO._x000D_
Dodávka materiálu bez montáže. D_x000D_
Výpočet - výměra, rozměr:_x000D_
4,0 =&gt; délka úseku / řadu [m] + ztratné 10%</t>
  </si>
  <si>
    <t>115</t>
  </si>
  <si>
    <t>753-911-613VD</t>
  </si>
  <si>
    <t>Elektrospojka d 90, SDR 11</t>
  </si>
  <si>
    <t>116</t>
  </si>
  <si>
    <t>81000012VD</t>
  </si>
  <si>
    <t>T DN 100/80, T kus přírubový, č. 8510</t>
  </si>
  <si>
    <t>117</t>
  </si>
  <si>
    <t>81100009VD</t>
  </si>
  <si>
    <t>FFR DN 100/80, č.8550</t>
  </si>
  <si>
    <t>118</t>
  </si>
  <si>
    <t>81300021VD</t>
  </si>
  <si>
    <t>FF_kus, Dvoupřírubový kus, DN 80_L=200mm, č.8500</t>
  </si>
  <si>
    <t>119</t>
  </si>
  <si>
    <t>81400002VD</t>
  </si>
  <si>
    <t>Prodloužené koleno, přír. s patkou, dlouhé DN 80</t>
  </si>
  <si>
    <t>120</t>
  </si>
  <si>
    <t>899VD</t>
  </si>
  <si>
    <t>HRDLOVÁ SPOJKA č. 7974, PE DN 100 / LT DN 80</t>
  </si>
  <si>
    <t>121</t>
  </si>
  <si>
    <t>753-800-014VD</t>
  </si>
  <si>
    <t>Lemový nákružek /SDR 11/ d 110</t>
  </si>
  <si>
    <t>122</t>
  </si>
  <si>
    <t>753-800-013VD</t>
  </si>
  <si>
    <t>Lemový nákružek /SDR 11/ d 90</t>
  </si>
  <si>
    <t>123</t>
  </si>
  <si>
    <t>727-700-314VD</t>
  </si>
  <si>
    <t>Otočná příruba d 110 PP/ocel</t>
  </si>
  <si>
    <t>124</t>
  </si>
  <si>
    <t>727-700-313VD</t>
  </si>
  <si>
    <t>Otočná příruba d 90 PP/ocel</t>
  </si>
  <si>
    <t>125</t>
  </si>
  <si>
    <t>753-101-814VD</t>
  </si>
  <si>
    <t>Elektrokoleno 90° d 110, SDR 11</t>
  </si>
  <si>
    <t>126</t>
  </si>
  <si>
    <t>753-201-814VD</t>
  </si>
  <si>
    <t>Elektro T-kus, rovnoramenný d 110, SDR 11</t>
  </si>
  <si>
    <t>127</t>
  </si>
  <si>
    <t>753-141-014VD</t>
  </si>
  <si>
    <t>Koleno 15° d 110, SDR 11</t>
  </si>
  <si>
    <t>128</t>
  </si>
  <si>
    <t>753-091-014VD</t>
  </si>
  <si>
    <t>Oblouk 11° /SDR 11/ d 110, PE 100 RC</t>
  </si>
  <si>
    <t>129</t>
  </si>
  <si>
    <t>83000013VD</t>
  </si>
  <si>
    <t>Šoupátko Combi III, přírubové, měkcetěsnící, DN 100/3</t>
  </si>
  <si>
    <t>130</t>
  </si>
  <si>
    <t>83000003VD</t>
  </si>
  <si>
    <t>Šoupátko přírubové, měkcetěsnící, DN 80</t>
  </si>
  <si>
    <t>131</t>
  </si>
  <si>
    <t>83000020VD</t>
  </si>
  <si>
    <t>Zemní teleskop. souprava, 9500E2, DN 50/100 (1,3-1,8m)</t>
  </si>
  <si>
    <t>132</t>
  </si>
  <si>
    <t>83000023VD</t>
  </si>
  <si>
    <t>Poklop uliční šoupátkový, 1750</t>
  </si>
  <si>
    <t>133</t>
  </si>
  <si>
    <t>83000024VD</t>
  </si>
  <si>
    <t>Podkladová deska pro šoupátko, 3481</t>
  </si>
  <si>
    <t>134</t>
  </si>
  <si>
    <t>83000028VD</t>
  </si>
  <si>
    <t>Hydrant duo podzemní, 80/1,25 m, K 240</t>
  </si>
  <si>
    <t>135</t>
  </si>
  <si>
    <t>83000032VD</t>
  </si>
  <si>
    <t>Poklop litinový hydrantový, 1950</t>
  </si>
  <si>
    <t>136</t>
  </si>
  <si>
    <t>83000033VD</t>
  </si>
  <si>
    <t>Podkladová deska hydrantová, 3482</t>
  </si>
  <si>
    <t>137</t>
  </si>
  <si>
    <t>83500103VD</t>
  </si>
  <si>
    <t>NAVRTÁVACÍ PAS PRO PE a PVC POTRUBÍ, PE d 110 / ZAK34</t>
  </si>
  <si>
    <t>138</t>
  </si>
  <si>
    <t>83500202VD</t>
  </si>
  <si>
    <t>ŠOUPÁTKO DOMOVNÍ PŘÍPOJKY- ZAK34 / PE d 32</t>
  </si>
  <si>
    <t>139</t>
  </si>
  <si>
    <t>910000750VD</t>
  </si>
  <si>
    <t>Podpůrný blok pod domovní šoupátko (D+M)</t>
  </si>
  <si>
    <t>140</t>
  </si>
  <si>
    <t>83500066VD</t>
  </si>
  <si>
    <t>Zemní teleskop. souprava 9601, DN 20 - DN 50 (3/4"-2") (1,3-1,8mm)</t>
  </si>
  <si>
    <t>141</t>
  </si>
  <si>
    <t>Podkladová deska pro dom. šoupátko, 3481</t>
  </si>
  <si>
    <t>142</t>
  </si>
  <si>
    <t>42200740</t>
  </si>
  <si>
    <t>Poklop uliční pro dom. šoupátko, těžký 1650 - voda</t>
  </si>
  <si>
    <t>143</t>
  </si>
  <si>
    <t>899000000VD</t>
  </si>
  <si>
    <t>DRENÁŽNÍ PODMOK POD HYDRANT</t>
  </si>
  <si>
    <t>Dodávka včetně montáže ve výkopu. D+M</t>
  </si>
  <si>
    <t>144</t>
  </si>
  <si>
    <t>34141303</t>
  </si>
  <si>
    <t>Vodič signalizační CYY 6,0 mm2</t>
  </si>
  <si>
    <t>145</t>
  </si>
  <si>
    <t>34572306</t>
  </si>
  <si>
    <t>Pásky stahovací SP 200 x 4,5 mm, PA</t>
  </si>
  <si>
    <t>146</t>
  </si>
  <si>
    <t>59341745</t>
  </si>
  <si>
    <t>Deska strop. plná PZD 74/29/9  P5 - prefabr. pro zajišť. bloky vod. potr.</t>
  </si>
  <si>
    <t>147</t>
  </si>
  <si>
    <t>60596002</t>
  </si>
  <si>
    <t>Řezivo - fošny, hranoly - bloky na vodovodním potrubí</t>
  </si>
  <si>
    <t>ZKOUŠKY ÚNOSNOSTI PLÁNĚ DLE TP 146,  PŘÍMÁ METODA - 1x / 100 bm (KONSTRUKČNÍ VRSTVA - DNO) + 1x / 100 bm (KONSTRUKČNÍ VRSTVA - VRCH)._x000D_
Výpočet - výměra, rozměr:_x000D_
2 =&gt; počet souborů zkoušek [-]</t>
  </si>
  <si>
    <t>Množství m.j. je uvedeno dle předpokladu, celková cena této práce se stanoví podle skutečnosti při provádění stavebních prací. Den = 8 hodin._x000D_
Výpočet:_x000D_
5*8 =&gt; předpoklad čerpání ve dnech * počet hodin =&gt; stanoveno odhadem</t>
  </si>
  <si>
    <t>83000004VD</t>
  </si>
  <si>
    <t>Šoupátko přírubové, měkcetěsnící, DN 100</t>
  </si>
  <si>
    <t>422935323</t>
  </si>
  <si>
    <t>Spojka s přírubou jištěná proti posunu, č. 7994, DN 100, PN 16</t>
  </si>
  <si>
    <t>Položka obsahuje dodávku a montáž bednícího bloku PZD 890/290/90 mm a podkladního hranolku z měkkého materiálu 290/290/90 mm na 1 ks odbočení. D+M_x000D_
Výpočet - výměra, rozměr:_x000D_
1 =&gt; navrhovaný počet odbočení [ks]</t>
  </si>
  <si>
    <t>Dočasné zajištění kabelů ve výkopu vzniklé křížením, např.: podepřením, tvárnicemi, zákrytovými deskami._x000D_
Výpočet - výměra, rozměr:_x000D_
2*1,50 =&gt; počet křížení [ks] * prům. šířka rýhy [m]</t>
  </si>
  <si>
    <t>Dočasné zajištění potrubí ve výkopu vzniklé křížením (příp. souběhy), např.: podepřením, tvárnicemi, zákrytovými deskami._x000D_
Výpočet - výměra, rozměr:_x000D_
1*1,50 =&gt; počet křížení [ks] * prům. šířka rýhy [m]</t>
  </si>
  <si>
    <t>Sejmutí ornice s přemístěním do 50 m, uložením na dočasnou skládku. M+D_x000D_
Výpočet - výměra, rozměr: _x000D_
4,00*1,42*0,20*1,05 =&gt; délka úseku nezpevněné plochy [m] * prům. šíře rýhy [m] * tl. vrstvy [m] + 5% rezerva</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</si>
  <si>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výkopu._x000D_
viz. TABULKA TĚŽITELNOSTI HORNIN_x000D_
Výpočet - výměra, rozměr:_x000D_
4,00*1,94*0,5*1,05 =&gt; ÚSEK č.1 (NZP): délka úseku [m] * prům.plocha [m2] * 50% (III. tř. horniny) + 5% rezerva</t>
  </si>
  <si>
    <t>Příplatek za lepivost, 50% celkového objemu výkopu. Do měrných jednotek se udává poměrné množství zeminy, které ulpí v nářadí a o které je snížen celkový výkon stroje._x000D_
Výpočet - výměra, rozměr:_x000D_
4,07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</si>
  <si>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výkopu._x000D_
viz. TABULKA TĚŽITELNOSTI HORNIN_x000D_
Výpočet - výměra, rozměr:_x000D_
4,00*1,94*0,4*1,05 =&gt; ÚSEK č.1 (NZP): délka úseku [m] * prům.plocha [m2] * 40% (IV. tř. horniny) + 5% rezerva</t>
  </si>
  <si>
    <t>Příplatek za lepivost, 25% celkového objemu výkopu. Do měrných jednotek se udává poměrné množství zeminy, které ulpí v nářadí a o které je snížen celkový výkon stroje._x000D_
Výpočet - výměra, rozměr:_x000D_
3,26 [m3] * 0,25 [%] =&gt; převzaté č. pol. 132301213R00 (Hloubení rýh v hor.4 do 10 000m3,STROJNĚ) * 25% z výkopku</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</si>
  <si>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Položka se používá bez ohledu na těžené množství._x000D_
viz. TABULKA TĚŽITELNOSTI HORNIN_x000D_
Výpočet - výměra, rozměr:_x000D_
4,00*1,94*0,1*1,05 =&gt; ÚSEK č.1 (NZP): délka úseku [m] * prům.plocha [m2] * 10% (V. tř. horniny) + 5% rezerva</t>
  </si>
  <si>
    <t>Pažení a rozepření stěny rýhy - příložné - hl. do 2 m. D+M_x000D_
Výpočet - výměra, rozměr:_x000D_
4,00*1,90*2*1,00 =&gt; délka trasy / úseku [m] * průměrná výška [m] * počet stěn [ks] - 100% z toho</t>
  </si>
  <si>
    <t>Odstranění pažení a rozepření stěny rýhy - příložné - hl. do 2 m. D+M_x000D_
Výpočet - výměra, rozměr:_x000D_
4,00*1,90*2*1,00 =&gt; délka trasy / úseku [m] * průměrná výška [m] * počet stěn [ks] - 100% z toho</t>
  </si>
  <si>
    <t>Platí pro hloubky výkopu od 1 do 2,5 m bez naložení do dopravní nádoby, ale s vyprázdněním dopravní nádoby na hromadu nebo na doopravní prostředek - hloubení rýh objemu do 10 000 m3 (globální stavba): 3 %_x000D_
viz. TABULKA TĚŽITELNOSTI HORNIN_x000D_
Výpočet - výměra, rozměr:_x000D_
(4,07+3,26)*0,03)*0,03 =&gt; součet výkopů I. až IV. tř. *  3 % (stanoveno z tabulky pro určení podílu svislého přemístění)</t>
  </si>
  <si>
    <t>Platí pro hloubky výkopu od 1 do 2,5 m bez naložení do dopravní nádoby, ale s vyprázdněním dopravní nádoby na hromadu nebo na doopravní prostředek - hloubení rýh objemu do 10 000 m3 (globální stavba): 3 %_x000D_
viz. TABULKA TĚŽITELNOSTI HORNIN_x000D_
Výpočet - výměra, rozměr:_x000D_
(0,81+0,5)*0,03 =&gt; součet výkopů V. až VII. tř.  *  3 % (stanoveno z tabulky pro určení podílu svislého přemístění)</t>
  </si>
  <si>
    <t>Po suchu, bez naložení výkopku, avšak se složením bez rozhrnutí, zpáteční cesta vozidla._x000D_
Část výkopku hornin tř. I-IV. může být použit na dorovnání nezpevněných ploch, zbylé množství bude odveženo na skládku (AVE CZ, Jindřichův Hradec - Žirovnice ul. Hradecká = 24,0 km)._x000D_
Výpočet - výměra, rozměr:_x000D_
(4,07+3,26) =&gt; celkový výkop hor. tř. I.-IV. [m3]_x000D_
-5,84 =&gt; odečet kubatury zeminy potřebné k zásypu [m3]</t>
  </si>
  <si>
    <t>1 km nad rozpočtovou položku s odvozem nad 10 km, příplatek za 1 km, včetně zpáteční cesty._x000D_
Předpoklad uložení skládka (AVE CZ, Jindřichův Hradec - Žirovnice ul. Hradecká = 24,0 km)._x000D_
Výpočet - výměra, rozměr:_x000D_
1,49*14,0 =&gt; kubatura k přemístění [m3] * počet km nad 10 km [-]</t>
  </si>
  <si>
    <t>Po suchu, bez naložení výkopku, avšak se složením bez rozhrnutí, zpáteční cesta vozidla._x000D_
Předpoklad uložení - skládka (AVE CZ, Jindřichův Hradec - Žirovnice ul. Hradecká = 24,0 km)._x000D_
Výpočet - výměra, rozměr:_x000D_
0,81+0,5 =&gt; součet výkopků tř. V. až VII. [m3]</t>
  </si>
  <si>
    <t>1 km nad rozpočtovou položku s odvozem nad 10 km, příplatek za 1 km, včetně zpáteční cesty._x000D_
Předpoklad uložení skládka  (AVE CZ, Jindřichův Hradec - Žirovnice ul. Hradecká = 24,0 km)._x000D_
Výpočet - výměra, rozměr:_x000D_
1,31*14 =&gt; kubatura k přemístění [m3] * počet km nad 10 km [-]</t>
  </si>
  <si>
    <t>Naložení a složení výkopku tř. 1. až 4. z mezideponie pro zásyp rýhy._x000D_
Výpočet - výměra, rozměr:_x000D_
2*5,84 =&gt; počet nakládání / skládání [-] * kubatura horniny tř. I. - IV. potřebná pro zásyp [m3]</t>
  </si>
  <si>
    <t>Položka obsahuje naložení, odvoz výkopku na mezideponii, složení výkopku a zpáteční cestu._x000D_
Výpočet - výměra, rozměr:_x000D_
2*5,84 =&gt; 1x odvoz + 1x dovoz [-] * kubatura horniny tř. I. - IV. potřebná pro zásyp [m3]</t>
  </si>
  <si>
    <t>Nakládání, skládání, překládání ornice v množství do 100 m3 na / (z) mezideponii(e)._x000D_
Výpočet - výměra, rozměr:_x000D_
2*1,19 =&gt; počet nakládání / skládání [-] * kubatura ornice [m3]</t>
  </si>
  <si>
    <t>Vodorovné přemístění ornice - odvoz / dovoz - mezideponie._x000D_
Výpočet - výměra, rozměr:_x000D_
2*1,19 =&gt; počet přesunů 1x odvoz, 1x dovoz [-] * kubatura ornice [m3]</t>
  </si>
  <si>
    <t>Obsyp hutnitelným nesoudržným materiálem (f = 0-4 mm pro PE) , pro jakoukoliv hloubku výkopu a jakoukoliv míru zhutnění, včetně dodávky obsypového materiálu. D+M_x000D_
viz. PODÉLNÉ PROFILY_x000D_
Výpočet - výměra, rozměr:_x000D_
0,42*4,00*1,05 =&gt; OBSYP POTRUBÍ: plocha obsypu [m2] * délka úseku / řadu [m] + rezerva 5%_x000D_
-(3,14*0,045^2*4,00) =&gt; odečet kubatury vytlačené potrubím [m3]</t>
  </si>
  <si>
    <t>Zásyp jam, rýh, šachet se zhutněním z jakékoliv horniny (tř. I - IV.) s uložením výkopku po vrtstvách, max. velikost kamene 100 mm, přebytečná zemina odvezena na skládku:_x000D_
viz. PODÉLNÉ PROFILY_x000D_
Výpočet - výměra, rozměr:_x000D_
4,00*1,39*1,05 =&gt; ÚSEK č.1 (NZP): délka úseku [m] * prům.pl. zásypu [m2]  + 5% rezerva na zhutnění</t>
  </si>
  <si>
    <t>Rozprostření sejmuté ornice v rovině nebo ve svahu  do 1 : 5 s urovnáním, vyhrabáním větších kamenů, dovoz ornice ze vzdálenosti 500 m, osetí trávou včetně dodání osiva._x000D_
Výpočet - výměra, rozměr:_x000D_
4,00*1,42*1,05 =&gt; délka úseku nezpevněné plochy [m] * prům. šíře rýhy [m] + 5% rezerva</t>
  </si>
  <si>
    <t>Zhutnění podloží pod potrubím válcem._x000D_
Výpočet - výměra, rozměr:_x000D_
4,00*0,91*1,10 =&gt; délka řadu [m] * prům. šířka lože / dna rýhy [m] + 10% rezerva</t>
  </si>
  <si>
    <t>Zhotovení podkladního lože pod odpadní potrubí z lom. prosívky f = 0 až 4 mm, včetně dodávky prosívky a zhutnění dle postupu dodavatele potrubí. D+M_x000D_
viz. PODÉLNÉ PROFILY / ULOŽENÍ TRUB_x000D_
Výpočet - výměra, rozměr:_x000D_
4,00*0,91*0,15*1,15 =&gt; délka trasy / úseku [m] * planimetrie podsypu [m2] + 15% rezerva na zhutnění (1 m3 prosívky = cca 2,34 t)</t>
  </si>
  <si>
    <t>Dodávka a uložení výstražné fólie, bílé (modré) barvy s nápisem "VODA" / "VODOVOD" / "POZOR VODA", cca 30 cm nad povrchem potrubí. D+M_x000D_
Výpočet - výměra, rozměr:_x000D_
4,0*1,10 =&gt; délka potrubí /úseku/ [m] + rezerva 10%</t>
  </si>
  <si>
    <t>891249111R00</t>
  </si>
  <si>
    <t>Montáž navrtávacích pasů DN 80</t>
  </si>
  <si>
    <t>Přípevnění vytyčovacího vodiče CYY 6 mm2 k řadu. Montáž bez dodávky materiálu. M_x000D_
L = 4,00 m  (viz. položka 34141303 - Vodič signalizační CYY 6,0 mm2)</t>
  </si>
  <si>
    <t>elektrospojky pro montáž tvarovek a spoje potrubí</t>
  </si>
  <si>
    <t>83500101VD</t>
  </si>
  <si>
    <t>NAVRTÁVACÍ PAS PRO PE a PVC POTRUBÍ, PE d 90 / ZAK34</t>
  </si>
  <si>
    <t>Signalizační vodič k vytyčení vodovodní sítě._x000D_
Výpočet - výměra, rozměr:_x000D_
4,00 =&gt; celková délka potrubí [m] + ztratné 10%</t>
  </si>
  <si>
    <t>Odstranění stávajícího krytu přijezdné komunikace, včetně nakládání a odvozu na skládku do 1 km, započítaná i zpáteční cesta. _x000D_
Položka obsahuje: (konstrukce místní obslužné komunikace - MOK)_x000D_
- řezání živičného krytu tl. 4-5 cm, _x000D_
- odstranění asfaltbetonového krytu tl. 4-5 cm _x000D_
- řezání podkladního asfaltobetonu tl. do 5 cm _x000D_
- odstranění podkladního asfaltobetonu tl. do 5 cm _x000D_
- odstranění kameniva zpevněného cementem tl. 15 cm _x000D_
- odstranění štěrkodrti tl. 30 cm _x000D_
- nakládání suti _x000D_
- vodorovná doprava suti do 1 km (položka neobsahuje poplatek za skládku)_x000D_
Výpočet - výměra, rozměr:_x000D_
12,40*1,48*1,05 =&gt; ÚSEK č.1: délka úseku [m] * prům. šíře rýhy [m] + rezerva 5%</t>
  </si>
  <si>
    <t>113107315R00</t>
  </si>
  <si>
    <t>Odstranění podkladu pl. 50 m2,kam.těžené tl.15 cm - MOK</t>
  </si>
  <si>
    <t>Odstranění podkladu nad 50 m2,kam.těžené tl.15 cm - odstranění provizorní vrstvy._x000D_
Položka je určena i pro odstranění podkladů nebo krytů ze štěrkopísku, škváry, strusky nebo z mechanicky zpevněných zemin. Pro volbu položky z hlediska množství se uvažuje každá souvisle odstraňovaná plocha krytu nebo podkladu stejného druhu samostatně._x000D_
Výpočet - výměra, rozměr:_x000D_
12,40*1,48 =&gt; ÚSEK č.1 (MOK): délka úseku [m] * prům. šíře rýhy [m]</t>
  </si>
  <si>
    <t>Sejmutí ornice s přemístěním do 50 m, uložením na dočasnou skládku. M+D_x000D_
Výpočet - výměra, rozměr: _x000D_
(7,5+9,5)*1,48*0,20*1,05 =&gt; délka úseku nezpevněné plochy [m] * prům. šíře rýhy [m] * tl. vrstvy [m] + 5% rezerva_x000D_
6,0*3,0*0,20*1,05 =&gt; podvrt P1 - startovací jáma: délka [m] * šířka [m] * pr. hloubka [m] + rezerva 5%_x000D_
3,0*3,0*0,20*1,05 =&gt; podvrt P1 - cílová jáma: délka [m] * šířka [m] * pr. hloubka [m] + rezerva 5%</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</si>
  <si>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výkopu._x000D_
viz. TABULKA TĚŽITELNOSTI HORNIN_x000D_
Výpočet - výměra, rozměr:_x000D_
12,40*1,67*0,5*1,05 =&gt; ÚSEK č.1 (MOK): délka úseku [m] * prům.plocha [m2] * 50% (III. tř. horniny) + 5% rezerva_x000D_
7,50*2,22*0,5*1,05 =&gt; ÚSEK č.2 (NZP): délka úseku [m] * prům.plocha [m2] * 50% (III. tř. horniny) + 5% rezerva_x000D_
9,50*2,22*0,5*1,05 =&gt; ÚSEK č.4 (NZP): délka úseku [m] * prům.plocha [m2] * 50% (III. tř. horniny) + 5% rezerva</t>
  </si>
  <si>
    <t>Příplatek za lepivost, 50% celkového objemu výkopu. Do měrných jednotek se udává poměrné množství zeminy, které ulpí v nářadí a o které je snížen celkový výkon stroje._x000D_
Výpočet - výměra, rozměr:_x000D_
30,68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</si>
  <si>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výkopu._x000D_
viz. TABULKA TĚŽITELNOSTI HORNIN_x000D_
Výpočet - výměra, rozměr:_x000D_
12,40*1,67*0,4*1,05 =&gt; ÚSEK č.1 (MOK): délka úseku [m] * prům.plocha [m2] * 40% (IV. tř. horniny) + 5% rezerva_x000D_
7,50*2,22*0,4*1,05 =&gt; ÚSEK č.2 (NZP): délka úseku [m] * prům.plocha [m2] * 40% (IV. tř. horniny) + 5% rezerva_x000D_
9,50*2,22*0,4*1,05 =&gt; ÚSEK č.4 (NZP): délka úseku [m] * prům.plocha [m2] * 40% (IV. tř. horniny) + 5% rezerva</t>
  </si>
  <si>
    <t>Příplatek za lepivost, 25% celkového objemu výkopu. Do měrných jednotek se udává poměrné množství zeminy, které ulpí v nářadí a o které je snížen celkový výkon stroje._x000D_
Výpočet - výměra, rozměr:_x000D_
24,55 [m3] * 0,25 [%] =&gt; převzaté č. pol. 132301213R00 (Hloubení rýh v hor.4 do 10 000m3,STROJNĚ) * 25% z výkopku</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</si>
  <si>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Položka se používá bez ohledu na těžené množství._x000D_
viz. TABULKA TĚŽITELNOSTI HORNIN_x000D_
Výpočet - výměra, rozměr:_x000D_
12,40*1,67*0,1*1,05 =&gt; ÚSEK č.1 (MOK): délka úseku [m] * prům.plocha [m2] * 10% (V. tř. horniny) + 5% rezerva_x000D_
7,50*2,22*0,1*1,05 =&gt; ÚSEK č.2 (NZP): délka úseku [m] * prům.plocha [m2] * 10% (V. tř. horniny) + 5% rezerva_x000D_
9,50*2,22*0,1*1,05 =&gt; ÚSEK č.4 (NZP): délka úseku [m] * prům.plocha [m2] * 10% (V. tř. horniny) + 5% rezerva</t>
  </si>
  <si>
    <t>Jedná se o bezvýkopovou technologii horizontálně řízeného vrtání a vtažení potrubí na principu rozplavování a rozrušování zeminy pomocí vysokotlaké směsi vody a bentonitu. _x000D_
V položce je započteno : _x000D_
- provedení pilotního vrtu, potřebné rozšíření vrtu, vtažení potrubí, svařování vtahovaného potrubí. _x000D_
V položce není započteno: _x000D_
- zemní práce nutné pro provedení prací, případné čerpání vody, montáž vedení, slouží-li vtahovaná trubka jako ochranné potrubí, dodání vtahovaných trubek_x000D_
Řízený protlak (P1) pod komunikací, chránička PE D 225x13,4 mm, SDR 17 pro vodovodní potrubí PE d 110x10,0 mm, SDR 11, RCn._x000D_
Výpočet - výměra, rozměr:_x000D_
12,0 =&gt; délka podvrtu [m]</t>
  </si>
  <si>
    <t>Pažení a rozepření stěny rýhy - příložné - hl. do 4 m. D+M_x000D_
Výpočet - výměra, rozměr:_x000D_
41,0*2,10*2*0,50 =&gt; délka trasy / úseku [m] * průměrná výška [m] * počet stěn [ks] - 50% z toho</t>
  </si>
  <si>
    <t>Odstranění pažení a rozepření stěny rýhy - příložné - hl. do 4 m. D+M_x000D_
Výpočet - výměra, rozměr:_x000D_
41,0*2,10*2*0,50 =&gt; délka trasy / úseku [m] * průměrná výška [m] * počet stěn [ks] - 50% z toho</t>
  </si>
  <si>
    <t>Platí pro hloubky výkopu od 1 do 2,5 m bez naložení do dopravní nádoby, ale s vyprázdněním dopravní nádoby na hromadu nebo na doopravní prostředek - hloubení rýh objemu do 10 000 m3 (globální stavba): 3 %_x000D_
viz. TABULKA TĚŽITELNOSTI HORNIN_x000D_
Výpočet - výměra, rozměr:_x000D_
(30,68+34,02+24,55+27,21)*0,03 =&gt; součet výkopů I. až IV. tř. *  3 % (stanoveno z tabulky pro určení podílu svislého přemístění)</t>
  </si>
  <si>
    <t>Platí pro hloubky výkopu od 1 do 2,5 m bez naložení do dopravní nádoby, ale s vyprázdněním dopravní nádoby na hromadu nebo na doopravní prostředek - hloubení rýh objemu do 10 000 m3 (globální stavba): 3 %_x000D_
viz. TABULKA TĚŽITELNOSTI HORNIN_x000D_
Výpočet - výměra, rozměr:_x000D_
(6,13+6,81+4,75)*0,03 =&gt; součet výkopů V. až VII. tř.  *  3 % (stanoveno z tabulky pro určení podílu svislého přemístění)</t>
  </si>
  <si>
    <t>Po suchu, bez naložení výkopku, avšak se složením bez rozhrnutí, zpáteční cesta vozidla._x000D_
Část výkopku hornin tř. I-IV. může být použit na dorovnání nezpevněných ploch, zbylé množství bude odveženo na skládku (AVE CZ, Jindřichův Hradec - Žirovnice ul. Hradecká = 24,0 km)._x000D_
Výpočet - výměra, rozměr:_x000D_
(30,68+34,02+24,55+27,21) =&gt; celkový výkop hor. tř. I.-IV. [m3]_x000D_
-80,39 =&gt; odečet kubatury zeminy potřebné k zásypu [m3]</t>
  </si>
  <si>
    <t>1 km nad rozpočtovou položku s odvozem nad 10 km, příplatek za 1 km, včetně zpáteční cesty._x000D_
Předpoklad uložení skládka (AVE CZ, Jindřichův Hradec - Žirovnice ul. Hradecká = 24,0 km)._x000D_
Výpočet - výměra, rozměr:_x000D_
36,07*14,0 =&gt; kubatura k přemístění [m3] * počet km nad 10 km [-]</t>
  </si>
  <si>
    <t>Po suchu, bez naložení výkopku, avšak se složením bez rozhrnutí, zpáteční cesta vozidla._x000D_
Předpoklad uložení - skládka (AVE CZ, Jindřichův Hradec - Žirovnice ul. Hradecká = 24,0 km)._x000D_
Výpočet - výměra, rozměr:_x000D_
6,13+6,81+2,00+2,75 =&gt; součet výkopků tř. V. až VII. [m3]</t>
  </si>
  <si>
    <t>1 km nad rozpočtovou položku s odvozem nad 10 km, příplatek za 1 km, včetně zpáteční cesty._x000D_
Předpoklad uložení skládka  (AVE CZ, Jindřichův Hradec - Žirovnice ul. Hradecká = 24,0 km)._x000D_
Výpočet - výměra, rozměr:_x000D_
17,69*14 =&gt; kubatura k přemístění [m3] * počet km nad 10 km [-]</t>
  </si>
  <si>
    <t>Naložení a složení výkopku tř. 1. až 4. z mezideponie pro zásyp rýhy._x000D_
Výpočet - výměra, rozměr:_x000D_
2*80,39 =&gt; počet nakládání / skládání [-] * kubatura horniny tř. I. - IV. potřebná pro zásyp [m3]</t>
  </si>
  <si>
    <t>Položka obsahuje naložení, odvoz výkopku na mezideponii, složení výkopku a zpáteční cestu._x000D_
Výpočet - výměra, rozměr:_x000D_
2*80,39 =&gt; 1x odvoz + 1x dovoz [-] * kubatura horniny tř. I. - IV. potřebná pro zásyp [m3]</t>
  </si>
  <si>
    <t>Nakládání, skládání, překládání ornice v množství do 100 m3 na / (z) mezideponii(e)._x000D_
Výpočet - výměra, rozměr:_x000D_
2*10,95 =&gt; počet nakládání / skládání [-] * kubatura ornice [m3]</t>
  </si>
  <si>
    <t>Vodorovné přemístění ornice - odvoz / dovoz - mezideponie._x000D_
Výpočet - výměra, rozměr:_x000D_
2*10,95 =&gt; počet přesunů 1x odvoz, 1x dovoz [-] * kubatura ornice [m3]</t>
  </si>
  <si>
    <t>Obsyp hutnitelným nesoudržným materiálem (f = 0-4 mm pro PE) , pro jakoukoliv hloubku výkopu a jakoukoliv míru zhutnění, včetně dodávky obsypového materiálu. D+M_x000D_
viz. PODÉLNÉ PROFILY_x000D_
Výpočet - výměra, rozměr:_x000D_
0,42*29,0*1,05 =&gt; OBSYP POTRUBÍ: plocha obsypu [m2] * délka úseku / řadu [m] + rezerva 5%_x000D_
-(3,14*0,055^2*29,0) =&gt; odečet kubatury vytlačené potrubím [m3]</t>
  </si>
  <si>
    <t>Zásyp jam, rýh, šachet se zhutněním z jakékoliv horniny (tř. I - IV.) s uložením výkopku po vrtstvách, max. velikost kamene 100 mm, přebytečná zemina odvezena na skládku:_x000D_
viz. PODÉLNÉ PROFILY_x000D_
Výpočet - výměra, rozměr:_x000D_
12,40*1,12*1,05 =&gt; ÚSEK č.1 (MOK): délka úseku [m] * prům.pl. zásypu [m2]  + 5% rezerva na zhutnění_x000D_
7,50*1,66*1,05 =&gt; ÚSEK č.2 (NZP): délka úseku [m] * prům.pl. zásypu [m2]  + 5% rezerva na zhutnění_x000D_
9,50*1,66*1,05 =&gt; ÚSEK č.4 (NZP): délka úseku [m] * prům.pl. zásypu [m2]  + 5% rezerva na zhutnění_x000D_
6,0*3,0*1,34 =&gt; ZÁSYP START. JÁMY: délka [m] * šířka [m] * pr. výška [m]_x000D_
3,0*3,0*1,34 =&gt; ZÁSYP CÍLOVÉ JÁMY: délka [m] * šířka [m] * pr. výška [m]</t>
  </si>
  <si>
    <t>Rozprostření sejmuté ornice v rovině nebo ve svahu  do 1 : 5 s urovnáním, vyhrabáním větších kamenů, dovoz ornice ze vzdálenosti 500 m, osetí trávou včetně dodání osiva._x000D_
Výpočet - výměra, rozměr:_x000D_
(7,50+9,50)*1,48*1,05 =&gt; délka úseku nezpevněné plochy [m] * prům. šíře rýhy [m] + 5% rezerva_x000D_
6,0*3,0*1,05 =&gt; podvrt P1 - startovací jáma: délka [m] * šířka [m]  + rezerva 5%_x000D_
3,0*3,0*1,05 =&gt; podvrt P1 - cílová jáma: délka [m] * šířka [m] + rezerva 5%</t>
  </si>
  <si>
    <t>Zhutnění podloží pod potrubím válcem._x000D_
Výpočet - výměra, rozměr:_x000D_
29,0*0,91*1,10 =&gt; délka řadu [m] * prům. šířka lože / dna rýhy [m] + 10% rezerva</t>
  </si>
  <si>
    <t>Drenážní (odvodňovací) potrubí DN 80, lože ze štěrkopísku (f = 4 - 16 mm), obalení potrubí geotextilií, uložení do rýhy, obsyp štěrkem (f = 32 - 64 mm). D+M_x000D_
Rezerva pro případ odvodnění, zaústění do dešťové kanalizace.</t>
  </si>
  <si>
    <t>Osazení podkladových desek pod spojky, šoupátka a hydranty.</t>
  </si>
  <si>
    <t>Zhotovení podkladního lože pod odpadní potrubí z lom. prosívky f = 0 až 4 mm, včetně dodávky prosívky a zhutnění dle postupu dodavatele potrubí. D+M_x000D_
viz. PODÉLNÉ PROFILY / ULOŽENÍ TRUB_x000D_
Výpočet - výměra, rozměr:_x000D_
29,0*0,91*0,15*1,15 =&gt; délka trasy / úseku [m] * planimetrie podsypu [m2] + 15% rezerva na zhutnění (1 m3 prosívky = cca 2,34 t)</t>
  </si>
  <si>
    <t>Podklad ze štěrkodrti po zhutnění tloušťky 25 cm</t>
  </si>
  <si>
    <t>Podklad ze štěrkodrti, f = 0 - 63 mm, tl. vrstvy 25 cm, včetně dodávky štěrkodrtě. D+M_x000D_
Výpočet - výměra, rozměr:_x000D_
12,40*1,43*1,05 =&gt; ÚSEK č.1 (MOK): délka úseku [m] * prům. šíře rýhy [m] + rezerva 5%</t>
  </si>
  <si>
    <t>Podkladní vrstva z kameniva drceného, f = 32 - 63 mm, s výplň.kamen., tl. vrstvy 20 cm, včetně dodávky kameniva. D+M_x000D_
Výpočet - výměra, rozměr:_x000D_
12,40*1,43*1,05 =&gt; ÚSEK č.1 (MOK): délka úseku [m] * prům. šíře rýhy [m] + rezerva 5%</t>
  </si>
  <si>
    <t>Provizorní pojízdná vrstva ze štěrkodrti, f = 0 - 32 mm, tl. vrstvy 15 cm, včetně dodávky štěrkodrti. D+M_x000D_
Výpočet - výměra, rozměr:_x000D_
12,40*1,48 =&gt; ÚSEK č.1 (MOK): délka úseku [m] * prům. šíře rýhy [m]</t>
  </si>
  <si>
    <t>Podklad z obal kam.ACP 16+,ACP 22+,do 3 m,tl. 5 cm. D+M_x000D_
Výpočet - výměra, rozměr:_x000D_
12,40*1,48 =&gt; ÚSEK č.1 (MOK): délka úseku [m] * prům. šíře rýhy [m]</t>
  </si>
  <si>
    <t>Postřik spojovací z KAE, 0,7 kg/m2. D+M_x000D_
Výpočet - výměra, rozměr:_x000D_
12,40*1,48 =&gt; ÚSEK č.1 (MOK): délka úseku [m] * prům. šíře rýhy [m]</t>
  </si>
  <si>
    <t>Montáž PE potrubí v otevřeném výkopu d 110, bez dodávky materiálu. M_x000D_
viz. PODÉLNÝ PROFIL A KLADEČSKÉ SCHÉMA SO_x000D_
Výpočet - výměra, rozměr:_x000D_
41,0 =&gt; celková délka potrubí [m]</t>
  </si>
  <si>
    <t>V položce jsou započteny náklady na přísun, montáž, demontáž a odsun zkoušecího čerpadla, napuštění tlakovou vodou a dodání vody pro tlakovou zkoušku._x000D_
Výpočet - výměra, rozměr:_x000D_
41,0 =&gt; délka potrubí dané dimenze [m]</t>
  </si>
  <si>
    <t>Položka obsahuje napuštění a vypuštění vody, dodání vody a desinfekčního prostředku, náklady na bakteriologický rozbor vody._x000D_
Výpočet - výměra, rozměr:_x000D_
41,0 =&gt; délka potrubí dané dimenze [m]</t>
  </si>
  <si>
    <t>Dodávka a uložení výstražné fólie, bílé (modré) barvy s nápisem "VODA" / "VODOVOD" / "POZOR VODA", cca 30 cm nad povrchem potrubí. D+M_x000D_
Výpočet - výměra, rozměr:_x000D_
41,0*1,10 =&gt; délka potrubí /úseku/ [m] + rezerva 10%</t>
  </si>
  <si>
    <t>Výpočet - výměra, rozměr:_x000D_
23,40*0,75 =&gt; celková hmotnost odebraných konstrukcí komunikací [t]  =&gt; z toho prům. 75%</t>
  </si>
  <si>
    <t>Přesun hmot, komunikace z kameniva, příplatek 1 km - odvoz na skládku (AVE CZ, Jindřichův Hradec - Žirovnice ul. Hradecká = 24,0 km)._x000D_
Výpočet - výměra, rozměr:_x000D_
23*23,40*0,75 =&gt; počet km [-] * celk. odebraná hmotnost vrstev komunikace [t] =&gt; z toho 75%</t>
  </si>
  <si>
    <t>Přesun hmot, kryt živičný (do 1 km) - odvoz na skládku investora (Skládka - Žirovnice ul. Hradecká = 2,0 km)._x000D_
Výpočet - výměra, rozměr:_x000D_
23,40*0,25 =&gt; celk. odebraná hmotnost vrstev komunikace [t] =&gt; z toho 25%</t>
  </si>
  <si>
    <t>Přípevnění vytyčovacího vodiče CYY 6 mm2 k řadu. Montáž bez dodávky materiálu. M_x000D_
L = 41,0 m  (viz. položka 34141303 - Vodič signalizační CYY 6,0 mm2)</t>
  </si>
  <si>
    <t>Trubka vodovodní PE 100, SDR 11, 1100x10,0 mm, RCn, PAS 1075, návin, příp. tyče 12 m  (případně 6m s nutným dopočtem elektrospojek) _x000D_
viz. PODÉLNÝ PROFIL A KLADEČSKÉ SCHÉMA SO._x000D_
Dodávka materiálu bez montáže. D_x000D_
Výpočet - výměra, rozměr:_x000D_
41,0 =&gt; délka úseku / řadu [m] + ztratné 10%</t>
  </si>
  <si>
    <t>HRDLOVÁ SPOJKA č. 7974, PE DN 100 / LT DN 100</t>
  </si>
  <si>
    <t>753-120-914VD</t>
  </si>
  <si>
    <t>Koleno 30° d 110, SDR 11</t>
  </si>
  <si>
    <t>753-081-014VD</t>
  </si>
  <si>
    <t>Oblouk 22° /SDR 11/ d 110, PE 100 RC</t>
  </si>
  <si>
    <t>753-071-014VD</t>
  </si>
  <si>
    <t>Oblouk 60° /SDR 11/ d 110, PE 100 RC</t>
  </si>
  <si>
    <t>Signalizační vodič k vytyčení vodovodní sítě._x000D_
Výpočet - výměra, rozměr:_x000D_
41,0 =&gt; celková délka potrubí [m] + ztratné 10%</t>
  </si>
  <si>
    <t>Deska stropní plná PZD 74/29/9  P5, opěra pro příslušnou tvarovku vod. potrubí pro přenos vodorovné síly vyvolané tokem vody v potrubím do bloku, příp. svislé síly vyvolané nadložím či dopravou._x000D_
Počet prefabrikátů pro jednotlivé případy :_x000D_
PZD 74/29/9 - 5 ks/ 1 ks bloku pro odbočku - celkem 0 odboček _x000D_
PZD 74/29/9 - 3 ks/ 1 ks bloku pro hydrant (pateční koleno) - celkem 0 hydrantů_x000D_
PZD 74/29/9 - 2 ks/ 1 ks bloku pro směrový lom větší než 10 st. - celkem 5 lomů_x000D_
PZD 74/29/9 - 0 ks/ 1 ks bloku pro směrový lom menší než 10 st. - celkem 0 lomů (vytočeno potrubím)</t>
  </si>
  <si>
    <t>Dřevěné hranoly, podpěry a opěry fixačního bloku vodovodního potrubí._x000D_
viz.: výkres Betonové zajišťovací bloky, celková kubatura řeziva pro stavbu_x000D_
Výpočet - výměra, rozměr:_x000D_
0,1*0,2*0,1*(0*5) =&gt; bloků pro odbočku_x000D_
0,1*0,2*0,1*(0*3) =&gt; bloků pro hydrant_x000D_
0,1*0,2*0,1*(5*2) =&gt; blok směrový větší než 10 st._x000D_
0,15*0,15*0,8*4*(0*2) =&gt; bloků vertik._x000D_
D+M, včetně montáže ve výkopu</t>
  </si>
  <si>
    <t>115101202R00</t>
  </si>
  <si>
    <t>Čerpání vody do výšky 10 m, přítok 500-1000 l/min</t>
  </si>
  <si>
    <t>115101302R00</t>
  </si>
  <si>
    <t>Pohotovost čerp.soupravy, výška 10 m,přítok 1000 l</t>
  </si>
  <si>
    <t>132301292R00VD</t>
  </si>
  <si>
    <t>Příp. za hloub. rýh š. 200cm, v mokrém prostředí, hor. 1-7, nad 100 m3</t>
  </si>
  <si>
    <t>271313511R00.1</t>
  </si>
  <si>
    <t>Lože pod potrubí ze štěrkopísku, f = 0 - 4 mm</t>
  </si>
  <si>
    <t>871371111R00</t>
  </si>
  <si>
    <t>Montáž trubek z tvrdého PVC ve výkopu d 250 mm</t>
  </si>
  <si>
    <t>877363121R00</t>
  </si>
  <si>
    <t>Montáž tvarovek odboč. plast. gum. kroužek DN 250</t>
  </si>
  <si>
    <t>877363123R00</t>
  </si>
  <si>
    <t>Montáž tvarovek jednoos. plast. gum.kroužek DN 250</t>
  </si>
  <si>
    <t>871393121R00</t>
  </si>
  <si>
    <t>Montáž trub kanaliz. z plastu, hrdlových, DN 400</t>
  </si>
  <si>
    <t>877393123R00.1</t>
  </si>
  <si>
    <t>Montáž tvarovek jednoos. pro nesourodá potrubí, výkop DN 400</t>
  </si>
  <si>
    <t>894423112RT1</t>
  </si>
  <si>
    <t>Osazení betonových dílců šachet do 3,0 t</t>
  </si>
  <si>
    <t>Osazení šachtového dna, 1 dno do 2,0 t, TBZ-Q.1 100/100.</t>
  </si>
  <si>
    <t>894423111RT1</t>
  </si>
  <si>
    <t>Osazení betonových dílců šachet do 2,0 t</t>
  </si>
  <si>
    <t>Osazení šachtového dna, 1 dno do 2,0 t, TBZ-Q.1 100/80, TBZ-Q.1 100/60.</t>
  </si>
  <si>
    <t>894422111RT1</t>
  </si>
  <si>
    <t>Osazení betonových dílců šachet</t>
  </si>
  <si>
    <t>Osazení přechodových skruží.</t>
  </si>
  <si>
    <t>894421112R00</t>
  </si>
  <si>
    <t>Osazení betonových dílců šachet do 1,4 t</t>
  </si>
  <si>
    <t>Osazení šachtového kónusu nebo zákrytové desky. 1ks do 1,4 t</t>
  </si>
  <si>
    <t>894421111R00</t>
  </si>
  <si>
    <t>Osazení betonových dílců šachet do 0,5 t</t>
  </si>
  <si>
    <t>Osazení vyrovnávacích prstenců. 1 prstenec &lt; 0,5 t</t>
  </si>
  <si>
    <t>899311114R00</t>
  </si>
  <si>
    <t>Osazení poklopů litinových / beton-litinových s rámem nad 150 kg</t>
  </si>
  <si>
    <t>Osazení litinových poklopů s rámem / bez rámu, odvětráním i bez odvětrání.</t>
  </si>
  <si>
    <t>892601154R00</t>
  </si>
  <si>
    <t>Čištění kanalizační stoky do DN 500, nad 100 m</t>
  </si>
  <si>
    <t>892663111R00</t>
  </si>
  <si>
    <t>Zabezpečení konců kanal. potrubí DN do 600, vodou</t>
  </si>
  <si>
    <t>úsek</t>
  </si>
  <si>
    <t>892581111R00</t>
  </si>
  <si>
    <t>Zkouška těsnosti kanalizace DN do 300, vodou</t>
  </si>
  <si>
    <t>892855116R00</t>
  </si>
  <si>
    <t>Kontrola kanalizace TV kamerou nad 500 m</t>
  </si>
  <si>
    <t>286114015</t>
  </si>
  <si>
    <t>Trubka kanalizační PP / PVC, min. SN 12, 250 x 6000 mm</t>
  </si>
  <si>
    <t>286114014</t>
  </si>
  <si>
    <t>Trubka kanalizační PP / PVC, min. SN 12, 250 x 3000 mm</t>
  </si>
  <si>
    <t>28651712.A</t>
  </si>
  <si>
    <t>Odbočka kanalizační  250/ 160/45° PVC /PP/, min. SN 12</t>
  </si>
  <si>
    <t>28651672.A</t>
  </si>
  <si>
    <t>Koleno kanalizační  250/ 45° PVC /PP/, min. SN 12</t>
  </si>
  <si>
    <t>28651671.A</t>
  </si>
  <si>
    <t>Koleno kanalizační  250/ 30° PVC /PP/, min. SN 12</t>
  </si>
  <si>
    <t>28651670.A</t>
  </si>
  <si>
    <t>Koleno kanalizační  250/ 15° PVC /PP/, min. SN 12</t>
  </si>
  <si>
    <t>28651814.A</t>
  </si>
  <si>
    <t>Přesuvka kanalizační  250 PVC /PP/, min. SN 12</t>
  </si>
  <si>
    <t>59224177</t>
  </si>
  <si>
    <t>Prstenec vyrovnávací TBW-Q 625/100/120</t>
  </si>
  <si>
    <t>59224176</t>
  </si>
  <si>
    <t>Prstenec vyrovnávací TBW-Q 625/80/120</t>
  </si>
  <si>
    <t>59224175</t>
  </si>
  <si>
    <t>Prstenec vyrovnávací TBW-Q 625/60/120</t>
  </si>
  <si>
    <t>59224353.A</t>
  </si>
  <si>
    <t>Konus šachetní TBR-Q.1 100-63/58/12 KPS</t>
  </si>
  <si>
    <t>59224359.A</t>
  </si>
  <si>
    <t>Skruž šachetní TBS-Q.1 100/50/12</t>
  </si>
  <si>
    <t>59224362.A</t>
  </si>
  <si>
    <t>Skruž šachetní TBS-Q.1 100/100/12</t>
  </si>
  <si>
    <t>59224366.A</t>
  </si>
  <si>
    <t>Dno šachetní přímé TBZ-Q.1 100/60 V max. 40</t>
  </si>
  <si>
    <t>59224367.A</t>
  </si>
  <si>
    <t>Dno šachetní přímé TBZ-Q.1 100/80 V max. 50</t>
  </si>
  <si>
    <t>59224368.A</t>
  </si>
  <si>
    <t>Dno šachetní přímé TBZ-Q.1 100/100 V max. 60</t>
  </si>
  <si>
    <t>59224373.A</t>
  </si>
  <si>
    <t>Těsnění elastom pro šach díly EMT - DN 1000</t>
  </si>
  <si>
    <t>55340324</t>
  </si>
  <si>
    <t>Poklop D 400- GU-S-K, litinový, samonivelační, s odvětráním</t>
  </si>
  <si>
    <t>Šachtový poklop podle stavebních předpisů ČSN EN 124 pro jízdní pruhy silnic, pěší zóny a parkovací místa. Dosedací plochy u vík a rámu jsou obráběny a do víka je zabudována tlumicí vložka. Rám GU R-1 (litinový), víko GU-S-K (litinové víko), třída zatížení D400, samonivelační.</t>
  </si>
  <si>
    <t>55340325</t>
  </si>
  <si>
    <t>Poklop D 400-GU-B-1 litinový, samonivelační, bez odvětrání</t>
  </si>
  <si>
    <t>Šachtový poklop podle stavebních předpisů ČSN EN 124 pro jízdní pruhy silnic, pěší zóny a parkovací místa. Dosedací plochy u vík a rámu jsou obráběny a do víka je zabudována tlumicí vložka.  Rám GU R-1 (litinový), víko GU-B-1 (litinové), třída zatížení D400, samonivelační.</t>
  </si>
  <si>
    <t>900 KL 000150VD</t>
  </si>
  <si>
    <t>Nerez-pryžová stahovací spojka pro nesourodá potrubí (BET 400 - PVC/PP 400)</t>
  </si>
  <si>
    <t>Nerez-pryžová stahovací spojka pro nesourodá potrubí, dodávka + montáž.</t>
  </si>
  <si>
    <t>59224177.A</t>
  </si>
  <si>
    <t>Prstenec vyrovnávací TBW-Q 625/120/120</t>
  </si>
  <si>
    <t>55340324.2</t>
  </si>
  <si>
    <t>55340325.1</t>
  </si>
  <si>
    <t>Odstranění asfaltobetonové vozovky, pl. do 50 m2 - KSÚSV</t>
  </si>
  <si>
    <t>113107318R00</t>
  </si>
  <si>
    <t>Odstranění podkladu pl. 50 m2,kam.těžené tl.18 cm - KSÚSV</t>
  </si>
  <si>
    <t>Odstranění zám.dlažby 8 cm vč.podkladu,pl.do 50 m2</t>
  </si>
  <si>
    <t>181300012RA0</t>
  </si>
  <si>
    <t>Komunikace z dlažby zámkové, podklad štěrkopísek, dlažba přírodní tloušťka 8 cm</t>
  </si>
  <si>
    <t>894431421RCB</t>
  </si>
  <si>
    <t>Šachta D 600 mm, dl.šach.roury 2,00 m, přímá</t>
  </si>
  <si>
    <t>892601152R00</t>
  </si>
  <si>
    <t>Čištění kanalizační stoky do DN 500, do 50 m</t>
  </si>
  <si>
    <t>892855112R00</t>
  </si>
  <si>
    <t>Kontrola kanalizace TV kamerou do 50 m</t>
  </si>
  <si>
    <t>286516933</t>
  </si>
  <si>
    <t>Redukce kanalizační  250/160 mm PVC /PP/, SN 12</t>
  </si>
  <si>
    <t>Poklop D 400-GU-B-1 litinový, bez odvětrání</t>
  </si>
  <si>
    <t>Šachtový poklop podle stavebních předpisů ČSN EN 124 pro jízdní pruhy silnic, pěší zóny a parkovací místa. Dosedací plochy u vík a rámu jsou obráběny a do víka je zabudována tlumicí vložka.  Rám GU R-1 (litinový), víko GU-B-1 (litinové), třída zatížení D400.</t>
  </si>
  <si>
    <t>58384421VD</t>
  </si>
  <si>
    <t>Příplatek zádlažba okolo poklopu - žulová kostka + beton (D+M)</t>
  </si>
  <si>
    <t>894431422RCB</t>
  </si>
  <si>
    <t>Šachta D 600 mm, dl. šach. roury 2,00 m, 1 přítok</t>
  </si>
  <si>
    <t>827211</t>
  </si>
  <si>
    <t>161101102R00</t>
  </si>
  <si>
    <t>Svislé přemístění výkopku z hor.1-4 do 4,0 m</t>
  </si>
  <si>
    <t>161101152R00</t>
  </si>
  <si>
    <t>Svislé přemístění výkopku z hor.5-7 do 4,0 m</t>
  </si>
  <si>
    <t>212810010RAC</t>
  </si>
  <si>
    <t>877393121R00</t>
  </si>
  <si>
    <t>Montáž tvarovek odboč. plast. gum. kroužek DN 400</t>
  </si>
  <si>
    <t>877393123R00</t>
  </si>
  <si>
    <t>Montáž tvarovek jednoos. plast. gum.kroužek DN 400</t>
  </si>
  <si>
    <t>892591111R00</t>
  </si>
  <si>
    <t>Zkouška těsnosti kanalizace DN do 400, vodou</t>
  </si>
  <si>
    <t>286114019</t>
  </si>
  <si>
    <t>Trubka kanalizační PP / PVC, min. SN 12, 400 x 6000 mm</t>
  </si>
  <si>
    <t>286114018</t>
  </si>
  <si>
    <t>Trubka kanalizační PP / PVC, min. SN 12, 400 x 3000 mm</t>
  </si>
  <si>
    <t>28651724.A</t>
  </si>
  <si>
    <t>Odbočka kanalizační 400/200/45° PVC / PP, min. SN 12</t>
  </si>
  <si>
    <t>28651723.A</t>
  </si>
  <si>
    <t>Odbočka kanalizační 400/160/45° PVC / PP, min. SN 12</t>
  </si>
  <si>
    <t>28651680.A</t>
  </si>
  <si>
    <t>Koleno kanalizační 400/ 45° PVC / PP, min. SN 12</t>
  </si>
  <si>
    <t>28651679.A</t>
  </si>
  <si>
    <t>Koleno kanalizační 400/ 30° PVC / PP, min. SN 12</t>
  </si>
  <si>
    <t>Koleno kanalizační  400/ 15° PVC /PP/, min. SN 12</t>
  </si>
  <si>
    <t>28651816.A</t>
  </si>
  <si>
    <t>Přesuvka kanalizační 400 PVC / PP, min. SN 12</t>
  </si>
  <si>
    <t>59224174.A</t>
  </si>
  <si>
    <t>Prstenec vyrovnávací TBW-Q 625/40/120</t>
  </si>
  <si>
    <t>59224354</t>
  </si>
  <si>
    <t>Deska zákrytová šachtová TZK-Q.1 100-63/17</t>
  </si>
  <si>
    <t>871373121R00</t>
  </si>
  <si>
    <t>Montáž trub kanaliz. z plastu, hrdlových, DN 250</t>
  </si>
  <si>
    <t>Šachta D 600 mm, dl.šach.roury 2,40 m, 30°</t>
  </si>
  <si>
    <t>894431423RCB</t>
  </si>
  <si>
    <t>Šachta D 600 mm, dl.šach.roury 1,70 m, sběrná - T</t>
  </si>
  <si>
    <t>Přesun hmot pro kanalizace (bet. prefabrikáty, betony, plast. prefabrikáty, poklopy, vpusti, apod.), otevř. výkop</t>
  </si>
  <si>
    <t>28651694.A</t>
  </si>
  <si>
    <t>Redukce kanalizační  250/ 200 mm PVC /PP/, SN 12</t>
  </si>
  <si>
    <t>Zádlažba okolo poklopu - žulová kostka + beton (D+M)</t>
  </si>
  <si>
    <t>167101101R00</t>
  </si>
  <si>
    <t>Nakládání, skládání výkopku z hor. 1 ÷ 4 v množství do 100 m3</t>
  </si>
  <si>
    <t>721</t>
  </si>
  <si>
    <t>Vnitřní kanalizace</t>
  </si>
  <si>
    <t>721242117R00</t>
  </si>
  <si>
    <t>Lapač střešních splavenin, DN 150 mm</t>
  </si>
  <si>
    <t>721_</t>
  </si>
  <si>
    <t>Kanalizační přípojka z trub PVC / PP, D 160 mm</t>
  </si>
  <si>
    <t>Kanalizační přípojka z trub PVC / PP, D 200 mm</t>
  </si>
  <si>
    <t>894431321RCC</t>
  </si>
  <si>
    <t>Šachta, D 425 mm, dl.šach.roury 2,0 m, přímá</t>
  </si>
  <si>
    <t>113107102RAB.1</t>
  </si>
  <si>
    <t>Odstranění asf.vozovky, kryt tl. do 12 cm, pl. nad 50 m2 - MOK</t>
  </si>
  <si>
    <t>Kryty štěrkových a živičných pozemních komunikací a zpevněných ploch</t>
  </si>
  <si>
    <t>Postřik spojovací z KAE, množství zbytkového asfaltu 0,7 kg/m2</t>
  </si>
  <si>
    <t>573231126R00</t>
  </si>
  <si>
    <t>Postřik spojovací z KAE, množství zbytkového asfaltu 0,6 kg/m2</t>
  </si>
  <si>
    <t>577142222RT2</t>
  </si>
  <si>
    <t>Beton asfalt. ACL 22+ ložný, modif. š. nad 3 m, tl. 5 cm</t>
  </si>
  <si>
    <t>577112124RT2</t>
  </si>
  <si>
    <t>Beton asfalt. ACO 11+ vrchní, modifik. š.nad 3 m, tl.5 cm</t>
  </si>
  <si>
    <t>577152223RT2</t>
  </si>
  <si>
    <t>Beton asfalt. ACL 22+ ložný, modif. š. nad 3 m, tl. 6 cm</t>
  </si>
  <si>
    <t>Přesun hmot, pozemní komunikace, kryt živičný</t>
  </si>
  <si>
    <t>Přesuny živičných nátěrů a krytů.</t>
  </si>
  <si>
    <t>82719</t>
  </si>
  <si>
    <t>Množství m.j. je uvedeno dle předpokladu, celková cena této práce se stanoví podle skutečnosti při provádění stavebních prací. Den = 8 hodin._x000D_
Výpočet:_x000D_
4*8 =&gt; předpoklad čerpání ve dnech * počet hodin =&gt; stanoveno odhadem</t>
  </si>
  <si>
    <t>733175119R00</t>
  </si>
  <si>
    <t>Montáž tvarovek plast polyf.svař.jeden spoj D 90mm</t>
  </si>
  <si>
    <t>831230010RAB</t>
  </si>
  <si>
    <t>Vodovod z trub polyetylénových D 90 mm</t>
  </si>
  <si>
    <t>Vodovod z trub polyetylénových D 90 mm, hl. 1,50 m. D+M_x000D_
V položce je zakalkulováno: _x000D_
- hloubení rýh, pažení a rozepření rýh včetně přepažování, svislé přemístění, naložení přebytku po zásypu (0,40 m3/m rýhy) na dopravní prostředek, odvoz do 6 km a uložení na skládku, _x000D_
- lože pod potrubí ze štěrkopísku, _x000D_
- montáž potrubí z trub polyetylénových tlakových hrdlových vnějšího průměru dle popisu, _x000D_
- obsyp potrubí sypaninou, zásyp rýhy sypaninou, se zhutněním_x000D_
Výpočet - výměra, rozměr:_x000D_
7,0+10,0 =&gt; délka provizoria ve výkopu [m]</t>
  </si>
  <si>
    <t>Výpis trub, tvarovek a armatur:_x000D_
Položka zahrnuje montáž všech litinových odbočnýchh přírubových tvarovek (T-Kusy, kříže,..) v otevřeném výkopu (štole / šachtě), včetně mezipřír. těsnění, korozivzdorných šroubů, matic a podložek dle TNV 755402 - Výstavba vodovodního potrubí. Počet určen z celkového součtu příslušných litinových armatur.</t>
  </si>
  <si>
    <t>857244121R00</t>
  </si>
  <si>
    <t>Montáž tvarovek litin. odboč. přír. výkop DN 80</t>
  </si>
  <si>
    <t>857601101R00</t>
  </si>
  <si>
    <t>Montáž přírub, tvárná litina DN 80</t>
  </si>
  <si>
    <t>Montáž tvarovek litin. jednoos.přír., DN 80</t>
  </si>
  <si>
    <t>Montáž PE potrubí v otevřeném výkopu d 90 bez dodávky materiálu._x000D_
viz. PROVIZORNÍ VODOVOD_x000D_
Výpočet - výměra, rozměr:_x000D_
17,0 =&gt; celková delka montáže ve výkopu [m]</t>
  </si>
  <si>
    <t>871241121R00.1</t>
  </si>
  <si>
    <t>Montáž potrubí polyetylenového mimo výkop d 90 mm</t>
  </si>
  <si>
    <t>Montáž PE potrubí v otevřeném výkopu d 90 bez dodávky materiálu._x000D_
viz. PROVIZORNÍ VODOVOD_x000D_
Výpočet - výměra, rozměr:_x000D_
245,0 =&gt; celková delka montáže mimo výkop [m]</t>
  </si>
  <si>
    <t>Montáž lemových nákružků, otočných přírub ve výkopu D 90 - 160 mm</t>
  </si>
  <si>
    <t>V položce jsou započteny náklady na přísun, montáž, demontáž a odsun zkoušecího čerpadla, napuštění tlakovou vodou a dodání vody pro tlakovou zkoušku._x000D_
Výpočet - výměra, rozměr:_x000D_
262,0 =&gt; celk. délka provizorního potrubí dané dimenze [m]</t>
  </si>
  <si>
    <t>Položka obsahuje napuštění a vypuštění vody, dodání vody a desinfekčního prostředku, náklady na bakteriologický rozbor vody._x000D_
Výpočet - výměra, rozměr:_x000D_
262,0 =&gt; celk. délka provizorního potrubí dané dimenze [m]</t>
  </si>
  <si>
    <t>891266331R00.1</t>
  </si>
  <si>
    <t>Montáž spojek DN 80</t>
  </si>
  <si>
    <t>891266331R00.2</t>
  </si>
  <si>
    <t>Montáž spojek DN 100</t>
  </si>
  <si>
    <t>891244121R00</t>
  </si>
  <si>
    <t>Montáž třmenů, kompenzátorů, montážních vložek DN 80</t>
  </si>
  <si>
    <t>891261221R00</t>
  </si>
  <si>
    <t>Montáž vodovod. šoupátek + kolečko DN 100</t>
  </si>
  <si>
    <t>891241221R00</t>
  </si>
  <si>
    <t>Montáž vodovod. šoupátek + kolečko DN 80</t>
  </si>
  <si>
    <t>891264121R00</t>
  </si>
  <si>
    <t>Montáž třmenů, kompenzátorů, montážních vložek DN 100</t>
  </si>
  <si>
    <t>286134632</t>
  </si>
  <si>
    <t>Trubka vodovodní PE, SDR 17, d 90x5,4 mm</t>
  </si>
  <si>
    <t>Trubka vodovodní PE 100, SDR 17, 90x5,4 mm, PAS 1075, návin, příp. tyče 12 m  (případně 6m s nutným dopočtem elektrospojek).  _x000D_
viz. PROVIZORNÍ VODOVOD_x000D_
Dodávka materiálu bez montáže. D_x000D_
Výpočet - výměra, rozměr:_x000D_
200 =&gt; délka trubního materiálu [m]</t>
  </si>
  <si>
    <t>422935322.1VD</t>
  </si>
  <si>
    <t>Spojka WAGA, č. 7990, DN 80, PN 16</t>
  </si>
  <si>
    <t>422935323.1VD</t>
  </si>
  <si>
    <t>Spojka WAGA, č. 7990, DN 100, PN 16</t>
  </si>
  <si>
    <t>81000008VD</t>
  </si>
  <si>
    <t>T DN 80/80, T kus přírubový, č. 8510</t>
  </si>
  <si>
    <t>31948309.A</t>
  </si>
  <si>
    <t>Příruba slepová, DN 80, č. 8000</t>
  </si>
  <si>
    <t>552701110</t>
  </si>
  <si>
    <t>Koleno přírubové, 90°, DN 80, č. 8530</t>
  </si>
  <si>
    <t>753-101-813VD</t>
  </si>
  <si>
    <t>Elektrokoleno 90° d 90, SDR 11</t>
  </si>
  <si>
    <t>753-961-713VD</t>
  </si>
  <si>
    <t>Elektrovíčko kit d 90, SDR 11</t>
  </si>
  <si>
    <t>753-120-913VD</t>
  </si>
  <si>
    <t>Koleno 30° d 90, SDR 11</t>
  </si>
  <si>
    <t>42200860</t>
  </si>
  <si>
    <t>Kolo ruční, č. 7800</t>
  </si>
  <si>
    <t>42392774.1VD</t>
  </si>
  <si>
    <t>TŘMEN OPRAVNÝ, DN 80, dvojitě upnutý, č. 0751</t>
  </si>
  <si>
    <t>753-151-014VD</t>
  </si>
  <si>
    <t>Koleno 45° d 110, SDR 11</t>
  </si>
  <si>
    <t>753-101-014VD</t>
  </si>
  <si>
    <t>Koleno 90° d 110, SDR 11</t>
  </si>
  <si>
    <t>753-151-013VD</t>
  </si>
  <si>
    <t>Koleno 45° d 90, SDR 11</t>
  </si>
  <si>
    <t>753-101-013VD</t>
  </si>
  <si>
    <t>Koleno 90° d 90, SDR 11</t>
  </si>
  <si>
    <t>753-081-013VD</t>
  </si>
  <si>
    <t>Oblouk 22° /SDR 11/ d 90, PE 100 RC</t>
  </si>
  <si>
    <t>42392774.2VD</t>
  </si>
  <si>
    <t>TŘMEN OPRAVNÝ, DN 100, dvojitě upnutý, č. 0751</t>
  </si>
  <si>
    <t>8159</t>
  </si>
  <si>
    <t>Nakládání, skládání, překládání ornice</t>
  </si>
  <si>
    <t>181050010RA0</t>
  </si>
  <si>
    <t>Terénní modelace</t>
  </si>
  <si>
    <t>274351215RT1</t>
  </si>
  <si>
    <t>Bednění stěn základových pasů - zřízení</t>
  </si>
  <si>
    <t>274313621R00</t>
  </si>
  <si>
    <t>Beton základových pasů prostý C 20/25</t>
  </si>
  <si>
    <t>274351216R00</t>
  </si>
  <si>
    <t>Bednění stěn základových pasů - odstranění</t>
  </si>
  <si>
    <t>274313511R00</t>
  </si>
  <si>
    <t>Beton základových pasů prostý C 12/15</t>
  </si>
  <si>
    <t>Zdi přehradní a opěrné</t>
  </si>
  <si>
    <t>327215110R00</t>
  </si>
  <si>
    <t>Zdivo rovnané nadzákladové výplňové z lom. kamene tříděn.</t>
  </si>
  <si>
    <t>32_</t>
  </si>
  <si>
    <t>3_</t>
  </si>
  <si>
    <t>451535111R00</t>
  </si>
  <si>
    <t>Podkladní vrstva tl. do 25 cm ze štěrku</t>
  </si>
  <si>
    <t>451315111R00</t>
  </si>
  <si>
    <t>Úprava povrchů vnější</t>
  </si>
  <si>
    <t>627458111RT3</t>
  </si>
  <si>
    <t>Spárování do hl. 70 mm MCs zdí z lomového kamene</t>
  </si>
  <si>
    <t>62_</t>
  </si>
  <si>
    <t>6_</t>
  </si>
  <si>
    <t>961001000VDVD</t>
  </si>
  <si>
    <t>Lapač nečistot / česle - zámeč. atyp. výrobek, včetně bet. bloku (M+D)</t>
  </si>
  <si>
    <t>01-02/2024</t>
  </si>
  <si>
    <t>-</t>
  </si>
  <si>
    <t>Ing.Vladimír Klička, Boršov 57, 588 05 Dušejov</t>
  </si>
  <si>
    <t>Ing. Vladimír KLIČKA, Boršov 57, 588 05 Dušejov 
Bc. Marek PETSCHENKA, Věžnice 25, 588 27 Jamné u Jihlavy</t>
  </si>
  <si>
    <t>Dokumentace: A. PRŮVODNÍ ZPRÁVA, B. SOUHRNNÁ TECHNICKÁ ZPRÁVA, B.3. TECHNICKÁ SPECIFIKACE MATERIÁLŮ, C. SITUAČNÍ PŘÍLOHY, D.1. SO 010 PŘELOŽKA VODOVODU, D.9. SPOLEČNÁ ČÁST</t>
  </si>
  <si>
    <t>Dokumentace: A. PRŮVODNÍ ZPRÁVA, B. SOUHRNNÁ TECHNICKÁ ZPRÁVA, B.3. TECHNICKÁ SPECIFIKACE MATERIÁLŮ, C. SITUAČNÍ PŘÍLOHY, D.2. SO 020 VODOVODNÍ ODBOČENÍ, D.9. SPOLEČNÁ ČÁST</t>
  </si>
  <si>
    <t>Dokumentace: A. PRŮVODNÍ ZPRÁVA, B. SOUHRNNÁ TECHNICKÁ ZPRÁVA, B.3. TECHNICKÁ SPECIFIKACE MATERIÁLŮ, C. SITUAČNÍ PŘÍLOHY, D.3. SO 030 SPLAŠKOVÁ KANALIZACE, D.9. SPOLEČNÁ ČÁST</t>
  </si>
  <si>
    <t>Dokumentace: A. PRŮVODNÍ ZPRÁVA, B. SOUHRNNÁ TECHNICKÁ ZPRÁVA, B.3. TECHNICKÁ SPECIFIKACE MATERIÁLŮ, C. SITUAČNÍ PŘÍLOHY, D.4. SO 040 SPLAŠKOVÁ KANALIZAČNÍ ODBOČENÍ, D.9. SPOLEČNÁ ČÁST</t>
  </si>
  <si>
    <t>Dokumentace: A. PRŮVODNÍ ZPRÁVA, B. SOUHRNNÁ TECHNICKÁ ZPRÁVA, B.3. TECHNICKÁ SPECIFIKACE MATERIÁLŮ, C. SITUAČNÍ PŘÍLOHY, D.5. SO 050 DEŠŤOVÁ KANALIZACE, D.9. SPOLEČNÁ ČÁST</t>
  </si>
  <si>
    <t>Dokumentace: A. PRŮVODNÍ ZPRÁVA, B. SOUHRNNÁ TECHNICKÁ ZPRÁVA, B.3. TECHNICKÁ SPECIFIKACE MATERIÁLŮ, C. SITUAČNÍ PŘÍLOHY, D.7. SO 070 PROVIZORNÍ VODOVOD, D.9. SPOLEČNÁ ČÁST</t>
  </si>
  <si>
    <t>Dokumentace: A. PRŮVODNÍ ZPRÁVA, B. SOUHRNNÁ TECHNICKÁ ZPRÁVA, B.3. TECHNICKÁ SPECIFIKACE MATERIÁLŮ, C. SITUAČNÍ PŘÍLOHY, D.6. SO 060 DEŠŤOVÁ KANALIZAČNÍ ODBOČENÍ, D.9. SPOLEČNÁ ČÁST</t>
  </si>
  <si>
    <t>Stavba je běžného až náročného charakteru s vysokým důrazem na koordinaci prací.</t>
  </si>
  <si>
    <t>831230110RA0.1</t>
  </si>
  <si>
    <t>Vodovodní přípojka z trub polyetylénových d 32 mm - provizorní</t>
  </si>
  <si>
    <t>Vodovodní přípojka z trub polyetylénových d 32 - provizorní. M+D_x000D_
V položce je zakalkulováno: _x000D_
- dodávka a montáž potrubí z trub polyetylénových tlakových hrdlových vnějšího průměru dle popisu, _x000D_
- 1 ks navrtávacího univerzálního pasu pro PE d 90 / PE d 32,_x000D_
- provizorní napojení - spojkou, elektrotvarovkou_x000D_
- tlaková zkouška potrubí, proplach a dezinfekce,_x000D_
- demontáž po dokončení _x000D_
Výpočet - výměra, rozměr:_x000D_
12*5,0 =&gt; počet provizorních přípojek [ks] * pr. délka přípojky [m]</t>
  </si>
  <si>
    <r>
      <t xml:space="preserve">Stavba je běžného až náročného charakteru s vysokým důrazem na koordinaci prací. Veškeré položky s montáží automaticky obsahují demontáž.
</t>
    </r>
    <r>
      <rPr>
        <sz val="10"/>
        <color rgb="FF990033"/>
        <rFont val="Arial"/>
        <family val="2"/>
        <charset val="238"/>
      </rPr>
      <t>Takto označené položky znázorňují předzásobenost zhotovitele stavby variantním materiálem, např.: formou vratné zápůjčky, rozšíření skladové zásoby, předání zbylého materiálu provozovateli, apod.</t>
    </r>
  </si>
  <si>
    <r>
      <t xml:space="preserve">Dokumentace stavby jednostupňová /DSJ/ </t>
    </r>
    <r>
      <rPr>
        <b/>
        <sz val="9"/>
        <rFont val="Arial CE"/>
        <charset val="238"/>
      </rPr>
      <t>(zpracováno ve stupni DpPS - Dokumentace pro provádění stavby)</t>
    </r>
  </si>
  <si>
    <t>tel.: +420 603 243 484</t>
  </si>
  <si>
    <r>
      <rPr>
        <b/>
        <i/>
        <sz val="8"/>
        <rFont val="Arial CE"/>
        <charset val="238"/>
      </rPr>
      <t xml:space="preserve">e-mail: </t>
    </r>
    <r>
      <rPr>
        <b/>
        <i/>
        <u/>
        <sz val="8"/>
        <color indexed="12"/>
        <rFont val="Arial CE"/>
        <charset val="238"/>
      </rPr>
      <t>klicka@projekceklicka.cz</t>
    </r>
  </si>
  <si>
    <t>dle výběru investora / dle výběrového řízení na zhotovitele stavby</t>
  </si>
  <si>
    <t>827</t>
  </si>
  <si>
    <t>114211105R00</t>
  </si>
  <si>
    <t>Odstranění betonových trub do DN 500 mm, ve výkopu</t>
  </si>
  <si>
    <t>721140802R00</t>
  </si>
  <si>
    <t>Demontáž potrubí litinového do DN 100 mm</t>
  </si>
  <si>
    <t>721252807R00</t>
  </si>
  <si>
    <t>Demontáž šoupátek do DN 150 mm</t>
  </si>
  <si>
    <t>734</t>
  </si>
  <si>
    <t>Armatury</t>
  </si>
  <si>
    <t>734191982R00.1</t>
  </si>
  <si>
    <t>Zaslepení přírubového spoje do DN 80, slepou LT přírubou</t>
  </si>
  <si>
    <t>734_</t>
  </si>
  <si>
    <t>734100822R00</t>
  </si>
  <si>
    <t>Demontáž armatur se třemi přírubami do DN 100</t>
  </si>
  <si>
    <t>734100812R00</t>
  </si>
  <si>
    <t>Demontáž armatur se dvěma přírubami do DN 100</t>
  </si>
  <si>
    <t>891217111R00</t>
  </si>
  <si>
    <t>Demontáž hydrantů podzemních DN 50, DN 80</t>
  </si>
  <si>
    <t>892855115R00</t>
  </si>
  <si>
    <t>Kontrola kanalizace TV kamerou do 500 m</t>
  </si>
  <si>
    <t>936452115R00</t>
  </si>
  <si>
    <t>Výplň potrubí cementopopílkovou suspenzí DN 300</t>
  </si>
  <si>
    <t>936452116R00</t>
  </si>
  <si>
    <t>Výplň potrubí cementopopílkovou suspenzí DN 400</t>
  </si>
  <si>
    <t>Přesun hmot pro kanalizace betonové, otevř. výkop</t>
  </si>
  <si>
    <t>M002VD</t>
  </si>
  <si>
    <t>Montáže/demontáže nádrží, šachet a jímek</t>
  </si>
  <si>
    <t>002000001VD</t>
  </si>
  <si>
    <t>Demontáž šachet betonových DN 1000</t>
  </si>
  <si>
    <t>RTS I / 2019</t>
  </si>
  <si>
    <t>M002VD_</t>
  </si>
  <si>
    <t>230120053R00</t>
  </si>
  <si>
    <t>Čištění potrubí profukováním nebo proplach. DN 400</t>
  </si>
  <si>
    <t>230120051R00</t>
  </si>
  <si>
    <t>Čištění potrubí profukováním nebo proplach. DN 300</t>
  </si>
  <si>
    <t>31948332</t>
  </si>
  <si>
    <t>Příruba litinová zaslepovací X, DN 80, PN 16</t>
  </si>
  <si>
    <t>Dokumentace: A. PRŮVODNÍ ZPRÁVA, B. SOUHRNNÁ TECHNICKÁ ZPRÁVA, B.3. TECHNICKÁ SPECIFIKACE MATERIÁLŮ, C. SITUAČNÍ PŘÍLOHY, D.8. SO 080 RUŠENÍ STÁVAJÍCÍCH SÍTÍ, D.9. SPOLEČNÁ ČÁST</t>
  </si>
  <si>
    <t>Stavební rozpočet / Soupis stavebních prací, dodávek materiálů a služeb - neoceněný výkaz výměr</t>
  </si>
  <si>
    <t>Město Žirovnice</t>
  </si>
  <si>
    <t>SO 001 - VRN - Vedlejší rozpočtové náklady
            = Práce přípravné, koordinační a přidružené</t>
  </si>
  <si>
    <t>bude dopřesněno</t>
  </si>
  <si>
    <t>Ing.Vladimír Klička, Boršov 57, 585 05 Dušejov</t>
  </si>
  <si>
    <t>k.ú. Žirovnice, město Žirovnice, ul. Hradecká, intravilán</t>
  </si>
  <si>
    <t>Vzejde z výběrového řízení</t>
  </si>
  <si>
    <t>Objekt</t>
  </si>
  <si>
    <t>Zkrácený popis / Varianta</t>
  </si>
  <si>
    <t>M.j.</t>
  </si>
  <si>
    <t>cena (Kč)</t>
  </si>
  <si>
    <t>1000000VD</t>
  </si>
  <si>
    <t>RTS I/2024
vlastní pol.</t>
  </si>
  <si>
    <t>01</t>
  </si>
  <si>
    <t>VRN</t>
  </si>
  <si>
    <t>Náklady na záchranný archeologický výzkum</t>
  </si>
  <si>
    <t>02</t>
  </si>
  <si>
    <t>Náklady na činnost koordinátora BOZP, vypracování plánu BOZP, vedení stavby z hlediska BOZP.</t>
  </si>
  <si>
    <t>Investor zajišťuje samostatně na základě samostatné smlouvy</t>
  </si>
  <si>
    <t>03</t>
  </si>
  <si>
    <t>Náklady na činnost technického dozoru investora</t>
  </si>
  <si>
    <t>04</t>
  </si>
  <si>
    <t>Náklady na autorský dozor stavby - projektant stavby, technologie, elektriky, rozpočtář, apod.</t>
  </si>
  <si>
    <t>05</t>
  </si>
  <si>
    <t>Náklady na medializaci a propagaci stavby, pokud je pro stavbu požadováno</t>
  </si>
  <si>
    <t>06</t>
  </si>
  <si>
    <t>Náklady na vypracování provozního řádu stavby.</t>
  </si>
  <si>
    <t>07</t>
  </si>
  <si>
    <t>Náklady a poplatky investora státní správě souvis. se stavbou, stavební činností a (mimo) staveništní dopravou.</t>
  </si>
  <si>
    <t>Investor financuje samostatně.</t>
  </si>
  <si>
    <t>1000001VD</t>
  </si>
  <si>
    <t>Náklady na „papírový“ dotisk / dotisky / dokumentace či jejich dílčích částí pro potřeby zhotovitele.</t>
  </si>
  <si>
    <t>Náklady na "papírový" dotisk/y/ PD či jejich dílčích částí v rozsahu dle požadavku či potřeb zhotovitele</t>
  </si>
  <si>
    <t>1000003VD</t>
  </si>
  <si>
    <t>Náklady na vypracování Harmonogramu stavebních prací</t>
  </si>
  <si>
    <t xml:space="preserve">Náklady na vypracování harmonogramu stav. prací pro stavbu, příp. harmonogramu pro etapizaci stavby, průběžná aktualizace, projednání a odsouhlasení s TDI, investorem, provozovatelem, DOSS /dotčenými orgány státní správy/ 
a koordinátorem BOZP. </t>
  </si>
  <si>
    <t>1000004VD</t>
  </si>
  <si>
    <t>Náklady na pasportizaci před stavbou, v průběhu a po stavbě - viz. poznámka</t>
  </si>
  <si>
    <t>Náklady na pasportizaci nemovitostí, objektů, konstrukcí a porostů přilehlých ke stavbě, příp. objektů přilehlých ke staveništním dopravním cestám (exteriér, interiér, sklepní prostory) s důrazem na stávající stav konstrukcí 
a případných stávajících poruch konstrukcí, včetně jejich zadokumentování). Výstupem bude popisná zpráva k jednotlivým nemovitostem, objektům, konstrukcím a porostům doložená fotodokumentací s datem a časem pořízení,
ve vazbě na zjištěné poruchy konstrukcí se závěrečným vyhodnocením k předmětné stavbě odpovědnou osobou, před stavbou, v průběhu stavby a po dokončení stavby ve smyslu nebezpečí ohrožení těchto konstrukcí realizací předmětné stavby či zhoršení stávajících poruch v důsledku realizace předmětné stavby.
 - 2 x výtisk, 2 x CD</t>
  </si>
  <si>
    <t>1000005VD</t>
  </si>
  <si>
    <t>Náklady na činnosti, dopravu a režii smluvně zajištěného statika po dobu stavby</t>
  </si>
  <si>
    <t>Náklady na činnosti, dopravu a režii smluvně zajištěného statika stavebních konstrukcí na stavbě před zahájením zemních prací a v průběhu provádění vlastní stavby pro jednotlivé pracovní úseky v rámci stavby pro odsouhlasení či upřesnění technologických postupů, možného užití techniky a strojního vybavení, určení délky pracovních úseků a pro návrh případných opatření, ve vazbě na pasportizaci domů, objektů a konstrukcí dle pol. č. 4 pro zajištění stability objektů a konstrukcí a pro stanovení opatření pro zamezení vzniku poruch na nich, případně pro stanovení opatření pro zajištění nezvětšování se poruch, pokud byly tyto na konstrukcích před stavbou zjištěny, případně pro dopřesnění pracovních postupů a technické řešení stavby či dílčích částí stavby.
Účast statika, včetně závěrů z jeho zjištění, předpisů či doporučení se předepisuje zapsat do deníku stavby.</t>
  </si>
  <si>
    <t>1000006VD</t>
  </si>
  <si>
    <t>Náklady na činnosti, dopravu a režii smluvně zajištěného hydrogeologa po dobu stavby</t>
  </si>
  <si>
    <t>Náklady na činnosti, dopravu a režii smluvně zajištěného hydrogeologa na stavbě pro průběžné mapování skladby geologického podloží v rozsahu stavby se závěrečným vyhodnocením geologie území písemnou zprávou, 
s důrazem na ověření tříd těžitelnosti hornin dle ČSN 733050 Zemní práce, vyhodnocování vytěženého materiálu pro možnost jeho zpětného využití s ohledem na skladbu, zastoupené frakce a jeho hutnitelnost pro požadované hutnění předepsané jednotlivými oddíly dokumentace.
Účast hydrogeologa, včetně závěrů z jeho zjištění, předpisů či doporučení se předepisuje zapsat do deníku stavby.</t>
  </si>
  <si>
    <t>1000007VD</t>
  </si>
  <si>
    <t>Náklady na projednání a zajištění míst mezideponií a deponií vytěžených hmot</t>
  </si>
  <si>
    <t>Náklady na projednání a zajištění míst mezideponií a deponií vytěžených hmot, tzn. projednání uložení vytěžených hmot na dočasné skládky po dobu stavby, respektive trvalé skládky za účelem trvalého uložení vytěžených hmot s vlastníky pozemků či skládek.
 Před zahájením stavby bude doložen investorovi smluvní vztah s vlastníkem pozemků na nichž budou zeminy či vytěžené hmoty ukládány.
 V případě, že ukládání hmot bude vyžadovat vyjádření DOSS /dotčených orgánů státní správy/, jsou předmětem položky rovněž náklady na jejich zajištění.
 Likvidace vytěžených hmot, sutí či jiných odpadů vzniklých při stavbě, bude prováděna v souladu se Zákonem o odpadech č.185/2001 Sb. v platném znění.</t>
  </si>
  <si>
    <t>1000008VD</t>
  </si>
  <si>
    <t>Náklady na projednání a zajištění přístupových tras na staveniště a na plochy zařízení staveniště</t>
  </si>
  <si>
    <t>Náklady na projednání a zajištění přístupových tras na staveniště, pro přístup ke stavbě, odvoz zemin a přísun materiálu potřebného k realizaci stavby, včetně míst pro jeho skládání a dočasného uložení před zabudováním do stavby, (materiál trubní, prefabrikáty šachet, beton, podsypy, obsypy, zásypy, materiál pro vrstvy komunikace a ostatní materiál potřebný pro realizaci stavby ), projednání s vlastníky pozemků či komunikací a správci komunikací ve vazbě na konstrukce komunikací, mostů, propustků apod., s ohledem na jejich stav a únosnost, ve vazbě na druh, rozměry, hmotnost, poloměr otáčení techniky navržené zhotovitelem k užití při realizaci stavby.</t>
  </si>
  <si>
    <t>1000009VD</t>
  </si>
  <si>
    <t>Náklady na projednání a zajištění míst GZS (zázemí zhotovitele, skládky trubních vedení, 
materiálů k zabudování do stavby, skládky sypkých materiálů).</t>
  </si>
  <si>
    <t>Náklady na projednání a zajištění dočasných záborů ploch pro potřeby zhotovitele stavby, včetně případných poplatků za pronájem ploch.
Pokud tyto plochy potřebné k realizaci stavby stanoví investor stavby specifikací těchto ploch, je tato položka bezpředmětná.</t>
  </si>
  <si>
    <t>1000010VD</t>
  </si>
  <si>
    <t>Náklady na projednání a realizaci dočasného připojení GZS na sítě ZTI (přípojka voda, kanalizace, NN, T, apod.), při zájmu či potřebě zhotovitele na zřízení těchto přípojek.</t>
  </si>
  <si>
    <t>Zhotovitel ocení připojení objektů GZS na inženýrské sítě, připojení provede na své náklady.</t>
  </si>
  <si>
    <t>1000011VD</t>
  </si>
  <si>
    <t>Náklady na zřízení, údržbu, přemístění a zrušení, oplocení či ohrazení ploch GZS, či jeho dílčích částí.</t>
  </si>
  <si>
    <t>Položka obsahuje náklady na zabezpečení ploch a objektů GZS zhotovitele pro informovanost a výstrahu 3. osob vůči stavbě v souvislosti se zajištěním oplocení / ohrazení, informovanosti o plochách či omezení vstupu na tyto plochy 3. osobami. Koordinace ve spolupráci s TDI a Koordinátorem bezpečnosti práce.</t>
  </si>
  <si>
    <t>1000012VD</t>
  </si>
  <si>
    <t>Náklady na zřízení, údržbu, přemístění a zrušení vyznačení a ohrazení výkopových rýh a jam, případně jejich jiné vyznačení v terénu po dobu jejich existence s odkazem na předpisy BOZP a součinnost určeného koordinátora BOZP stavby.</t>
  </si>
  <si>
    <t>Zajištění vyznačení a ohrazení výkopových rýh a jam v terénu staveniště pro pohyb a jízdu kolem nich, pokud charakter úseku stavby chůzi a jízdu kolem výkopů umožňuje. Koordinace ve spolupráci s TDI a Koordinátorem BOZP.</t>
  </si>
  <si>
    <t>1000013VD</t>
  </si>
  <si>
    <t>Náklady na pořízení informačních, zákazových a příkazových značek a informačních cedulí
pro zajištění označení stavby a pohybu po staveništi</t>
  </si>
  <si>
    <t>Náklady na pořízení informačních, zákazových a příkazových značek a informačních cedulí pro zajištění označení stavby (osazení z každé přístupové strany na staveniště) a příkazových cedulí pro vymezení pohybu po staveništi pro pracovníky stavby, techniku stavby a pro třetí osoby vůči stavbě (osazení dle potřeby pracovního úseku ), náklady na osazení, přemístění a zrušení značení stavby</t>
  </si>
  <si>
    <t>1000014VD</t>
  </si>
  <si>
    <t xml:space="preserve">Náklady na pořízení dočasných a trvalých informačních cedulí předepsaných poskytovatelem dotace </t>
  </si>
  <si>
    <t>Počet, způsob umístění, materiálová a rozměrová specifikace, pokud je taková cedule poskytovatelem dotace požadována – nutno dopřesnit pro výběrové řízení.</t>
  </si>
  <si>
    <t>1000015VD</t>
  </si>
  <si>
    <t xml:space="preserve">Náklady na osazení přechodových lávek pro chodce. Osazení, přemisťování a zrušení v místech potřeby
staveniště a po dobu stavby. </t>
  </si>
  <si>
    <t>Náklady na osazení přechodových lávek pro chodce min. šířky 0,90 m s bezpečnostním zábradlím a okopovým plechem do výšky min. 0,1 m nad podlahu v konstrukčním a materiálovém provedení vhodném pro využití dle zásad bezbariérovosti ve smyslu vztahujících se předpisů. (nerozlišuje se, zda zhotovitel poskytne lávky v jeho vlastnictví, pořídí je formou pronájmu, resp. je pořizuje či vyrábí nově). Potřebný počet pro úsek stavby a dobu trvání jeho realizace.</t>
  </si>
  <si>
    <t>1000016VD</t>
  </si>
  <si>
    <t>Náklady na pořízení či pronájem přejezdových lávek pro vozidla do 3,5 t v případě potřeby na jejich zřízení. Osazení, přemisťování a zrušení v místech nevyhnutelné potřeby a po dobu stavby.</t>
  </si>
  <si>
    <t>Umožnění vjezdů vozidel na pozemky vlastníků.</t>
  </si>
  <si>
    <t>1000017VD</t>
  </si>
  <si>
    <t>Náklady na projednání DIO /MMJ, odbor dopravy, Policie ČR, DI, veřejná doprava, příp. další/.</t>
  </si>
  <si>
    <t>Náklady na projednání DIO /MMJ, odbor dopravy, Policie ČR, DI, veřejná doprava, příp. další/, návrh a zajištění objízdných tras, uzavírek komunikací, zřízení, přemisťování a zrušení dočasného mobilního dopravního značení, včetně mobilní světelné signalizace /pokud je tato předepsána, případně pokud je pro zhotovitele prací výhodné tuto použít pro zajištění bezpečnosti provozu a urychlení prací/, pro pracovní úseky stavby ve vazbě na harmonogram prací.</t>
  </si>
  <si>
    <t>1000018VD</t>
  </si>
  <si>
    <t>Náklady na staveništní a mimostavenišní dopravu v rozsahu potřebném pro realizaci stavby.</t>
  </si>
  <si>
    <t>Položka zohledňuje zvýšené náklady na mimostaveništní a vnitrostaveništní dopravu zhotovitele, individuální kalkulace zhotovitele.</t>
  </si>
  <si>
    <t>1000019VD</t>
  </si>
  <si>
    <t>Náklady na součinnost zhotovitele při přemísťování nádob TDO z míst nepříst. pro svozový vůz po dobu stavby</t>
  </si>
  <si>
    <t>Náklady na projednání předávacích míst / shromaždišť nádob TDO a režimu vývozu TDO ve vazbě na harmonogram prací a náklady na přepravu nádob TDO z objektů nepřístupných po dobu stavby pro svozový vůz odvozce odpadů, na určená místa, včetně návratu nádob do nemovitostí po jejich vyprázdnění odvozcem odpadu.</t>
  </si>
  <si>
    <t>1000020VD</t>
  </si>
  <si>
    <t>Náklady na projednání a zajištění dohledu nad provizorními povrchovými konstrukcemi a sítěmi</t>
  </si>
  <si>
    <t>Náklady na projednání a zajištění dohledu nad provizorními povrchovými konstrukcemi a sítěmi v době mimo pracovní činnost na stavbě, údržba a drobné opravy těchto konstrukcí dle potřeby, včetně zajištění jejich spolehlivého provozu po dobu existence, tj do doby jejich zrušení.</t>
  </si>
  <si>
    <t>1000021VD</t>
  </si>
  <si>
    <t>Náklady na zajištění součinnosti zhotovitele stavby se správci ostatních sítí a zařízení na komunikaci potřebnou pro zajištění stavby či jejích dílčích částí.</t>
  </si>
  <si>
    <t>Položka zohledňuje součinnost se správci sítí, komunikací, vodotečí potřebnou pro řádné provedení díla.</t>
  </si>
  <si>
    <t>1000022VD</t>
  </si>
  <si>
    <t>Náklady na zajištění součinnosti zhotovitele stavby s provozovatelem vodovodu a kanalizace.</t>
  </si>
  <si>
    <t>Náklady na zajištění součinnosti zhotovitele stavby s provozovatelem vodovodu a kanalizace pro odstavování, rušení, přepojování, připojování řadů a přípojek a pro činnosti související se zřizováním provizorních povrchových vodovodů a˘jejich zpětných rušení, včetně dočasného přepojení přípojek na provizoria, včetně jejich zrušení po ukončení provozu provizorií
- výčet činností se zhotoviteli nepředepisuje. Obecně je nutno zhotovitelem, případně zprostředkovaně zajistit veškeré činnosti zajišťující dodávku vody spotřebiteli, včetně odkanalizování nemovitostí po dobu trvání stavby, do doby jejího uvedení do provozu.</t>
  </si>
  <si>
    <t>1000024VD</t>
  </si>
  <si>
    <t>Náklady na laboratorní analýzy vzorků vody Vyhl. 252/2004 Sb.</t>
  </si>
  <si>
    <t>Krácený rozbor body dle Vyhlášky 252/2004 Sb. v platném znění
- vždy před uvedením provizoria do provozu, vždy po uvedení definitivního úseku před uvedebám do provozu
Předpisy pro rozbory vody 
Vyhláška č. 252/2004 Sb., kterou se stanoví hygienické požadavky na pitnou a teplou vodu a četnost a rozsah kontroly pitné vody
Vyhláška č. 422/2016 Sb., o radiační ochraně a zabezpečení radionuklidového zdroje. Vše ve znění platných předpisů.</t>
  </si>
  <si>
    <t>1000025VD</t>
  </si>
  <si>
    <t>Krácený rozbor vody dle Vyhl. 252/2004 Sb.
3 x kontrolní rozbor na na navazující rozvodné síti</t>
  </si>
  <si>
    <t>1000026VD</t>
  </si>
  <si>
    <t xml:space="preserve">Koordinace výstavby, koordinace subdodávek </t>
  </si>
  <si>
    <t>Koordinace výstavby – náklady na vyvolání kontrolních dnů, komunikaci a součinnost s dotčenými stranami, DOSS v orientačním výčtu / investor stavby, TDI, Koordinátor BOZP, KHS kraje Vysočina se sídlem v Jihlavě, DI Policie ČR, MMJ OD, MMJ OŽP, KSÚS, správci sítí, apod.).</t>
  </si>
  <si>
    <t>1000027VD</t>
  </si>
  <si>
    <t>Náklady na vytyčení parcelních hranic pozemků určených ke stavbě.</t>
  </si>
  <si>
    <r>
      <t xml:space="preserve">Náklady na vytyčení parcelních hranic pozemků určených ke stavbě, případně jiných dle charakteru a vývoje stavby, případně dle požadavku investora, TDI či jiných účastníků stavby (vlastníci pozemků) 
specifikace položky : vytyčení 500 bm parcelní hranice dle evidence KN příslušného KÚ, </t>
    </r>
    <r>
      <rPr>
        <b/>
        <i/>
        <sz val="10"/>
        <color indexed="30"/>
        <rFont val="Arial"/>
        <family val="2"/>
        <charset val="238"/>
      </rPr>
      <t>terén přehledný</t>
    </r>
    <r>
      <rPr>
        <i/>
        <sz val="10"/>
        <color indexed="30"/>
        <rFont val="Arial"/>
        <family val="2"/>
        <charset val="238"/>
      </rPr>
      <t>, protokol o vytyčení, účtována bude skutečnost. Výčet pozemků je zřejmý ze Situačních příloh.</t>
    </r>
  </si>
  <si>
    <t>1000028VD</t>
  </si>
  <si>
    <r>
      <t xml:space="preserve">Náklady na vytyčení parcelních hranic pozemků určených ke stavbě, případně jiných dle charakteru a vývoje stavby, případně dle požadavku investora, TDI či jiných účastníků.                                        
specifikace položky : vytyčení 300 bm parcelní hranice dle evidence KN příslušného KÚ, </t>
    </r>
    <r>
      <rPr>
        <b/>
        <i/>
        <sz val="10"/>
        <color indexed="30"/>
        <rFont val="Arial"/>
        <family val="2"/>
        <charset val="238"/>
      </rPr>
      <t>terén nepřehledný</t>
    </r>
    <r>
      <rPr>
        <i/>
        <sz val="10"/>
        <color indexed="30"/>
        <rFont val="Arial"/>
        <family val="2"/>
        <charset val="238"/>
      </rPr>
      <t xml:space="preserve">, protokol o vytyčení, účtována bude skutečnost. Výčet pozemků je zřejmý ze Situačních příloh. </t>
    </r>
  </si>
  <si>
    <t>1000029VD</t>
  </si>
  <si>
    <t xml:space="preserve">Náklady na vypracování GP vybudované stavby vůči jednotlivým pozemkům. </t>
  </si>
  <si>
    <r>
      <t>Náklady na vypracování GP vybudované stavby vůči jednotlivým pozemkům Náklady na vypracování GP vybudované stavby vůči jednotlivým pozemkům pro vnos věcného břemene /služebnosti/ do evidence KN, liniová stavba.
specifikace položky : GP liniové stavby /vodovod, kanalizace, elektrorozvody/ do mapy KN příslušného KÚ,</t>
    </r>
    <r>
      <rPr>
        <b/>
        <i/>
        <sz val="10"/>
        <color indexed="30"/>
        <rFont val="Arial"/>
        <family val="2"/>
        <charset val="238"/>
      </rPr>
      <t xml:space="preserve"> terén přehledný,</t>
    </r>
    <r>
      <rPr>
        <i/>
        <sz val="10"/>
        <color indexed="30"/>
        <rFont val="Arial"/>
        <family val="2"/>
        <charset val="238"/>
      </rPr>
      <t>(samostatně i souběžně vedené IS dle situačních podkladů).</t>
    </r>
  </si>
  <si>
    <t>1000030VD</t>
  </si>
  <si>
    <t>Náklady na vypracování GP vybudované stavby vůči jednotlivým pozemkům
pro vnos věcného břemene /služebnosti/, vnos do evidence KN zajišťuje investor stavby samostatně.</t>
  </si>
  <si>
    <r>
      <t>Náklady na vypracování GP vybudované stavby vůči jednotlivým pozemkům Náklady na vypracování GP vybudované stavby vůči jednotlivým pozemkům pro vnos věcného břemene /služebnosti/ do evidence KN, liniová stavba.
specifikace položky : GP liniové stavby /vodovod, kanalizace/ do mapy KN příslušného KÚ,</t>
    </r>
    <r>
      <rPr>
        <b/>
        <i/>
        <sz val="10"/>
        <color indexed="30"/>
        <rFont val="Arial"/>
        <family val="2"/>
        <charset val="238"/>
      </rPr>
      <t xml:space="preserve"> </t>
    </r>
    <r>
      <rPr>
        <i/>
        <sz val="10"/>
        <color indexed="30"/>
        <rFont val="Arial"/>
        <family val="2"/>
        <charset val="238"/>
      </rPr>
      <t>(samostatně i souběžně vedené IS dle situačních podkladů, liiová stavba IS), tisky potřebného množství pro vklad do KN, 2xCD..</t>
    </r>
  </si>
  <si>
    <t>1000031VD</t>
  </si>
  <si>
    <t>Vypracování GP pro vnos do KN u oddělovaných pozemků (stavby trvalého charakteru, objekty )
 - vnos do evidence KN zajišťuje investor stavby samostatně</t>
  </si>
  <si>
    <t>1000032VD</t>
  </si>
  <si>
    <t>Polohové a hloubkové vytyčení stávajících sítí před zahájením zemních prací pro stavbu .</t>
  </si>
  <si>
    <t>Polohové a hloubkové vytyčení stávajících sítí před zahájením zemních prací pro stavbu /etapy stavby/ ( + opakované vytyčení v případě poškození, ztráty, znehodnocení či nejasnosti vytyčovacích znaků v terénu staveniště ) sítě a zařízení, včetně protokolárního předání vytyčení, v rozsahu uvedeném v technických zprávách jednotlivých objektů a v Dokladové části dokumentace.                                     
v případech kdy není možno jednoznačně v terénu definovat polohu, profil, hloubku, počet souběžných vedení, předepisuje se zápis do deníku stavby, včetně určení způsobu pro dopřesnění požadovaných údajů</t>
  </si>
  <si>
    <t>1000033VD</t>
  </si>
  <si>
    <t>Náklady na vytyčení lomových bodů navrhované stavby (vodovod, kanalizace, příp. odbočení) v rozsahu požadavků zhotovitele.</t>
  </si>
  <si>
    <t>Vytyčeno bude geodetem dle souřadnic uvedených v projektové dokumentaci nebo z dokumentace odečtené.
Vytyčení navrhované stavby v terénu je vždy nadřazeno vytyčení stávajících hranic dle KN, které je nadřazeno a se kterým musí být stav porovnán, aby nedošlo k umístění stavby na pozemky jiné než v PD uvedené.</t>
  </si>
  <si>
    <t>1000034VD</t>
  </si>
  <si>
    <t>Náklady na provedení kopané sondy do objemu 8 m3 (2x2x2 m). Plocha zpevněná.</t>
  </si>
  <si>
    <r>
      <t xml:space="preserve">Náklady na provedení kopané sondy do objemu 8 m3 (2x2x2 m) za účelem ověření polohy sítí, oprava povrchu, </t>
    </r>
    <r>
      <rPr>
        <b/>
        <i/>
        <sz val="10"/>
        <color indexed="30"/>
        <rFont val="Arial"/>
        <family val="2"/>
        <charset val="238"/>
      </rPr>
      <t>plocha zpevněná</t>
    </r>
    <r>
      <rPr>
        <i/>
        <sz val="10"/>
        <color indexed="30"/>
        <rFont val="Arial"/>
        <family val="2"/>
        <charset val="238"/>
      </rPr>
      <t xml:space="preserve"> (asfalt, beton, dlažba), včetně zpětných zásypů, zhutnění a obnovy povrchu do stavu okolní plochy. Provedení sond bude v předstihu dle postupu prací pro vyloučení kolize s jinými sítěmi, účtována bude skutečnost.</t>
    </r>
  </si>
  <si>
    <t>1000035VD</t>
  </si>
  <si>
    <t>Náklady na provedení kopané sondy do objemu 8 m3 (2x2x2 m). Plocha nezpevněná.</t>
  </si>
  <si>
    <r>
      <t xml:space="preserve">Náklady na provedení kopané sondy do objemu 8 m3 (2x2x2 m) za účelem ověření polohy sítí, oprava povrchu, </t>
    </r>
    <r>
      <rPr>
        <b/>
        <i/>
        <sz val="10"/>
        <color indexed="30"/>
        <rFont val="Arial"/>
        <family val="2"/>
        <charset val="238"/>
      </rPr>
      <t>plocha nezpevněná</t>
    </r>
    <r>
      <rPr>
        <i/>
        <sz val="10"/>
        <color indexed="30"/>
        <rFont val="Arial"/>
        <family val="2"/>
        <charset val="238"/>
      </rPr>
      <t>, včetně zpětných zásypů, zhutnění a obnovy povrchu do stavu okolní plochy, osetí travním semenem, Provedení sond bude v předstihu dle postupu prací pro vyloučení kolize s jinými sítěmi, účtována bude skutečnost.</t>
    </r>
  </si>
  <si>
    <t>1000037VD</t>
  </si>
  <si>
    <t>Náklady za dodávku vody pro staveništní využití - ze zdrojů investora stavby,
případně dovozem či odběrem z jiného zdroje, V = 75 m3, účtována bude skutečnost.</t>
  </si>
  <si>
    <t>Stavenišní zásobování vodou.Tlakování řadů, zkouška vododěsnosti stok, apod..</t>
  </si>
  <si>
    <t>1000038VD</t>
  </si>
  <si>
    <t>Náklady za vypuštění vody do veřejné kanalizace a její odvedení
V = 75 m3, účtována bude skutečnost .</t>
  </si>
  <si>
    <t>Platba za vypuštění vody do veřejné kanalizace.</t>
  </si>
  <si>
    <t>1000040VD</t>
  </si>
  <si>
    <t>Náklady na zajištění NZV v případě objektivní potřeby stavby a lokality, dojezd + výdej vody
- 1 x NZV, cisterna V = 5 m3, účtována bude skutečnost.</t>
  </si>
  <si>
    <t>Náhradní zásobení vodou v době přepojování, odstávek či způsobených poruch na stávajících veřejných či soukromých vodovodech.</t>
  </si>
  <si>
    <t>1000041VD</t>
  </si>
  <si>
    <t>Náklady na údržbu a čištění komunikací a zpevněných ploch po dobu výstavby, /CAS, FAUN, apod./,
1 x dojezd + čištění, V = 8 m3</t>
  </si>
  <si>
    <t>Zadavateli stavby se doporučuje položku dopřesnit ve smyslu zahájení a ukončení stavby.</t>
  </si>
  <si>
    <t>1000042VD</t>
  </si>
  <si>
    <t xml:space="preserve">Dokumentace skutečného provedení stavebních objektů. </t>
  </si>
  <si>
    <t>Dokumentace skutečného provedení stavebních objektů /opravené Situace, podélné profily, kladečská schemata, předepsaná fotodokumentace a přípojkové karty pro jednotlivé nemovitosti, atd./, dle specifikace uvedené u jednotlivých stavebních objektů, mimo geodetického zaměření Microstation,.  3 x tisk, 3 x CD se soubory dat - *.doc, *xls, *.dgn, *.dwg, viz.: Souhrnná technická zpráva.</t>
  </si>
  <si>
    <t>1000044VD</t>
  </si>
  <si>
    <t>Geodetické zaměření skutečného stavu provedených sítí dle jednotlivých SO.</t>
  </si>
  <si>
    <t>Geodetické zaměření skutečného stavu provedených sítí dle jednotlivých SO, včetně nákladů na opakovanou dopravu geodetické skupiny, práce kancelářské a výstupní materiál
zpracování bude samostatně po stavebních objektech.
3 x tisk, 3 x CD se soubory dat – *.doc, *.xls, *.dgn, *.dwg</t>
  </si>
  <si>
    <t>1000045VD</t>
  </si>
  <si>
    <t>Ochrana stromu bedněním a vypolštářováním, 4 ks vzrostlých stromů u komunikace II/132</t>
  </si>
  <si>
    <t>D stromu 80 cm, výška ochrany do 2 m, plocha bednění na 1 strom 5,0 m2, zřízení a odstranění ochrany</t>
  </si>
  <si>
    <t>1000046VD</t>
  </si>
  <si>
    <t>Ochrana kořenové zóny 4 ks vrostlých stromů u komunikace II/132 technologií Air-Spade</t>
  </si>
  <si>
    <t>Ochrana kořenové zóny 4 ks vrostlých stromů u komunikace II/132 technologií Air-Spade při hloubení výkopů a jejich ošetření řezem a prorůstovými emulgátory v rozsahu dotčení
a dle zjištěné potřeby při zastižení kořenů a po jejich obnažení.</t>
  </si>
  <si>
    <t>SO 001 VRN - Vedlejší rozpočtové náklady stavby - CELKEM, REKAPITULACE</t>
  </si>
  <si>
    <t>SOUČET NÁKLADŮ bez DPH</t>
  </si>
  <si>
    <t>Kč bez DPH</t>
  </si>
  <si>
    <t xml:space="preserve">Poznámka : </t>
  </si>
  <si>
    <t>2) S odkazem na bod 1) se nevyulučuje nutnost tento Soupis prací, dodávek a služeb aktualizovat.</t>
  </si>
  <si>
    <t>8222</t>
  </si>
  <si>
    <t>ZKOUŠKY ÚNOSNOSTI PLÁNĚ DLE TP 146,  PŘÍMÁ METODA - 1x / 100 bm (VRCHNÍ VRSTVA).
Výpočet - výměra, rozměr:
2 =&gt; počet souborů zkoušek [-]</t>
  </si>
  <si>
    <t>Odstranění stávajícího krytu přijezdné komunikace, včetně nakládání a odvozu na skládku do 1 km, započítaná i zpáteční cesta. 
Položka obsahuje: (konstrukce místní obslužné komunikace - MOK)
- řezání živičného krytu tl. 4-5 cm - obrusné vrstvy, 
- odstranění asfaltbetonového krytu tl. 4-5 cm - ložní vrstvy,
- nakládání suti 
- vodorovná doprava suti do 1 km (položka neobsahuje poplatek za skládku)
Výpočet - výměra, rozměr:
233,0-79,0 =&gt; PLOCHA č.1 (MOK, ul. U Továrny): celková plocha [m2] - plocha rýhy IS [m2]
307,0-97,0 =&gt; PLOCHA č.2 (KSÚS, parkovací plocha): celková plocha [m2] - plocha rýhy IS [m2]
109,0-19,0 =&gt; PLOCHA č.3 (KSÚS, zbytk. plocha mezi KSÚS a ul. U Továrny): celková plocha [m2] - plocha rýhy IS [m2]</t>
  </si>
  <si>
    <t>568212111R00</t>
  </si>
  <si>
    <t>Vyztužení asfaltového povrchu geomříží</t>
  </si>
  <si>
    <t>Vyztužení asfaltového povrchu geomříží. Montáž
Výpočet - výměra, rozměr:
67,90*(1,42+1,0+1,0)*1,10 =&gt; ÚSEK č.1 (z Řadu A): délka [m] * (šířka výkopu +překryvy) [m] + rezerva 10% na přesahy
96,40*(3,09+1,0+1,0)*1,10 =&gt; ÚSEK č.2 (z Řadu A): délka [m] * (šířka výkopu +překryvy) [m] + rezerva 10% na přesahy
113,20*(3,10+1,0+1,0)*1,10 =&gt; ÚSEK č.3 (z Řadu A): délka [m] * (šířka výkopu +překryvy) [m] + rezerva 10% na přesahy
51,0*(2,60+1,0+1,0)*1,10 =&gt; ÚSEK č.4 (z Řadu A): délka [m] * (šířka výkopu +překryvy) [m] + rezerva 10% na přesahy
29,80*(2,60+1,0+1,0)*1,10 =&gt; ÚSEK č.5 (z Řadu A): délka [m] * (šířka výkopu +překryvy) [m] + rezerva 10% na přesahy
28,40*(1,42+1,0+1,0)*1,10 =&gt; ÚSEK č.6 (z Řadu A): délka [m] * (šířka výkopu +překryvy) [m] + rezerva 10% na přesahy</t>
  </si>
  <si>
    <t>564802293R00</t>
  </si>
  <si>
    <t>Příplatek k pod. vrstvě při překážce po 2 stranách</t>
  </si>
  <si>
    <t>Příplatek k pod. vrstvě při překážce po 2 stranách.
Výpočet - výměra, rozměr:
10 =&gt; stanoveno odhadem [m3]</t>
  </si>
  <si>
    <t>Postřik spojovací kationaktivní emulzí (KAE), množství zbytkového asfaltu 0,7 kg/m2 (ČSN EN 13 108-8). D+M
Výpočet - výměra, rozměr:
233,0 =&gt; PLOCHA č.1 (MOK, ul. U Továrny): celková plocha [m2]
307,0 =&gt; PLOCHA č.2 (KSÚS, parkovací plocha): celková plocha [m2]
109,0 =&gt; PLOCHA č.3 (KSÚS, zbytk. plocha mezi KSÚS a ul. U Továrny): celková plocha [m2]</t>
  </si>
  <si>
    <t>Postřik spojovací kationaktivní emulzí (KAE), množství zbytkového asfaltu 0,6 kg/m2 (ČSN EN 13 108-8). D+M
Výpočet - výměra, rozměr:
233,0 =&gt; PLOCHA č.1 (MOK, ul. U Továrny): celková plocha [m2]
307,0 =&gt; PLOCHA č.2 (KSÚS, parkovací plocha): celková plocha [m2]
109,0 =&gt; PLOCHA č.3 (KSÚS, zbytk. plocha mezi KSÚS a ul. U Továrny): celková plocha [m2]</t>
  </si>
  <si>
    <t>Beton asfaltový hrubozrnný modifikovaný ACL 22+ (ložná vrstva), š. nad 3 m, tl. 5 cm, dle ČSN 73 6121, ČSN EN 13 108-1. M+D
Výpočet - výměra, rozměr:
233,0 =&gt; PLOCHA č.1 (MOK, ul. U Továrny): celková plocha [m2]
307,0 =&gt; PLOCHA č.2 (KSÚS, parkovací plocha): celková plocha [m2]</t>
  </si>
  <si>
    <t>Beton asfaltový střednězrnný modifikovaný ACO 11+ (obrusná vrstva), š. nad 3 m, tl. 5 cm, dle ČSN 73 6121, ČSN EN 13 108-1. M+D
Výpočet - výměra, rozměr:
233,0 =&gt; PLOCHA č.1 (MOK, ul. U Továrny): celková plocha [m2]
307,0 =&gt; PLOCHA č.2 (KSÚS, parkovací plocha): celková plocha [m2]
109,0 =&gt; PLOCHA č.3 (KSÚS, zbytk. plocha mezi KSÚS a ul. U Továrny): celková plocha [m2]</t>
  </si>
  <si>
    <t>Beton asfaltový hrubozrnný modifikovaný ACL 22+ (ložná vrstva), š. nad 3 m, tl. 6 cm, dle ČSN 73 6121, ČSN EN 13 108-1. M+D
Výpočet - výměra, rozměr:
109,00 =&gt; PLOCHA č.3 (KSÚS, zbytk. plocha mezi KSÚS a ul. U Továrny): celková plocha [m2]</t>
  </si>
  <si>
    <t>Přesun hmot, kryt živičný (do 1 km) - odvoz na skládku investora (Skládka - Žirovnice ul. Hradecká = 2,0 km).
Výpočet - výměra, rozměr:
=&gt; celk. odebraná hmotnost vrstev komunikace [t] - převzato z pol.: 113107102RAB.1</t>
  </si>
  <si>
    <t>M</t>
  </si>
  <si>
    <t>69310260</t>
  </si>
  <si>
    <t>Geomříž skelná dvouosá pro vyztužení asfaltových povrchů, 50/50 kN/m</t>
  </si>
  <si>
    <t>Geomříž skelná dvouosá pro vyztužení asfaltových povrchů, 50/50 kN/m. Dodávka (D)
Geomříž umístěná na odfrézovaný povrch brání svou vysokou biaxiální pevností v tahu (50/50 kN/m) při velmi nízkém prodloužení průniku reflexních trhlin do nového asfaltového krytu a prodlužují tak významně jeho životnost. Výrazně přispívají k redukci možnosti vzniku vyjetých kolejí. Snižují následné náklady na údržbu komunikace. Skelné vlákno odolává vysokým teplotám při pokládce asfaltu.
Výpočet - výměra, rozměr:
67,90*(1,42+1,0+1,0)*1,10 =&gt; ÚSEK č.1 (z Řadu A): délka [m] * (šířka výkopu +překryvy) [m] + rezerva 10% na přesahy
96,40*(3,09+1,0+1,0)*1,10 =&gt; ÚSEK č.2 (z Řadu A): délka [m] * (šířka výkopu +překryvy) [m] + rezerva 10% na přesahy
113,20*(3,10+1,0+1,0)*1,10 =&gt; ÚSEK č.3 (z Řadu A): délka [m] * (šířka výkopu +překryvy) [m] + rezerva 10% na přesahy
51,0*(2,60+1,0+1,0)*1,10 =&gt; ÚSEK č.4 (z Řadu A): délka [m] * (šířka výkopu +překryvy) [m] + rezerva 10% na přesahy
29,80*(2,60+1,0+1,0)*1,10 =&gt; ÚSEK č.5 (z Řadu A): délka [m] * (šířka výkopu +překryvy) [m] + rezerva 10% na přesahy
28,40*(1,42+1,0+1,0)*1,10 =&gt; ÚSEK č.6 (z Řadu A): délka [m] * (šířka výkopu +překryvy) [m] + rezerva 10% na přesahy</t>
  </si>
  <si>
    <t>Předmětná stavba je běžné technické náročnosti s běžnými nároky na její koordinaci.</t>
  </si>
  <si>
    <t>ZKOUŠKY ÚNOSNOSTI PLÁNĚ DLE TP 146,  PŘÍMÁ METODA - 1x / 100 bm (KONSTRUKČNÍ VRSTVA - DNO) + 1x / 100 bm (KONSTRUKČNÍ VRSTVA - VRCH).
Výpočet - výměra, rozměr:
8 =&gt; počet souborů zkoušek [-]</t>
  </si>
  <si>
    <t>Zaříznutí stávajícího potrubí z LT do DN 100, očištění řezu, sražení hrany, obroušení povrchu trubky pro umožnění napojení hrdlové spojky.
Výpočet - výměra, rozměr:
2 =&gt; počet hrdlových spojek / napojení [ks]</t>
  </si>
  <si>
    <t>Dočasné zajištění kabelů ve výkopu vzniklé křížením, např.: podepřením, tvárnicemi, zákrytovými deskami.
Výpočet - výměra, rozměr:
7*1,50 =&gt; počet křížení [ks] * prům. šířka rýhy [m]</t>
  </si>
  <si>
    <t>Dočasné zajištění potrubí ve výkopu vzniklé křížením (příp. souběhy), např.: podepřením, tvárnicemi, zákrytovými deskami.
Výpočet - výměra, rozměr:
2*1,50 =&gt; počet křížení [ks] * prům. šířka rýhy [m]</t>
  </si>
  <si>
    <t>Množství m.j. je uvedeno dle předpokladu, celková cena této práce se stanoví podle skutečnosti při provádění stavebních prací. Den = 8 hodin.
Výpočet:
12*8 =&gt; předpoklad čerpání ve dnech * počet hodin =&gt; stanoveno odhadem</t>
  </si>
  <si>
    <t>Pohotovost čerpací soupravy. Oceňují se všechny dny od ukončení montáže po započetí demontáže čerpací soustavy.
Výpočet:
předpokad čerpání ve dnech =&gt; stanoveno odhadem</t>
  </si>
  <si>
    <t>Odstranění stávajícího krytu přijezdné komunikace, včetně nakládání a odvozu na skládku do 1 km, započítaná i zpáteční cesta. 
Položka obsahuje: (konstrukce místní obslužné komunikace - MOK)
- řezání živičného krytu tl. 4-5 cm, 
- odstranění asfaltbetonového krytu tl. 4-5 cm 
- řezání podkladního asfaltobetonu tl. do 5 cm 
- odstranění podkladního asfaltobetonu tl. do 5 cm 
- odstranění kameniva zpevněného cementem tl. 15 cm 
- odstranění štěrkodrti tl. 30 cm 
- nakládání suti 
- vodorovná doprava suti do 1 km (položka neobsahuje poplatek za skládku)
Výpočet - výměra, rozměr:
ÚSEK č.1: 17,30*1,42*1,05 =&gt; délka úseku [m] * prům. šíře rýhy [m] + rezerva 5%</t>
  </si>
  <si>
    <t>Odstranění stávajícího krytu přijezdné komunikace, včetně nakládání a odvozu na skládku do 1 km, započítaná i zpáteční cesta. 
Položka obsahuje: 
- řezání živičného krytu tl. 5 cm, 
- odstranění asfaltbetonového krytu tl. 6 cm 
- řezání podkladního asfaltobetonu tl. 7 cm 
- odstranění podkladního asfaltobetonu tl. 7 cm 
- odstranění kameniva zpevněného cementem tl. 15 cm 
- odstranění štěrkodrti tl. 32 cm 
- nakládání suti 
- vodorovná doprava suti do 1 km (položka neobsahuje poplatek za skládku)
Výpočet - výměra, rozměr:
67,90*1,42*1,05 =&gt; ÚSEK č.1: délka úseku [m] * prům. šíře rýhy [m] + rezerva 5%
96,40*1,42*1,05 =&gt; ÚSEK č.2: délka úseku [m] * prům. šíře rýhy [m] + rezerva 5%
113,20*1,42*1,05 =&gt; ÚSEK č.3: délka úseku [m] * prům. šíře rýhy [m] + rezerva 5%
51,00*1,45*1,05 =&gt; ÚSEK č.4: délka úseku [m] * prům. šíře rýhy [m] + rezerva 5%
29,80*1,45*1,05 =&gt; ÚSEK č.5: délka úseku [m] * prům. šíře rýhy [m] + rezerva 5%
28,40*1,42*1,05 =&gt; ÚSEK č.6: délka úseku [m] * prům. šíře rýhy [m] + rezerva 5%</t>
  </si>
  <si>
    <t>Odstranění podkladu nad 50 m2,kam.těžené tl.18 cm - odstranění provizorní vrstvy.
Položka je určena i pro odstranění podkladů nebo krytů ze štěrkopísku, škváry, strusky nebo z mechanicky zpevněných zemin. Pro volbu položky z hlediska množství se uvažuje každá souvisle odstraňovaná plocha krytu nebo podkladu stejného druhu samostatně.
Výpočet - výměra, rozměr:
67,90*1,42 =&gt; ÚSEK č.1: délka úseku [m] * prům. šíře rýhy [m]
96,40*1,40 =&gt; ÚSEK č.2: délka úseku [m] * prům. šíře rýhy [m]
113,20*1,42 =&gt; ÚSEK č.3: délka úseku [m] * prům. šíře rýhy [m]
51,00*1,45 =&gt; ÚSEK č.4: délka úseku [m] * prům. šíře rýhy [m]
29,80*1,45 =&gt; ÚSEK č.5: délka úseku [m] * prům. šíře rýhy [m]
28,40*1,42 =&gt; ÚSEK č.6: délka úseku [m] * prům. šíře rýhy [m]</t>
  </si>
  <si>
    <t>Odstranění podkladu nad 50 m2,kam.těžené tl.15 cm - odstranění provizorní vrstvy.
Položka je určena i pro odstranění podkladů nebo krytů ze štěrkopísku, škváry, strusky nebo z mechanicky zpevněných zemin. Pro volbu položky z hlediska množství se uvažuje každá souvisle odstraňovaná plocha krytu nebo podkladu stejného druhu samostatně.
Výpočet - výměra, rozměr:
17,30*1,42 =&gt; ÚSEK č.1 (MOK): délka úseku [m] * prům. šíře rýhy [m]</t>
  </si>
  <si>
    <t>Sejmutí ornice s přemístěním do 50 m, uložením na dočasnou skládku. M+D
Výpočet - výměra, rozměr: 
10,50*1,42*0,20*1,05 =&gt; délka úseku nezpevněné plochy [m] * prům. šíře rýhy [m] * tl. vrstvy [m] + 5% rezerva
6,0*3,0*0,20*1,05 =&gt; podvrt P2 - startovací jáma: délka [m] * šířka [m] * pr. hloubka [m] + rezerva 5%
3,0*3,0*0,20*1,05 =&gt; podvrt P2 - cílová jáma: délka [m] * šířka [m] * pr. hloubka [m] + rezerva 5%</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</si>
  <si>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10,50*1,94*0,5*1,05=&gt; ÚSEK č.1 (NZP): délka úseku [m] * prům.plocha [m2] * 50% (III. tř. horniny) + 5% rezerva
10,50*1,41*0,5*1,05 =&gt; ÚSEK č.1 (MOK): délka úseku [m] * prům.plocha [m2] * 50% (III. tř. horniny) + 5% rezerva
67,90*1,13*0,5*1,05 =&gt; ÚSEK č.1 (KSÚS): délka úseku [m] * prům.plocha [m2] * 50% (III. tř. horniny) + 5% rezerva
96,40*0,90*0,5*1,05 =&gt; ÚSEK č.2 (KSÚS): délka úseku [m] * prům.plocha [m2] * 50% (III. tř. horniny) + 5% rezerva
113,20*1,02*0,5*1,05 =&gt; ÚSEK č.3 (KSÚS): délka úseku [m] * prům.plocha [m2] * 50% (III. tř. horniny) + 5% rezerva
51,00*1,15*0,5*1,05 =&gt; ÚSEK č.4 (KSÚS): délka úseku [m] * prům.plocha [m2] * 50% (III. tř. horniny) + 5% rezerva
29,80*1,15*0,5*1,05 =&gt; ÚSEK č.5 (KSÚS): délka úseku [m] * prům.plocha [m2] * 50% (III. tř. horniny) + 5% rezerva
28,40*1,13*0,5*1,05 =&gt; ÚSEK č.6 (KSÚS): délka úseku [m] * prům.plocha [m2] * 50% (III. tř. horniny) + 5% rezerva
14,50*1,94*0,5*1,05 =&gt; ÚSEK č.6 (NZP): délka úseku [m] * prům.plocha [m2] * 50% (III. tř. horniny) + 5% rezerva</t>
  </si>
  <si>
    <t>Příplatek za lepivost, 50% celkového objemu výkopu. Do měrných jednotek se udává poměrné množství zeminy, které ulpí v nářadí a o které je snížen celkový výkon stroje.
Výpočet - výměra, rozměr:
245,31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</si>
  <si>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10,50*1,94*0,4*1,05 =&gt; ÚSEK č.1 (NZP): délka úseku [m] * prům.plocha [m2] * 40% (IV. tř. horniny) + 5% rezerva
10,50*1,41*0,4*1,05 =&gt; ÚSEK č.1 (MOK): délka úseku [m] * prům.plocha [m2] * 40% (IV. tř. horniny) + 5% rezerva
67,90*1,13*0,4*1,05 =&gt; ÚSEK č.1 (KSÚS): délka úseku [m] * prům.plocha [m2] * 40% (IV. tř. horniny) + 5% rezerva
96,40*0,90*0,4*1,05 =&gt; ÚSEK č.2 (KSÚS): délka úseku [m] * prům.plocha [m2] * 40% (IV. tř. horniny) + 5% rezerva
113,20*1,02*0,4*1,05 =&gt; ÚSEK č.3 (KSÚS): délka úseku [m] * prům.plocha [m2] * 40% (IV. tř. horniny) + 5% rezerva
51,00*1,15*0,4*1,05 =&gt; ÚSEK č.4 (KSÚS): délka úseku [m] * prům.plocha [m2] * 40% (IV. tř. horniny) + 5% rezerva
29,80*1,15*0,4*1,05 =&gt; ÚSEK č.5 (KSÚS): délka úseku [m] * prům.plocha [m2] * 40% (IV. tř. horniny) + 5% rezerva
28,40*1,13*0,4*1,05 =&gt; ÚSEK č.6 (KSÚS): délka úseku [m] * prům.plocha [m2] * 40% (IV. tř. horniny) + 5% rezerva
14,50*1,94*0,4*1,05 =&gt; ÚSEK č.6 (NZP): délka úseku [m] * prům.plocha [m2] * 40% (IV. tř. horniny) + 5% rezerva</t>
  </si>
  <si>
    <t>Příplatek za lepivost, 25% celkového objemu výkopu. Do měrných jednotek se udává poměrné množství zeminy, které ulpí v nářadí a o které je snížen celkový výkon stroje.
Výpočet - výměra, rozměr:
196,25 [m3] * 0,25 [%] =&gt; převzaté č. pol. 132301213R00 (Hloubení rýh v hor.4 do 10 000m3,STROJNĚ) * 25% z výkopku</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</si>
  <si>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Položka se používá bez ohledu na těžené množství.
viz. TABULKA TĚŽITELNOSTI HORNIN
Výpočet - výměra, rozměr:
10,50*1,94*0,1*1,05 =&gt; ÚSEK č.1 (NZP): délka úseku [m] * prům.plocha [m2] * 10% (V. tř. horniny) + 5% rezerva
10,50*1,41*0,1*1,05 =&gt; ÚSEK č.1 (MOK): délka úseku [m] * prům.plocha [m2] * 10% (V. tř. horniny) + 5% rezerva
67,90*1,13*0,1*1,05 =&gt; ÚSEK č.1 (KSÚS): délka úseku [m] * prům.plocha [m2] * 10% (V. tř. horniny) + 5% rezerva
96,40*0,90*0,1*1,05 =&gt; ÚSEK č.2 (KSÚS): délka úseku [m] * prům.plocha [m2] * 10% (V. tř. horniny) + 5% rezerva
113,20*1,02*0,1*1,05 =&gt; ÚSEK č.3 (KSÚS): délka úseku [m] * prům.plocha [m2] * 10% (V. tř. horniny) + 5% rezerva
51,00*1,15*0,1*1,05 =&gt; ÚSEK č.4 (KSÚS): délka úseku [m] * prům.plocha [m2] * 10% (V. tř. horniny) + 5% rezerva
29,80*1,15*0,1*1,05 =&gt; ÚSEK č.5 (KSÚS): délka úseku [m] * prům.plocha [m2] * 10% (V. tř. horniny) + 5% rezerva
28,40*1,13*0,1*1,05 =&gt; ÚSEK č.6 (KSÚS): délka úseku [m] * prům.plocha [m2] * 10% (V. tř. horniny) + 5% rezerva
14,50*1,94*0,1*1,05 =&gt; ÚSEK č.6 (NZP): délka úseku [m] * prům.plocha [m2] * 10% (V. tř. horniny) + 5% rezerva</t>
  </si>
  <si>
    <t>Rezerva pro případné uložení drenážního potrubí DN 80. 
Výpočet - výměra, rozměr:
10*0,25*1,10 =&gt; délka výkopku pro příp. drenážní potrubí [m] * plocha rýhy [m2] + rezerva 10%</t>
  </si>
  <si>
    <t>Položka obsahuje hloubení jámy,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Výpočet - výměra, rozměr:
6,00*3,00*2,40*0,50*1,05 =&gt; PODVRT - START. JÁMA: délka [m] * šířka [m] * prům. hloubka [m] * 50% horn. tř. III. + rezerva 5%
3,00*3,00*2,40*0,50*1,05 =&gt; PODVRT - CÍLOVÁ JÁMA: délka [m] * šířka [m] * prům. hloubka [m] * 50% horn. tř. III. + rezerva 5%</t>
  </si>
  <si>
    <t>Položka obsahuje hloubení jámy,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Výpočet - výměra, rozměr:
6,00*3,00*2,40*0,40*1,05 =&gt; PODVRT - START. JÁMA: délka [m] * šířka [m] * prům. hloubka [m] * 40% horn. tř. IV. + rezerva 5%
3,00*3,00*2,40*0,40*1,05 =&gt; PODVRT - CÍLOVÁ JÁMA: délka [m] * šířka [m] * prům. hloubka [m] * 40% horn. tř. IV. + rezerva 5%</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</si>
  <si>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Výpočet - výměra, rozměr:
6,00*3,00*2,40*0,10*1,05 =&gt; PODVRT - START. JÁMA: délka [m] * šířka [m] * prům. hloubka [m] * 10% horn. tř. V. + rezerva 5%
3,00*3,00*2,40*0,10*1,05 =&gt; PODVRT - CÍLOVÁ JÁMA: délka [m] * šířka [m] * prům. hloubka [m] * 10% horn. tř. V. + rezerva 5%</t>
  </si>
  <si>
    <t>Jedná se o bezvýkopovou technologii horizontálně řízeného vrtání a vtažení potrubí na principu rozplavování a rozrušování zeminy pomocí vysokotlaké směsi vody a bentonitu. 
V položce je započteno : 
- provedení pilotního vrtu, potřebné rozšíření vrtu, vtažení potrubí, svařování vtahovaného potrubí. 
V položce není započteno: 
- zemní práce nutné pro provedení prací, případné čerpání vody, montáž vedení, slouží-li vtahovaná trubka jako ochranné potrubí, dodání vtahovaných trubek
Řízený protlak (P2) pod komunikací, chránička PE D 225x13,4 mm, SDR 17 pro vodovodní potrubí PE d 110x10,0 mm, SDR 11, RCn.
Výpočet - výměra, rozměr:
12,0 =&gt; délka podvrtu [m]</t>
  </si>
  <si>
    <t>Pažení a rozepření stěny rýhy - příložné - hl. do 2 m. D+M
Výpočet - výměra, rozměr:
441,0*1,90*2*0,20 =&gt; délka trasy / úseku [m] * průměrná výška [m] * počet stěn [ks] - 20% z toho</t>
  </si>
  <si>
    <t>Odstranění pažení a rozepření stěny rýhy - příložné - hl. do 2 m. D+M
Výpočet - výměra, rozměr:
441,0*1,90*2*0,20 =&gt; délka trasy / úseku [m] * průměrná výška [m] * počet stěn [ks] - 20% z toho</t>
  </si>
  <si>
    <t>Platí pro hloubky výkopu od 1 do 2,5 m bez naložení do dopravní nádoby, ale s vyprázdněním dopravní nádoby na hromadu nebo na doopravní prostředek - hloubení rýh objemu do 10 000 m3 (globální stavba): 3 %
viz. TABULKA TĚŽITELNOSTI HORNIN
Výpočet - výměra, rozměr:
(245,31+34,02+196,25+27,21)*0,03 =&gt; součet výkopů I. až IV. tř. *  3 % (stanoveno z tabulky pro určení podílu svislého přemístění)</t>
  </si>
  <si>
    <t>Platí pro hloubky výkopu od 1 do 2,5 m bez naložení do dopravní nádoby, ale s vyprázdněním dopravní nádoby na hromadu nebo na doopravní prostředek - hloubení rýh objemu do 10 000 m3 (globální stavba): 3 %
viz. TABULKA TĚŽITELNOSTI HORNIN
Výpočet - výměra, rozměr:
(49,06+6,81+7,75)*0,03 =&gt; součet výkopů V. až VII. tř.  *  3 % (stanoveno z tabulky pro určení podílu svislého přemístění)</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</si>
  <si>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(245,31+34,02+196,25+27,21) =&gt; celkový výkop hor. tř. I.-IV. [m3]
-175,72 =&gt; odečet kubatury zeminy potřebné k zásypu [m3]</t>
  </si>
  <si>
    <t>1 km nad rozpočtovou položku s odvozem nad 10 km, příplatek za 1 km, včetně zpáteční cesty.
Předpoklad uložení skládka (AVE CZ, Jindřichův Hradec - Žirovnice ul. Hradecká = 24,0 km).
Výpočet - výměra, rozměr:
327,07*14,0 =&gt; kubatura k přemístění [m3] * počet km nad 10 km [-]</t>
  </si>
  <si>
    <t>Po suchu, bez naložení výkopku, avšak se složením bez rozhrnutí, zpáteční cesta vozidla.
Předpoklad uložení - skládka (AVE CZ, Jindřichův Hradec - Žirovnice ul. Hradecká = 24,0 km).
Výpočet - výměra, rozměr:
49,06+6,81+7,75 =&gt; součet výkopků tř. V. až VII. [m3]</t>
  </si>
  <si>
    <t>1 km nad rozpočtovou položku s odvozem nad 10 km, příplatek za 1 km, včetně zpáteční cesty.
Předpoklad uložení skládka  (AVE CZ, Jindřichův Hradec - Žirovnice ul. Hradecká = 24,0 km).
Výpočet - výměra, rozměr:
63,62*14 =&gt; kubatura k přemístění [m3] * počet km nad 10 km [-]</t>
  </si>
  <si>
    <t>Naložení a složení výkopku tř. 1. až 4. z mezideponie pro zásyp rýhy.
Výpočet - výměra, rozměr:
2*251,10 =&gt; počet nakládání / skládání [-] * kubatura horniny tř. I. - IV. potřebná pro zásyp [m3]</t>
  </si>
  <si>
    <t>Položka obsahuje naložení, odvoz výkopku na mezideponii, složení výkopku a zpáteční cestu.
Výpočet - výměra, rozměr:
2*251,10 =&gt; 1x odvoz + 1x dovoz [-] * kubatura horniny tř. I. - IV. potřebná pro zásyp [m3]</t>
  </si>
  <si>
    <t>Nakládání, skládání, překládání ornice v množství do 100 m3 na / (z) mezideponii(e).
Výpočet - výměra, rozměr:
2*9,99 =&gt; počet nakládání / skládání [-] * kubatura ornice [m3]</t>
  </si>
  <si>
    <t>Vodorovné přemístění ornice - odvoz / dovoz - mezideponie.
Výpočet - výměra, rozměr:
2*9,99 =&gt; počet přesunů 1x odvoz, 1x dovoz [-] * kubatura ornice [m3]</t>
  </si>
  <si>
    <t>Obsyp hutnitelným nesoudržným materiálem (f = 0-4 mm pro PE) , pro jakoukoliv hloubku výkopu a jakoukoliv míru zhutnění, včetně dodávky obsypového materiálu. D+M
viz. PODÉLNÉ PROFILY
Výpočet - výměra, rozměr:
0,42*445,0*1,05 =&gt; OBSYP POTRUBÍ: plocha obsypu [m2] * délka úseku / řadu [m] + rezerva 5%
-(3,14*0,055^2*445,0) =&gt; odečet kubatury vytlačené potrubím [m3]</t>
  </si>
  <si>
    <t>Zásyp jam, rýh, šachet se zhutněním z jakékoliv horniny (tř. I - IV.) s uložením výkopku po vrtstvách, max. velikost kamene 100 mm, přebytečná zemina odvezena na skládku:
viz. PODÉLNÉ PROFILY
Výpočet - výměra, rozměr:
14,50*1,39*1,05 =&gt; ÚSEK č.1 (NZP): délka úseku [m] * prům.pl. zásypu [m2]  + 5% rezerva na zhutnění
17,30*0,86*1,05 =&gt; ÚSEK č.1 (MOK): délka úseku [m] * prům.pl. zásypu [m2]  + 5% rezerva na zhutnění
67,90*0,38*1,05 =&gt; ÚSEK č.1 (KSÚS): délka úseku [m] * prům.pl. zásypu [m2]  + 5% rezerva na zhutnění
96,40*0,15*1,05 =&gt; ÚSEK č.2 (KSÚS): délka úseku [m] * prům.pl. zásypu [m2]  + 5% rezerva na zhutnění
113,20*0,27*1,05 =&gt; ÚSEK č.3 (KSÚS): délka úseku [m] * prům.pl. zásypu [m2]  + 5% rezerva na zhutnění
51,00*0,38*1,05 =&gt; ÚSEK č.4 (KSÚS): délka úseku [m] * prům.pl. zásypu [m2]  + 5% rezerva na zhutnění
29,80*0,38*1,05 =&gt; ÚSEK č.5 (KSÚS): délka úseku [m] * prům.pl. zásypu [m2]  + 5% rezerva na zhutnění
28,40*0,38*1,05 =&gt; ÚSEK č.6 (KSÚS): délka úseku [m] * prům.pl. zásypu [m2]  + 5% rezerva na zhutnění
14,50*1,38*1,05 =&gt; ÚSEK č.6 (NZP): délka úseku [m] * prům.pl. zásypu [m2]  + 5% rezerva na zhutnění</t>
  </si>
  <si>
    <t>Rozprostření sejmuté ornice v rovině nebo ve svahu  do 1 : 5 s urovnáním, vyhrabáním větších kamenů, dovoz ornice ze vzdálenosti 500 m, osetí trávou včetně dodání osiva.
Výpočet - výměra, rozměr:
14,50*1,42*1,05 =&gt; délka úseku nezpevněné plochy [m] * prům. šíře rýhy [m] + 5% rezerva
6,0*3,0*1,05 =&gt; podvrt P2 - startovací jáma: délka [m] * šířka [m]  + rezerva 5%
3,0*3,0*1,05 =&gt; podvrt P2 - cílová jáma: délka [m] * šířka [m] + rezerva 5%</t>
  </si>
  <si>
    <t>Zhutnění podloží pod potrubím válcem.
Výpočet - výměra, rozměr:
445,0*0,91*1,10 =&gt; délka řadu [m] * prům. šířka lože / dna rýhy [m] + 10% rezerva</t>
  </si>
  <si>
    <t>Drenážní (odvodňovací) potrubí DN 80, lože ze štěrkopísku (f = 4 - 16 mm), obalení potrubí geotextilií, uložení do rýhy, obsyp štěrkem (f = 32 - 64 mm). D+M
Rezerva pro případ odvodnění.</t>
  </si>
  <si>
    <t>Zhotovení podkladního lože pod odpadní potrubí z lom. prosívky f = 0 až 4 mm, včetně dodávky prosívky a zhutnění dle postupu dodavatele potrubí. D+M
viz. PODÉLNÉ PROFILY / ULOŽENÍ TRUB
Výpočet - výměra, rozměr:
445,0*0,91*0,15*1,15 =&gt; délka trasy / úseku [m] * planimetrie podsypu [m2] + 15% rezerva na zhutnění (1 m3 prosívky = cca 2,34 t)</t>
  </si>
  <si>
    <t>Podklad ze štěrkodrti po zhutnění tloušťky 17 cm - podkladní (zpevňovací) vrstva komunikace, štěrkodrť f = 0 - 63 mm, včetně dodávky štěrkodrti. D+M
Výpočet - výměra, rozměr:
67,90*1,20*1,05 =&gt; ÚSEK č.1: délka úseku [m] * prům. šíře rýhy [m] + rezerva 5%
96,40*1,16*1,05 =&gt; ÚSEK č.2: délka úseku [m] * prům. šíře rýhy [m] + rezerva 5%
113,20*1,20*1,05 =&gt; ÚSEK č.3: délka úseku [m] * prům. šíře rýhy [m] + rezerva 5%
51,00*1,22*1,05 =&gt; ÚSEK č.4: délka úseku [m] * prům. šíře rýhy [m] + rezerva 5%
29,80*1,22*1,05 =&gt; ÚSEK č.5: délka úseku [m] * prům. šíře rýhy [m] + rezerva 5%
28,40*1,20*1,05 =&gt; ÚSEK č.6: délka úseku [m] * prům. šíře rýhy [m] + rezerva 5%</t>
  </si>
  <si>
    <t>Podkladní vrstva z kameniva drceného, f = 32 - 63 mm, s výplň.kamen., tl. vrstvy 25 cm, včetně dodávky kameniva. D+M
Výpočet - výměra, rozměr:
67,90*1,37*1,05 =&gt; ÚSEK č.1: délka úseku [m] * prům. šíře rýhy [m] + rezerva 5%
96,40*1,34*1,05 =&gt; ÚSEK č.2: délka úseku [m] * prům. šíře rýhy [m] + rezerva 5%
113,20*1,34*1,05 =&gt; ÚSEK č.3: délka úseku [m] * prům. šíře rýhy [m] + rezerva 5%
51,00*1,40*1,05 =&gt; ÚSEK č.4: délka úseku [m] * prům. šíře rýhy [m] + rezerva 5%
29,80*1,40*1,05 =&gt; ÚSEK č.5: délka úseku [m] * prům. šíře rýhy [m] + rezerva 5%
28,40*1,37*1,05 =&gt; ÚSEK č.6: délka úseku [m] * prům. šíře rýhy [m] + rezerva 5%</t>
  </si>
  <si>
    <t>Podkladní vrstva z kameniva drceného, f = 32 - 63 mm, s výplň.kamen., tl. vrstvy 20 cm, včetně dodávky kameniva. D+M
Výpočet - výměra, rozměr:
67,90*1,37*1,05 =&gt; ÚSEK č.1: délka úseku [m] * prům. šíře rýhy [m] + rezerva 5%
96,40*1,34*1,05 =&gt; ÚSEK č.2: délka úseku [m] * prům. šíře rýhy [m] + rezerva 5%
113,20*1,34*1,05 =&gt; ÚSEK č.3: délka úseku [m] * prům. šíře rýhy [m] + rezerva 5%
51,00*1,40*1,05 =&gt; ÚSEK č.4: délka úseku [m] * prům. šíře rýhy [m] + rezerva 5%
29,80*1,40*1,05 =&gt; ÚSEK č.5: délka úseku [m] * prům. šíře rýhy [m] + rezerva 5%
28,40*1,37*1,05 =&gt; ÚSEK č.6: délka úseku [m] * prům. šíře rýhy [m] + rezerva 5%</t>
  </si>
  <si>
    <t>Podklad ze štěrkodrti po zhutnění tloušťky 18 cm, vrchní vrstva - dočasná po dobu stavby před celoplošnou rekonstrukcí komunikace, včetně dodávky štěrkodrti (f = 0 - 32 mm). D+M
Výpočet - výměra, rozměr:
67,90*1,42 =&gt; ÚSEK č.1: délka úseku [m] * prům. šíře rýhy [m]
96,40*1,40 =&gt; ÚSEK č.2: délka úseku [m] * prům. šíře rýhy [m]
113,20*1,42 =&gt; ÚSEK č.3: délka úseku [m] * prům. šíře rýhy [m]
51,00*1,45 =&gt; ÚSEK č.4: délka úseku [m] * prům. šíře rýhy [m]
29,80*1,45 =&gt; ÚSEK č.5: délka úseku [m] * prům. šíře rýhy [m]
28,40*1,42 =&gt; ÚSEK č.6: délka úseku [m] * prům. šíře rýhy [m]</t>
  </si>
  <si>
    <t>Podklad z obal kam.ACP 16+,ACP 22+,do 3 m,tl. 8 cm, ložní vrstva komunikace. D+M
Výpočet - výměra, rozměr:
67,90*1,42 =&gt; ÚSEK č.1: délka úseku [m] * prům. šíře rýhy [m]
96,40*1,40 =&gt; ÚSEK č.2: délka úseku [m] * prům. šíře rýhy [m]
113,20*1,42 =&gt; ÚSEK č.3: délka úseku [m] * prům. šíře rýhy [m]
51,00*1,45 =&gt; ÚSEK č.4: délka úseku [m] * prům. šíře rýhy [m]
29,80*1,45 =&gt; ÚSEK č.5: délka úseku [m] * prům. šíře rýhy [m]
28,40*1,42 =&gt; ÚSEK č.6: délka úseku [m] * prům. šíře rýhy [m]</t>
  </si>
  <si>
    <t>Podklad ze štěrkodrti, f = 0 - 63 mm, tl. vrstvy 25 cm, včetně dodávky štěrkodrtě. D+M
Výpočet - výměra, rozměr:
17,30*1,37*1,05 =&gt; ÚSEK č.1 (MOK): délka úseku [m] * prům. šíře rýhy [m] + rezerva 5%</t>
  </si>
  <si>
    <t>Podkladní vrstva z kameniva drceného, f = 32 - 63 mm, s výplň.kamen., tl. vrstvy 20 cm, včetně dodávky kameniva. D+M
Výpočet - výměra, rozměr:
17,30*1,37*1,05 =&gt; ÚSEK č.1 (MOK): délka úseku [m] * prům. šíře rýhy [m] + rezerva 5%</t>
  </si>
  <si>
    <t>Provizorní pojízdná vrstva ze štěrkodrti, f = 0 - 32 mm, tl. vrstvy 15 cm, včetně dodávky štěrkodrti. D+M
Výpočet - výměra, rozměr:
17,30*1,42 =&gt; ÚSEK č.1 (MOK): délka úseku [m] * prům. šíře rýhy [m]</t>
  </si>
  <si>
    <t>Podklad z obal kam.ACP 16+,ACP 22+,do 3 m,tl. 5 cm. D+M
Výpočet - výměra, rozměr:
17,30*1,42 =&gt; ÚSEK č.1 (MOK): délka úseku [m] * prům. šíře rýhy [m]</t>
  </si>
  <si>
    <t>566111243R00.1</t>
  </si>
  <si>
    <t>Příplatek za zpevnění štěrkové vrstvy cementem (pl. do 5000 m2)</t>
  </si>
  <si>
    <t>Příplatek za zpevnění štěrkové vrstvy cementem (pl. do 5000 m2), včetně dodávky cementové směsi a promísení, tl. do 20 cm. M+D
Výpočet - výměra, rozměr:
67,90*1,37*1,05 =&gt; ÚSEK č.1: délka úseku [m] * prům. šíře rýhy [m] + rezerva 5%
96,40*1,34*1,05 =&gt; ÚSEK č.2: délka úseku [m] * prům. šíře rýhy [m] + rezerva 5%
113,20*1,34*1,05 =&gt; ÚSEK č.3: délka úseku [m] * prům. šíře rýhy [m] + rezerva 5%
51,00*1,40*1,05 =&gt; ÚSEK č.4: délka úseku [m] * prům. šíře rýhy [m] + rezerva 5%
29,80*1,40*1,05 =&gt; ÚSEK č.5: délka úseku [m] * prům. šíře rýhy [m] + rezerva 5%
28,40*1,37*1,05 =&gt; ÚSEK č.6: délka úseku [m] * prům. šíře rýhy [m] + rezerva 5%</t>
  </si>
  <si>
    <t>Postřik spojovací z KAE modifikované, 0,7 kg/m2. D+M 
Výpočet - výměra, rozměr:
67,90*1,42 =&gt; ÚSEK č.1: délka úseku [m] * prům. šíře rýhy [m]
96,40*1,40 =&gt; ÚSEK č.2: délka úseku [m] * prům. šíře rýhy [m]
113,20*1,42 =&gt; ÚSEK č.3: délka úseku [m] * prům. šíře rýhy [m]
51,00*1,45 =&gt; ÚSEK č.4: délka úseku [m] * prům. šíře rýhy [m]
29,80*1,45 =&gt; ÚSEK č.5: délka úseku [m] * prům. šíře rýhy [m]
28,40*1,42 =&gt; ÚSEK č.6: délka úseku [m] * prům. šíře rýhy [m]</t>
  </si>
  <si>
    <t>Postřik spojovací z KAE, 0,7 kg/m2. D+M
Výpočet - výměra, rozměr:
17,30*1,42 =&gt; ÚSEK č.1 (MOK): délka úseku [m] * prům. šíře rýhy [m]</t>
  </si>
  <si>
    <t>Montáž vodovodních armatur, 1závit, G 5/4" - Přechod PE - kov vnější závit 32 x 5/4". M
Výpočet - výměra, rozměr:
1 =&gt; DETEKCE PORUCHY: počet [ks]</t>
  </si>
  <si>
    <t>Výpis trub a tvarovek:
Položka oceňuje montáž všech jednoosých plastových (PE) tvarovek daného průměru, elektrosvařováním. Měrnou jednotkou se rozumí 1 kus tvarovky.
Počet určen z celkového součtu příslušných plastových tvarovek.</t>
  </si>
  <si>
    <t>Výpis trub a tvarovek:
Položka oceňuje montáž všech dvouosých plastových (PE) tvarovek daného průměru, elektrosvařováním. Měrnou jednotkou se rozumí 1 kus tvarovky.
Počet určen z celkového součtu příslušných plastových tvarovek.</t>
  </si>
  <si>
    <t>Položka oceňuje montáž všech jednoosých plastových (PE) tvarovek daného průměru, elektrosvařováním. Měrnou jednotkou se rozumí 1 kus tvarovky.
Počet určen z celkového součtu příslušných plastových tvarovek.</t>
  </si>
  <si>
    <t>Výpis trub, tvarovek a armatur:
Položka zahrnuje montáž všech litinových odbočných přírubových tvarovek (T-Kus, LT Kříž, ...) v otevřeném výkopu (kanálu/ šachtě), včetně mezipřír. těsnění, korozivzdorných šroubů, matic a podložek dle TNV 755402 - Výstavba vodovodního potrubí. 
Počet určen z celkového součtu příslušných litinových armatur.</t>
  </si>
  <si>
    <t>Výpis trub, tvarovek a armatur:
Položka zahrnuje montáž všech litinových jednossých přírubových tvarovek (FF-kus, FFR-kus, LT-Spojka, přírubové koleno, ...) v otevřeném výkopu (štole / šachtě), včetně mezipřír. těsnění, korozivzdorných šroubů, matic a podložek dle TNV 755402 - Výstavba vodovodního potrubí. Počet určen z celkového součtu příslušných litinových armatur.</t>
  </si>
  <si>
    <t>Montáž PE potrubí v otevřeném výkopu, alt. mimo výkop, d 225 bez dodávky materiálu. M
viz. PODÉLNÝ PROFIL A KLADEČSKÉ SCHÉMA SO
Výpočet - výměra, rozměr:
12,0 =&gt; délka montáže potrubí [m]</t>
  </si>
  <si>
    <t>Montáž PE potrubí v otevřeném výkopu d 32, bez dodávky materiálu. M
viz. PODÉLNÝ PROFIL A KLADEČSKÉ SCHÉMA SO
Výpočet - výměra, rozměr:
5,0 =&gt; DETEKCE PORUCHY: max. délka montáže [m]</t>
  </si>
  <si>
    <t>Montáž PE potrubí v otevřeném výkopu d 110, bez dodávky materiálu. M
viz. PODÉLNÝ PROFIL A KLADEČSKÉ SCHÉMA SO
Výpočet - výměra, rozměr:
441,0 =&gt; celková délka potrubí [m]</t>
  </si>
  <si>
    <t>Montáž PE potrubí v otevřeném výkopu d 90 bez materiálu.
viz. PODÉLNÝ PROFIL A KLADEČSKÉ SCHÉMA SO
Výpočet - výměra, rozměr:
4,0 =&gt; celková delka potrubí [m]</t>
  </si>
  <si>
    <t>Cena vyjadřuje náklady na jeden spoj elektrospojkou v otevřeném výkopu, jak v běžné trase, tak i při montáži elektrospojek, oceňuje se příslušným počtem spojů = napojení.
Počet stanoven z položky č.: 753-911-XXXVD - Elektrospojka daného průměru, viz. Výpis trub, tvarovek a armatur.</t>
  </si>
  <si>
    <t>Položka je určena pro montáž navrtávacích pasů na potrubí z trub osinkocementových, litinových, ocelových nebo plastických hmot. 
V položce jsou zakalkulovány i náklady na jejich montáž a výkop montážních jamek, na opravu izolace ocelových trubek a na osazení zemních souprav. 
V položce nejsou zakalkulovány náklady na dodání navrtávacích pasů a ventilů, tyto armatury se oceňují ve specifikaci, osazení ventilových poklopů.
Výpočet - výměra, rozměr:
1 =&gt; DETEKCE PORUCHY: počet [ks]</t>
  </si>
  <si>
    <t>V položkách osazení poklopů jsou zakalkulovány i náklady na jejich podezdění. M
Výpočet - výměra, rozměr:
1 =&gt; DETEKCE PORUCHY: počet poklopů [ks]</t>
  </si>
  <si>
    <t>V položce jsou započteny náklady na přísun, montáž, demontáž a odsun zkoušecího čerpadla, napuštění tlakovou vodou a dodání vody pro tlakovou zkoušku.
Výpočet - výměra, rozměr:
441,0 =&gt; délka potrubí dané dimenze [m]</t>
  </si>
  <si>
    <t>Položka obsahuje napuštění a vypuštění vody, dodání vody a desinfekčního prostředku, náklady na bakteriologický rozbor vody.
Výpočet - výměra, rozměr:
441,0 =&gt; délka potrubí dané dimenze [m]</t>
  </si>
  <si>
    <t>V položce jsou započteny náklady na přísun, montáž, demontáž a odsun zkoušecího čerpadla, napuštění tlakovou vodou a dodání vody pro tlakovou zkoušku.
Výpočet - výměra, rozměr:
4,0 =&gt; délka potrubí dané dimenze [m]</t>
  </si>
  <si>
    <t>Položka obsahuje napuštění a vypuštění vody, dodání vody a desinfekčního prostředku, náklady na bakteriologický rozbor vody.
Výpočet - výměra, rozměr:
4,0 =&gt; délka potrubí dané dimenze [m]</t>
  </si>
  <si>
    <t>Dodávka a uložení výstražné fólie, bílé (modré) barvy s nápisem "VODA" / "VODOVOD" / "POZOR VODA", cca 30 cm nad povrchem potrubí. D+M
Výpočet - výměra, rozměr:
441,0*1,10 =&gt; délka potrubí /úseku/ [m] + rezerva 10%
4,0*1,10 =&gt; délka potrubí /úseku/ [m] + rezerva 10%</t>
  </si>
  <si>
    <t>Výpis trub, tvarovek a armatur:
Tabulka výstražná 105x150 mm, na zdivu, příp. na oplocení.</t>
  </si>
  <si>
    <t>Výpis trub, tvarovek a armatur:
Tabulka výstražná 105x150 mm, na sloupku včetně jamky, zabetonování patky.</t>
  </si>
  <si>
    <t>Výpočet - výměra, rozměr:
770,46*0,75 =&gt; celková hmotnost odebraných konstrukcí komunikací [t]  =&gt; z toho prům. 75%</t>
  </si>
  <si>
    <t>Přesun hmot, komunikace z kameniva, příplatek 1 km - odvoz na skládku (AVE CZ, Jindřichův Hradec - Žirovnice ul. Hradecká = 24,0 km).
Výpočet - výměra, rozměr:
23*770,46*0,75 =&gt; počet km [-] * celk. odebraná hmotnost vrstev komunikace [t] =&gt; z toho 75%</t>
  </si>
  <si>
    <t>Přesun hmot, kryt živičný (do 1 km) - odvoz na skládku investora (Skládka - Žirovnice ul. Hradecká = 2,0 km).
Výpočet - výměra, rozměr:
770,46*0,25 =&gt; celk. odebraná hmotnost vrstev komunikace [t] =&gt; z toho 25%</t>
  </si>
  <si>
    <t>Přípevnění vytyčovacího vodiče CYY 6 mm2 k řadu. Montáž bez dodávky materiálu. M
L = 445,0 m  (viz. položka 34141303 - Vodič signalizační CYY 6,0 mm2)</t>
  </si>
  <si>
    <t>Nasunutí potrubí PE d 110, SDR 11, RCn, do chráničky PE d 225, SDR 17, montáž potrubí v místě podvrtu, kompletace podvrtu.
Výpočet - výměra, rozměr:
12,0 =&gt; délka výstroje chráničky [m]</t>
  </si>
  <si>
    <t>Montáž distanční objímky segmentových d 100-179 mm. 
Výpočet - výměra, rozměr:
8 =&gt; počet objímek [ks]</t>
  </si>
  <si>
    <t>Utěsnění chráničky manžetou DN 200, 2x utěsnění na koncích chráničky. M
Výpočet - výměra, rozměr:
2 =&gt; počet těsnění [ks]</t>
  </si>
  <si>
    <t>Položka zahrnuje montáž lemových nákružků a otočných přírub v přírubovém spoji ve výkopu.
Počet určen z celkového součtu příslušných armatur / tvarovek.</t>
  </si>
  <si>
    <t>Trubka vodovodní HDPE PE 100, SDR 17, d 225x13,4 mm, tyče 12 m  (případně 6 m s nutným dopočtem elektrospojek) viz. PODÉLNÝ PROFIL A KLADEČSKÉ SCHÉMA SO.
Dodávka (D) materiálu bez montáže.
Výpočet - výměra, rozměr:
12 =&gt; délka trubky [m] + ztratné 10%</t>
  </si>
  <si>
    <t>Distanční objímky (vymezovací objímky) typu BR jsou určeny pro malé průměry potrubí od 32 mm do 173 mm. Výšky 15; 25; 36; 45 mm. Jsou celoplastové a mají válečky pro jednodušší nasouvání potrubí do chráničky. Jednotlivé segmenty se spojí pomocí jednoduchého háčkového zámku a konce se utáhnou pomocí plastových  stahovacích pásků. D
Vnější průměr: d 100 - 111 mm. 
Výška distanční objímky: 36 mm. 
Šířka distanční objímky: 100 mm. 
Materiál: PE HD Provozní teplota: -20° až +80° C. 
Vzdálenost mezi distančními objímkami je 1,5 m (od začátku a od konce prostupu 0,15 m). 
Výpočet - výměra, rozměr:
8 =&gt; počet objímek [ks] - (1 ks á 1,5 m)</t>
  </si>
  <si>
    <t>K uzavření konců chráničky slouží manžety na chráničky. Manžety brání vnikání spodní vody a různých živočichů nebo nečistot do chráničky. Nasazují se na trubku v průběhu montáže a upevňují se utažením nerezových pásků, které jsou k manžetě přiloženy při dodání.  Manžeta je vyrobena ze syntetického kaučuku EPDM, který je odolný proti vlhkosti a jehož trvanlivost je pro dané účely vyhovující. Manžety jsou odlévány do forem a jsou tudíž celistvé bez jakýchkoliv spojů, což zvyšuje těsnost po správně provedené montáži. D
Výpočet - výměra, rozměr:
2 =&gt; počet manžet [ks]</t>
  </si>
  <si>
    <t>Navrtávací pas na chráničku PE d 225 mm / výstup závit 5/4", pro umožnění detekce poruchy, napojením a volným vyvedením PE d 32 mm pod šoupátkový poklop. D
Výpočet - výměra, rozměr:
1 =&gt; DETEKCE PORUCHY: počet [ks]</t>
  </si>
  <si>
    <t>Rozebíratelné svěrné spoje z polyetylenu pro trubky z lineárního HDPE. D
Výpočet - výměra, rozměr:
1 =&gt; DETEKCE PORUCHY: počet [ks]</t>
  </si>
  <si>
    <t>Litionový poklop pro detekci poruchy v chráničce. D
Výpočet - výměra, rozměr:
1 =&gt; DETEKCE PORUCHY: počet [ks]</t>
  </si>
  <si>
    <t>Trubka vodovodní PE 100, SDR 11, d 32x3,0 mm, PAS 1075, návin. 
viz. PODÉLNÝ PROFIL A KLADEČSKÉ SCHÉMA SO.
Dodávka materiálu bez montáže. D
Výpočet - výměra, rozměr:
5 =&gt; DETEKCE PORUCHY: max. délka [m]</t>
  </si>
  <si>
    <t>Trubka vodovodní PE 100, SDR 11, 1100x10,0 mm, RCn, PAS 1075, návin, příp. tyče 12 m  (případně 6m s nutným dopočtem elektrospojek) 
viz. PODÉLNÝ PROFIL A KLADEČSKÉ SCHÉMA SO.
Dodávka materiálu bez montáže. D
Výpočet - výměra, rozměr:
441,0 =&gt; délka úseku / řadu [m] + ztratné 5%</t>
  </si>
  <si>
    <t>Trubka vodovodní PE 100, SDR 11, 90x8,2 mm,RCn, PAS 1075, návin, příp. tyče 12 m  (případně 6m s nutným dopočtem elektrospojek).  
viz. PODÉLNÝ PROFIL A KLADEČSKÉ SCHÉMA SO.
Dodávka materiálu bez montáže. D
Výpočet - výměra, rozměr:
4,0 =&gt; délka úseku / řadu [m] + ztratné 10%</t>
  </si>
  <si>
    <t>Položka obsahuje dodávku a montáž bednícího bloku PZD 890/290/90 mm a podkladního hranolku z měkkého materiálu 290/290/90 mm na 1 ks odbočení. D+M
Výpočet - výměra, rozměr:
17 =&gt; navrhovaný počet odbočení [ks]</t>
  </si>
  <si>
    <t>Signalizační vodič k vytyčení vodovodní sítě.
Výpočet - výměra, rozměr:
445,0 =&gt; celková délka potrubí [m] + ztratné 5%</t>
  </si>
  <si>
    <t>Stahovací pásky k uchycení vytyčovacího vodiče CYY 6 mm2. D
1 ks á 2,0 m</t>
  </si>
  <si>
    <t>Deska stropní plná PZD 74/29/9  P5, opěra pro příslušnou tvarovku vod. potrubí pro přenos vodorovné síly vyvolané tokem vody v potrubím do bloku, příp. svislé síly vyvolané nadložím či dopravou.
Počet prefabrikátů pro jednotlivé případy :
PZD 74/29/9 - 5 ks/ 1 ks bloku pro odbočku - celkem 3 odbočky 
PZD 74/29/9 - 3 ks/ 1 ks bloku pro hydrant (pateční koleno) - celkem 3 hydranty
PZD 74/29/9 - 2 ks/ 1 ks bloku pro směrový lom větší než 10 st. - celkem 4 lomy
PZD 74/29/9 - 0 ks/ 1 ks bloku pro směrový lom menší než 10 st. - celkem 0 lomů (vytočeno potrubím)</t>
  </si>
  <si>
    <t>148</t>
  </si>
  <si>
    <t>Dřevěné hranoly, podpěry a opěry fixačního bloku vodovodního potrubí.
viz.: výkres Betonové zajišťovací bloky, celková kubatura řeziva pro stavbu
0,1*0,2*0,1*(5*5) =&gt; bloků pro odbočku
0,1*0,2*0,1*(3*3) =&gt; bloků pro hydrant
0,1*0,2*0,1*(4*2) =&gt; blok směrový větší než 10 st.
0,15*0,15*0,8*4*(0*2) =&gt; bloků vertik.
D+M, včetně montáže ve výkopu</t>
  </si>
  <si>
    <t>Stavba je běžného charakteru s vysokým nárokem na koordinaci prací.</t>
  </si>
  <si>
    <t>ZKOUŠKY ÚNOSNOSTI PLÁNĚ DLE TP 146,  PŘÍMÁ METODA - 1x / 100 bm (KONSTRUKČNÍ VRSTVA - DNO) + 1x / 100 bm (KONSTRUKČNÍ VRSTVA - VRCH).
Výpočet - výměra, rozměr:
2 =&gt; počet souborů zkoušek [-]</t>
  </si>
  <si>
    <t>Dočasné zajištění kabelů ve výkopu vzniklé křížením, např.: podepřením, tvárnicemi, zákrytovými deskami.
Výpočet - výměra, rozměr:
3*1,40 =&gt; počet křížení [ks] * prům. šířka rýhy [m]</t>
  </si>
  <si>
    <t>Množství m.j. je uvedeno dle předpokladu, celková cena této práce se stanoví podle skutečnosti při provádění stavebních prací. Den = 8 hodin.
Výpočet:
5*8 =&gt; předpoklad čerpání ve dnech * počet hodin =&gt; stanoveno odhadem</t>
  </si>
  <si>
    <t>Odstranění stávajícího krytu přijezdné komunikace, včetně nakládání a odvozu na skládku do 1 km, započítaná i zpáteční cesta. 
Položka obsahuje: 
- řezání živičného krytu tl. 5 cm, 
- odstranění asfaltbetonového krytu tl. 6 cm 
- řezání podkladního asfaltobetonu tl. 7 cm 
- odstranění podkladního asfaltobetonu tl. 7 cm 
- odstranění kameniva zpevněného cementem tl. 15 cm 
- odstranění štěrkodrti tl. 32 cm 
- nakládání suti 
- vodorovná doprava suti do 1 km (položka neobsahuje poplatek za skládku)
Výpočet - výměra, rozměr:
36,10*1,36*1,05 =&gt; ÚSEK č.2 (KSÚS): délka úseku [m] * prům. šíře rýhy [m] + rezerva 5%</t>
  </si>
  <si>
    <t>Odstranění stávajícího krytu přijezdné komunikace, včetně nakládání a odvozu na skládku do 1 km, započítaná i zpáteční cesta. 
Položka obsahuje: (konstrukce místní obslužné komunikace - MOK)
- řezání živičného krytu tl. 4-5 cm, 
- odstranění asfaltbetonového krytu tl. 4-5 cm 
- řezání podkladního asfaltobetonu tl. do 5 cm 
- odstranění podkladního asfaltobetonu tl. do 5 cm 
- odstranění kameniva zpevněného cementem tl. 15 cm 
- odstranění štěrkodrti tl. 30 cm 
- nakládání suti 
- vodorovná doprava suti do 1 km (položka neobsahuje poplatek za skládku)
Výpočet - výměra, rozměr:
6,90*1,36*1,05 =&gt; ÚSEK č.1 (MOK): délka úseku [m] * prům. šíře rýhy [m] + rezerva 5%</t>
  </si>
  <si>
    <t>Odstranění podkladu nad 50 m2,kam.těžené tl.18 cm - odstranění provizorní vrstvy.
Položka je určena i pro odstranění podkladů nebo krytů ze štěrkopísku, škváry, strusky nebo z mechanicky zpevněných zemin. Pro volbu položky z hlediska množství se uvažuje každá souvisle odstraňovaná plocha krytu nebo podkladu stejného druhu samostatně.
Výpočet - výměra, rozměr:
36,10*1,36 =&gt; ÚSEK č.2 (KSÚS): délka úseku [m] * prům. šíře rýhy [m]</t>
  </si>
  <si>
    <t>Odstranění podkladu nad 50 m2,kam.těžené tl.15 cm - odstranění provizorní vrstvy.
Položka je určena i pro odstranění podkladů nebo krytů ze štěrkopísku, škváry, strusky nebo z mechanicky zpevněných zemin. Pro volbu položky z hlediska množství se uvažuje každá souvisle odstraňovaná plocha krytu nebo podkladu stejného druhu samostatně.
Výpočet - výměra, rozměr:
6,90*1,36 =&gt; ÚSEK č.1 (MOK): délka úseku [m] * prům. šíře rýhy [m]</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</si>
  <si>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6,90*1,36*0,5*1,05 =&gt; ÚSEK č.1 (MOK): délka úseku [m] * prům.plocha [m2] * 50% (III. tř. horniny) + 5% rezerva
36,10*1,36*0,5*1,05 =&gt; ÚSEK č.2 (KSÚS): délka úseku [m] * prům.plocha [m2] * 50% (III. tř. horniny) + 5% rezerva</t>
  </si>
  <si>
    <t>Příplatek za lepivost, 50% celkového objemu výkopu. Do měrných jednotek se udává poměrné množství zeminy, které ulpí v nářadí a o které je snížen celkový výkon stroje.
Výpočet - výměra, rozměr:
30,71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</si>
  <si>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6,90*1,36*0,4*1,05 =&gt; ÚSEK č.1 (MOK): délka úseku [m] * prům.plocha [m2] * 40% (IV. tř. horniny) + 5% rezerva
36,10*1,36*0,4*1,05 =&gt; ÚSEK č.2 (KSÚS): délka úseku [m] * prům.plocha [m2] * 40% (IV. tř. horniny) + 5% rezerva</t>
  </si>
  <si>
    <t>Příplatek za lepivost, 25% celkového objemu výkopu. Do měrných jednotek se udává poměrné množství zeminy, které ulpí v nářadí a o které je snížen celkový výkon stroje.
Výpočet - výměra, rozměr:
24,56 [m3] * 0,25 [%] =&gt; převzaté č. pol. 132301213R00 (Hloubení rýh v hor.4 do 10 000m3,STROJNĚ) * 25% z výkopku</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</si>
  <si>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Položka se používá bez ohledu na těžené množství.
viz. TABULKA TĚŽITELNOSTI HORNIN
Výpočet - výměra, rozměr:
6,90*1,36*0,1*1,05 =&gt; ÚSEK č.1 (MOK): délka úseku [m] * prům.plocha [m2] * 10% (V. tř. horniny) + 5% rezerva
36,10*1,36*0,1*1,05 =&gt; ÚSEK č.2 (KSÚS): délka úseku [m] * prům.plocha [m2] * 10% (V. tř. horniny) + 5% rezerva</t>
  </si>
  <si>
    <t>Pažení a rozepření stěny rýhy - příložné - hl. do 2 m. D+M
Výpočet - výměra, rozměr:
43,0*1,65*2*0,40 =&gt; délka trasy / úseku [m] * průměrná výška [m] * počet stěn [ks] - 40% z toho</t>
  </si>
  <si>
    <t>Odstranění pažení a rozepření stěny rýhy - příložné - hl. do 2 m. D+M
Výpočet - výměra, rozměr:
43,0*1,65*2*0,40 =&gt; délka trasy / úseku [m] * průměrná výška [m] * počet stěn [ks] - 40% z toho</t>
  </si>
  <si>
    <t>Platí pro hloubky výkopu od 1 do 2,5 m bez naložení do dopravní nádoby, ale s vyprázdněním dopravní nádoby na hromadu nebo na doopravní prostředek - hloubení rýh objemu do 10 000 m3 (globální stavba): 3 %
viz. TABULKA TĚŽITELNOSTI HORNIN
Výpočet - výměra, rozměr:
(30,71+24,56)*0,03 =&gt; součet výkopů I. až IV. tř. *  3 % (stanoveno z tabulky pro určení podílu svislého přemístění)</t>
  </si>
  <si>
    <t>Platí pro hloubky výkopu od 1 do 2,5 m bez naložení do dopravní nádoby, ale s vyprázdněním dopravní nádoby na hromadu nebo na doopravní prostředek - hloubení rýh objemu do 10 000 m3 (globální stavba): 3 %
viz. TABULKA TĚŽITELNOSTI HORNIN
Výpočet - výměra, rozměr:
(6,15+3,0+2,75)*0,03 =&gt; součet výkopů V. až VII. tř.  *  3 % (stanoveno z tabulky pro určení podílu svislého přemístění)</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</si>
  <si>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(30,71+24,56) =&gt; celkový výkop hor. tř. I.-IV. [m3]
-7,77 =&gt; odečet kubatury zeminy potřebné k zásypu [m3]</t>
  </si>
  <si>
    <t>1 km nad rozpočtovou položku s odvozem nad 10 km, příplatek za 1 km, včetně zpáteční cesty.
Předpoklad uložení skládka (AVE CZ, Jindřichův Hradec - Žirovnice ul. Hradecká = 24,0 km).
Výpočet - výměra, rozměr:
47,50*14,0 =&gt; kubatura k přemístění [m3] * počet km nad 10 km [-]</t>
  </si>
  <si>
    <t>Po suchu, bez naložení výkopku, avšak se složením bez rozhrnutí, zpáteční cesta vozidla.
Předpoklad uložení - skládka (AVE CZ, Jindřichův Hradec - Žirovnice ul. Hradecká = 24,0 km).
Výpočet - výměra, rozměr:
6,15+3,00+2,75 =&gt; součet výkopků tř. V. až VII. [m3]</t>
  </si>
  <si>
    <t>1 km nad rozpočtovou položku s odvozem nad 10 km, příplatek za 1 km, včetně zpáteční cesty.
Předpoklad uložení skládka  (AVE CZ, Jindřichův Hradec - Žirovnice ul. Hradecká = 24,0 km).
Výpočet - výměra, rozměr:
11,90*14,0 =&gt; kubatura k přemístění [m3] * počet km nad 10 km [-]</t>
  </si>
  <si>
    <t>Naložení a složení výkopku tř. 1. až 4. z mezideponie pro zásyp rýhy.
Výpočet - výměra, rozměr:
2*7,77 =&gt; počet nakládání / skládání [-] * kubatura horniny tř. I. - IV. potřebná pro zásyp [m3]</t>
  </si>
  <si>
    <t>Položka obsahuje naložení, odvoz výkopku na mezideponii, složení výkopku a zpáteční cestu.
Výpočet - výměra, rozměr:
2*7,77 =&gt; 1x odvoz + 1x dovoz [-] * kubatura horniny tř. I. - IV. potřebná pro zásyp [m3]</t>
  </si>
  <si>
    <t>Obsyp hutnitelným nesoudržným materiálem (f = 0-4 mm pro PE) , pro jakoukoliv hloubku výkopu a jakoukoliv míru zhutnění, včetně dodávky obsypového materiálu. D+M
viz. PODÉLNÉ PROFILY
Výpočet - výměra, rozměr:
0,42*43,0*1,05 =&gt; OBSYP POTRUBÍ: plocha obsypu [m2] * délka úseku / řadu [m] + rezerva 5%
-(3,14*0,055^2*43,0) =&gt; odečet kubatury vytlačené potrubím [m3]</t>
  </si>
  <si>
    <t>Zásyp jam, rýh, šachet se zhutněním z jakékoliv horniny (tř. I - IV.) s uložením výkopku po vrtstvách, max. velikost kamene 100 mm, přebytečná zemina odvezena na skládku:
viz. PODÉLNÉ PROFILY
Výpočet - výměra, rozměr:
6,90*0,55*1,05 =&gt; ÚSEK č.1 (MOK): délka úseku [m] * prům.pl. zásypu [m2]  + 5% rezerva na zhutnění
36,10*0,1*1,05 =&gt; ÚSEK č.2 (KSÚS): délka úseku [m] * prům.pl. zásypu [m2]  + 5% rezerva na zhutnění</t>
  </si>
  <si>
    <t>Zhutnění podloží pod potrubím válcem.
Výpočet - výměra, rozměr:
43,0*0,90*1,10 =&gt; délka řadu [m] * prům. šířka lože / dna rýhy [m] + 10% rezerva</t>
  </si>
  <si>
    <t>Zhotovení podkladního lože pod odpadní potrubí z lom. prosívky f = 0 až 4 mm, včetně dodávky prosívky a zhutnění dle postupu dodavatele potrubí. D+M
viz. PODÉLNÉ PROFILY / ULOŽENÍ TRUB
Výpočet - výměra, rozměr:
43,0*0,90*0,15*1,15 =&gt; délka trasy / úseku [m] * planimetrie podsypu [m2] + 15% rezerva na zhutnění (1 m3 prosívky = cca 2,34 t)</t>
  </si>
  <si>
    <t>Podklad ze štěrkodrti po zhutnění tloušťky 17 cm - podkladní (zpevňovací) vrstva komunikace, štěrkodrť f = 0 - 63 mm, včetně dodávky štěrkodrti. D+M
Výpočet - výměra, rozměr:
36,10*1,12*1,05 =&gt; ÚSEK č.2: délka úseku [m] * prům. šíře rýhy [m] + rezerva 5%</t>
  </si>
  <si>
    <t>Podkladní vrstva z kameniva drceného, f = 32 - 63 mm, s výplň.kamen., tl. vrstvy 25 cm, včetně dodávky kameniva. D+M
Výpočet - výměra, rozměr:
36,10*1,31*1,05 =&gt; ÚSEK č.2: délka úseku [m] * prům. šíře rýhy [m] + rezerva 5%</t>
  </si>
  <si>
    <t>Podkladní vrstva z kameniva drceného, f = 32 - 63 mm, s výplň.kamen., tl. vrstvy 20 cm, včetně dodávky kameniva. D+M
Výpočet - výměra, rozměr:
36,10*1,31*1,05 =&gt; ÚSEK č.2: délka úseku [m] * prům. šíře rýhy [m] + rezerva 5%</t>
  </si>
  <si>
    <t>Podklad ze štěrkodrti po zhutnění tloušťky 18 cm, vrchní vrstva - dočasná po dobu stavby před celoplošnou rekonstrukcí komunikace, včetně dodávky štěrkodrti (f = 0 - 32 mm). D+M
Výpočet - výměra, rozměr:
36,10*1,36 =&gt; ÚSEK č.2: délka úseku [m] * prům. šíře rýhy [m]</t>
  </si>
  <si>
    <t>Podklad z obal kam.ACP 16+,ACP 22+,do 3 m,tl. 8 cm, ložní vrstva komunikace. D+M
Výpočet - výměra, rozměr:
36,10*1,36 =&gt; ÚSEK č.2: délka úseku [m] * prům. šíře rýhy [m]</t>
  </si>
  <si>
    <t>Podklad ze štěrkodrti, f = 0 - 63 mm, tl. vrstvy 25 cm, včetně dodávky štěrkodrtě. D+M
Výpočet - výměra, rozměr:
6,90*1,20*1,05 =&gt; ÚSEK č.1 (MOK): délka úseku [m] * prům. šíře rýhy [m] + rezerva 5%</t>
  </si>
  <si>
    <t>Podkladní vrstva z kameniva drceného, f = 32 - 63 mm, s výplň.kamen., tl. vrstvy 20 cm, včetně dodávky kameniva. D+M
Výpočet - výměra, rozměr:
6,90*1,20*1,05 =&gt; ÚSEK č.1 (MOK): délka úseku [m] * prům. šíře rýhy [m] + rezerva 5%</t>
  </si>
  <si>
    <t>Provizorní pojízdná vrstva ze štěrkodrti, f = 0 - 32 mm, tl. vrstvy 15 cm, včetně dodávky štěrkodrti. D+M
Výpočet - výměra, rozměr:
6,90*1,36 =&gt; ÚSEK č.1 (MOK): délka úseku [m] * prům. šíře rýhy [m]</t>
  </si>
  <si>
    <t>Podklad z obal kam.ACP 16+,ACP 22+,do 3 m,tl. 5 cm. D+M
Výpočet - výměra, rozměr:
6,90*1,36 =&gt; ÚSEK č.1 (MOK): délka úseku [m] * prům. šíře rýhy [m]</t>
  </si>
  <si>
    <t>Příplatek za zpevnění štěrkové vrstvy cementem (pl. do 5000 m2), včetně dodávky cementové směsi a promísení, tl. do 20 cm. M+D
Výpočet - výměra, rozměr:
36,10*1,31*1,05 =&gt; ÚSEK č.2: délka úseku [m] * prům. šíře rýhy [m] + rezerva 5%</t>
  </si>
  <si>
    <t>Postřik spojovací z KAE modifikované, 0,7 kg/m2. D+M 
Výpočet - výměra, rozměr:
36,10*1,36 =&gt; ÚSEK č.2: délka úseku [m] * prům. šíře rýhy [m]</t>
  </si>
  <si>
    <t>Postřik spojovací z KAE, 0,7 kg/m2. D+M
Výpočet - výměra, rozměr:
6,90*1,36 =&gt; ÚSEK č.1 (MOK): délka úseku [m] * prům. šíře rýhy [m]</t>
  </si>
  <si>
    <t>Montáž PE potrubí v otevřeném výkopu d 110, bez dodávky materiálu. M
viz. PODÉLNÝ PROFIL A KLADEČSKÉ SCHÉMA SO
Výpočet - výměra, rozměr:
43,0 =&gt; celková délka potrubí [m]</t>
  </si>
  <si>
    <t>V položce jsou započteny náklady na přísun, montáž, demontáž a odsun zkoušecího čerpadla, napuštění tlakovou vodou a dodání vody pro tlakovou zkoušku.
Výpočet - výměra, rozměr:
43,0 =&gt; délka potrubí dané dimenze [m]</t>
  </si>
  <si>
    <t>Položka obsahuje napuštění a vypuštění vody, dodání vody a desinfekčního prostředku, náklady na bakteriologický rozbor vody.
Výpočet - výměra, rozměr:
43,0 =&gt; délka potrubí dané dimenze [m]</t>
  </si>
  <si>
    <t>Dodávka a uložení výstražné fólie, bílé (modré) barvy s nápisem "VODA" / "VODOVOD" / "POZOR VODA", cca 30 cm nad povrchem potrubí. D+M
Výpočet - výměra, rozměr:
43,0*1,10 =&gt; délka potrubí /úseku/ [m] + rezerva 10%</t>
  </si>
  <si>
    <t>Výpočet - výměra, rozměr:
77,83*0,75 =&gt; celková hmotnost odebraných konstrukcí komunikací [t]  =&gt; z toho prům. 75%</t>
  </si>
  <si>
    <t>Přesun hmot, komunikace z kameniva, příplatek 1 km - odvoz na skládku (AVE CZ, Jindřichův Hradec - Žirovnice ul. Hradecká = 24,0 km).
Výpočet - výměra, rozměr:
23*77,83*0,75 =&gt; počet km [-] * celk. odebraná hmotnost vrstev komunikace [t] =&gt; z toho 75%</t>
  </si>
  <si>
    <t>Přesun hmot, kryt živičný (do 1 km) - odvoz na skládku investora (Skládka - Žirovnice ul. Hradecká = 2,0 km).
Výpočet - výměra, rozměr:
77,83*0,25 =&gt; celk. odebraná hmotnost vrstev komunikace [t] =&gt; z toho 25%</t>
  </si>
  <si>
    <t>Přípevnění vytyčovacího vodiče CYY 6 mm2 k řadu. Montáž bez dodávky materiálu. M
L = 43,0 m  (viz. položka 34141303 - Vodič signalizační CYY 6,0 mm2)</t>
  </si>
  <si>
    <t>Trubka vodovodní PE 100, SDR 11, 1100x10,0 mm, RCn, PAS 1075, návin, příp. tyče 12 m  (případně 6m s nutným dopočtem elektrospojek) 
viz. PODÉLNÝ PROFIL A KLADEČSKÉ SCHÉMA SO.
Dodávka materiálu bez montáže. D
Výpočet - výměra, rozměr:
43,0 =&gt; délka úseku / řadu [m] + ztratné 10%</t>
  </si>
  <si>
    <t>Položka obsahuje dodávku a montáž bednícího bloku PZD 890/290/90 mm a podkladního hranolku z měkkého materiálu 290/290/90 mm na 1 ks odbočení. D+M
Výpočet - výměra, rozměr:
1 =&gt; navrhovaný počet odbočení [ks]</t>
  </si>
  <si>
    <t>Signalizační vodič k vytyčení vodovodní sítě.
Výpočet - výměra, rozměr:
43,0 =&gt; celková délka potrubí [m] + ztratné 10%</t>
  </si>
  <si>
    <t>Deska stropní plná PZD 74/29/9  P5, opěra pro příslušnou tvarovku vod. potrubí pro přenos vodorovné síly vyvolané tokem vody v potrubím do bloku, příp. svislé síly vyvolané nadložím či dopravou.
Počet prefabrikátů pro jednotlivé případy :
PZD 74/29/9 - 5 ks/ 1 ks bloku pro odbočku - celkem 0 odboček 
PZD 74/29/9 - 3 ks/ 1 ks bloku pro hydrant (pateční koleno) - celkem 0 hydrantů
PZD 74/29/9 - 2 ks/ 1 ks bloku pro směrový lom větší než 10 st. - celkem 2 lomy
PZD 74/29/9 - 0 ks/ 1 ks bloku pro směrový lom menší než 10 st. - celkem 0 lomů (vytočeno potrubím)</t>
  </si>
  <si>
    <t>Dřevěné hranoly, podpěry a opěry fixačního bloku vodovodního potrubí.
viz.: výkres Betonové zajišťovací bloky, celková kubatura řeziva pro stavbu
0,1*0,2*0,1*(0*5) =&gt; bloků pro odbočku
0,1*0,2*0,1*(0*3) =&gt; bloků pro hydrant
0,1*0,2*0,1*(2*2) =&gt; blok směrový větší než 10 st.
0,15*0,15*0,8*4*(0*2) =&gt; bloků vertik.
D+M, včetně montáže ve výkopu</t>
  </si>
  <si>
    <t>Dočasné zajištění kabelů ve výkopu vzniklé křížením, např.: podepřením, tvárnicemi, zákrytovými deskami.
Výpočet - výměra, rozměr:
30*1,30*0,60 =&gt; počet křížení [ks] * prům. šířka rýhy [m] =&gt; z toho 60%</t>
  </si>
  <si>
    <t>Dočasné zajištění potrubí ve výkopu vzniklé křížením (příp. souběhy), např.: podepřením, tvárnicemi, zákrytovými deskami.
Výpočet - výměra, rozměr:
7*1,30*0,60 =&gt; počet křížení [ks] * prům. šířka rýhy [m] =&gt; z toho 60%</t>
  </si>
  <si>
    <t>Množství m.j. je uvedeno dle předpokladu, celková cena této práce se stanoví podle skutečnosti při provádění stavebních prací. Den = 8 hodin.
Výpočet - výměra, rozměr:
3*8 =&gt; předpoklad čerpání ve dnech [den] * počet hodin [hod]</t>
  </si>
  <si>
    <t>Pohotovost čerpací soupravy. Oceňují se všechny dny od ukončení montáže po započetí demontáže čerpací soustavy.
Výpočet:
předpokad čerpání ve dnech =&gt; viz. TABULKA TĚŽITELNOSTI HORNIN A TABULKA STAVEBNÍHO ČERPÁNÍ VODY</t>
  </si>
  <si>
    <t>Odstranění stávajícího krytu přijezdné komunikace, včetně nakládání a odvozu na skládku do 1 km, započítaná i zpáteční cesta. 
Položka obsahuje: 
- řezání živičného krytu tl. 5 cm, 
- odstranění asfaltbetonového krytu tl. 6 cm 
- řezání podkladního asfaltobetonu tl. 7 cm 
- odstranění podkladního asfaltobetonu tl. 7 cm 
- odstranění kameniva zpevněného cementem tl. 15 cm 
- odstranění štěrkodrti tl. 32 cm 
- nakládání suti 
- vodorovná doprava suti do 1 km (položka neobsahuje poplatek za skládku)
Výpočet - výměra, rozměr:
34,00*1,30*1,05 =&gt; celk. délka tras(y) / úsek(ů) kan. odbočení [m] * prům. šíře rýhy [m] + rezerva 5%</t>
  </si>
  <si>
    <t>Odstranění stávajícího krytu přijezdné komunikace, včetně nakládání a odvozu na skládku do 1 km, započítaná i zpáteční cesta. 
Položka obsahuje: (konstrukce místní obslužné komunikace - MOK)
- řezání živičného krytu tl. 4-5 cm, 
- odstranění asfaltbetonového krytu tl. 4-5 cm 
- řezání podkladního asfaltobetonu tl. do 5 cm 
- odstranění podkladního asfaltobetonu tl. do 5 cm 
- odstranění kameniva zpevněného cementem tl. 15 cm 
- odstranění štěrkodrti tl. 30 cm 
- nakládání suti 
- vodorovná doprava suti do 1 km (položka neobsahuje poplatek za skládku)
Výpočet - výměra, rozměr:
3,80*1,30*1,05 =&gt; celk. délka tras(y) / úsek(ů) kan. odbočení [m] * prům. šíře rýhy [m] + rezerva 5%</t>
  </si>
  <si>
    <t>Rozebrání dlažeb / vstupů / vjezdů ze zámkové dlažby v kamenivu, resp. v štěrkovém loži. 
Položka je určená pro rozebrání zámkových dlažeb, tl. 8 cm, včetně odebrání ložních a konstrukčních štěrkových, příp. štěrkopískových vrstev s naložením na dopravní prostředek a odvozem na skládku do 1 km.
Položka obsahuje: 
- rozebrání dlažebních kostek, tl. 8 cm
- odstranění ložní vrstvy štěrkopísku (f = 0 - 4 mm), tl. 4 cm,
- odstranění štěrkového podkladu, tl. do 50 cm
- nakládání suti, vodorovná doprava suti do 1 km
Výpočet - výměra, rozměr:
19,60*1,53*1,05 =&gt; celk. délka tras(y) / úsek(ů) kan. odbočení [m] * prům. šíře rýhy [m] + rezerva 5%</t>
  </si>
  <si>
    <t>Ztížený podchod pod plotem (M+D), soubor prací - překop / podvrt pod stávajícím oplocením, PVC / PE chránička, délka 1 podchodu do 1,0 m - provlečení, zaslepovací manžety, distanční objímky dle potřeby, včetně navrácení do původního stavu. Zhotoviteli se předepisuje provést pasportizaci stávajících plotů. M+D
1x soubor = 1 podchod
Výpočet - výměra, rozměr:
5 =&gt; počet podchodů pod plotem [soubor]</t>
  </si>
  <si>
    <t>Sejmutí ornice s přemístěním do 50 m, uložením na dočasnou skládku / mezideponii.
Výpočet - výměra, rozměr:
37,60*1,53*0,20*1,05 =&gt; celk. délka tras(y) / úsek(ů) odbočení [m] * prům. šíře [m] * tl. vrstvy [m] + rezerva 5%</t>
  </si>
  <si>
    <t>Příplatek za ztížení vykopávky v blízkosti vedení (NN, optické vedení, metalové vedení, plynovod).
Výpočet - výměra, rozměr:
(30+7)*0,50*0,50 =&gt; počet křížení [ks] * pr. kubatura na křížení [m3] =&gt; 50% z toho</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</si>
  <si>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34,00*0,86*0,50*1,05 =&gt; KSÚS: délka trasy / úseku [m] * prům. plocha výkopu [m2] * 50% (III. tř. horniny) + 5% rezerva
3,80*1,11*0,50*1,05 =&gt; MOK: délka trasy / úseku [m] * prům. plocha výkopu [m2] * 50% (III. tř. horniny) + 5% rezerva
37,60*1,58*0,50*1,05 =&gt; NEZPEVNĚNO: délka trasy / úseku [m] * prům. plocha výkopu [m2] * 50% (III. tř. horniny) + 5% rezerva
19,60*1,11*0,50*1,05 =&gt; CHODNÍKY: délka trasy / úseku [m] * prům. plocha výkopu [m2] * 50% (III. tř. horniny) + 5% rezerva</t>
  </si>
  <si>
    <t>Příplatek za lepivost, 50% celkového objemu výkopu. Do měrných jednotek se udává poměrné množství zeminy, které ulpí v nářadí a o které je snížen celkový výkon stroje.
Výpočet - výměra, rozměr:
60,17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</si>
  <si>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34,00*0,86*0,50*1,05 =&gt; KSÚS: délka trasy / úseku [m] * prům. plocha výkopu [m2] * 50% (IV. tř. horniny) + 5% rezerva
3,80*1,11*0,50*1,05 =&gt; MOK: délka trasy / úseku [m] * prům. plocha výkopu [m2] * 50% (IV. tř. horniny) + 5% rezerva
37,60*1,58*0,50*1,05 =&gt; NEZPEVNĚNO: délka trasy / úseku [m] * prům. plocha výkopu [m2] * 50% (IV. tř. horniny) + 5% rezerva
19,60*1,11*0,50*1,05 =&gt; CHODNÍKY: délka trasy / úseku [m] * prům. plocha výkopu [m2] * 50% (IV. tř. horniny) + 5% rezerva</t>
  </si>
  <si>
    <t>Příplatek za lepivost, 25% celkového objemu výkopu. Do měrných jednotek se udává poměrné množství zeminy, které ulpí v nářadí a o které je snížen celkový výkon stroje.
Výpočet - výměra, rozměr:
60,17 [m3] * 0,25 [%] =&gt; převzaté č. pol. 132301213R00 (Hloubení rýh v hor.4 do 10 000m3,STROJNĚ) * 25% z výkopku</t>
  </si>
  <si>
    <t>Pažení a rozepření stěny rýhy - příložné - hl. do 4 m. D+M
Výpočet - výměra, rozměr:
95,0*1,75*2*0,25 =&gt; celk. délka trasy / úseku kan. odbočení [m] * průměrná výška [m] * počet stěn [ks] - 25% z toho</t>
  </si>
  <si>
    <t>Odstranění pažení a rozepření stěny rýhy - příložné - hl. do 4 m. D+M
Výpočet - výměra, rozměr:
95,0*1,75*2*0,25 =&gt; délka trasy / úseku / stoky [m] * průměrná výška [m] * počet stěn [ks] - 25% z toho</t>
  </si>
  <si>
    <t>Svislé přemístění výkopku z hor.1-4 do 2,5 m bez naložení do dopravní nádoby, ale s vyprázdněním dopravní nádoby na hromadu nebo na dopravní prostředek.
- hloubení rýh objemu do 10 000 m3 (stavba globálně): 3 %
viz. TABULKA TĚŽITELNOSTI HORNIN
Výpočet - výměra, rozměr:
(60,17+60,17)*0,03 =&gt; součet výkopů I. až IV. tř.  *  3 % (stanoveno z tabulky pro určení podílu svislého přemístění)</t>
  </si>
  <si>
    <t>bez naložení do dopravní nádoby, ale s vyprázdněním dopravní nádoby na hromadu nebo na doopravní prostředek
hloubení rýh objemu do 10 000 m3 (stavba globálně): 3 %
viz. TABULKA TĚŽITELNOSTI HORNIN
Výpočet - výměra, rozměr:
(5,0)*0,03 =&gt; součet výkopů V. až VII. tř.  *  3 % (stanoveno z tabulky pro určení podílu svislého přemístění)</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</si>
  <si>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(60,17+60,17) =&gt; celkový výkop hor. tř. I.-IV. [m3]
-72,42 =&gt; odečet kubatury potřebné k zásypu [m3]</t>
  </si>
  <si>
    <t>Příplatek k vod. přemístění hor.1-4 za další 1 km nad rozpočtovou položku s odvozem nad 10 km, příplatek za 1 km, včetně zpáteční cesty.
Předpoklad uložení skládka (AVE CZ, Jindřichův Hradec - Žirovnice ul. Hradecká = 24,0 km).
Výpočet - výměra, rozměr:
47,92*14,0 =&gt; kubatura k přemístění [m3] * počet km nad 10 km [-]</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</si>
  <si>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5,00 =&gt; součet výkopků tř. V. až VII. [m3]</t>
  </si>
  <si>
    <t>Příplatek k vod. přemístění hor.1-4 za další 1 km nad rozpočtovou položku s odvozem nad 10 km, příplatek za 1 km, včetně zpáteční cesty.
Předpoklad uložení skládka (AVE CZ, Jindřichův Hradec - Žirovnice ul. Hradecká = 24,0 km).
Výpočet - výměra, rozměr:
5,00*14,0 =&gt; kubatura k přemístění [m3] * počet km nad 10 km [-]</t>
  </si>
  <si>
    <t>Naložení a složení výkopku tř. 1. až 4. z mezideponie pro zásyp rýhy.
Výpočet - výměra, rozměr:
2*72,42 =&gt; počet nakládání / skládání [-] * kubatura horniny tř. I. - IV. potřebná pro zásyp [m3]</t>
  </si>
  <si>
    <t>Položka obsahuje naložení, odvoz výkopku na mezideponii, složení výkopku a zpáteční cestu.
Výpočet - výměra, rozměr:
2*72,42 =&gt; 1x odvoz + 1x dovoz [-] * kubatura horniny tř. I. - IV. potřebná pro zásyp [m3]</t>
  </si>
  <si>
    <t>Nakládání, skládání, překládání ornice v množství do 100 m3 na / (z) mezideponii(e).
Výpočet - výměra, rozměr:
2*12,08 =&gt; počet nakládání / skládání [-] * kubatura ornice [m3]</t>
  </si>
  <si>
    <t>Vodorovné přemístění ornice - odvoz / dovoz - mezideponie.
Výpočet - výměra, rozměr:
2*12,08 =&gt; počet přesunů 1x odvoz, 1x dovoz [-] * kubatura ornice [m3]</t>
  </si>
  <si>
    <t>Obsyp hutnitelným nesoudržným materiálem = prosívkou (f = 0-4 mm pro PP / PVC) , pro jakoukoliv hloubku výkopu a jakoukoliv míru zhutnění, včetně dodávky obsypového materiálu. D+M
Výpočet - výměra, rozměr:
0,30*95,0*1,05 =&gt; plocha obsypu [m2] * délka trasy / úseku kan. odbočení [m] + rezerva 5% na zhutnění
-(3,14*0,016^2*95,0) =&gt; odečet kubatury vytlačené potrubím [m3] - DN 25</t>
  </si>
  <si>
    <t>Příplatek za prohození sypaniny pro obsyp potrubí.
Výpočet - výměra, rozměr:
29,85 =&gt; kubatura obsypu [m] - převzato z předchozí položky</t>
  </si>
  <si>
    <t>Zásyp jam, rýh, šachet se zhutněním z jakékoliv horniny (tř. I - IV.) s uložením výkopku po vrtstvách, vhodná zemina ze staveniště k zásypům (posouzeno bude geologem), max. vel. kamene 100 mm.
Výpočet - výměra, rozměr:
34,00*0,26*1,05 =&gt; KSÚS: délka trasy / úseku [m] * prům. plocha zásypu [m2] + 5% rezerva (max. míra zhutnění)
3,80*0,69*1,05 =&gt; MOK: délka trasy / úseku [m] * prům. plocha zásypu [m2] + 5% rezerva (max. míra zhutnění)
37,60*1,17*1,05 =&gt; NEZPEVNĚNO: délka trasy / úseku [m] * prům. plocha zásypu [m2] + 5% rezerva (max. míra zhutnění)
19,60*0,69*1,05 =&gt; CHODNÍKY: délka trasy / úseku [m] * prům. plocha zásypu [m2] + 5% rezerva (max. míra zhutnění)</t>
  </si>
  <si>
    <t>Rozprostření sejmuté ornice v rovině nebo ve svahu  do 1 : 5 s urovnáním, vyhrabáním větších kamenů, dovoz ornice ze vzdálenosti 500 m.
Výpočet - výměra, rozměr:
37,60*1,30*1,05 =&gt; délka tras(y) / úsek(ů) [m] * prům. šíře [m] + rezerva 5%</t>
  </si>
  <si>
    <t>Zhutnění lože pod potrubím, vibrační deskou / válcem.
Výpočet - výměra, rozměr:
95,0*0,80*1,10 =&gt; celk. délka kan. odbočení [m] * šířka lože [m] + rezerva 10%</t>
  </si>
  <si>
    <t>Drenážní (odvodňovací) potrubí DN 80, lože ze štěrkopísku (f = 4 - 16 mm), obalení potrubí geotextilií, uložení do rýhy, obsyp štěrkem (f = 32 - 64 mm). D+M
Rezerva pro případ odvodnění, napojení do dešťové kanalizace.</t>
  </si>
  <si>
    <t>Zhotovení podkladního lože pod odpadní potrubí z lom. prosívky f = 0 až 4 mm, včetně dodávky prosívky. D+M
viz. PODÉLNÉ PROFILY / ULOŽENÍ TRUB
Výpočet - výměra, rozměr:
95,0*0,80*0,15*1,1 =&gt; celk. délka trasy / úseku kan. odbočení [m] * šířka lože [m] * tl. vrstvy [m] + 10% rezerva
m3 prosívky = cca 2,34 T</t>
  </si>
  <si>
    <t>Podklad ze štěrkodrti po zhutnění tloušťky 17 cm - podkladní (zpevňovací) vrstva komunikace, štěrkodrť f = 0 - 63 mm, včetně dodávky štěrkodrti. D+M
Výpočet - výměra, rozměr:
34,00*1,06*1,05 =&gt; délka úseku(ů) [m] * prům. šíře podkladu [m] + rezerva 5%</t>
  </si>
  <si>
    <t>Podkladní vrstva z kameniva drceného, f = 32 - 63 mm, s výplň.kamen., tl. vrstvy 25 cm, včetně dodávky kameniva. D+M
Výpočet - výměra, rozměr:
34,00*1,13*1,05 =&gt; délka úseku(ů) [m] * prům. šíře podkladu [m] + rezerva 5%</t>
  </si>
  <si>
    <t>Podkladní vrstva z kameniva drceného, f = 32 - 63 mm, s výplň.kamen., tl. vrstvy 20 cm, včetně dodávky kameniva. D+M
Výpočet - výměra, rozměr:
34,00*1,19*1,05 =&gt; délka úseku(ů) [m] * prům. šíře podkladu [m] + rezerva 5%</t>
  </si>
  <si>
    <t>Podkladní vrstva z kameniva drceného, f = 32 - 63 mm, s výplň.kamen., tl. vrstvy 20 cm, včetně dodávky kameniva. D+M
Výpočet - výměra, rozměr:
34,00*1,25*1,05 =&gt; délka úseku(ů) [m] * prům. šíře podkladu [m] + rezerva 5%</t>
  </si>
  <si>
    <t>Podklad ze štěrkodrti po zhutnění tloušťky 18 cm, vrchní vrstva - dočasná po dobu stavby před celoplošnou rekonstrukcí komunikace, včetně dodávky štěrkodrti (f = 0 - 32 mm). D+M
Výpočet - výměra, rozměr:
34,0*1,30 =&gt; délka úseku(ů) [m] * prům. šíře rýhy [m]</t>
  </si>
  <si>
    <t>Podklad z obal kam.ACP 16+,ACP 22+,do 3 m,tl. 8 cm, ložní vrstva komunikace. D+M
Výpočet - výměra, rozměr:
34,0*1,30*1,01 =&gt; délka pokladu kom. [m] * šířka podkladu [m] + rezerva 1%</t>
  </si>
  <si>
    <t>Podklad ze štěrkodrti, f = 0 - 63 mm, po zhutnění tl. vrstvy 25 cm, včetně dodávky štěrkodrti. D+M
Výpočet - výměra, rozměr:
3,80*1,20*1,05 =&gt; délka úseku(ů) [m] * prům. šíře rýhy [m] + rezerva 5%</t>
  </si>
  <si>
    <t>Podkladní vrstva z kameniva drceného, f = 32 - 63 mm, s výplň.kamen., tl. vrstvy 20 cm, včetně dodávky kameniva. D+M
Výpočet - výměra, rozměr:
3,80*1,26*1,05 =&gt; délka úseku(ů) [m] * prům. šíře rýhy [m] + rezerva 5%</t>
  </si>
  <si>
    <t>Provizorní pojízdná vrstva ze štěrkodrti, f = 0 - 32 mm, tl. vrstvy 15 cm, včetně dodávky štěrkodrti. D+M
Výpočet - výměra, rozměr:
3,80*1,30 =&gt; délka úseku(ů) [m] * prům. šíře rýhy [m]</t>
  </si>
  <si>
    <t>Podklad z obal kam.ACP 16+,ACP 22+,do 3 m,tl. 5 cm. D+M
Výpočet - výměra, rozměr:
3,80*1,30*1,01 =&gt; délka pokladu zpevň. kom. [m] * šířka podkladu [m] + rezerva 1%</t>
  </si>
  <si>
    <t>Příplatek za zpevnění štěrkové vrstvy cementem (pl. do 5000 m2), včetně dodávky cementové směsi a promísení, tl. do 20 cm. M+D
Výpočet - výměra, rozměr:
34,00*1,25*1,05 =&gt; délka úseku(ů) [m] * prům. šíře podkladu [m] + rezerva 5%</t>
  </si>
  <si>
    <t>Postřik spojovací z KAE modifikované, 0,7 kg/m2. D+M 
Výpočet - výměra, rozměr:
34,00*1,30*1,10 =&gt; délka pokladu zpevň. kom. [m] * šířka podkladu [m] + rezerva 10%</t>
  </si>
  <si>
    <t>Postřik spojovací z KAE, 0,7 kg/m2. D+M
Výpočet - výměra, rozměr:
3,80*1,30*1,10 =&gt; délka povrchu kom. [m] * šířka [m] + rezerva 10% (ztratné)</t>
  </si>
  <si>
    <t>Komunikace / chodník z dlažby zámkové, podklad štěrkopísek, dlažba přírodní tloušťka 8 cm, včetně zemních prací i nákladů na řezání. D+M
Skladba: 
- podklad ze štěrkopísku, tl. 17 cm 
- podklad z drceného kameniva, tl. 30 cm 
- lože z kameniva, tl. 5 cm 
- dlažba zámková, betonová, tl. 8 cm
Výpočet - výměra, rozměr:
19,60*1,30*1,05 =&gt; CHODNÍK: délka úseku(ů) [m] * pr. šířka [m] + rezerva 5%</t>
  </si>
  <si>
    <t>Položka obsahuje přepojení vodovodního odbočení na stávající přípojku, včetně ověření profilu, montáže a dodávky spojovacích materiálů dané dimenze. D+M
Výpočet - výměra, rozměr:
13 =&gt; počet napojení na stáv. přípojku [soubor]</t>
  </si>
  <si>
    <t>Vodovodní přípojka z trub polyetylénových DN 25 (d 32 mm), položka obsahuje:
- náklady na dodávku a montáž PE / PE RC potrubí tlakových, 
- napojení na vodovodní řad (navrtávací pasy + domovní šoupátka jsou součástí vodovodních řadů), 
- dodávku a montáž elektrotvarovek (pro odbočení: 2x elektrospojka, 1x elektrokoleno 30°, 2x elektrokoleno 15°),
- napojení do domovní vodoměrné šachty (bez dodávky a montáže domovní vodoměrné šachty),
- tlakovou zkoušku potrubí, proplach a dezinfekci
- v případě potřeby - dodávku a montáž elektrovíčka 
Výpočet - výměra, rozměr:
95,0 =&gt; délka vodovodního/ch odbočení [m]</t>
  </si>
  <si>
    <t>Šachta vodoměrná modulární 0,6 x 0,5 m, výška do 1,3 m (TYP 1), s výškově nastavitelným rámem, pojízdným poklopem do 12,5 t, s připravenou vodoměrnou sestavou (Lmax = 190 mm), včetně montáže vodoměru, bez dodávky vodoměru (provozovatel vodovodu). D+M
Položka obsahuje:
- dodávku a montáž modulární vodoměrné šachty, výška šachty do 1,3 m,
- zhotovení podkladu - kam. drcené, f = 16-32 mm, tl. 0,30 m, rozměry: 0,8x0,7 m, tj. cca 0,17 m3 / 1 šachtu,
- montáž vodoměru do připravené VM sestavy
- úprava okolí poklopu dle stávající kultury
Výpočet - výměra, rozměr:
3 =&gt; počet navržených vodoměrných šachet [ks]</t>
  </si>
  <si>
    <t>Dodávka a uložení výstražné fólie, bílé (modré) barvy s nápisem "VODA" / "VODOVOD" / "POZOR VODA", cca 30 cm nad povrchem potrubí. D+M
Výpočet - výměra, rozměr:
95,0*1,10 =&gt; délka potrubí /úseku/ [m] + rezerva 10%</t>
  </si>
  <si>
    <t>Dodávka a montáž signalizačního vodiče s dvojitou izolací (CYY) o průřezu 6 mm2, připáskování k potrubí. D+M
Výpočet - výměra, rozměr:
95,0*1,15 =&gt; celková délka vod. odbočení [m] + rezerva 15%</t>
  </si>
  <si>
    <t>Příplatek za montáž vodovodních přípojek v hornině mokré - předpoklad: mokré prostředí.
Výpočet - výměra, rozměr:
95,0 =&gt; odhad mokré prostředí: celková délka odbočení [m]</t>
  </si>
  <si>
    <t>Výpočet - výměra, rozměr:
46,46*0,75 =&gt; celková hmotnost odebraných konstrukcí komunikací [t]  =&gt; z toho prům. 75%
34,80 =&gt; celková hmotnost odebraných komunikací dlážděných [t]</t>
  </si>
  <si>
    <t>Přesun hmot, kryt živičný (do 1 km) - odvoz na skládku investora (Skládka - Žirovnice ul. Hradecká = 2,0 km).
Výpočet - výměra, rozměr:
46,46*0,25 =&gt; celk. odebraná hmotnost vrstev komunikace [t] =&gt; z toho 25%</t>
  </si>
  <si>
    <t>Přesun hmot, komunikace z kameniva, příplatek 1 km - odvoz na skládku (AVE CZ, Jindřichův Hradec - Žirovnice ul. Hradecká = 24,0 km).
Výpočet - výměra, rozměr:
23*34,80*0,50 =&gt; počet km [-] * celk. přesun hmot dlážděných povrchů [t] =&gt; z toho 50% (původní dlažděné povrchy budou kompletně nahrazeny, tzn. 1/2 z celk. hmotnosti  - odvoz na skládku)</t>
  </si>
  <si>
    <t>Stavba běžného charakteru a náročnosti s důrazem na koordinaci prací.</t>
  </si>
  <si>
    <t>ZKOUŠKY ÚNOSNOSTI PLÁNĚ DLE TP 146,  PŘÍMÁ METODA - 1x / 100 bm (KONSTRUKČNÍ VRSTVA - DNO) + 1x / 100 bm (KONSTRUKČNÍ VRSTVA - VRCH).
Výpočet - výměra, rozměr:
4 =&gt; počet souborů zkoušek [-]</t>
  </si>
  <si>
    <t>Dočasné zajištění potrubí ve výkopu vzniklé křížením (příp. souběhy), např.: podepřením, tvárnicemi, zákrytovými deskami.
Výpočet - výměra, rozměr:
9*1,74*0,50 =&gt; počet křížení [ks] * prům. šířka rýhy [m] - 50% z toho</t>
  </si>
  <si>
    <t>Dočasné zajištění kabelů ve výkopu vzniklé křížením, např.: podepřením, tvárnicemi, zákrytovými deskami.
Výpočet - výměra, rozměr:
2*1,74*0,50 =&gt; počet křížení [ks] * prům. šířka rýhy [m] - 50% z toho</t>
  </si>
  <si>
    <t>Množství m.j. je uvedeno dle předpokladu, celková cena této práce se stanoví podle skutečnosti při provádění stavebních prací. Den = 8 hodin.
Výpočet:
12*8 =&gt; předpoklad čerpání ve dnech * počet hodin - stanoveno odhadem</t>
  </si>
  <si>
    <t>Pohotovost čerpací soupravy. Oceňují se všechny dny od ukončení montáže po započetí demontáže čerpací soustavy.
Výpočet:
12 =&gt; předpokad čerpání ve dnech =&gt; stanoveno odhadem</t>
  </si>
  <si>
    <t>Odstranění asfaltobetonové vozovky pl. nad 50 m2 - MOK</t>
  </si>
  <si>
    <t>Odstranění stávajícího krytu přijezdné komunikace, včetně nakládání a odvozu na skládku do 1 km, započítaná i zpáteční cesta. 
Položka obsahuje: (konstrukce místní obslužné komunikace - MOK)
- řezání živičného krytu tl. 4-5 cm, 
- odstranění asfaltbetonového krytu tl. 4-5 cm 
- řezání podkladního asfaltobetonu tl. do 5 cm 
- odstranění podkladního asfaltobetonu tl. do 5 cm 
- odstranění kameniva zpevněného cementem tl. 15 cm 
- odstranění štěrkodrti tl. 30 cm 
- nakládání suti 
- vodorovná doprava suti do 1 km (položka neobsahuje poplatek za skládku)
Výpočet - výměra, rozměr:
37,60*1,74*1,05 =&gt; ÚSEK č.1 (MOK): délka úseku [m] * prům. šíře rýhy [m] + rezerva 5%</t>
  </si>
  <si>
    <t>Odstranění stávajícího krytu přijezdné komunikace, včetně nakládání a odvozu na skládku do 1 km, započítaná i zpáteční cesta. 
Položka obsahuje: 
- řezání živičného krytu tl. 5 cm, 
- odstranění asfaltbetonového krytu tl. 6 cm 
- řezání podkladního asfaltobetonu tl. 7 cm 
- odstranění podkladního asfaltobetonu tl. 7 cm 
- odstranění kameniva zpevněného cementem tl. 15 cm 
- odstranění štěrkodrti tl. 32 cm 
- nakládání suti 
- vodorovná doprava suti do 1 km (položka neobsahuje poplatek za skládku)
Výpočet - výměra, rozměr:
5,40*1,74*1,05 =&gt; ÚSEK č.1 (KSÚS): délka úseku [m] * prům. šíře rýhy [m] + rezerva 5%
105,00*1,78*1,05 =&gt; ÚSEK č.2 (KSÚS): délka úseku [m] * prům. šíře rýhy [m] + rezerva 5%</t>
  </si>
  <si>
    <t>Odstranění podkladu nad 50 m2,kam.těžené tl.18 cm - odstranění provizorní vrstvy.
Položka je určena i pro odstranění podkladů nebo krytů ze štěrkopísku, škváry, strusky nebo z mechanicky zpevněných zemin. Pro volbu položky z hlediska množství se uvažuje každá souvisle odstraňovaná plocha krytu nebo podkladu stejného druhu samostatně.
Výpočet - výměra, rozměr:
5,40*1,74	ÚSEK =&gt; č.1: délka úseku [m] * prům. šíře rýhy [m]
105,00*1,78 =&gt; ÚSEK č.2: délka úseku [m] * prům. šíře rýhy [m]</t>
  </si>
  <si>
    <t>Odstranění podkladu nad 50 m2,kam.těžené tl.15 cm - odstranění provizorní vrstvy.
Položka je určena i pro odstranění podkladů nebo krytů ze štěrkopísku, škváry, strusky nebo z mechanicky zpevněných zemin. Pro volbu položky z hlediska množství se uvažuje každá souvisle odstraňovaná plocha krytu nebo podkladu stejného druhu samostatně.
Výpočet - výměra, rozměr:
37,60*1,74 =&gt; ÚSEK č.1 (MOK): délka úseku [m] * prům. šíře rýhy [m]</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</si>
  <si>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37,60*2,35*0,5*1,05 =&gt; ÚSEK č.1 (MOK): délka úseku [m] * prům.plocha [m2] * 50% (III. tř. horniny) + 5% rezerva
5,40*2,00*0,5*1,05 =&gt; ÚSEK č.1 (KSÚS): délka úseku [m] * prům.plocha [m2] * 50% (III. tř. horniny) + 5% rezerva
105,00*2,23*0,5*1,05 =&gt; ÚSEK č.2 (KSÚS): délka úseku [m] * prům.plocha [m2] * 50% (III. tř. horniny) + 5% rezerva</t>
  </si>
  <si>
    <t>Příplatek za lepivost, 50% celkového objemu výkopu. Do měrných jednotek se udává poměrné množství zeminy, které ulpí v nářadí a o které je snížen celkový výkon stroje.
Výpočet - výměra, rozměr:
174,99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</si>
  <si>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37,60*2,35*0,4*1,05 =&gt; ÚSEK č.1 (MOK): délka úseku [m] * prům.plocha [m2] * 40% (IV. tř. horniny) + 5% rezerva
5,40*2,00*0,4*1,05 =&gt; ÚSEK č.1 (KSÚS): délka úseku [m] * prům.plocha [m2] * 40% (IV. tř. horniny) + 5% rezerva
105,00*2,23*0,4*1,05 =&gt; ÚSEK č.2 (KSÚS): délka úseku [m] * prům.plocha [m2] * 40% (IV. tř. horniny) + 5% rezerva</t>
  </si>
  <si>
    <t>Příplatek za lepivost, 25% celkového objemu výkopu. Do měrných jednotek se udává poměrné množství zeminy, které ulpí v nářadí a o které je snížen celkový výkon stroje.
Výpočet - výměra, rozměr:
139,99 [m3] * 0,25 [%] =&gt; převzaté č. pol. 132301213R00 (Hloubení rýh v hor.4 do 10 000m3,STROJNĚ) * 25% z výkopku</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</si>
  <si>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Položka se používá bez ohledu na těžené množství.
viz. TABULKA TĚŽITELNOSTI HORNIN
Výpočet - výměra, rozměr:
37,60*2,35*0,1*1,05 =&gt; ÚSEK č.1 (MOK): délka úseku [m] * prům.plocha [m2] * 10% (V. tř. horniny) + 5% rezerva
5,40*2,00*0,1*1,05 =&gt; ÚSEK č.1 (KSÚS): délka úseku [m] * prům.plocha [m2] * 10% (V. tř. horniny) + 5% rezerva
105,00*2,23*0,1*1,05 =&gt; ÚSEK č.2 (KSÚS): délka úseku [m] * prům.plocha [m2] * 10% (V. tř. horniny) + 5% rezerva</t>
  </si>
  <si>
    <t>Příp. za hloub. rýh š. 200cm, v mokrém prostředí, hor. 1-7, nad 100 m3, příplatková položka, předpoklad mokré prostředí.
Výpočet - výměra, rozměr:
174,99+139,99+35,0+5,0+2,75 =&gt; součet výkopu v hor. tř. I. až VII. [m3]</t>
  </si>
  <si>
    <t>Pažení a rozepření stěny rýhy - příložné - hl. do 4 m. D+M
Výpočet - výměra, rozměr:
148,00*3,35*2*0,90 =&gt; délka trasy / úseku / stoky [m] * průměrná výška [m] * počet stěn [ks] - 90% z toho</t>
  </si>
  <si>
    <t>Odstranění pažení a rozepření stěny rýhy - příložné - hl. do 4 m. D+M
Výpočet - výměra, rozměr:
148,00*3,35*2*0,90 =&gt; délka trasy / úseku / stoky [m] * průměrná výška [m] * počet stěn [ks] - 90% z toho</t>
  </si>
  <si>
    <t>bez naložení do dopravní nádoby, ale s vyprázdněním dopravní nádoby na hromadu nebo na dopravní prostředek
hloubení rýh š. do 200 cm objemu do 10 000 m3 (stavba globálně): 3 %
Výpočet - výměra, rozměr:
(174,99+139,99)*0,03 =&gt; součet kubatury horn.  tř. I. až IV. * 3 % - stanoveno z tabulky pro určení podílu svislého přemístění výkopku</t>
  </si>
  <si>
    <t>bez naložení do dopravní nádoby, ale s vyprázdněním dopravní nádoby na hromadu nebo na dopravní prostředek
hloubení rýh š. do 200 cm objemu do 10 000 m3 (stavba globálně): 3 %
viz. TABULKA TĚŽITELNOSTI HORNIN
Výpočet:
(35,0+5,0+2,75)*0,03 =&gt; součet kubatury horn.  tř. V. až VII. * 3 % - stanoveno z tabulky pro určení podílu svislého přemístění výkopku</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</si>
  <si>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(174,99+139,99) =&gt; celkový výkop hor. tř. I.-IV. [m3]
-186,20 =&gt; odečet kubatury zeminy potřebné k zásypu [m3]</t>
  </si>
  <si>
    <t>1 km nad rozpočtovou položku s odvozem nad 10 km, příplatek za 1 km, včetně zpáteční cesty.
Předpoklad uložení skládka (AVE CZ, Jindřichův Hradec - Žirovnice ul. Hradecká = 24,0 km).
Výpočet - výměra, rozměr:
128,78*14,0 =&gt; kubatura k přemístění [m3] * počet km nad 10 km [-]</t>
  </si>
  <si>
    <t>Po suchu, bez naložení výkopku, avšak se složením bez rozhrnutí, zpáteční cesta vozidla.
Předpoklad uložení - skládka (AVE CZ, Jindřichův Hradec - Žirovnice ul. Hradecká = 24,0 km).
Výpočet - výměra, rozměr:
35,0+5,00+2,75 =&gt; součet výkopků tř. V. až VII. [m3]</t>
  </si>
  <si>
    <t>1 km nad rozpočtovou položku s odvozem nad 10 km, příplatek za 1 km, včetně zpáteční cesty.
Předpoklad uložení skládka  (AVE CZ, Jindřichův Hradec - Žirovnice ul. Hradecká = 24,0 km).
Výpočet - výměra, rozměr:
42,75*14 =&gt; kubatura k přemístění [m3] * počet km nad 10 km [-]</t>
  </si>
  <si>
    <t>Naložení a složení výkopku tř. 1. až 4. z mezideponie pro zásyp rýhy.
Výpočet - výměra, rozměr:
2*186,20 =&gt; počet nakládání / skládání [-] * kubatura horniny tř. I. - IV. potřebná pro zásyp [m3]</t>
  </si>
  <si>
    <t>Položka obsahuje naložení, odvoz výkopku na mezideponii, složení výkopku a zpáteční cestu.
Výpočet - výměra, rozměr:
2*186,20 =&gt; 1x odvoz + 1x dovoz [-] * kubatura horniny tř. I. - IV. potřebná pro zásyp [m3]</t>
  </si>
  <si>
    <t>Obsyp hutnitelným nesoudržným materiálem (f = 0-16 mm pro PP/PVC) , pro jakoukoliv hloubku výkopu a jakoukoliv míru zhutnění, včetně dodávky obsypového materiálu. D+M
viz. PODÉLNÉ PROFILY
Výpočet - výměra, rozměr:
148,00*0,71*1,05 =&gt; délka trasy úseku / stoky [m] * plocha obsypu [m2] + rezerva na zhutnění 5%
-(147,00*(pi*0,125^2)) =&gt; odečet kubatury vytlačené potrubím [m3]
-(1,00*(pi*0,200^2)) =&gt; odečet kubatury vytlačené potrubím [m3]</t>
  </si>
  <si>
    <t>Zásyp jam, rýh, šachet se zhutněním z jakékoliv horniny (tř. I - IV.) s uložením výkopku po vrtstvách, max. velikost kamene 100 mm, přebytečná zemina odvezena na skládku:
viz. PODÉLNÉ PROFILY
Výpočet - výměra, rozměr:
37,60*1,49*1,05 =&gt; ÚSEK č.1 (MOK): délka úseku [m] * prům.pl. zásypu [m2]  + 5% rezerva na zhutnění
5,40*0,88*1,05 =&gt; ÚSEK č.1 (KSÚS): délka úseku [m] * prům.pl. zásypu [m2]  + 5% rezerva na zhutnění
105,00*1,11*1,05 =&gt; ÚSEK č.2 (KSÚS): délka úseku [m] * prům.pl. zásypu [m2]  + 5% rezerva na zhutnění</t>
  </si>
  <si>
    <t>Výpočet - výměra, rozměr:
128,78 =&gt; kubatura [m3] - převzato z pol. vodorovného přesunu horn. tř. 1 - 4</t>
  </si>
  <si>
    <t>Výpočet - výměra, rozměr:
42,75 =&gt; kubatura [m3] - převzato z pol. vodorovného přesunu horn. tř. 5 - 7</t>
  </si>
  <si>
    <t>Zhutnění podloží pod potrubím válcem.
Výpočet - výměra, rozměr:
148,00*1,05*1,10 =&gt; délka řadu [m] * šířka lože [m] + 10% rezerva</t>
  </si>
  <si>
    <t>Beton podkladní pod základové konstrukce, prostý - betonové lože pod revizní šachtu, tl. 0,20 m, a = 1,20 m. D+M
Výpočet - výměra, rozměr:
6*(1,2*1,2*0,2) =&gt; počet šachet [ks] * objem podkladového bet. pod šachtu [m3]</t>
  </si>
  <si>
    <t>Zhotovení podkladního lože pod kanalizační potrubí ze štěrkopísku, f = 0 - 4 mm, včetně dodávky podkladového materiálu. D+M
Výpočet - výměra, rozměr:
148,00*1,05*0,15*1,15 =&gt; délka trasy úseku / stoky [m] * šíře rýhy [m] * tl. lože [m] + rezerva na zhutnění 15%</t>
  </si>
  <si>
    <t>Podklad ze štěrkodrti po zhutnění tloušťky 17 cm - podkladní (zpevňovací) vrstva komunikace, štěrkodrť f = 0 - 63 mm, včetně dodávky štěrkodrti. D+M
Výpočet - výměra, rozměr:
5,40*1,45*1,05 =&gt; ÚSEK č.1: délka úseku [m] * prům. šíře rýhy [m] + rezerva 5%
105,00*1,49*1,05 =&gt; ÚSEK č.2: délka úseku [m] * prům. šíře rýhy [m] + rezerva 5%</t>
  </si>
  <si>
    <t>Podkladní vrstva z kameniva drceného, f = 32 - 63 mm, s výplň.kamen., tl. vrstvy 25 cm, včetně dodávky kameniva. D+M
Výpočet - výměra, rozměr:
5,40*1,59*1,05 =&gt; ÚSEK č.1: délka úseku [m] * prům. šíře rýhy [m] + rezerva 5%
105,00*1,63*1,05 =&gt; ÚSEK č.2: délka úseku [m] * prům. šíře rýhy [m] + rezerva 5%</t>
  </si>
  <si>
    <t>Podkladní vrstva z kameniva drceného, f = 32 - 63 mm, s výplň.kamen., tl. vrstvy 20 cm, včetně dodávky kameniva. D+M
Výpočet - výměra, rozměr:
5,40*1,59*1,05 =&gt; ÚSEK č.1: délka úseku [m] * prům. šíře rýhy [m] + rezerva 5%
105,00*1,63*1,05 =&gt; ÚSEK č.2: délka úseku [m] * prům. šíře rýhy [m] + rezerva 5%</t>
  </si>
  <si>
    <t>Podklad ze štěrkodrti po zhutnění tloušťky 18 cm, vrchní vrstva - dočasná po dobu stavby před celoplošnou rekonstrukcí komunikace, včetně dodávky štěrkodrti (f = 0 - 32 mm). D+M
Výpočet - výměra, rozměr:
5,40*1,74 =&gt; ÚSEK č.1: délka úseku [m] * prům. šíře rýhy [m]
105,00*1,78 =&gt; ÚSEK č.2: délka úseku [m] * prům. šíře rýhy [m]</t>
  </si>
  <si>
    <t>Podklad z obal kam.ACP 16+,ACP 22+,do 3 m,tl. 8 cm, ložní vrstva komunikace. D+M
Výpočet - výměra, rozměr:
5,40*1,74 =&gt; ÚSEK č.1: délka úseku [m] * prům. šíře rýhy [m]
105,00*1,78 =&gt; ÚSEK č.2: délka úseku [m] * prům. šíře rýhy [m]</t>
  </si>
  <si>
    <t>Příplatek za zpevnění štěrkové vrstvy cementem (pl. do 5000 m2), včetně dodávky cementové směsi a promísení, tl. do 20 cm. M+D
Výpočet - výměra, rozměr:
5,40*1,59*1,05 =&gt; ÚSEK č.1: délka úseku [m] * prům. šíře rýhy [m] + rezerva 5%
105,00*1,63*1,05 =&gt; ÚSEK č.2: délka úseku [m] * prům. šíře rýhy [m] + rezerva 5%</t>
  </si>
  <si>
    <t>Podklad ze štěrkodrti, f = 0 - 63 mm, tl. vrstvy 25 cm, včetně dodávky štěrkodrtě. D+M
Výpočet - výměra, rozměr:
37,60*1,63*1,05 =&gt; ÚSEK č.1: délka úseku [m] * prům. šíře rýhy [m] + rezerva 5%</t>
  </si>
  <si>
    <t>Podkladní vrstva z kameniva drceného, f = 32 - 63 mm, s výplň.kamen., tl. vrstvy 20 cm, včetně dodávky kameniva. D+M
Výpočet - výměra, rozměr:
37,60*1,69*1,05 =&gt; ÚSEK č.1: délka úseku [m] * prům. šíře rýhy [m] + rezerva 5%</t>
  </si>
  <si>
    <t>Provizorní pojízdná vrstva ze štěrkodrti, f = 0 - 32 mm, tl. vrstvy 15 cm, včetně dodávky štěrkodrti. D+M
Výpočet - výměra, rozměr:
37,60*1,74 =&gt; ÚSEK č.1 (MOK): délka úseku [m] * prům. šíře rýhy [m]</t>
  </si>
  <si>
    <t>Podklad z obal kam.ACP 16+,ACP 22+,do 3 m,tl. 5 cm. D+M
Výpočet - výměra, rozměr:
37,60*1,74 =&gt; ÚSEK č.1 (MOK): délka úseku [m] * prům. šíře rýhy [m]</t>
  </si>
  <si>
    <t>Postřik spojovací z KAE modifikované, 0,7 kg/m2. D+M 
Výpočet - výměra, rozměr:
5,40*1,74 =&gt; ÚSEK č.1: délka úseku [m] * prům. šíře rýhy [m]
105,00*1,78 =&gt; ÚSEK č.2: délka úseku [m] * prům. šíře rýhy [m]</t>
  </si>
  <si>
    <t>Postřik spojovací z KAE, 0,7 kg/m2. D+M
Výpočet - výměra, rozměr:
37,60*1,74 =&gt; ÚSEK č.1 (MOK): délka úseku [m] * prům. šíře rýhy [m]</t>
  </si>
  <si>
    <t>Montáž potrubí z tvrdého PVC těsněných gumovým kroužkem. V položce jsou zakalkulovány i náklady na montáž tvarovek. V položce nejsou zakalkulovány náklady na dodání trubek a tvarovek (mimo odbočné tvarovky), tyto materiály jsou oceněny samostaně ve specifikaci. M
Výpočet - výměra, rozměr:
147,0 =&gt; celková délka montáže potrubí dané světlosti [m]</t>
  </si>
  <si>
    <t>Montáž dvouossých kanalizačních odbočných tvarovek daného průměru (kanalizační odbočení pro jednotlivé nemovitosti).
Položka je určena pro montáž tvarovek odbočných na potrubí z kanalizačních trub z plastu těsněných gumovým kroužkem v otevřeném výkopu. M
Výpočet - výměra, rozměr:
8 =&gt; součet všech odbočných tvarovek [ks]</t>
  </si>
  <si>
    <t>Položka je určena pro montáž tvarovek jednoosých na potrubí z kanalizačních trub z plastu těsněných gumovým kroužkem v otevřeném výkopu. M
Výpočet - výměra, rozměr:
15 =&gt; součet všech jednoosých tvarovek [ks]</t>
  </si>
  <si>
    <t>Montáž potrubí z tvrdého PVC těsněných gumovým kroužkem. V položce je uvažováno s jedním spojem na 6 m potrubí. Položka je určena pro montáž potrubí z kanalizačních trub z plastu těsněných gumovým kroužkem v otevřeném výkopu ve sklonu do 20 %. V položce montáže potrubí nejsou zakalkulovány náklady na dodání trub; tyto náklady se oceňují ve specifikaci.
Výpočet - výměra, rozměr:
1,00 =&gt; celková délka montáže potrubí dané světlosti [m]</t>
  </si>
  <si>
    <t>Položka je určena pro montáž tvarovek na potrubí jednoosých (nerez-pryžových spojek) v otevřeném výkopu, v otevřeném kanálu nebo v šachtě.  V položce nejsou zakalkulovány náklady na dodávku tvarovek; tyto tvarovky se oceňují ve speciifikaci. 
Výpočet - výměra, rozměr:
1 =&gt; počet nesourodých spojů [ks]</t>
  </si>
  <si>
    <t>Vyčištění kanalizační stoky - proplach vodou před zkouškou těsnosti kanalizace, v položce jsou započteny i náklady na dodání vody. D+M
Výpočet - výměra, rozměr:
148,0 =&gt; délka gravitační kanalizace [m]</t>
  </si>
  <si>
    <t>Položka je určena pro zabezpečení jakéhokoliv druhu potrubí v úseku mezi dvěma šachtami pro staveništní čerpání pro zkoušku těsnosti potrubí. V položce jsou zakalkulovány náklady na osazení a odstranění dvou těsnicích uzávěrů.
Výpočet - výměra, rozměr:
5 =&gt; počet úseků na trase  (úsek = libovolná vzdálenost mezi dvěma šachtami)</t>
  </si>
  <si>
    <t>Zkouška těsnosti dešťové kanalizace DN do 300, vodou, včetně nákladů dodávek na vodu, napuštění vodou, zabezpečení konců zajištěno předchozí položkou. D+M
Výpočet - výměra, rozměr:
147,0 =&gt; délka kanalizačního potrubí [m]</t>
  </si>
  <si>
    <t>Kontrola kanalizace TV kamerou nad 500 m, včetně TV záznamu s kontrolou ovality potrubí. D+M
Výpočet - výměra, rozměr:
148,0 =&gt; délka gravit. kanalizace [m]</t>
  </si>
  <si>
    <t>Dodávka a uložení výstražné fólie, hnědé barvy s nápisem "KANALIZACE" / "POZOR KANALIZACE", cca 30 cm nad povrchem potrubí. D+M
Výpočet - výměra, rozměr:
147,0*1,10 =&gt; délka potrubí /úseku/ [m] + rezerva 10%
1,0*1,10 =&gt; délka potrubí /úseku/ [m] + rezerva 10%</t>
  </si>
  <si>
    <t>Příplatek za ztíženou montáž kanalizace v hornině mokré - předpoklad: mokré prostředí.
Výpočet - výměra, rozměr:
148,0 =&gt; odhad mokré prostředí: délka [m]</t>
  </si>
  <si>
    <t>Výpočet - výměra, rozměr:
346,80*0,75 =&gt; celková hmotnost odebraných konstrukcí komunikací [t]  =&gt; z toho prům. 75%</t>
  </si>
  <si>
    <t>Přesun hmot, komunikace z kameniva, příplatek 1 km - odvoz na skládku (AVE CZ, Jindřichův Hradec - Žirovnice ul. Hradecká = 24,0 km).
Výpočet - výměra, rozměr:
23*346,80*0,75 =&gt; počet km [-] * celk. odebraná hmotnost vrstev komunikace [t] =&gt; z toho 75%</t>
  </si>
  <si>
    <t>Přesun hmot, kryt živičný (do 1 km) - odvoz na skládku investora (Skládka - Žirovnice ul. Hradecká = 2,0 km).
Výpočet - výměra, rozměr:
346,80*0,25 =&gt; celk. odebraná hmotnost vrstev komunikace [t] =&gt; z toho 25%</t>
  </si>
  <si>
    <t>Potrubí z  PP / PVC-U v kruhové tuhosti min. SN 12 kN/m2, d 250 mm s plnostěnnou konstrukcí stěny vyráběné dle ČSN EN 1401. Parametry zejména určena pro splaškové kanalizace, kde je vyžadována co nejvyšší síla stěny. Potrubí využívá řadu PVC nebo PP  tvarovek v odpovídající síle stěny. Potrubí je oranžové/hnědé barvy a je spojováno pomocí hrdel a gumového těsnění jištěné plastovým kroužkem. Dodávka materiálu. D
Výpočet - výměra, rozměr:
(147,0*0,75)/6,0 =&gt; celková délka potrubí [m] * 75% z celku / délka trubky + ztratné 10%
Pozn.: Orientační počet daného rozměru, přesný počet bude vykázán zhotovitelem stavby.</t>
  </si>
  <si>
    <t>Potrubí z  PP / PVC-U v kruhové tuhosti min. SN 12 kN/m2, d 250 mm s plnostěnnou konstrukcí stěny vyráběné dle ČSN EN 1401. Parametry zejména určena pro splaškové kanalizace, kde je vyžadována co nejvyšší síla stěny. Potrubí využívá řadu PVC nebo PP  tvarovek v odpovídající síle stěny. Potrubí je oranžové/hnědé barvy a je spojováno pomocí hrdel a gumového těsnění jištěné plastovým kroužkem. Dodávka materiálu. D
Výpočet - výměra, rozměr:
(147,00*0,25)/3,0 =&gt; celková délka potrubí [m] * 25% z celku / délka trubky + ztratné 10%
Pozn.: Orientační počet daného rozměru, přesný počet bude vykázán zhotovitelem stavby.</t>
  </si>
  <si>
    <t>Odbočka kanalizační  250/ 160/45° PVC /PP/, nástrčná hrdla opatřená těsnicím kroužkem z elastomeru.
Výpočet - výměra, rozměr:
8 =&gt; počet odbočení na stoce [ks]</t>
  </si>
  <si>
    <t>Koleno kanalizační 250/ 45° PVC /PP/ (DN 250), nástrčné hrdlo opatřené těsnicím kroužkem z elastomeru.
Výpočet - výměra, rozměr:
2 =&gt; množství [ks] - stanoveno odhadem + ztratné 1,5%
Pozn.: Orientační počet daného rozměru, přesný počet bude vykázán zhotovitelem stavby.</t>
  </si>
  <si>
    <t>Koleno kanalizační  250/ 30° PVC /PP/ (DN 250), nástrčné hrdlo opatřené těsnicím kroužkem z elastomeru.
Výpočet - výměra, rozměr:
2 =&gt; množství [ks]  - stanoveno odhadem + ztratné 1,5%
Pozn.: Orientační počet daného rozměru, přesný počet bude vykázán zhotovitelem stavby.</t>
  </si>
  <si>
    <t>Koleno kanalizační  250/ 15° PVC /PP/ (DN 250), nástrčné hrdlo opatřené těsnicím kroužkem z elastomeru.
Výpočet - výměra, rozměr:
3 =&gt; množství [ks]  - stanoveno odhadem + ztratné 1,5%
Pozn.: Orientační počet daného rozměru, přesný počet bude vykázán zhotovitelem stavby.</t>
  </si>
  <si>
    <t>Přesuvka kanalizační  250 PVC /PP/ (DN 250), nástrčná hrdla opatřená těsnicím kroužkem z elastomeru.
Výpočet - výměra, rozměr:
8 =&gt; množství [ks]  - stanoveno odhadem + ztratné 1,5%
Pozn.: Orientační počet daného rozměru, přesný počet bude vykázán zhotovitelem stavby.</t>
  </si>
  <si>
    <t>59224356.A</t>
  </si>
  <si>
    <t>Skruž šachetní TBS-Q.1 100/25/12</t>
  </si>
  <si>
    <t>Dočasné zajištění potrubí ve výkopu vzniklé křížením (příp. souběhy), např.: podepřením, tvárnicemi, zákrytovými deskami.
Výpočet - výměra, rozměr:
6*1,78*0,50 =&gt; počet křížení [ks] * prům. šířka rýhy [m] - 50% z toho</t>
  </si>
  <si>
    <t>Dočasné zajištění kabelů ve výkopu vzniklé křížením, např.: podepřením, tvárnicemi, zákrytovými deskami.
Výpočet - výměra, rozměr:
2*1,78*0,50 =&gt; počet křížení [ks] * prům. šířka rýhy [m] - 50% z toho</t>
  </si>
  <si>
    <t>Množství m.j. je uvedeno dle předpokladu, celková cena této práce se stanoví podle skutečnosti při provádění stavebních prací. Den = 8 hodin.
Výpočet:
8*8 =&gt; předpoklad čerpání ve dnech * počet hodin - stanoveno odhadem</t>
  </si>
  <si>
    <t>Pohotovost čerpací soupravy. Oceňují se všechny dny od ukončení montáže po započetí demontáže čerpací soustavy.
Výpočet:
8 =&gt; předpokad čerpání ve dnech =&gt; stanoveno odhadem</t>
  </si>
  <si>
    <t>Odstranění stávajícího krytu přijezdné komunikace, včetně nakládání a odvozu na skládku do 1 km, započítaná i zpáteční cesta. 
Položka obsahuje: 
- řezání živičného krytu tl. 5 cm, 
- odstranění asfaltbetonového krytu tl. 6 cm 
- řezání podkladního asfaltobetonu tl. 7 cm 
- odstranění podkladního asfaltobetonu tl. 7 cm 
- odstranění kameniva zpevněného cementem tl. 15 cm 
- odstranění štěrkodrti tl. 32 cm 
- nakládání suti 
- vodorovná doprava suti do 1 km (položka neobsahuje poplatek za skládku)
Výpočet - výměra, rozměr:
113,50*1,78*1,05 =&gt; ÚSEK č.1 (KSÚS): délka úseku [m] * prům. šíře rýhy [m] + rezerva 5%</t>
  </si>
  <si>
    <t>Odstranění podkladu nad 50 m2,kam.těžené tl.18 cm - odstranění provizorní vrstvy.
Položka je určena i pro odstranění podkladů nebo krytů ze štěrkopísku, škváry, strusky nebo z mechanicky zpevněných zemin. Pro volbu položky z hlediska množství se uvažuje každá souvisle odstraňovaná plocha krytu nebo podkladu stejného druhu samostatně.
Výpočet - výměra, rozměr:
113,50*1,78 =&gt; ÚSEK č.1: délka úseku [m] * prům. šíře rýhy [m]</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</si>
  <si>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113,50*2,22*0,5*1,05 =&gt; ÚSEK č.1 (KSÚS): délka úseku [m] * prům.plocha [m2] * 50% (III. tř. horniny) + 5% rezerva</t>
  </si>
  <si>
    <t>Příplatek za lepivost, 50% celkového objemu výkopu. Do měrných jednotek se udává poměrné množství zeminy, které ulpí v nářadí a o které je snížen celkový výkon stroje.
Výpočet - výměra, rozměr:
132,28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</si>
  <si>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113,50*2,22*0,4*1,05 =&gt; ÚSEK č.1 (KSÚS): délka úseku [m] * prům.plocha [m2] * 40% (IV. tř. horniny) + 5% rezerva</t>
  </si>
  <si>
    <t>Příplatek za lepivost, 25% celkového objemu výkopu. Do měrných jednotek se udává poměrné množství zeminy, které ulpí v nářadí a o které je snížen celkový výkon stroje.
Výpočet - výměra, rozměr:
105,83 [m3] * 0,25 [%] =&gt; převzaté č. pol. 132301213R00 (Hloubení rýh v hor.4 do 10 000m3,STROJNĚ) * 25% z výkopku</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</si>
  <si>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Položka se používá bez ohledu na těžené množství.
viz. TABULKA TĚŽITELNOSTI HORNIN
Výpočet - výměra, rozměr:
113,50*2,22*0,1*1,05 =&gt; ÚSEK č.1 (KSÚS): délka úseku [m] * prům.plocha [m2] * 10% (V. tř. horniny) + 5% rezerva</t>
  </si>
  <si>
    <t>Příp. za hloub. rýh š. 200cm, v mokrém prostředí, hor. 1-7, nad 100 m3, příplatková položka, předpoklad mokré prostředí.
Výpočet - výměra, rozměr:
132,28+105,83+26,46+5,0+2,75 =&gt; součet výkopu v hor. tř. I. až VII. [m3]</t>
  </si>
  <si>
    <t>Pažení a rozepření stěny rýhy - příložné - hl. do 4 m. D+M
Výpočet - výměra, rozměr:
113,50*2,55*2*0,90 =&gt; délka trasy / úseku / stoky [m] * průměrná výška [m] * počet stěn [ks] - 90% z toho</t>
  </si>
  <si>
    <t>Odstranění pažení a rozepření stěny rýhy - příložné - hl. do 4 m. D+M
Výpočet - výměra, rozměr:
113,50*2,55*2*0,90 =&gt; délka trasy / úseku / stoky [m] * průměrná výška [m] * počet stěn [ks] - 90% z toho</t>
  </si>
  <si>
    <t>bez naložení do dopravní nádoby, ale s vyprázdněním dopravní nádoby na hromadu nebo na dopravní prostředek
hloubení rýh š. do 200 cm objemu do 10 000 m3 (stavba globálně): 3 %
Výpočet - výměra, rozměr:
(132,28+105,83)*0,03 =&gt; součet kubatury horn.  tř. I. až IV. * 3 % - stanoveno z tabulky pro určení podílu svislého přemístění výkopku</t>
  </si>
  <si>
    <t>bez naložení do dopravní nádoby, ale s vyprázdněním dopravní nádoby na hromadu nebo na dopravní prostředek
hloubení rýh š. do 200 cm objemu do 10 000 m3 (stavba globálně): 3 %
viz. TABULKA TĚŽITELNOSTI HORNIN
Výpočet:
(24,46+5,0+2,75)*0,03 =&gt; součet kubatury horn.  tř. V. až VII. * 3 % - stanoveno z tabulky pro určení podílu svislého přemístění výkopku</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</si>
  <si>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(132,28+105,83) =&gt; celkový výkop hor. tř. I.-IV. [m3]
-131,09 =&gt; odečet kubatury zeminy potřebné k zásypu [m3]</t>
  </si>
  <si>
    <t>1 km nad rozpočtovou položku s odvozem nad 10 km, příplatek za 1 km, včetně zpáteční cesty.
Předpoklad uložení skládka (AVE CZ, Jindřichův Hradec - Žirovnice ul. Hradecká = 24,0 km).
Výpočet - výměra, rozměr:
107,02*14,0 =&gt; kubatura k přemístění [m3] * počet km nad 10 km [-]</t>
  </si>
  <si>
    <t>Po suchu, bez naložení výkopku, avšak se složením bez rozhrnutí, zpáteční cesta vozidla.
Předpoklad uložení - skládka (AVE CZ, Jindřichův Hradec - Žirovnice ul. Hradecká = 24,0 km).
Výpočet - výměra, rozměr:
26,46+5,00+2,75 =&gt; součet výkopků tř. V. až VII. [m3]</t>
  </si>
  <si>
    <t>1 km nad rozpočtovou položku s odvozem nad 10 km, příplatek za 1 km, včetně zpáteční cesty.
Předpoklad uložení skládka  (AVE CZ, Jindřichův Hradec - Žirovnice ul. Hradecká = 24,0 km).
Výpočet - výměra, rozměr:
34,21*14 =&gt; kubatura k přemístění [m3] * počet km nad 10 km [-]</t>
  </si>
  <si>
    <t>Naložení a složení výkopku tř. 1. až 4. z mezideponie pro zásyp rýhy.
Výpočet - výměra, rozměr:
2*131,09 =&gt; počet nakládání / skládání [-] * kubatura horniny tř. I. - IV. potřebná pro zásyp [m3]</t>
  </si>
  <si>
    <t>Položka obsahuje naložení, odvoz výkopku na mezideponii, složení výkopku a zpáteční cestu.
Výpočet - výměra, rozměr:
2*131,09 =&gt; 1x odvoz + 1x dovoz [-] * kubatura horniny tř. I. - IV. potřebná pro zásyp [m3]</t>
  </si>
  <si>
    <t>Obsyp hutnitelným nesoudržným materiálem (f = 0-16 mm pro PP/PVC) , pro jakoukoliv hloubku výkopu a jakoukoliv míru zhutnění, včetně dodávky obsypového materiálu. D+M
viz. PODÉLNÉ PROFILY
Výpočet - výměra, rozměr:
113,50*0,71*1,05 =&gt; délka trasy úseku / stoky [m] * plocha obsypu [m2] + rezerva na zhutnění 5%
-(113,50*(pi*0,125^2)) =&gt; odečet kubatury vytlačené potrubím [m3]</t>
  </si>
  <si>
    <t>Zásyp jam, rýh, šachet se zhutněním z jakékoliv horniny (tř. I - IV.) s uložením výkopku po vrtstvách, max. velikost kamene 100 mm, přebytečná zemina odvezena na skládku:
viz. PODÉLNÉ PROFILY
Výpočet - výměra, rozměr:
113,50*1,10*1,05 =&gt; ÚSEK č.1 (KSÚS): délka úseku [m] * prům.pl. zásypu [m2]  + 5% rezerva na zhutnění</t>
  </si>
  <si>
    <t>Výpočet - výměra, rozměr:
107,02 =&gt; kubatura [m3] - převzato z pol. vodorovného přesunu horn. tř. 1 - 4</t>
  </si>
  <si>
    <t>Výpočet - výměra, rozměr:
34,21 =&gt; kubatura [m3] - převzato z pol. vodorovného přesunu horn. tř. 5 - 7</t>
  </si>
  <si>
    <t>Zhutnění podloží pod potrubím válcem.
Výpočet - výměra, rozměr:
113,50*1,05*1,10 =&gt; délka řadu [m] * šířka lože [m] + 10% rezerva</t>
  </si>
  <si>
    <t>Beton podkladní pod základové konstrukce, prostý - betonové lože pod revizní šachtu, tl. 0,20 m, a = 1,20 m. D+M
Výpočet - výměra, rozměr:
3*(1,2*1,2*0,2) =&gt; počet šachet [ks] * objem podkladového bet. pod šachtu [m3]</t>
  </si>
  <si>
    <t>Zhotovení podkladního lože pod kanalizační potrubí ze štěrkopísku, f = 0 - 4 mm, včetně dodávky podkladového materiálu. D+M
Výpočet - výměra, rozměr:
113,50*1,05*0,15*1,15 =&gt; délka trasy úseku / stoky [m] * šíře rýhy [m] * tl. lože [m] + rezerva na zhutnění 15%</t>
  </si>
  <si>
    <t>Podklad ze štěrkodrti po zhutnění tloušťky 17 cm - podkladní (zpevňovací) vrstva komunikace, štěrkodrť f = 0 - 63 mm, včetně dodávky štěrkodrti. D+M
Výpočet - výměra, rozměr:
113,50*1,54*1,05 =&gt; ÚSEK č.1: délka úseku [m] * prům. šíře rýhy [m] + rezerva 5%</t>
  </si>
  <si>
    <t>Podkladní vrstva z kameniva drceného, f = 32 - 63 mm, s výplň.kamen., tl. vrstvy 25 cm, včetně dodávky kameniva. D+M
Výpočet - výměra, rozměr:
113,50*1,63*1,05 =&gt; ÚSEK č.1: délka úseku [m] * prům. šíře rýhy [m] + rezerva 5%</t>
  </si>
  <si>
    <t>Podkladní vrstva z kameniva drceného, f = 32 - 63 mm, s výplň.kamen., tl. vrstvy 20 cm, včetně dodávky kameniva. D+M
Výpočet - výměra, rozměr:
113,50*1,63*1,05 =&gt; ÚSEK č.1: délka úseku [m] * prům. šíře rýhy [m] + rezerva 5%</t>
  </si>
  <si>
    <t>Podklad ze štěrkodrti po zhutnění tloušťky 18 cm, vrchní vrstva - dočasná po dobu stavby před celoplošnou rekonstrukcí komunikace, včetně dodávky štěrkodrti (f = 0 - 32 mm). D+M
Výpočet - výměra, rozměr:
113,50*1,78 =&gt; ÚSEK č.1: délka úseku [m] * prům. šíře rýhy [m]</t>
  </si>
  <si>
    <t>Podklad z obal kam.ACP 16+,ACP 22+,do 3 m,tl. 8 cm, ložní vrstva komunikace. D+M
Výpočet - výměra, rozměr:
113,50*1,78 =&gt; ÚSEK č.1: délka úseku [m] * prům. šíře rýhy [m]</t>
  </si>
  <si>
    <t>Příplatek za zpevnění štěrkové vrstvy cementem (pl. do 5000 m2), včetně dodávky cementové směsi a promísení, tl. do 20 cm. M+D
Výpočet - výměra, rozměr:
113,50*1,63*1,05 =&gt; ÚSEK č.1: délka úseku [m] * prům. šíře rýhy [m] + rezerva 5%</t>
  </si>
  <si>
    <t>Postřik spojovací z KAE modifikované, 0,7 kg/m2. D+M 
Výpočet - výměra, rozměr:
113,50*1,78 =&gt; ÚSEK č.1: délka úseku [m] * prům. šíře rýhy [m]</t>
  </si>
  <si>
    <t>Montáž potrubí z tvrdého PVC těsněných gumovým kroužkem. V položce jsou zakalkulovány i náklady na montáž tvarovek. V položce nejsou zakalkulovány náklady na dodání trubek a tvarovek (mimo odbočné tvarovky), tyto materiály jsou oceněny samostaně ve specifikaci. M
Výpočet - výměra, rozměr:
113,50 =&gt; celková délka montáže potrubí dané světlosti [m]</t>
  </si>
  <si>
    <t>Montáž dvouossých kanalizačních odbočných tvarovek daného průměru (kanalizační odbočení pro jednotlivé nemovitosti).
Položka je určena pro montáž tvarovek odbočných na potrubí z kanalizačních trub z plastu těsněných gumovým kroužkem v otevřeném výkopu. M
Výpočet - výměra, rozměr:
5 =&gt; součet všech odbočných tvarovek [ks]</t>
  </si>
  <si>
    <t>Položka je určena pro montáž tvarovek jednoosých na potrubí z kanalizačních trub z plastu těsněných gumovým kroužkem v otevřeném výkopu. M
Výpočet - výměra, rozměr:
5 =&gt; součet všech jednoosých tvarovek [ks]</t>
  </si>
  <si>
    <t>Vyčištění kanalizační stoky - proplach vodou před zkouškou těsnosti kanalizace, v položce jsou započteny i náklady na dodání vody. D+M
Výpočet - výměra, rozměr:
113,50 =&gt; délka gravitační kanalizace [m]</t>
  </si>
  <si>
    <t>Položka je určena pro zabezpečení jakéhokoliv druhu potrubí v úseku mezi dvěma šachtami pro staveništní čerpání pro zkoušku těsnosti potrubí. V položce jsou zakalkulovány náklady na osazení a odstranění dvou těsnicích uzávěrů.
Výpočet - výměra, rozměr:
3 =&gt; počet úseků na trase  (úsek = libovolná vzdálenost mezi dvěma šachtami)</t>
  </si>
  <si>
    <t>Zkouška těsnosti dešťové kanalizace DN do 300, vodou, včetně nákladů dodávek na vodu, napuštění vodou, zabezpečení konců zajištěno předchozí položkou. D+M
Výpočet - výměra, rozměr:
113,50 =&gt; délka kanalizačního potrubí [m]</t>
  </si>
  <si>
    <t>Kontrola kanalizace TV kamerou nad 500 m, včetně TV záznamu s kontrolou ovality potrubí. D+M
Výpočet - výměra, rozměr:
113,50 =&gt; délka gravit. kanalizace [m]</t>
  </si>
  <si>
    <t>Dodávka a uložení výstražné fólie, hnědé barvy s nápisem "KANALIZACE" / "POZOR KANALIZACE", cca 30 cm nad povrchem potrubí. D+M
Výpočet - výměra, rozměr:
113,5*1,10 =&gt; délka potrubí /úseku/ [m] + rezerva 10%</t>
  </si>
  <si>
    <t>Příplatek za ztíženou montáž kanalizace v hornině mokré - předpoklad: mokré prostředí.
Výpočet - výměra, rozměr:
113,50 =&gt; odhad mokré prostředí: délka [m]</t>
  </si>
  <si>
    <t>Výpočet - výměra, rozměr:
271,03*0,75 =&gt; celková hmotnost odebraných konstrukcí komunikací [t]  =&gt; z toho prům. 75%</t>
  </si>
  <si>
    <t>Přesun hmot, komunikace z kameniva, příplatek 1 km - odvoz na skládku (AVE CZ, Jindřichův Hradec - Žirovnice ul. Hradecká = 24,0 km).
Výpočet - výměra, rozměr:
23*271,03*0,75 =&gt; počet km [-] * celk. odebraná hmotnost vrstev komunikace [t] =&gt; z toho 75%</t>
  </si>
  <si>
    <t>Přesun hmot, kryt živičný (do 1 km) - odvoz na skládku investora (Skládka - Žirovnice ul. Hradecká = 1,0 km).
Výpočet - výměra, rozměr:
271,03*0,25 =&gt; celk. odebraná hmotnost vrstev komunikace [t] =&gt; z toho 25%</t>
  </si>
  <si>
    <t>Potrubí z  PP / PVC-U v kruhové tuhosti min. SN 12 kN/m2, d 250 mm s plnostěnnou konstrukcí stěny vyráběné dle ČSN EN 1401. Parametry zejména určena pro splaškové kanalizace, kde je vyžadována co nejvyšší síla stěny. Potrubí využívá řadu PVC nebo PP  tvarovek v odpovídající síle stěny. Potrubí je oranžové/hnědé barvy a je spojováno pomocí hrdel a gumového těsnění jištěné plastovým kroužkem. Dodávka materiálu. D
Výpočet - výměra, rozměr:
(113,50*0,75)/6,0 =&gt; celková délka potrubí [m] * 75% z celku / délka trubky + ztratné 10%
Pozn.: Orientační počet daného rozměru, přesný počet bude vykázán zhotovitelem stavby.</t>
  </si>
  <si>
    <t>Potrubí z  PP / PVC-U v kruhové tuhosti min. SN 12 kN/m2, d 250 mm s plnostěnnou konstrukcí stěny vyráběné dle ČSN EN 1401. Parametry zejména určena pro splaškové kanalizace, kde je vyžadována co nejvyšší síla stěny. Potrubí využívá řadu PVC nebo PP  tvarovek v odpovídající síle stěny. Potrubí je oranžové/hnědé barvy a je spojováno pomocí hrdel a gumového těsnění jištěné plastovým kroužkem. Dodávka materiálu. D
Výpočet - výměra, rozměr:
(113,50*0,25)/6,0 =&gt; celková délka potrubí [m] * 25% z celku / délka trubky + ztratné 10%
Pozn.: Orientační počet daného rozměru, přesný počet bude vykázán zhotovitelem stavby.</t>
  </si>
  <si>
    <t>Odbočka kanalizační  250/ 160/45° PVC /PP/, nástrčná hrdla opatřená těsnicím kroužkem z elastomeru.
Výpočet - výměra, rozměr:
5 =&gt; počet odbočení na stoce [ks]</t>
  </si>
  <si>
    <t>Dočasné zajištění potrubí ve výkopu vzniklé křížením (příp. souběhy), např.: podepřením, tvárnicemi, zákrytovými deskami.
Výpočet - výměra, rozměr:
4*1,74*0,50 =&gt; počet křížení [ks] * prům. šířka rýhy [m] - 50% z toho</t>
  </si>
  <si>
    <t>Dočasné zajištění kabelů ve výkopu vzniklé křížením, např.: podepřením, tvárnicemi, zákrytovými deskami.
Výpočet - výměra, rozměr:
3*1,74*0,50 =&gt; počet křížení [ks] * prům. šířka rýhy [m] - 50% z toho</t>
  </si>
  <si>
    <t>Množství m.j. je uvedeno dle předpokladu, celková cena této práce se stanoví podle skutečnosti při provádění stavebních prací. Den = 8 hodin.
Výpočet:
5*8 =&gt; předpoklad čerpání ve dnech * počet hodin - stanoveno odhadem</t>
  </si>
  <si>
    <t>Pohotovost čerpací soupravy. Oceňují se všechny dny od ukončení montáže po započetí demontáže čerpací soustavy.
Výpočet:
5 =&gt; předpokad čerpání ve dnech =&gt; stanoveno odhadem</t>
  </si>
  <si>
    <t>Odstranění stávajícího krytu přijezdné komunikace, včetně nakládání a odvozu na skládku do 1 km, započítaná i zpáteční cesta. 
Položka obsahuje: 
- řezání živičného krytu tl. 5 cm, 
- odstranění asfaltbetonového krytu tl. 6 cm 
- řezání podkladního asfaltobetonu tl. 7 cm 
- odstranění podkladního asfaltobetonu tl. 7 cm 
- odstranění kameniva zpevněného cementem tl. 15 cm 
- odstranění štěrkodrti tl. 32 cm 
- nakládání suti 
- vodorovná doprava suti do 1 km (položka neobsahuje poplatek za skládku)
Výpočet - výměra, rozměr:
3,30*1,74*1,05 =&gt; ÚSEK č.1 (KSÚS): délka úseku [m] * prům. šíře rýhy [m] + rezerva 5%</t>
  </si>
  <si>
    <t>Odstranění podkladu nad 50 m2,kam.těžené tl.18 cm - odstranění provizorní vrstvy.
Položka je určena i pro odstranění podkladů nebo krytů ze štěrkopísku, škváry, strusky nebo z mechanicky zpevněných zemin. Pro volbu položky z hlediska množství se uvažuje každá souvisle odstraňovaná plocha krytu nebo podkladu stejného druhu samostatně.
Výpočet - výměra, rozměr:
3,30*1,74 =&gt; ÚSEK č.1 (KSÚS): délka úseku [m] * prům. šíře rýhy [m]</t>
  </si>
  <si>
    <t>Rozebrání dlažeb ze zámkové dlažby v kamenivu, resp. v štěrkovém loži. 
Položka je určená pro rozebrání zámkových dlažeb, tl. 8 cm, včetně odebrání ložních a konstrukčních štěrkových, příp. štěrkopískových vrstev s naložením na dopravní prostředek a odvozem na skládku do 1 km.
Položka obsahuje: 
- rozebrání dlažebních kostek, tl. 8 cm
- odstranění ložní vrstvy štěrkopísku (f = 0 - 4 mm), tl. 4 cm,
- odstranění štěrkového podkladu, tl. do 50 cm
- nakládání suti, vodorovná doprava suti do 1 km
Výpočet - výměra, rozměr:
1,60*1,74*1,05 =&gt; ÚSEK č.1 (CHOD): délka úseku [m] * prům. šíře rýhy [m] + rezerva 5%</t>
  </si>
  <si>
    <t>Sejmutí ornice s přemístěním do 50 m, uložením na dočasnou skládku. M+D
Výpočet - výměra, rozměr: 
13,10*1,74*0,20*1,05 =&gt; délka úseku nezpevněné plochy [m] * prům. šíře rýhy [m] * tl. vrstvy [m] + 5% rezerva</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</si>
  <si>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3,30*1,89*0,5*1,05 =&gt; ÚSEK č.1 (KSÚS): délka úseku [m] * prům.plocha [m2] * 50% (III. tř. horniny) + 5% rezerva
1,60*2,25*0,5*1,05 =&gt; ÚSEK č.1 (CHOD): délka úseku [m] * prům.plocha [m2] * 50% (III. tř. horniny) + 5% rezerva
13,10*2,90*0,5*1,05 =&gt; ÚSEK č.1 (NZP): délka úseku [m] * prům.plocha [m2] * 50% (III. tř. horniny) + 5% rezerva</t>
  </si>
  <si>
    <t>Příplatek za lepivost, 50% celkového objemu výkopu. Do měrných jednotek se udává poměrné množství zeminy, které ulpí v nářadí a o které je snížen celkový výkon stroje.
Výpočet - výměra, rozměr:
25,10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</si>
  <si>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3,30*1,89*0,4*1,05 =&gt; ÚSEK č.1 (KSÚS): délka úseku [m] * prům.plocha [m2] * 40% (IV. tř. horniny) + 5% rezerva
1,60*2,25*0,4*1,05 =&gt; ÚSEK č.1 (CHOD): délka úseku [m] * prům.plocha [m2] * 40% (IV. tř. horniny) + 5% rezerva
13,10*2,90*0,4*1,05 =&gt; ÚSEK č.1 (NZP): délka úseku [m] * prům.plocha [m2] * 40% (IV. tř. horniny) + 5% rezerva</t>
  </si>
  <si>
    <t>Příplatek za lepivost, 25% celkového objemu výkopu. Do měrných jednotek se udává poměrné množství zeminy, které ulpí v nářadí a o které je snížen celkový výkon stroje.
Výpočet - výměra, rozměr:
20,09 [m3] * 0,25 [%] =&gt; převzaté č. pol. 132301213R00 (Hloubení rýh v hor.4 do 10 000m3,STROJNĚ) * 25% z výkopku</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</si>
  <si>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Položka se používá bez ohledu na těžené množství.
viz. TABULKA TĚŽITELNOSTI HORNIN
Výpočet - výměra, rozměr:
3,30*1,89*0,1*1,05 =&gt; ÚSEK č.1 (KSÚS): délka úseku [m] * prům.plocha [m2] * 10% (V. tř. horniny) + 5% rezerva
1,60*2,25*0,1*1,05 =&gt; ÚSEK č.1 (CHOD): délka úseku [m] * prům.plocha [m2] * 10% (V. tř. horniny) + 5% rezerva
13,10*2,90*0,1*1,05 =&gt; ÚSEK č.1 (NZP): délka úseku [m] * prům.plocha [m2] * 10% (V. tř. horniny) + 5% rezerva</t>
  </si>
  <si>
    <t>Příp. za hloub. rýh š. 200cm, v mokrém prostředí, hor. 1-7, nad 100 m3, příplatková položka, předpoklad mokré prostředí.
Výpočet - výměra, rozměr:
25,10+20,09+5,02+2+2,75 =&gt; součet výkopu v hor. tř. I. až VII. [m3]</t>
  </si>
  <si>
    <t>Pažení a rozepření stěny rýhy - příložné - hl. do 4 m. D+M
Výpočet - výměra, rozměr:
18,00*2,10*2*0,90 =&gt; délka trasy / úseku / stoky [m] * průměrná výška [m] * počet stěn [ks] - 90% z toho</t>
  </si>
  <si>
    <t>Odstranění pažení a rozepření stěny rýhy - příložné - hl. do 4 m. D+M
Výpočet - výměra, rozměr:
18,00*2,10*2*0,90 =&gt; délka trasy / úseku / stoky [m] * průměrná výška [m] * počet stěn [ks] - 90% z toho</t>
  </si>
  <si>
    <t>bez naložení do dopravní nádoby, ale s vyprázdněním dopravní nádoby na hromadu nebo na dopravní prostředek
hloubení rýh š. do 200 cm objemu do 10 000 m3 (stavba globálně): 3 %
Výpočet - výměra, rozměr:
(25,10+20,09)*0,03 =&gt; součet kubatury horn.  tř. I. až IV. * 3 % - stanoveno z tabulky pro určení podílu svislého přemístění výkopku</t>
  </si>
  <si>
    <t>bez naložení do dopravní nádoby, ale s vyprázdněním dopravní nádoby na hromadu nebo na dopravní prostředek
hloubení rýh š. do 200 cm objemu do 10 000 m3 (stavba globálně): 3 %
viz. TABULKA TĚŽITELNOSTI HORNIN
Výpočet:
(5,02+2,0+2,75)*0,03 =&gt; součet kubatury horn.  tř. V. až VII. * 3 % - stanoveno z tabulky pro určení podílu svislého přemístění výkopku</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</si>
  <si>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(25,10+20,09) =&gt; celkový výkop hor. tř. I.-IV. [m3]
-33,70 =&gt; odečet kubatury zeminy potřebné k zásypu [m3]</t>
  </si>
  <si>
    <t>1 km nad rozpočtovou položku s odvozem nad 10 km, příplatek za 1 km, včetně zpáteční cesty.
Předpoklad uložení skládka (AVE CZ, Jindřichův Hradec - Žirovnice ul. Hradecká = 24,0 km).
Výpočet - výměra, rozměr:
11,49*14,0 =&gt; kubatura k přemístění [m3] * počet km nad 10 km [-]</t>
  </si>
  <si>
    <t>Po suchu, bez naložení výkopku, avšak se složením bez rozhrnutí, zpáteční cesta vozidla.
Předpoklad uložení - skládka (AVE CZ, Jindřichův Hradec - Žirovnice ul. Hradecká = 24,0 km).
Výpočet - výměra, rozměr:
5,02+2,00+2,75 =&gt; součet výkopků tř. V. až VII. [m3]</t>
  </si>
  <si>
    <t>1 km nad rozpočtovou položku s odvozem nad 10 km, příplatek za 1 km, včetně zpáteční cesty.
Předpoklad uložení skládka  (AVE CZ, Jindřichův Hradec - Žirovnice ul. Hradecká = 24,0 km).
Výpočet - výměra, rozměr:
9,77*14 =&gt; kubatura k přemístění [m3] * počet km nad 10 km [-]</t>
  </si>
  <si>
    <t>Naložení a složení výkopku tř. 1. až 4. z mezideponie pro zásyp rýhy.
Výpočet - výměra, rozměr:
2*33,70 =&gt; počet nakládání / skládání [-] * kubatura horniny tř. I. - IV. potřebná pro zásyp [m3]</t>
  </si>
  <si>
    <t>Položka obsahuje naložení, odvoz výkopku na mezideponii, složení výkopku a zpáteční cestu.
Výpočet - výměra, rozměr:
2*33,70 =&gt; 1x odvoz + 1x dovoz [-] * kubatura horniny tř. I. - IV. potřebná pro zásyp [m3]</t>
  </si>
  <si>
    <t>Nakládání, skládání, překládání ornice v množství do 100 m3 na / (z) mezideponii(e).
Výpočet - výměra, rozměr:
2*4,79 =&gt; počet nakládání / skládání [-] * kubatura ornice [m3]</t>
  </si>
  <si>
    <t>Vodorovné přemístění ornice - odvoz / dovoz - mezideponie.
Výpočet - výměra, rozměr:
2*4,79 =&gt; počet přesunů 1x odvoz, 1x dovoz [-] * kubatura ornice [m3]</t>
  </si>
  <si>
    <t>Obsyp hutnitelným nesoudržným materiálem (f = 0-16 mm pro PP/PVC) , pro jakoukoliv hloubku výkopu a jakoukoliv míru zhutnění, včetně dodávky obsypového materiálu. D+M
viz. PODÉLNÉ PROFILY
Výpočet - výměra, rozměr:
18,00*0,66*1,05 =&gt; délka trasy úseku / stoky [m] * plocha obsypu [m2] + rezerva na zhutnění 5%
-(18,00*(pi*0,125^2)) =&gt; odečet kubatury vytlačené potrubím [m3]</t>
  </si>
  <si>
    <t>Zásyp jam, rýh, šachet se zhutněním z jakékoliv horniny (tř. I - IV.) s uložením výkopku po vrtstvách, max. velikost kamene 100 mm, přebytečná zemina odvezena na skládku:
viz. PODÉLNÉ PROFILY
Výpočet - výměra, rozměr:
3,30*0,82*1,05 =&gt; ÚSEK č.1 (KSÚS): délka úseku [m] * prům.pl. zásypu [m2]  + 5% rezerva na zhutnění
1,60*1,42*1,05 =&gt; ÚSEK č.1 (CHOD): délka úseku [m] * prům.pl. zásypu [m2]  + 5% rezerva na zhutnění
13,10*2,07*1,05 =&gt; ÚSEK č.1 (NZP): délka úseku [m] * prům.pl. zásypu [m2]  + 5% rezerva na zhutnění</t>
  </si>
  <si>
    <t>Rozprostření vrstvy ornice v rovině / mírném svahu, tloušťka 20 cm.
Výpočet - výměra, rozměr:
13,10*1,74*1,05 =&gt; délka trasy úseku / stoky [m] * šíře rýhy [m]  + 5% rezerva</t>
  </si>
  <si>
    <t>Výpočet - výměra, rozměr:
11,49 =&gt; kubatura [m3] - převzato z pol. vodorovného přesunu horn. tř. 1 - 4</t>
  </si>
  <si>
    <t>Výpočet - výměra, rozměr:
9,77 =&gt; kubatura [m3] - převzato z pol. vodorovného přesunu horn. tř. 5 - 7</t>
  </si>
  <si>
    <t>Zhutnění podloží pod potrubím válcem.
Výpočet - výměra, rozměr:
18,00*1,05*1,10 =&gt; délka řadu [m] * šířka lože [m] + 10% rezerva</t>
  </si>
  <si>
    <t>Beton podkladní pod základové konstrukce, prostý - betonové lože pod revizní šachtu, tl. 0,20 m, a = 1,20 m. D+M
Výpočet - výměra, rozměr:
1*(0,8*0,8*0,2) =&gt; počet šachet [ks] * objem podkladového bet. pod šachtu [m3]</t>
  </si>
  <si>
    <t>Zhotovení podkladního lože pod kanalizační potrubí ze štěrkopísku, f = 0 - 4 mm, včetně dodávky podkladového materiálu. D+M
Výpočet - výměra, rozměr:
18,00*1,10*0,15*1,15 =&gt; délka trasy úseku / stoky [m] * šíře rýhy [m] * tl. lože [m] + rezerva na zhutnění 15%</t>
  </si>
  <si>
    <t>Podklad ze štěrkodrti po zhutnění tloušťky 17 cm - podkladní (zpevňovací) vrstva komunikace, štěrkodrť f = 0 - 63 mm, včetně dodávky štěrkodrti. D+M
Výpočet - výměra, rozměr:
3,30*1,50*1,05 =&gt; ÚSEK č.1: délka úseku [m] * prům. šíře rýhy [m] + rezerva 5%</t>
  </si>
  <si>
    <t>Podkladní vrstva z kameniva drceného, f = 32 - 63 mm, s výplň.kamen., tl. vrstvy 25 cm, včetně dodávky kameniva. D+M
Výpočet - výměra, rozměr:
3,30*1,59*1,05 =&gt; ÚSEK č.1: délka úseku [m] * prům. šíře rýhy [m] + rezerva 5%</t>
  </si>
  <si>
    <t>Podkladní vrstva z kameniva drceného, f = 32 - 63 mm, s výplň.kamen., tl. vrstvy 20 cm, včetně dodávky kameniva. D+M
Výpočet - výměra, rozměr:
3,30*1,59*1,05 =&gt; ÚSEK č.1: délka úseku [m] * prům. šíře rýhy [m] + rezerva 5%</t>
  </si>
  <si>
    <t>Podklad ze štěrkodrti po zhutnění tloušťky 18 cm, vrchní vrstva - dočasná po dobu stavby před celoplošnou rekonstrukcí komunikace, včetně dodávky štěrkodrti (f = 0 - 32 mm). D+M
Výpočet - výměra, rozměr:
3,30*1,74 =&gt; ÚSEK č.1: délka úseku [m] * prům. šíře rýhy [m]</t>
  </si>
  <si>
    <t>Podklad z obal kam.ACP 16+,ACP 22+,do 3 m,tl. 8 cm, ložní vrstva komunikace. D+M
Výpočet - výměra, rozměr:
3,30*1,74 =&gt; ÚSEK č.1: délka úseku [m] * prům. šíře rýhy [m]</t>
  </si>
  <si>
    <t>Příplatek za zpevnění štěrkové vrstvy cementem (pl. do 5000 m2), včetně dodávky cementové směsi a promísení, tl. do 20 cm. M+D
Výpočet - výměra, rozměr:
3,30*1,59*1,05 =&gt; ÚSEK č.1: délka úseku [m] * prům. šíře rýhy [m] + rezerva 5%</t>
  </si>
  <si>
    <t>Postřik spojovací z KAE modifikované, 0,7 kg/m2. D+M 
Výpočet - výměra, rozměr:
3,30*1,74 =&gt; ÚSEK č.1: délka úseku [m] * prům. šíře rýhy [m]</t>
  </si>
  <si>
    <t>Komunikace / chodník z dlažby zámkové, podklad štěrkopísek, dlažba přírodní tloušťka 8 cm, včetně zemních prací. D+M
Skladba: 
- podklad ze štěrkopísku, tl. 17 cm 
- podklad z drceného kameniva, tl. 30 cm 
- lože z kameniva, tl. 5 cm 
- dlažba zámková, betonová, tl. 8 cm
Výpočet - výměra, rozměr	Poznámka
1,60*1,74*1,05 =&gt; ÚSEK č.1: délka [m] * šířka [m] + rezerva 5%</t>
  </si>
  <si>
    <t>Montáž potrubí z tvrdého PVC těsněných gumovým kroužkem. V položce jsou zakalkulovány i náklady na montáž tvarovek. V položce nejsou zakalkulovány náklady na dodání trubek a tvarovek (mimo odbočné tvarovky), tyto materiály jsou oceněny samostaně ve specifikaci. M
Výpočet - výměra, rozměr:
18,0 =&gt; celková délka montáže potrubí dané světlosti [m]</t>
  </si>
  <si>
    <t>Montáž dvouossých kanalizačních odbočných tvarovek daného průměru (kanalizační odbočení pro jednotlivé nemovitosti).
Položka je určena pro montáž tvarovek odbočných na potrubí z kanalizačních trub z plastu těsněných gumovým kroužkem v otevřeném výkopu. M
Výpočet - výměra, rozměr:
1 =&gt; součet všech odbočných tvarovek [ks]</t>
  </si>
  <si>
    <t>Položka je určena pro montáž tvarovek jednoosých na potrubí z kanalizačních trub z plastu těsněných gumovým kroužkem v otevřeném výkopu. M
Výpočet - výměra, rozměr:
9 =&gt; součet všech jednoosých tvarovek [ks]</t>
  </si>
  <si>
    <t>Kompletní dodávka a montáž přefabrikované plastové šachty, D 600 mm, dl. šach. roury 2,00 m, 1 přítok. D+M
Položka obsahuje:
- dodávka osazení plastového dna, 
- dodávka a osazení korugované šachtové roury, 
- dodávka a vložení těsnění, 
- dodávka a osazení šachtové teleskopické roury
- osazení litinového poklopu.
viz. VÝPIS KANALIZAČNÍCH ŠACHET
Výpočet - výměra, rozměr:
1 =&gt; počet navrhovaných šachet [ks]</t>
  </si>
  <si>
    <t>Vyčištění kanalizační stoky - proplach vodou před zkouškou těsnosti kanalizace, v položce jsou započteny i náklady na dodání vody. D+M
Výpočet - výměra, rozměr:
18,0 =&gt; délka gravitační kanalizace [m]</t>
  </si>
  <si>
    <t>Položka je určena pro zabezpečení jakéhokoliv druhu potrubí v úseku mezi dvěma šachtami pro staveništní čerpání pro zkoušku těsnosti potrubí. V položce jsou zakalkulovány náklady na osazení a odstranění dvou těsnicích uzávěrů.
Výpočet - výměra, rozměr:
1 =&gt; počet úseků na trase  (úsek = libovolná vzdálenost mezi dvěma šachtami)</t>
  </si>
  <si>
    <t>Zkouška těsnosti dešťové kanalizace DN do 300, vodou, včetně nákladů dodávek na vodu, napuštění vodou, zabezpečení konců zajištěno předchozí položkou. D+M
Výpočet - výměra, rozměr:
18,0 =&gt; délka kanalizačního potrubí [m]</t>
  </si>
  <si>
    <t>Kontrola kanalizace TV kamerou do 50 m, včetně TV záznamu s kontrolou ovality potrubí. D+M
Výpočet - výměra, rozměr:
18,0 =&gt; délka gravit. kanalizace [m]</t>
  </si>
  <si>
    <t>Dodávka a uložení výstražné fólie, hnědé barvy s nápisem "KANALIZACE" / "POZOR KANALIZACE", cca 30 cm nad povrchem potrubí. D+M
Výpočet - výměra, rozměr:
18,0*1,10 =&gt; délka potrubí /úseku/ [m] + rezerva 10%</t>
  </si>
  <si>
    <t>Příplatek za ztíženou montáž kanalizace v hornině mokré - předpoklad: mokré prostředí.
Výpočet - výměra, rozměr:
18,0 =&gt; odhad mokré prostředí: délka [m]</t>
  </si>
  <si>
    <t>Výpočet - výměra, rozměr:
7,70*0,75 =&gt; celková hmotnost odebraných konstrukcí komunikací [t]  =&gt; z toho prům. 75%</t>
  </si>
  <si>
    <t>Přesun hmot, komunikace z kameniva, příplatek 1 km - odvoz na skládku (AVE CZ, Jindřichův Hradec - Žirovnice ul. Hradecká = 24,0 km).
Výpočet - výměra, rozměr:
23*7,70*0,75 =&gt; počet km [-] * celk. odebraná hmotnost vrstev komunikace [t] =&gt; z toho 75%</t>
  </si>
  <si>
    <t>Přesun hmot, kryt živičný (do 1 km) - odvoz na skládku investora (Skládka - Žirovnice ul. Hradecká = 2,0 km).
Výpočet - výměra, rozměr:
7,70*0,25 =&gt; celk. odebraná hmotnost vrstev komunikace [t] =&gt; z toho 25%</t>
  </si>
  <si>
    <t>Potrubí z  PP / PVC-U v kruhové tuhosti min. SN 12 kN/m2, d 250 mm s plnostěnnou konstrukcí stěny vyráběné dle ČSN EN 1401. Parametry zejména určena pro splaškové kanalizace, kde je vyžadována co nejvyšší síla stěny. Potrubí využívá řadu PVC nebo PP  tvarovek v odpovídající síle stěny. Potrubí je oranžové/hnědé barvy a je spojováno pomocí hrdel a gumového těsnění jištěné plastovým kroužkem. Dodávka materiálu. D
Výpočet - výměra, rozměr:
(18,0*0,75)/6,0 =&gt; celková délka potrubí [m] * 75% z celku / délka trubky + ztratné 10%
Pozn.: Orientační počet daného rozměru, přesný počet bude vykázán zhotovitelem stavby.</t>
  </si>
  <si>
    <t>Potrubí z  PP / PVC-U v kruhové tuhosti min. SN 12 kN/m2, d 250 mm s plnostěnnou konstrukcí stěny vyráběné dle ČSN EN 1401. Parametry zejména určena pro splaškové kanalizace, kde je vyžadována co nejvyšší síla stěny. Potrubí využívá řadu PVC nebo PP  tvarovek v odpovídající síle stěny. Potrubí je oranžové/hnědé barvy a je spojováno pomocí hrdel a gumového těsnění jištěné plastovým kroužkem. Dodávka materiálu. D
Výpočet - výměra, rozměr:
(18,00*0,25)/3,0 =&gt; celková délka potrubí [m] * 25% z celku / délka trubky + ztratné 10%
Pozn.: Orientační počet daného rozměru, přesný počet bude vykázán zhotovitelem stavby.</t>
  </si>
  <si>
    <t>Koleno kanalizační 250/ 45° PVC /PP/ (DN 250), nástrčné hrdlo opatřené těsnicím kroužkem z elastomeru.
Výpočet - výměra, rozměr:
1 =&gt; množství [ks] - stanoveno odhadem + ztratné 1,5%
Pozn.: Orientační počet daného rozměru, přesný počet bude vykázán zhotovitelem stavby.</t>
  </si>
  <si>
    <t>Koleno kanalizační  250/ 15° PVC /PP/ (DN 250), nástrčné hrdlo opatřené těsnicím kroužkem z elastomeru.
Výpočet - výměra, rozměr:
2 =&gt; množství [ks]  - stanoveno odhadem + ztratné 1,5%
Pozn.: Orientační počet daného rozměru, přesný počet bude vykázán zhotovitelem stavby.</t>
  </si>
  <si>
    <t>Přesuvka kanalizační  250 PVC /PP/ (DN 250), nástrčná hrdla opatřená těsnicím kroužkem z elastomeru.
Výpočet - výměra, rozměr:
3 =&gt; množství [ks]  - stanoveno odhadem + ztratné 1,5%
Pozn.: Orientační počet daného rozměru, přesný počet bude vykázán zhotovitelem stavby.</t>
  </si>
  <si>
    <t>Redukce kanalizační  250/160 mm PVC /PP/, SN 12, nástrčná hrdla opatřená těsnicím kroužkem z elastomeru.
Výpočet - výměra, rozměr:
1 =&gt; množství [ks]  - stanoveno odhadem + ztratné 1,5%
Pozn.: Orientační počet daného rozměru, přesný počet bude vykázán zhotovitelem stavby.</t>
  </si>
  <si>
    <t>RTS II / 2021</t>
  </si>
  <si>
    <t>Příplatek zádlažba okolo poklopu - žulová kostka + beton. D+M
Výpočet - výměra, rozměr:
1 =&gt; počet zádlažb okolo poklopů [ks]</t>
  </si>
  <si>
    <t>Dočasné zajištění kabelů ve výkopu vzniklé křížením, např.: podepřením, tvárnicemi, zákrytovými deskami.
Výpočet - výměra, rozměr:
1*1,59*0,50 =&gt; počet křížení [ks] * prům. šířka rýhy [m] - 50% z toho</t>
  </si>
  <si>
    <t>Odstranění stávajícího krytu přijezdné komunikace, včetně nakládání a odvozu na skládku do 1 km, započítaná i zpáteční cesta. 
Položka obsahuje: 
- řezání živičného krytu tl. 5 cm, 
- odstranění asfaltbetonového krytu tl. 6 cm 
- řezání podkladního asfaltobetonu tl. 7 cm 
- odstranění podkladního asfaltobetonu tl. 7 cm 
- odstranění kameniva zpevněného cementem tl. 15 cm 
- odstranění štěrkodrti tl. 32 cm 
- nakládání suti 
- vodorovná doprava suti do 1 km (položka neobsahuje poplatek za skládku)
Výpočet - výměra, rozměr:
5,15*1,59*1,05 =&gt; ÚSEK č.1 (KSÚS): délka úseku [m] * prům. šíře rýhy [m] + rezerva 5%</t>
  </si>
  <si>
    <t>Odstranění podkladu nad 50 m2,kam.těžené tl.18 cm - odstranění provizorní vrstvy.
Položka je určena i pro odstranění podkladů nebo krytů ze štěrkopísku, škváry, strusky nebo z mechanicky zpevněných zemin. Pro volbu položky z hlediska množství se uvažuje každá souvisle odstraňovaná plocha krytu nebo podkladu stejného druhu samostatně.
Výpočet - výměra, rozměr:
5,15*1,59 =&gt; ÚSEK č.1 (KSÚS): délka úseku [m] * prům. šíře rýhy [m]</t>
  </si>
  <si>
    <t>Sejmutí ornice s přemístěním do 50 m, uložením na dočasnou skládku. M+D
Výpočet - výměra, rozměr: 
3,35*1,59*0,20*1,05 =&gt; délka úseku nezpevněné plochy [m] * prům. šíře rýhy [m] * tl. vrstvy [m] + 5% rezerva</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</si>
  <si>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5,15*1,41*0,5*1,05 =&gt; ÚSEK č.1 (KSÚS): délka úseku [m] * prům.plocha [m2] * 50% (III. tř. horniny) + 5% rezerva
3,35*2,33*0,5*1,05 =&gt; ÚSEK č.1 (NZP): délka úseku [m] * prům.plocha [m2] * 50% (III. tř. horniny) + 5% rezerva</t>
  </si>
  <si>
    <t>Příplatek za lepivost, 50% celkového objemu výkopu. Do měrných jednotek se udává poměrné množství zeminy, které ulpí v nářadí a o které je snížen celkový výkon stroje.
Výpočet - výměra, rozměr:
7,91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</si>
  <si>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5,15*1,41*0,4*1,05 =&gt; ÚSEK č.1 (KSÚS): délka úseku [m] * prům.plocha [m2] * 40% (IV. tř. horniny) + 5% rezerva
3,35*2,33*0,4*1,05 =&gt; ÚSEK č.1 (NZP): délka úseku [m] * prům.plocha [m2] * 40% (IV. tř. horniny) + 5% rezerva</t>
  </si>
  <si>
    <t>Příplatek za lepivost, 25% celkového objemu výkopu. Do měrných jednotek se udává poměrné množství zeminy, které ulpí v nářadí a o které je snížen celkový výkon stroje.
Výpočet - výměra, rozměr:
6,33 [m3] * 0,25 [%] =&gt; převzaté č. pol. 132301213R00 (Hloubení rýh v hor.4 do 10 000m3,STROJNĚ) * 25% z výkopku</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</si>
  <si>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Položka se používá bez ohledu na těžené množství.
viz. TABULKA TĚŽITELNOSTI HORNIN
Výpočet - výměra, rozměr:
5,15*1,41*0,1*1,05 =&gt; ÚSEK č.1 (KSÚS): délka úseku [m] * prům.plocha [m2] * 10% (V. tř. horniny) + 5% rezerva
3,35*2,35*0,1*1,05 =&gt; ÚSEK č.1 (NZP): délka úseku [m] * prům.plocha [m2] * 10% (V. tř. horniny) + 5% rezerva</t>
  </si>
  <si>
    <t>Rezerva pro případné uložení drenážního potrubí DN 80. 
Výpočet - výměra, rozměr:
5*0,25*1,10 =&gt; délka výkopku pro příp. drenážní potrubí [m] * plocha rýhy [m2] + rezerva 10%</t>
  </si>
  <si>
    <t>Příp. za hloub. rýh š. 200cm, v mokrém prostředí, hor. 1-7, nad 100 m3, příplatková položka, předpoklad mokré prostředí.
Výpočet - výměra, rozměr:
7,91+6,33+1,59+1,00+1,38 =&gt; součet výkopu v hor. tř. I. až VII. [m3]</t>
  </si>
  <si>
    <t>Pažení a rozepření stěny rýhy - příložné - hl. do 2 m. D+M
Výpočet - výměra, rozměr:
8,50*2,00*2*0,90 =&gt; délka trasy / úseku / stoky [m] * průměrná výška [m] * počet stěn [ks] - 90% z toho</t>
  </si>
  <si>
    <t>Odstranění pažení a rozepření stěny rýhy - příložné - hl. do 2 m. D+M
Výpočet - výměra, rozměr:
8,50*2,00*2*0,90 =&gt; délka trasy / úseku / stoky [m] * průměrná výška [m] * počet stěn [ks] - 90% z toho</t>
  </si>
  <si>
    <t>bez naložení do dopravní nádoby, ale s vyprázdněním dopravní nádoby na hromadu nebo na dopravní prostředek
hloubení rýh š. do 200 cm objemu do 10 000 m3 (stavba globálně): 3 %
Výpočet - výměra, rozměr:
(7,91+6,33)*0,03 =&gt; součet kubatury horn.  tř. I. až IV. * 3 % - stanoveno z tabulky pro určení podílu svislého přemístění výkopku</t>
  </si>
  <si>
    <t>bez naložení do dopravní nádoby, ale s vyprázdněním dopravní nádoby na hromadu nebo na dopravní prostředek
hloubení rýh š. do 200 cm objemu do 10 000 m3 (stavba globálně): 3 %
viz. TABULKA TĚŽITELNOSTI HORNIN
Výpočet:
(1,59+1,0+1,38)*0,03 =&gt; součet kubatury horn.  tř. V. až VII. * 3 % - stanoveno z tabulky pro určení podílu svislého přemístění výkopku</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</si>
  <si>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(7,91+6,33) =&gt; celkový výkop hor. tř. I.-IV. [m3]
-7,43 =&gt; odečet kubatury zeminy potřebné k zásypu [m3]</t>
  </si>
  <si>
    <t>1 km nad rozpočtovou položku s odvozem nad 10 km, příplatek za 1 km, včetně zpáteční cesty.
Předpoklad uložení skládka (AVE CZ, Jindřichův Hradec - Žirovnice ul. Hradecká = 24,0 km).
Výpočet - výměra, rozměr:
6,81*14,0 =&gt; kubatura k přemístění [m3] * počet km nad 10 km [-]</t>
  </si>
  <si>
    <t>Po suchu, bez naložení výkopku, avšak se složením bez rozhrnutí, zpáteční cesta vozidla.
Předpoklad uložení - skládka (AVE CZ, Jindřichův Hradec - Žirovnice ul. Hradecká = 24,0 km).
Výpočet - výměra, rozměr:
1,59+1,00+1,38 =&gt; součet výkopků tř. V. až VII. [m3]</t>
  </si>
  <si>
    <t>1 km nad rozpočtovou položku s odvozem nad 10 km, příplatek za 1 km, včetně zpáteční cesty.
Předpoklad uložení skládka  (AVE CZ, Jindřichův Hradec - Žirovnice ul. Hradecká = 24,0 km).
Výpočet - výměra, rozměr:
3,97*14 =&gt; kubatura k přemístění [m3] * počet km nad 10 km [-]</t>
  </si>
  <si>
    <t>Naložení a složení výkopku tř. 1. až 4. z mezideponie pro zásyp rýhy.
Výpočet - výměra, rozměr:
2*7,43 =&gt; počet nakládání / skládání [-] * kubatura horniny tř. I. - IV. potřebná pro zásyp [m3]</t>
  </si>
  <si>
    <t>Položka obsahuje naložení, odvoz výkopku na mezideponii, složení výkopku a zpáteční cestu.
Výpočet - výměra, rozměr:
2*7,43 =&gt; 1x odvoz + 1x dovoz [-] * kubatura horniny tř. I. - IV. potřebná pro zásyp [m3]</t>
  </si>
  <si>
    <t>Nakládání, skládání, překládání ornice v množství do 100 m3 na / (z) mezideponii(e).
Výpočet - výměra, rozměr:
2*1,12 =&gt; počet nakládání / skládání [-] * kubatura ornice [m3]</t>
  </si>
  <si>
    <t>Vodorovné přemístění ornice - odvoz / dovoz - mezideponie.
Výpočet - výměra, rozměr:
2*1,12 =&gt; počet přesunů 1x odvoz, 1x dovoz [-] * kubatura ornice [m3]</t>
  </si>
  <si>
    <t>Obsyp hutnitelným nesoudržným materiálem (f = 0-16 mm pro PP/PVC) , pro jakoukoliv hloubku výkopu a jakoukoliv míru zhutnění, včetně dodávky obsypového materiálu. D+M
viz. PODÉLNÉ PROFILY
Výpočet - výměra, rozměr:
8,50*0,64*1,05 =&gt; délka trasy úseku / stoky [m] * plocha obsypu [m2] + rezerva na zhutnění 5%
-(8,50*(pi*0,125^2)) =&gt; odečet kubatury vytlačené potrubím [m3]</t>
  </si>
  <si>
    <t>Zásyp jam, rýh, šachet se zhutněním z jakékoliv horniny (tř. I - IV.) s uložením výkopku po vrtstvách, max. velikost kamene 100 mm, přebytečná zemina odvezena na skládku:
viz. PODÉLNÉ PROFILY
Výpočet - výměra, rozměr:
5,15*0,38*1,05 =&gt; ÚSEK č.1 (KSÚS): délka úseku [m] * prům.pl. zásypu [m2]  + 5% rezerva na zhutnění
3,35*1,53*1,05 =&gt; ÚSEK č.1 (NZP): délka úseku [m] * prům.pl. zásypu [m2]  + 5% rezerva na zhutnění</t>
  </si>
  <si>
    <t>Rozprostření vrstvy ornice v rovině / mírném svahu, tloušťka 20 cm.
Výpočet - výměra, rozměr:
3,35*1,59*1,05 =&gt; délka trasy úseku / stoky [m] * šíře rýhy [m]  + 5% rezerva</t>
  </si>
  <si>
    <t>Výpočet - výměra, rozměr:
6,81 =&gt; kubatura [m3] - převzato z pol. vodorovného přesunu horn. tř. 1 - 4</t>
  </si>
  <si>
    <t>Výpočet - výměra, rozměr:
3,97 =&gt; kubatura [m3] - převzato z pol. vodorovného přesunu horn. tř. 5 - 7</t>
  </si>
  <si>
    <t>Zhutnění podloží pod potrubím válcem.
Výpočet - výměra, rozměr:
8,50*1,05*1,10 =&gt; délka řadu [m] * šířka lože [m] + 10% rezerva</t>
  </si>
  <si>
    <t>Beton podkladní pod základové konstrukce, prostý - betonové lože pod revizní šachtu, tl. 0,20 m, a = 0,80 m. D+M
Výpočet - výměra, rozměr:
1*(0,8*0,8*0,2) =&gt; počet šachet [ks] * objem podkladového bet. pod šachtu [m3]</t>
  </si>
  <si>
    <t>Zhotovení podkladního lože pod kanalizační potrubí ze štěrkopísku, f = 0 - 4 mm, včetně dodávky podkladového materiálu. D+M
Výpočet - výměra, rozměr:
8,50*1,05*0,15*1,15 =&gt; délka trasy úseku / stoky [m] * šíře rýhy [m] * tl. lože [m] + rezerva na zhutnění 15%</t>
  </si>
  <si>
    <t>Podklad ze štěrkodrti po zhutnění tloušťky 17 cm - podkladní (zpevňovací) vrstva komunikace, štěrkodrť f = 0 - 63 mm, včetně dodávky štěrkodrti. D+M
Výpočet - výměra, rozměr:
5,15*1,36*1,05 =&gt; ÚSEK č.1: délka úseku [m] * prům. šíře rýhy [m] + rezerva 5%</t>
  </si>
  <si>
    <t>Podkladní vrstva z kameniva drceného, f = 32 - 63 mm, s výplň.kamen., tl. vrstvy 25 cm, včetně dodávky kameniva. D+M
Výpočet - výměra, rozměr:
5,15*1,45*1,05 =&gt; ÚSEK č.1: délka úseku [m] * prům. šíře rýhy [m] + rezerva 5%</t>
  </si>
  <si>
    <t>Podkladní vrstva z kameniva drceného, f = 32 - 63 mm, s výplň.kamen., tl. vrstvy 20 cm, včetně dodávky kameniva. D+M
Výpočet - výměra, rozměr:
5,15*1,45*1,05 =&gt; ÚSEK č.1: délka úseku [m] * prům. šíře rýhy [m] + rezerva 5%</t>
  </si>
  <si>
    <t>Podklad ze štěrkodrti po zhutnění tloušťky 18 cm, vrchní vrstva - dočasná po dobu stavby před celoplošnou rekonstrukcí komunikace, včetně dodávky štěrkodrti (f = 0 - 32 mm). D+M
Výpočet - výměra, rozměr:
5,15*1,59 =&gt; ÚSEK č.1: délka úseku [m] * prům. šíře rýhy [m]</t>
  </si>
  <si>
    <t>Podklad z obal kam.ACP 16+,ACP 22+,do 3 m,tl. 8 cm, ložní vrstva komunikace. D+M
Výpočet - výměra, rozměr:
5,15*1,59 =&gt; ÚSEK č.1: délka úseku [m] * prům. šíře rýhy [m]</t>
  </si>
  <si>
    <t>Příplatek za zpevnění štěrkové vrstvy cementem (pl. do 5000 m2), včetně dodávky cementové směsi a promísení, tl. do 20 cm. M+D
Výpočet - výměra, rozměr:
5,15*1,45*1,05 =&gt; ÚSEK č.1: délka úseku [m] * prům. šíře rýhy [m] + rezerva 5%</t>
  </si>
  <si>
    <t>Postřik spojovací z KAE modifikované, 0,7 kg/m2. D+M 
Výpočet - výměra, rozměr:
5,15*1,59 =&gt; ÚSEK č.1: délka úseku [m] * prům. šíře rýhy [m]</t>
  </si>
  <si>
    <t>Montáž potrubí z tvrdého PVC těsněných gumovým kroužkem. V položce jsou zakalkulovány i náklady na montáž tvarovek. V položce nejsou zakalkulovány náklady na dodání trubek a tvarovek (mimo odbočné tvarovky), tyto materiály jsou oceněny samostaně ve specifikaci. M
Výpočet - výměra, rozměr:
8,50 =&gt; celková délka montáže potrubí dané světlosti [m]</t>
  </si>
  <si>
    <t>Vyčištění kanalizační stoky - proplach vodou před zkouškou těsnosti kanalizace, v položce jsou započteny i náklady na dodání vody. D+M
Výpočet - výměra, rozměr:
8,50 =&gt; délka gravitační kanalizace [m]</t>
  </si>
  <si>
    <t>Zkouška těsnosti dešťové kanalizace DN do 300, vodou, včetně nákladů dodávek na vodu, napuštění vodou, zabezpečení konců zajištěno předchozí položkou. D+M
Výpočet - výměra, rozměr:
8,50 =&gt; délka kanalizačního potrubí [m]</t>
  </si>
  <si>
    <t>Kontrola kanalizace TV kamerou do 50 m, včetně TV záznamu s kontrolou ovality potrubí. D+M
Výpočet - výměra, rozměr:
8,50 =&gt; délka gravit. kanalizace [m]</t>
  </si>
  <si>
    <t>Dodávka a uložení výstražné fólie, hnědé barvy s nápisem "KANALIZACE" / "POZOR KANALIZACE", cca 30 cm nad povrchem potrubí. D+M
Výpočet - výměra, rozměr:
8,50*1,10 =&gt; délka potrubí /úseku/ [m] + rezerva 10%</t>
  </si>
  <si>
    <t>Příplatek za ztíženou montáž kanalizace v hornině mokré - předpoklad: mokré prostředí.
Výpočet - výměra, rozměr:
8,50 =&gt; odhad mokré prostředí: délka [m]</t>
  </si>
  <si>
    <t>Výpočet - výměra, rozměr:
10,98*0,75 =&gt; celková hmotnost odebraných konstrukcí komunikací [t]  =&gt; z toho prům. 75%</t>
  </si>
  <si>
    <t>Přesun hmot, komunikace z kameniva, příplatek 1 km - odvoz na skládku (AVE CZ, Jindřichův Hradec - Žirovnice ul. Hradecká = 24,0 km).
Výpočet - výměra, rozměr:
23*10,98*0,75 =&gt; počet km [-] * celk. odebraná hmotnost vrstev komunikace [t] =&gt; z toho 75%</t>
  </si>
  <si>
    <t>Přesun hmot, kryt živičný (do 1 km) - odvoz na skládku investora (Skládka - Žirovnice ul. Hradecká = 2,0 km).
Výpočet - výměra, rozměr:
10,98*0,25 =&gt; celk. odebraná hmotnost vrstev komunikace [t] =&gt; z toho 25%</t>
  </si>
  <si>
    <t>Potrubí z  PP / PVC-U v kruhové tuhosti min. SN 12 kN/m2, d 250 mm s plnostěnnou konstrukcí stěny vyráběné dle ČSN EN 1401. Parametry zejména určena pro splaškové kanalizace, kde je vyžadována co nejvyšší síla stěny. Potrubí využívá řadu PVC nebo PP  tvarovek v odpovídající síle stěny. Potrubí je oranžové/hnědé barvy a je spojováno pomocí hrdel a gumového těsnění jištěné plastovým kroužkem. Dodávka materiálu. D
Výpočet - výměra, rozměr:
(8,50*0,75)/6,0 =&gt; celková délka potrubí [m] * 75% z celku / délka trubky + ztratné 10%
Pozn.: Orientační počet daného rozměru, přesný počet bude vykázán zhotovitelem stavby.</t>
  </si>
  <si>
    <t>Potrubí z  PP / PVC-U v kruhové tuhosti min. SN 12 kN/m2, d 250 mm s plnostěnnou konstrukcí stěny vyráběné dle ČSN EN 1401. Parametry zejména určena pro splaškové kanalizace, kde je vyžadována co nejvyšší síla stěny. Potrubí využívá řadu PVC nebo PP  tvarovek v odpovídající síle stěny. Potrubí je oranžové/hnědé barvy a je spojováno pomocí hrdel a gumového těsnění jištěné plastovým kroužkem. Dodávka materiálu. D
Výpočet - výměra, rozměr:
(18,00*0,25)/3,0 =&gt; celková délka potrubí [m] * 25% z celku / délka trubky + ztratné 45%
Pozn.: Orientační počet daného rozměru, přesný počet bude vykázán zhotovitelem stavby.</t>
  </si>
  <si>
    <t>Koleno kanalizační  250/ 30° PVC /PP/ (DN 250), nástrčné hrdlo opatřené těsnicím kroužkem z elastomeru.
Výpočet - výměra, rozměr:
1 =&gt; množství [ks]  - stanoveno odhadem + ztratné 1,5%
Pozn.: Orientační počet daného rozměru, přesný počet bude vykázán zhotovitelem stavby.</t>
  </si>
  <si>
    <t>Redukce kanalizační  250/160 mm PVC /PP/, SN 12, nástrčná hrdla opatřená těsnicím kroužkem z elastomeru.
Výpočet - výměra, rozměr:
2 =&gt; množství [ks]  - stanoveno odhadem + ztratné 1,5%
Pozn.: Orientační počet daného rozměru, přesný počet bude vykázán zhotovitelem stavby.</t>
  </si>
  <si>
    <t>Dočasné zajištění kabelů ve výkopu vzniklé křížením, např.: podepřením, tvárnicemi, zákrytovými deskami.
Výpočet - výměra, rozměr:
27*1,53*0,60 =&gt; počet křížení [ks] * prům. šířka rýhy [m] =&gt; z toho 60%</t>
  </si>
  <si>
    <t>Dočasné zajištění potrubí ve výkopu vzniklé křížením (příp. souběhy), např.: podepřením, tvárnicemi, zákrytovými deskami.
Výpočet - výměra, rozměr:
9*1,53*1,00 =&gt; počet křížení [ks] * prům. šířka rýhy [m] =&gt; z toho 100%</t>
  </si>
  <si>
    <t>Množství m.j. je uvedeno dle předpokladu, celková cena této práce se stanoví podle skutečnosti při provádění stavebních prací. Den = 8 hodin.
Výpočet - výměra, rozměr:
10*8 =&gt; předpoklad čerpání ve dnech [den] * počet hodin [hod]</t>
  </si>
  <si>
    <t>Odstranění stávajícího krytu přijezdné komunikace, včetně nakládání a odvozu na skládku do 1 km, započítaná i zpáteční cesta. 
Položka obsahuje: 
- řezání živičného krytu tl. 5 cm, 
- odstranění asfaltbetonového krytu tl. 6 cm 
- řezání podkladního asfaltobetonu tl. 7 cm 
- odstranění podkladního asfaltobetonu tl. 7 cm 
- odstranění kameniva zpevněného cementem tl. 15 cm 
- odstranění štěrkodrti tl. 32 cm 
- nakládání suti 
- vodorovná doprava suti do 1 km (položka neobsahuje poplatek za skládku)
Výpočet - výměra, rozměr:
39,30*1,53*1,05 =&gt; celk. délka tras(y) / úsek(ů) kan. odbočení [m] * prům. šíře rýhy [m] + rezerva 5%</t>
  </si>
  <si>
    <t>Odstranění stávajícího krytu přijezdné komunikace, včetně nakládání a odvozu na skládku do 1 km, započítaná i zpáteční cesta. 
Položka obsahuje: (konstrukce místní obslužné komunikace - MOK)
- řezání živičného krytu tl. 4-5 cm, 
- odstranění asfaltbetonového krytu tl. 4-5 cm 
- řezání podkladního asfaltobetonu tl. do 5 cm 
- odstranění podkladního asfaltobetonu tl. do 5 cm 
- odstranění kameniva zpevněného cementem tl. 15 cm 
- odstranění štěrkodrti tl. 30 cm 
- nakládání suti 
- vodorovná doprava suti do 1 km (položka neobsahuje poplatek za skládku)
Výpočet - výměra, rozměr:
4,60*1,53*1,05 =&gt; celk. délka tras(y) / úsek(ů) kan. odbočení [m] * prům. šíře rýhy [m] + rezerva 5%</t>
  </si>
  <si>
    <t>Rozebrání dlažeb / vstupů / vjezdů ze zámkové dlažby v kamenivu, resp. v štěrkovém loži. 
Položka je určená pro rozebrání zámkových dlažeb, tl. 8 cm, včetně odebrání ložních a konstrukčních štěrkových, příp. štěrkopískových vrstev s naložením na dopravní prostředek a odvozem na skládku do 1 km.
Položka obsahuje: 
- rozebrání dlažebních kostek, tl. 8 cm
- odstranění ložní vrstvy štěrkopísku (f = 0 - 4 mm), tl. 4 cm,
- odstranění štěrkového podkladu, tl. do 50 cm
- nakládání suti, vodorovná doprava suti do 1 km
Výpočet - výměra, rozměr:
16,90*1,53*1,05 =&gt; celk. délka tras(y) / úsek(ů) kan. odbočení [m] * prům. šíře rýhy [m] + rezerva 5%</t>
  </si>
  <si>
    <t>Sejmutí ornice s přemístěním do 50 m, uložením na dočasnou skládku / mezideponii.
Výpočet - výměra, rozměr:
45,20*1,53*0,20*1,05 =&gt; celk. délka tras(y) / úsek(ů) odbočení [m] * prům. šíře [m] * tl. vrstvy [m] + rezerva 5%</t>
  </si>
  <si>
    <t>Příplatek za ztížení vykopávky v blízkosti vedení (NN, optické vedení, metalové vedení, plynovod).
Výpočet - výměra, rozměr:
(27+9)*0,50 =&gt; počet křížení [ks] * pr. kubatura na křížení [m3]</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</si>
  <si>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39,30*1,32*0,50*1,05 =&gt; KSÚS: délka trasy / úseku [m] * prům. plocha výkopu [m2] * 50% (III. tř. horniny) + 5% rezerva
4,60*1,62*0,50*1,05 =&gt; MOK: délka trasy / úseku [m] * prům. plocha výkopu [m2] * 50% (III. tř. horniny) + 5% rezerva
45,20*2,19*0,50*1,05 =&gt; NEZPEVNĚNO: délka trasy / úseku [m] * prům. plocha výkopu [m2] * 50% (III. tř. horniny) + 5% rezerva
16,90*1,62*0,50*1,05 =&gt; CHODNÍKY: délka trasy / úseku [m] * prům. plocha výkopu [m2] * 50% (III. tř. horniny) + 5% rezerva
1,00*2,19*0,50*1,05 =&gt; ŠTĚRK: délka trasy / úseku [m] * prům. plocha výkopu [m2] * 50% (III. tř. horniny) + 5% rezerva</t>
  </si>
  <si>
    <t>Příplatek za lepivost, 50% celkového objemu výkopu. Do měrných jednotek se udává poměrné množství zeminy, které ulpí v nářadí a o které je snížen celkový výkon stroje.
Výpočet - výměra, rozměr:
98,63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</si>
  <si>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39,30*1,32*0,45*1,05 =&gt; KSÚS: délka trasy / úseku [m] * prům. plocha výkopu [m2] * 45% (IV. horniny) + 5% rezerva
4,60*1,62*0,45*1,05 =&gt; MOK: délka trasy / úseku [m] * prům. plocha výkopu [m2] * 45% (IV. tř. horniny) + 5% rezerva
45,20*2,19*0,45*1,05 =&gt; NEZPEVNĚNO: délka trasy / úseku [m] * prům. plocha výkopu [m2] * 45% (IV. tř. horniny) + 5% rezerva
16,90*1,62*0,45*1,05 =&gt; CHODNÍKY: délka trasy / úseku [m] * prům. plocha výkopu [m2] * 45% (IV. tř. horniny) + 5% rezerva
1,00*2,19*0,45*1,05 =&gt; ŠTĚRK: délka trasy / úseku [m] * prům. plocha výkopu [m2] * 45% (IV. tř. horniny) + 5% rezerva</t>
  </si>
  <si>
    <t>Příplatek za lepivost, 25% celkového objemu výkopu. Do měrných jednotek se udává poměrné množství zeminy, které ulpí v nářadí a o které je snížen celkový výkon stroje.
Výpočet - výměra, rozměr:
88,77 [m3] * 0,25 [%] =&gt; převzaté č. pol. 132301213R00 (Hloubení rýh v hor.4 do 10 000m3,STROJNĚ) * 25% z výkopku</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</si>
  <si>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Položka se používá bez ohledu na těžené množství.
viz. TABULKA TĚŽITELNOSTI HORNIN
Výpočet - výměra, rozměr:
39,30*1,32*0,05*1,05 =&gt; KSÚS: délka trasy / úseku [m] * prům. plocha výkopu [m2] * 5% (V. horniny) + 5% rezerva
4,60*1,62*0,05*1,05 =&gt; MOK: délka trasy / úseku [m] * prům. plocha výkopu [m2] * 5% (V. tř. horniny) + 5% rezerva
45,20*2,19*0,05*1,05 =&gt; NEZPEVNĚNO: délka trasy / úseku [m] * prům. plocha výkopu [m2] * 5% (V. tř. horniny) + 5% rezerva
16,90*1,62*0,05*1,05 =&gt; CHODNÍKY: délka trasy / úseku [m] * prům. plocha výkopu [m2] * 5% (V. tř. horniny) + 5% rezerva
1,00*2,19*0,05*1,05 =&gt; ŠTĚRK: délka trasy / úseku [m] * prům. plocha výkopu [m2] * 5% (V. tř. horniny) + 5% rezerva</t>
  </si>
  <si>
    <t>Pažení a rozepření stěny rýhy - příložné - hl. do 4 m. D+M
Výpočet - výměra, rozměr:
107,0*2,00*2*0,25 =&gt; celk. délka trasy / úseku kan. odbočení [m] * průměrná výška [m] * počet stěn [ks] - 25% z toho</t>
  </si>
  <si>
    <t>Odstranění pažení a rozepření stěny rýhy - příložné - hl. do 4 m. D+M
Výpočet - výměra, rozměr:
107,0*2,00*2*0,25 =&gt; délka trasy / úseku / stoky [m] * průměrná výška [m] * počet stěn [ks] - 25% z toho</t>
  </si>
  <si>
    <t>Svislé přemístění výkopku z hor.1-4 do 2,5 m bez naložení do dopravní nádoby, ale s vyprázdněním dopravní nádoby na hromadu nebo na dopravní prostředek.
- hloubení rýh objemu do 10 000 m3 (stavba globálně): 3 %
viz. TABULKA TĚŽITELNOSTI HORNIN
Výpočet - výměra, rozměr:
(98,63+88,77)*0,03 =&gt; součet výkopů I. až IV. tř.  *  3 % (stanoveno z tabulky pro určení podílu svislého přemístění)</t>
  </si>
  <si>
    <t>bez naložení do dopravní nádoby, ale s vyprázdněním dopravní nádoby na hromadu nebo na doopravní prostředek
hloubení rýh objemu do 10 000 m3 (stavba globálně): 3 %
viz. TABULKA TĚŽITELNOSTI HORNIN
Výpočet - výměra, rozměr:
(9,86+2,0)*0,03 =&gt; součet výkopů V. až VII. tř.  *  3 % (stanoveno z tabulky pro určení podílu svislého přemístění)</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</si>
  <si>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(98,63+88,77) =&gt; celkový výkop hor. tř. I.-IV. [m3]
-116,52 =&gt; odečet kubatury potřebné k zásypu [m3]</t>
  </si>
  <si>
    <t>Příplatek k vod. přemístění hor.1-4 za další 1 km nad rozpočtovou položku s odvozem nad 10 km, příplatek za 1 km, včetně zpáteční cesty.
Předpoklad uložení skládka (AVE CZ, Jindřichův Hradec - Žirovnice ul. Hradecká = 24,0 km).
Výpočet - výměra, rozměr:
70,88*14,0 =&gt; kubatura k přemístění [m3] * počet km nad 10 km [-]</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</si>
  <si>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9,86+2,00 =&gt; součet výkopků tř. V. až VII. [m3]</t>
  </si>
  <si>
    <t>Příplatek k vod. přemístění hor.1-4 za další 1 km nad rozpočtovou položku s odvozem nad 10 km, příplatek za 1 km, včetně zpáteční cesty.
Předpoklad uložení skládka (AVE CZ, Jindřichův Hradec - Žirovnice ul. Hradecká = 24,0 km).
Výpočet - výměra, rozměr:
11,86*14,0 =&gt; kubatura k přemístění [m3] * počet km nad 10 km [-]</t>
  </si>
  <si>
    <t>Naložení a složení výkopku tř. 1. až 4. z mezideponie pro zásyp rýhy.
Výpočet - výměra, rozměr:
2*116,52 =&gt; počet nakládání / skládání [-] * kubatura horniny tř. I. - IV. potřebná pro zásyp [m3]</t>
  </si>
  <si>
    <t>Položka obsahuje naložení, odvoz výkopku na mezideponii, složení výkopku a zpáteční cestu.
Výpočet - výměra, rozměr:
2*116,52 =&gt; 1x odvoz + 1x dovoz [-] * kubatura horniny tř. I. - IV. potřebná pro zásyp [m3]</t>
  </si>
  <si>
    <t>Nakládání, skládání, překládání ornice v množství do 100 m3 na / (z) mezideponii(e).
Výpočet - výměra, rozměr:
2*14,52 =&gt; počet nakládání / skládání [-] * kubatura ornice [m3]</t>
  </si>
  <si>
    <t>Vodorovné přemístění ornice - odvoz / dovoz - mezideponie.
Výpočet - výměra, rozměr:
2*14,52 =&gt; počet přesunů 1x odvoz, 1x dovoz [-] * kubatura ornice [m3]</t>
  </si>
  <si>
    <t>Obsyp hutnitelným nesoudržným materiálem = prosívkou (f = 0-4 mm pro PP / PVC) , pro jakoukoliv hloubku výkopu a jakoukoliv míru zhutnění, včetně dodávky obsypového materiálu. D+M
Výpočet - výměra, rozměr:
0,49*107,0*1,15 =&gt; plocha obsypu [m2] * délka trasy / úseku kan. odbočení [m] + rezerva 5% na zhutnění
-(3,14*0,08^2*100,5) =&gt; odečet kubatury vytlačené potrubím [m3] - DN 150
-(3,14*0,125^2*6,5) =&gt; odečet kubatury vytlačené potrubím [m3] - DN 250</t>
  </si>
  <si>
    <t>Příplatek za prohození sypaniny pro obsyp potrubí.
Výpočet - výměra, rozměr:
57,95 =&gt; kubatura obsypu [m] - převzato z předchozí položky</t>
  </si>
  <si>
    <t>Zásyp jam, rýh, šachet se zhutněním z jakékoliv horniny (tř. I - IV.) s uložením výkopku po vrtstvách, vhodná zemina ze staveniště k zásypům (posouzeno bude geologem), max. vel. kamene 100 mm.
Výpočet - výměra, rozměr:
39,30*0,46*1,05 =&gt; KSÚS: délka trasy / úseku [m] * prům. plocha zásypu [m2] + 5% rezerva (max. míra zhutnění)
4,60*0,99*1,05 =&gt; MOK: délka trasy / úseku [m] * prům. plocha zásypu [m2] + 5% rezerva (max. míra zhutnění)
45,20*1,55*1,05 =&gt; NEZPEVNĚNO: délka trasy / úseku [m] * prům. plocha zásypu [m2] + 5% rezerva (max. míra zhutnění)
16,90*0,99*1,05 =&gt; CHODNÍKY: délka trasy / úseku [m] * prům. plocha zásypu [m2] + 5% rezerva (max. míra zhutnění)
1,00*1,55*1,05 =&gt; ŠTĚRK: délka trasy / úseku [m] * prům. plocha zásypu [m2] + 5% rezerva (max. míra zhutnění)</t>
  </si>
  <si>
    <t>Rozprostření sejmuté ornice v rovině nebo ve svahu  do 1 : 5 s urovnáním, vyhrabáním větších kamenů, dovoz ornice ze vzdálenosti 500 m.
Výpočet - výměra, rozměr:
45,20*1,53*1,05 =&gt; délka tras(y) / úsek(ů) [m] * prům. šíře [m] + rezerva 5%</t>
  </si>
  <si>
    <t>Zhutnění lože pod potrubím, vibrační deskou / válcem.
Výpočet - výměra, rozměr:
107,0*0,96*1,10 =&gt; celk. délka kan. odbočení [m] * šířka lože [m] + rezerva 10%</t>
  </si>
  <si>
    <t>Beton podkladní pod základové konstrukce, prostý - betonové lože pod domovní revizní šachtu, tl. 0,15 m, a = 0,50 m. D+M
Výpočet - výměra, rozměr:
18*(0,5*0,5*0,15) =&gt; počet šachet [ks] * objem podkladového bet. pod šachtu [m3]</t>
  </si>
  <si>
    <t>Zhotovení podkladního lože pod odpadní potrubí z lom. prosívky f = 0 až 4 mm, včetně dodávky prosívky. D+M
viz. PODÉLNÉ PROFILY / ULOŽENÍ TRUB
Výpočet - výměra, rozměr:
107,0*0,96*0,15*1,1 =&gt; celk. délka trasy / úseku kan. odbočení [m] * šířka lože [m] * tl. vrstvy [m] + 10% rezerva
m3 prosívky = cca 2,34 T</t>
  </si>
  <si>
    <t>Podklad ze štěrkodrti po zhutnění tloušťky 17 cm - podkladní (zpevňovací) vrstva komunikace, štěrkodrť f = 0 - 63 mm, včetně dodávky štěrkodrti. D+M
Výpočet - výměra, rozměr:
39,30*1,29*1,05 =&gt; délka úseku(ů) [m] * prům. šíře podkladu [m] + rezerva 5%</t>
  </si>
  <si>
    <t>Podkladní vrstva z kameniva drceného, f = 32 - 63 mm, s výplň.kamen., tl. vrstvy 25 cm, včetně dodávky kameniva. D+M
Výpočet - výměra, rozměr:
39,30*1,37*1,05 =&gt; délka úseku(ů) [m] * prům. šíře podkladu [m] + rezerva 5%</t>
  </si>
  <si>
    <t>Podkladní vrstva z kameniva drceného, f = 32 - 63 mm, s výplň.kamen., tl. vrstvy 20 cm, včetně dodávky kameniva. D+M
Výpočet - výměra, rozměr:
39,30*1,42*1,05 =&gt; délka úseku(ů) [m] * prům. šíře podkladu [m] + rezerva 5%</t>
  </si>
  <si>
    <t>Podkladní vrstva z kameniva drceného, f = 32 - 63 mm, s výplň.kamen., tl. vrstvy 20 cm, včetně dodávky kameniva. D+M
Výpočet - výměra, rozměr:
39,30*1,48*1,05 =&gt; délka úseku(ů) [m] * prům. šíře podkladu [m] + rezerva 5%</t>
  </si>
  <si>
    <t>Podklad ze štěrkodrti po zhutnění tloušťky 18 cm, vrchní vrstva - dočasná po dobu stavby před celoplošnou rekonstrukcí komunikace, včetně dodávky štěrkodrti (f = 0 - 32 mm). D+M
Výpočet - výměra, rozměr:
39,30*1,53 =&gt; délka úseku(ů) [m] * prům. šíře rýhy [m]</t>
  </si>
  <si>
    <t>Podklad z obal kam.ACP 16+,ACP 22+,do 3 m,tl. 8 cm, ložní vrstva komunikace. D+M
Výpočet - výměra, rozměr:
39,30*1,50*1,01 =&gt; délka pokladu kom. [m] * šířka podkladu [m] + rezerva 1%</t>
  </si>
  <si>
    <t>Příplatek za zpevnění štěrkové vrstvy cementem (pl. do 5000 m2), včetně dodávky cementové směsi a promísení, tl. do 20 cm. M+D
Výpočet - výměra, rozměr:
39,30*1,42*1,05 =&gt; délka úseku(ů) [m] * prům. šíře podkladu [m] + rezerva 5%</t>
  </si>
  <si>
    <t>Podklad ze štěrkodrti, f = 0 - 63 mm, po zhutnění tl. vrstvy 25 cm, včetně dodávky štěrkodrti. D+M
Výpočet - výměra, rozměr:
4,60*1,43*1,05 =&gt; délka úseku(ů) [m] * prům. šíře rýhy [m] + rezerva 5%</t>
  </si>
  <si>
    <t>Podkladní vrstva z kameniva drceného, f = 32 - 63 mm, s výplň.kamen., tl. vrstvy 20 cm, včetně dodávky kameniva. D+M
Výpočet - výměra, rozměr:
4,60*1,49*1,05 =&gt; délka úseku(ů) [m] * prům. šíře rýhy [m] + rezerva 5%</t>
  </si>
  <si>
    <t>Provizorní pojízdná vrstva ze štěrkodrti, f = 0 - 32 mm, tl. vrstvy 15 cm, včetně dodávky štěrkodrti. D+M
Výpočet - výměra, rozměr:
4,60*1,53 =&gt; délka úseku(ů) [m] * prům. šíře rýhy [m]</t>
  </si>
  <si>
    <t>Podklad z obal kam.ACP 16+,ACP 22+,do 3 m,tl. 5 cm. D+M
Výpočet - výměra, rozměr:
4,60*1,50*1,01 =&gt; délka pokladu zpevň. kom. [m] * šířka podkladu [m] + rezerva 1%</t>
  </si>
  <si>
    <t>Postřik spojovací z KAE modifikované, 0,7 kg/m2. D+M 
Výpočet - výměra, rozměr:
39,30*1,48*1,10 =&gt; délka pokladu zpevň. kom. [m] * šířka podkladu [m] + rezerva 10%</t>
  </si>
  <si>
    <t>Postřik spojovací z KAE, 0,7 kg/m2. D+M
Výpočet - výměra, rozměr:
4,60*1,49*1,10 =&gt; délka povrchu kom. [m] * šířka [m] + rezerva 10% (ztratné)</t>
  </si>
  <si>
    <t>Komunikace / chodník z dlažby zámkové, podklad štěrkopísek, dlažba přírodní tloušťka 8 cm, včetně zemních prací i nákladů na řezání. D+M
Skladba: 
- podklad ze štěrkopísku, tl. 17 cm 
- podklad z drceného kameniva, tl. 30 cm 
- lože z kameniva, tl. 5 cm 
- dlažba zámková, betonová, tl. 8 cm
Výpočet - výměra, rozměr:
16,90*1,53*1,05 =&gt; CHODNÍK: délka úseku(ů) [m] * pr. šířka [m] + rezerva 5%</t>
  </si>
  <si>
    <t>Kanalizační přípojka z trub PVC / PP, D 160 mm, položka obsahuje:
- náklady na dodávku a montáž PVC / PP potrubí bez ohledu na kruhovou tuhost potrubí, 
- napojení na odbočné místo (odbočky jsou součástí jednotlivých splaškových kanalizačních stok), 
- dodávku a montáž tvarovek jednoosých (pro jednu odbočku: 1x koleno 45°, 1x koleno 30°, 3x koleno 15°, 2x přesuvka),
- napojení na domovní revizní šachtu (bez dodávky a montáže domovní revizní šachty),
- zkoušku těsnosti potrubí,
- dodávka a montáž kanalizačního víčka D 160 mm. 
Výpočet - výměra, rozměr:
100,50 =&gt; délka kanalizačního/ch odbočení [m]</t>
  </si>
  <si>
    <t>Kanalizační přípojka z trub PVC, D 250 mm, položka obsahuje:
- náklady na dodávku a montáž PVC / PP potrubí bez ohledu na kruhovou tuhost potrubí, 
- napojení na odbočné místo (odbočky jsou součástí jednotlivých splaškových kanalizačních stok), 
- dodávku a montáž tvarovek jednoosých (pro jednu odbočku: 1x koleno 45°, 1x koleno 30°, 3x koleno 15°, 2x přesuvka),
- napojení na domovní revizní šachtu (bez dodávky a montáže domovní revizní šachty),
- zkoušku těsnosti potrubí,
- dodávka a montáž kanalizačního víčka D 250 mm. 
Výpočet - výměra, rozměr:
6,50 =&gt; délka kanalizačního/ch odbočení [m]</t>
  </si>
  <si>
    <t>Revizní šachta d 315 mm, dl. šachetní roury do 2,0 m, dno pro PVC /PP/ d 160, 180°, litinový poklop 40 t. D+M. 
Osazení plastového dna, osazení korugované šachtové roury, vložení těsnění, osazení šachtové teleskopické roury a litinového poklopu.
Výpočet - výměra, rozměr:
17 =&gt; počet revizních šachet [ks]</t>
  </si>
  <si>
    <t>Revizní šachta d 315 mm, dl. šachetní roury do 2,0 m, dno pro PVC /PP/ d 250, 180°, litinový poklop 40 t. D+M. 
Osazení plastového dna, osazení korugované šachtové roury, vložení těsnění, osazení šachtové teleskopické roury a litinového poklopu.
Výpočet - výměra, rozměr:
1 =&gt; počet revizních šachet [ks]</t>
  </si>
  <si>
    <t>Příplatek za ztíženou montáž kanalizace v hornině mokré - předpoklad: mokré prostředí.
Výpočet - výměra, rozměr:
107,0 =&gt; odhad mokré prostředí: celková délka odbočení [m]</t>
  </si>
  <si>
    <t>Výpočet - výměra, rozměr:
63,51*0,75 =&gt; celková hmotnost odebraných konstrukcí komunikací [t]  =&gt; z toho prům. 75%
30,00 =&gt; celková hmotnost odebraných komunikací dlážděných[t]</t>
  </si>
  <si>
    <t>Přesun hmot, komunikace z kameniva, příplatek 1 km - odvoz na skládku (AVE CZ, Jindřichův Hradec - Žirovnice ul. Hradecká = 24,0 km).
Výpočet - výměra, rozměr:
23*63,51*0,75 =&gt; počet km [-] * celk. odebraná hmotnost vrstev komunikace [t] =&gt; z toho 75%</t>
  </si>
  <si>
    <t>Přesun hmot, kryt živičný (do 1 km) - odvoz na skládku investora (Skládka - Žirovnice ul. Hradecká = 2,0 km).
Výpočet - výměra, rozměr:
63,51*0,25 =&gt; celk. odebraná hmotnost vrstev komunikace [t] =&gt; z toho 25%</t>
  </si>
  <si>
    <t>Přesun hmot, komunikace z kameniva, příplatek 1 km - odvoz na skládku (AVE CZ, Jindřichův Hradec - Žirovnice ul. Hradecká = 24,0 km).
Výpočet - výměra, rozměr:
23*62,29*0,50 =&gt; počet km [-] * celk. přesun hmot dlážděných povrchů [t] =&gt; z toho 50% (původní dlažděné povrchy budou kompletně nahrazeny, tzn. 1/2 z celk. hmotnosti  - odvoz na skládku)</t>
  </si>
  <si>
    <t>Příjezdová cesta štěrková šířky do 4 m (šťerkové povrchy), obnova štěrkového povrchu. M+D
Výpočet - výměra, rozměr:
1,00*1,53*0,20*1,05 =&gt; délka štěrk. cesty / plochy [m] * prům. šířka rýhy [m] * tl. vrstvy [m] + 5% rezerva</t>
  </si>
  <si>
    <r>
      <t>Ing. Vladimír KLIČKA, Boršov 57, 588 05 Dušejov 
Bc. Marek PETSCHENKA, Věžnice 25,</t>
    </r>
    <r>
      <rPr>
        <sz val="8"/>
        <color rgb="FF000000"/>
        <rFont val="Arial"/>
        <family val="2"/>
        <charset val="238"/>
      </rPr>
      <t xml:space="preserve"> 588 27 Jamné u Jihlavy</t>
    </r>
  </si>
  <si>
    <t>ZKOUŠKY ÚNOSNOSTI PLÁNĚ DLE TP 146,  PŘÍMÁ METODA - 1x / 100 bm (KONSTRUKČNÍ VRSTVA - DNO) + 1x / 100 bm (KONSTRUKČNÍ VRSTVA - VRCH).
Výpočet - výměra, rozměr:
6 =&gt; počet souborů zkoušek [-]</t>
  </si>
  <si>
    <t>Dočasné zajištění potrubí ve výkopu vzniklé křížením (příp. souběhy), např.: podepřením, tvárnicemi, zákrytovými deskami.
Výpočet - výměra, rozměr:
32*2,03*0,50 =&gt; počet křížení [ks] * prům. šířka rýhy [m] - 50% z toho</t>
  </si>
  <si>
    <t>Dočasné zajištění kabelů ve výkopu vzniklé křížením, např.: podepřením, tvárnicemi, zákrytovými deskami.
Výpočet - výměra, rozměr:
4*2,03*0,50 =&gt; počet křížení [ks] * prům. šířka rýhy [m] - 50% z toho</t>
  </si>
  <si>
    <t>Množství m.j. je uvedeno dle předpokladu, celková cena této práce se stanoví podle skutečnosti při provádění stavebních prací. Den = 8 hodin.
Výpočet:
20*8 =&gt; předpoklad čerpání ve dnech * počet hodin - stanoveno odhadem</t>
  </si>
  <si>
    <t>Pohotovost čerpací soupravy. Oceňují se všechny dny od ukončení montáže po započetí demontáže čerpací soustavy.
Výpočet:
20 =&gt; předpokad čerpání ve dnech =&gt; stanoveno odhadem</t>
  </si>
  <si>
    <t>Odstranění stávajícího krytu přijezdné komunikace, včetně nakládání a odvozu na skládku do 1 km, započítaná i zpáteční cesta. 
Položka obsahuje: 
- řezání živičného krytu tl. 5 cm, 
- odstranění asfaltbetonového krytu tl. 6 cm 
- řezání podkladního asfaltobetonu tl. 7 cm 
- odstranění podkladního asfaltobetonu tl. 7 cm 
- odstranění kameniva zpevněného cementem tl. 15 cm 
- odstranění štěrkodrti tl. 32 cm 
- nakládání suti 
- vodorovná doprava suti do 1 km (položka neobsahuje poplatek za skládku)
Výpočet - výměra, rozměr:
31,20*2,14*1,05 =&gt; ÚSEK č.1 (KSÚS): délka úseku [m] * prům. šíře rýhy [m] + rezerva 5%
46,20*2,14*1,05 =&gt; ÚSEK č.2 (KSÚS): délka úseku [m] * prům. šíře rýhy [m] + rezerva 5%
106,30*2,16*1,05 =&gt; ÚSEK č.3 (KSÚS): délka úseku [m] * prům. šíře rýhy [m] + rezerva 5%
109,90*2,06*1,05 =&gt; ÚSEK č.4 (KSÚS): délka úseku [m] * prům. šíře rýhy [m] + rezerva 5%
17,60*1,74*1,05 =&gt; ÚSEK č.5 (KSÚS): délka úseku [m] * prům. šíře rýhy [m] + rezerva 5%</t>
  </si>
  <si>
    <t>Odstranění podkladu nad 50 m2,kam.těžené tl.18 cm - odstranění provizorní vrstvy.
Položka je určena i pro odstranění podkladů nebo krytů ze štěrkopísku, škváry, strusky nebo z mechanicky zpevněných zemin. Pro volbu položky z hlediska množství se uvažuje každá souvisle odstraňovaná plocha krytu nebo podkladu stejného druhu samostatně.
Výpočet - výměra, rozměr:
31,20*2,14 =&gt; ÚSEK č.1 (KSÚS): délka úseku [m] * prům. šíře rýhy [m]
46,20*2,14 =&gt; ÚSEK č.2 (KSÚS): délka úseku [m] * prům. šíře rýhy [m]
106,30*2,16 =&gt; ÚSEK č.3 (KSÚS): délka úseku [m] * prům. šíře rýhy [m]
109,90*2,06 =&gt; ÚSEK č.4 (KSÚS): délka úseku [m] * prům. šíře rýhy [m]
17,60*1,74 =&gt; ÚSEK č.5 (KSÚS): délka úseku [m] * prům. šíře rýhy [m]</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</si>
  <si>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31,20*3,84*0,5*1,05 =&gt; ÚSEK č.1 (KSÚS): délka úseku [m] * prům.plocha [m2] * 50% (III. tř. horniny) + 5% rezerva
46,20*3,84*0,5*1,05 =&gt; ÚSEK č.2 (KSÚS): délka úseku [m] * prům.plocha [m2] * 50% (III. tř. horniny) + 5% rezerva
106,30*3,93*0,5*1,05 =&gt; ÚSEK č.3 (KSÚS): délka úseku [m] * prům.plocha [m2] * 50% (III. tř. horniny) + 5% rezerva
109,90*3,28*0,5*1,05 =&gt; ÚSEK č.4 (KSÚS): délka úseku [m] * prům.plocha [m2] * 50% (III. tř. horniny) + 5% rezerva
17,60*1,59*0,5*1,05 =&gt; ÚSEK č.5 (KSÚS): délka úseku [m] * prům.plocha [m2] * 50% (III. tř. horniny) + 5% rezerva</t>
  </si>
  <si>
    <t>Příplatek za lepivost, 50% celkového objemu výkopu. Do měrných jednotek se udává poměrné množství zeminy, které ulpí v nářadí a o které je snížen celkový výkon stroje.
Výpočet - výměra, rozměr:
579,30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</si>
  <si>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31,20*3,84*0,4*1,05 =&gt; ÚSEK č.1 (KSÚS): délka úseku [m] * prům.plocha [m2] * 40% (IV. tř. horniny) + 5% rezerva
46,20*3,84*0,4*1,05 =&gt; ÚSEK č.2 (KSÚS): délka úseku [m] * prům.plocha [m2] * 40% (IV. tř. horniny) + 5% rezerva
106,30*3,93*0,4*1,05 =&gt; ÚSEK č.3 (KSÚS): délka úseku [m] * prům.plocha [m2] * 40% (IV. tř. horniny) + 5% rezerva
109,90*3,28*0,4*1,05 =&gt; ÚSEK č.4 (KSÚS): délka úseku [m] * prům.plocha [m2] * 40% (IV. tř. horniny) + 5% rezerva
17,60*1,59*0,4*1,05 =&gt; ÚSEK č.5 (KSÚS): délka úseku [m] * prům.plocha [m2] * 40% (IV. tř. horniny) + 5% rezerva</t>
  </si>
  <si>
    <t>Příplatek za lepivost, 25% celkového objemu výkopu. Do měrných jednotek se udává poměrné množství zeminy, které ulpí v nářadí a o které je snížen celkový výkon stroje.
Výpočet - výměra, rozměr:
463,44 [m3] * 0,25 [%] =&gt; převzaté č. pol. 132301213R00 (Hloubení rýh v hor.4 do 10 000m3,STROJNĚ) * 25% z výkopku</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</si>
  <si>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Položka se používá bez ohledu na těžené množství.
viz. TABULKA TĚŽITELNOSTI HORNIN
Výpočet - výměra, rozměr:
31,20*3,84*0,1*1,05 =&gt; ÚSEK č.1 (KSÚS): délka úseku [m] * prům.plocha [m2] * 10% (V. tř. horniny) + 5% rezerva
46,20*3,84*0,1*1,05 =&gt; ÚSEK č.2 (KSÚS): délka úseku [m] * prům.plocha [m2] * 10% (V. tř. horniny) + 5% rezerva
106,30*3,93*0,1*1,05 =&gt; ÚSEK č.3 (KSÚS): délka úseku [m] * prům.plocha [m2] * 10% (V. tř. horniny) + 5% rezerva
109,90*3,28*0,1*1,05 =&gt; ÚSEK č.4 (KSÚS): délka úseku [m] * prům.plocha [m2] * 10% (V. tř. horniny) + 5% rezerva
17,60*1,59*0,1*1,05 =&gt; ÚSEK č.5 (KSÚS): délka úseku [m] * prům.plocha [m2] * 10% (V. tř. horniny) + 5% rezerva</t>
  </si>
  <si>
    <t>Výkop pro uložení drenážního potrubí DN 100. 
Výpočet - výměra, rozměr:
312,00*0,25*1,10 =&gt; délka výkopku pro příp. drenážní potrubí [m] * plocha rýhy [m2] + rezerva 10%</t>
  </si>
  <si>
    <t>Příp. za hloub. rýh š. 200cm, v mokrém prostředí, hor. 1-7, nad 100 m3, příplatková položka, předpoklad mokré prostředí.
Výpočet - výměra, rozměr:
579,30+463,44+115,64+8+85,80 =&gt; součet výkopu v hor. tř. I. až VII. [m3]</t>
  </si>
  <si>
    <t>Pažení a rozepření stěny rýhy - příložné - hl. do 4 m. D+M
Výpočet - výměra, rozměr:
312,00*3,00*2*0,90 =&gt; délka trasy / úseku / stoky [m] * průměrná výška [m] * počet stěn [ks] - 90% z toho</t>
  </si>
  <si>
    <t>Odstranění pažení a rozepření stěny rýhy - příložné - hl. do 4 m. D+M
Výpočet - výměra, rozměr:
312,00*3,00*2*0,90 =&gt; délka trasy / úseku / stoky [m] * průměrná výška [m] * počet stěn [ks] - 90% z toho</t>
  </si>
  <si>
    <t>bez naložení do dopravní nádoby, ale s vyprázdněním dopravní nádoby na hromadu nebo na dopravní prostředek
hloubení rýh š. do 200 cm objemu do 10 000 m3 (stavba globálně): 7 %
Výpočet - výměra, rozměr:
(579,30+463,44)*0,07 =&gt; součet kubatury horn.  tř. I. až IV. * 7 % - stanoveno z tabulky pro určení podílu svislého přemístění výkopku</t>
  </si>
  <si>
    <t>bez naložení do dopravní nádoby, ale s vyprázdněním dopravní nádoby na hromadu nebo na dopravní prostředek
hloubení rýh š. do 200 cm objemu do 10 000 m3 (stavba globálně): 7 %
viz. TABULKA TĚŽITELNOSTI HORNIN
Výpočet:
(115,64+8+85,80)*0,07 =&gt; součet kubatury horn.  tř. V. až VII. * 7 % - stanoveno z tabulky pro určení podílu svislého přemístění výkopku</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</si>
  <si>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(579,30+463,44) =&gt; celkový výkop hor. tř. I.-IV. [m3]
-566,61 =&gt; odečet kubatury zeminy potřebné k zásypu [m3]</t>
  </si>
  <si>
    <t>1 km nad rozpočtovou položku s odvozem nad 10 km, příplatek za 1 km, včetně zpáteční cesty.
Předpoklad uložení skládka (AVE CZ, Jindřichův Hradec - Žirovnice ul. Hradecká = 24,0 km).
Výpočet - výměra, rozměr:
476,13*14,0 =&gt; kubatura k přemístění [m3] * počet km nad 10 km [-]</t>
  </si>
  <si>
    <t>Po suchu, bez naložení výkopku, avšak se složením bez rozhrnutí, zpáteční cesta vozidla.
Předpoklad uložení - skládka (AVE CZ, Jindřichův Hradec - Žirovnice ul. Hradecká = 24,0 km).
Výpočet - výměra, rozměr:
115,64+8+85,8 =&gt; součet výkopků tř. V. až VII. [m3]</t>
  </si>
  <si>
    <t>1 km nad rozpočtovou položku s odvozem nad 10 km, příplatek za 1 km, včetně zpáteční cesty.
Předpoklad uložení skládka  (AVE CZ, Jindřichův Hradec - Žirovnice ul. Hradecká = 24,0 km).
Výpočet - výměra, rozměr:
209,44*14 =&gt; kubatura k přemístění [m3] * počet km nad 10 km [-]</t>
  </si>
  <si>
    <t>Naložení a složení výkopku tř. 1. až 4. z mezideponie pro zásyp rýhy.
Výpočet - výměra, rozměr:
2*566,61 =&gt; počet nakládání / skládání [-] * kubatura horniny tř. I. - IV. potřebná pro zásyp [m3]</t>
  </si>
  <si>
    <t>Položka obsahuje naložení, odvoz výkopku na mezideponii, složení výkopku a zpáteční cestu.
Výpočet - výměra, rozměr:
2*566,61 =&gt; 1x odvoz + 1x dovoz [-] * kubatura horniny tř. I. - IV. potřebná pro zásyp [m3]</t>
  </si>
  <si>
    <t>Obsyp hutnitelným nesoudržným materiálem (f = 0-16 mm pro PP/PVC) , pro jakoukoliv hloubku výkopu a jakoukoliv míru zhutnění, včetně dodávky obsypového materiálu. D+M
viz. PODÉLNÉ PROFILY
Výpočet - výměra, rozměr:
312,00*0,95*1,05 =&gt; délka trasy úseku / stoky [m] * plocha obsypu [m2] + rezerva na zhutnění 5%
-(312,00*(pi*0,200^2)) =&gt; odečet kubatury vytlačené potrubím [m3]</t>
  </si>
  <si>
    <t>Zásyp jam, rýh, šachet se zhutněním z jakékoliv horniny (tř. I - IV.) s uložením výkopku po vrtstvách, max. velikost kamene 100 mm, přebytečná zemina odvezena na skládku:
viz. PODÉLNÉ PROFILY
Výpočet - výměra, rozměr:
31,20*2,05*1,05 =&gt; ÚSEK č.1 (KSÚS): délka úseku [m] * prům.pl. zásypu [m2]  + 5% rezerva na zhutnění
46,20*2,05*1,05 =&gt; ÚSEK č.2 (KSÚS): délka úseku [m] * prům.pl. zásypu [m2]  + 5% rezerva na zhutnění
106,30*1,80*1,05 =&gt; ÚSEK č.3 (KSÚS): délka úseku [m] * prům.pl. zásypu [m2]  + 5% rezerva na zhutnění
109,90*1,65*1,05 =&gt; ÚSEK č.4 (KSÚS): délka úseku [m] * prům.pl. zásypu [m2]  + 5% rezerva na zhutnění
17,60*0,47*1,05 =&gt; ÚSEK č.5 (KSÚS): délka úseku [m] * prům.pl. zásypu [m2]  + 5% rezerva na zhutnění</t>
  </si>
  <si>
    <t>Výpočet - výměra, rozměr:
476,13 =&gt; kubatura [m3] - převzato z pol. vodorovného přesunu horn. tř. 1 - 4</t>
  </si>
  <si>
    <t>Výpočet - výměra, rozměr:
209,44 =&gt; kubatura [m3] - převzato z pol. vodorovného přesunu horn. tř. 5 - 7</t>
  </si>
  <si>
    <t>Zhutnění podloží pod potrubím válcem.
Výpočet - výměra, rozměr:
312,00*1,20*1,10 =&gt; délka řadu [m] * šířka lože [m] + 10% rezerva</t>
  </si>
  <si>
    <t>Drenážní (odvodňovací) potrubí DN 100, lože ze štěrkopísku (f = 4 - 16 mm), obalení potrubí geotextilií, uložení do rýhy, obsyp štěrkem (f = 32 - 64 mm). D+M
Odvodnění, napojení do dešťové kanalizace.
Výpočet - výměra, rozměr:
312,0 =&gt; délka drenážního potrubí [m]</t>
  </si>
  <si>
    <t>Beton podkladní pod základové konstrukce, prostý - betonové lože pod revizní šachtu, tl. 0,20 m, a = 1,20 m. D+M
Výpočet - výměra, rozměr:
13*(1,2*1,2*0,2) =&gt; počet šachet [ks] * objem podkladového bet. pod šachtu [m3]</t>
  </si>
  <si>
    <t>Zhotovení podkladního lože pod kanalizační potrubí ze štěrkopísku, f = 0 - 4 mm, včetně dodávky podkladového materiálu. D+M
Výpočet - výměra, rozměr:
312,00*1,20*0,15*1,15 =&gt; délka trasy úseku / stoky [m] * šíře rýhy [m] * tl. lože [m] + rezerva na zhutnění 15%</t>
  </si>
  <si>
    <t>Podklad ze štěrkodrti po zhutnění tloušťky 17 cm - podkladní (zpevňovací) vrstva komunikace, štěrkodrť f = 0 - 63 mm, včetně dodávky štěrkodrti. D+M
Výpočet - výměra, rozměr:
31,20*1,90*1,05 =&gt; ÚSEK č.1: délka úseku [m] * prům. šíře rýhy [m] + rezerva 5%
46,20*1,90*1,05 =&gt; ÚSEK č.2: délka úseku [m] * prům. šíře rýhy [m] + rezerva 5%
106,30*1,92*1,05 =&gt; ÚSEK č.3: délka úseku [m] * prům. šíře rýhy [m] + rezerva 5%
109,90*1,82*1,05 =&gt; ÚSEK č.4: délka úseku [m] * prům. šíře rýhy [m] + rezerva 5%
17,60*1,52*1,05 =&gt; ÚSEK č.5: délka úseku [m] * prům. šíře rýhy [m] + rezerva 5%</t>
  </si>
  <si>
    <t>Podkladní vrstva z kameniva drceného, f = 32 - 63 mm, s výplň.kamen., tl. vrstvy 25 cm, včetně dodávky kameniva. D+M
Výpočet - výměra, rozměr:
31,20*2,00*1,05 =&gt; ÚSEK č.1: délka úseku [m] * prům. šíře rýhy [m] + rezerva 5%
46,20*2,00*1,05 =&gt; ÚSEK č.2: délka úseku [m] * prům. šíře rýhy [m] + rezerva 5%
106,30*2,01*1,05 =&gt; ÚSEK č.3: délka úseku [m] * prům. šíře rýhy [m] + rezerva 5%
109,90*1,91*1,05 =&gt; ÚSEK č.4: délka úseku [m] * prům. šíře rýhy [m] + rezerva 5%
17,60*1,60*1,05 =&gt; ÚSEK č.5: délka úseku [m] * prům. šíře rýhy [m] + rezerva 5%</t>
  </si>
  <si>
    <t>Podkladní vrstva z kameniva drceného, f = 32 - 63 mm, s výplň.kamen., tl. vrstvy 20 cm, včetně dodávky kameniva. D+M
Výpočet - výměra, rozměr:
31,20*2,00*1,05 =&gt; ÚSEK č.1: délka úseku [m] * prům. šíře rýhy [m] + rezerva 5%
46,20*2,00*1,05 =&gt; ÚSEK č.2: délka úseku [m] * prům. šíře rýhy [m] + rezerva 5%
106,30*2,01*1,05 =&gt; ÚSEK č.3: délka úseku [m] * prům. šíře rýhy [m] + rezerva 5%
109,90*1,91*1,05 =&gt; ÚSEK č.4: délka úseku [m] * prům. šíře rýhy [m] + rezerva 5%
17,60*1,60*1,05 =&gt; ÚSEK č.5: délka úseku [m] * prům. šíře rýhy [m] + rezerva 5%</t>
  </si>
  <si>
    <t>Podklad ze štěrkodrti po zhutnění tloušťky 18 cm, vrchní vrstva - dočasná po dobu stavby před celoplošnou rekonstrukcí komunikace, včetně dodávky štěrkodrti (f = 0 - 32 mm). D+M
Výpočet - výměra, rozměr:
31,20*2,14 =&gt; ÚSEK č.1: délka úseku [m] * prům. šíře rýhy [m] + rezerva 5%
46,20*2,14 =&gt; ÚSEK č.2: délka úseku [m] * prům. šíře rýhy [m] + rezerva 5%
106,30*2,16 =&gt; ÚSEK č.3: délka úseku [m] * prům. šíře rýhy [m] + rezerva 5%
109,90*2,06 =&gt; ÚSEK č.4: délka úseku [m] * prům. šíře rýhy [m] + rezerva 5%
17,60*1,74 =&gt; ÚSEK č.5: délka úseku [m] * prům. šíře rýhy [m] + rezerva 5%</t>
  </si>
  <si>
    <t>Podklad z obal kam.ACP 16+,ACP 22+,do 3 m,tl. 8 cm, ložní vrstva komunikace. D+M
Výpočet - výměra, rozměr:
31,20*2,14 =&gt; ÚSEK č.1: délka úseku [m] * prům. šíře rýhy [m] + rezerva 5%
46,20*2,14 =&gt; ÚSEK č.2: délka úseku [m] * prům. šíře rýhy [m] + rezerva 5%
106,30*2,16 =&gt; ÚSEK č.3: délka úseku [m] * prům. šíře rýhy [m] + rezerva 5%
109,90*2,06 =&gt; ÚSEK č.4: délka úseku [m] * prům. šíře rýhy [m] + rezerva 5%
17,60*1,74 =&gt; ÚSEK č.5: délka úseku [m] * prům. šíře rýhy [m] + rezerva 5%</t>
  </si>
  <si>
    <t>Příplatek za zpevnění štěrkové vrstvy cementem (pl. do 5000 m2), včetně dodávky cementové směsi a promísení, tl. do 20 cm. M+D
Výpočet - výměra, rozměr:
31,20*2,00*1,05 =&gt; ÚSEK č.1: délka úseku [m] * prům. šíře rýhy [m] + rezerva 5%
46,20*2,00*1,05 =&gt; ÚSEK č.2: délka úseku [m] * prům. šíře rýhy [m] + rezerva 5%
106,30*2,01*1,05 =&gt; ÚSEK č.3: délka úseku [m] * prům. šíře rýhy [m] + rezerva 5%
109,90*1,91*1,05 =&gt; ÚSEK č.4: délka úseku [m] * prům. šíře rýhy [m] + rezerva 5%
17,60*1,60*1,05 =&gt; ÚSEK č.5: délka úseku [m] * prům. šíře rýhy [m] + rezerva 5%</t>
  </si>
  <si>
    <t>Postřik spojovací z KAE modifikované, 0,7 kg/m2. D+M 
Výpočet - výměra, rozměr:
31,20*2,14 =&gt; ÚSEK č.1: délka úseku [m] * prům. šíře rýhy [m] + rezerva 5%
46,20*2,14 =&gt; ÚSEK č.2: délka úseku [m] * prům. šíře rýhy [m] + rezerva 5%
106,30*2,16 =&gt; ÚSEK č.3: délka úseku [m] * prům. šíře rýhy [m] + rezerva 5%
109,90*2,06 =&gt; ÚSEK č.4: délka úseku [m] * prům. šíře rýhy [m] + rezerva 5%
17,60*1,74 =&gt; ÚSEK č.5: délka úseku [m] * prům. šíře rýhy [m] + rezerva 5%</t>
  </si>
  <si>
    <t>Montáž potrubí z tvrdého PVC těsněných gumovým kroužkem. V položce je uvažováno s jedním spojem na 6 m potrubí. Položka je určena pro montáž potrubí z kanalizačních trub z plastu těsněných gumovým kroužkem v otevřeném výkopu ve sklonu do 20 %. V položce montáže potrubí nejsou zakalkulovány náklady na dodání trub; tyto náklady se oceňují ve specifikaci.
Výpočet - výměra, rozměr:
312,0 =&gt; celková délka montáže potrubí dané světlosti [m]</t>
  </si>
  <si>
    <t>Montáž dvouossých kanalizačních odbočných tvarovek daného průměru (kanalizační odbočení pro jednotlivé nemovitosti).
Položka je určena pro montáž tvarovek odbočných na potrubí z kanalizačních trub z plastu těsněných gumovým kroužkem v otevřeném výkopu. M
Výpočet - výměra, rozměr:
21 =&gt; součet všech odbočných tvarovek [ks]</t>
  </si>
  <si>
    <t>Položka je určena pro montáž tvarovek jednoosých na potrubí z kanalizačních trub z plastu těsněných gumovým kroužkem v otevřeném výkopu. M
Výpočet - výměra, rozměr:
27 =&gt; součet všech jednoosých tvarovek [ks]</t>
  </si>
  <si>
    <t>Položka je určena pro montáž tvarovek na potrubí jednoosých (nerez-pryžových spojek) v otevřeném výkopu, v otevřeném kanálu nebo v šachtě.  V položce nejsou zakalkulovány náklady na dodávku tvarovek; tyto tvarovky se oceňují ve speciifikaci. 
Výpočet - výměra, rozměr:
2 =&gt; počet nesourodých spojů [ks]</t>
  </si>
  <si>
    <t>Vyčištění kanalizační stoky - proplach vodou před zkouškou těsnosti kanalizace, v položce jsou započteny i náklady na dodání vody. D+M
Výpočet - výměra, rozměr:
312,0 =&gt; délka gravitační kanalizace [m]</t>
  </si>
  <si>
    <t>Položka je určena pro zabezpečení jakéhokoliv druhu potrubí v úseku mezi dvěma šachtami pro staveništní čerpání pro zkoušku těsnosti potrubí. V položce jsou zakalkulovány náklady na osazení a odstranění dvou těsnicích uzávěrů.
Výpočet - výměra, rozměr:
11 =&gt; počet úseků na trase  (úsek = libovolná vzdálenost mezi dvěma šachtami)</t>
  </si>
  <si>
    <t>Zkouška těsnosti dešťové kanalizace DN do 400, vodou, včetně nákladů dodávek na vodu, napuštění vodou, zabezpečení konců zajištěno předchozí položkou. D+M
Výpočet - výměra, rozměr:
312,0 =&gt; délka kanalizačního potrubí [m]</t>
  </si>
  <si>
    <t>Kontrola kanalizace TV kamerou nad 500 m, včetně TV záznamu s kontrolou ovality potrubí. D+M
Výpočet - výměra, rozměr:
312,0 =&gt; délka gravit. kanalizace [m]</t>
  </si>
  <si>
    <t>Dodávka a uložení výstražné fólie, hnědé barvy s nápisem "KANALIZACE" / "POZOR KANALIZACE", cca 30 cm nad povrchem potrubí. D+M
Výpočet - výměra, rozměr:
312,0*1,10 =&gt; délka potrubí /úseku/ [m] + rezerva 10%</t>
  </si>
  <si>
    <t>Příplatek za ztíženou montáž kanalizace v hornině mokré - předpoklad: mokré prostředí.
Výpočet - výměra, rozměr:
312,0 =&gt; odhad mokré prostředí: délka [m]</t>
  </si>
  <si>
    <t>Výpočet - výměra, rozměr:
694,48*0,75 =&gt; celková hmotnost odebraných konstrukcí komunikací [t]  =&gt; z toho prům. 75%</t>
  </si>
  <si>
    <t>Přesun hmot, komunikace z kameniva, příplatek 1 km - odvoz na skládku (AVE CZ, Jindřichův Hradec - Žirovnice ul. Hradecká = 24,0 km).
Výpočet - výměra, rozměr:
23*694,48*0,75 =&gt; počet km [-] * celk. odebraná hmotnost vrstev komunikace [t] =&gt; z toho 75%</t>
  </si>
  <si>
    <t>Přesun hmot, kryt živičný (do 1 km) - odvoz na skládku investora (Skládka - Žirovnice ul. Hradecká = 2,0 km).
Výpočet - výměra, rozměr:
694,48*0,25 =&gt; celk. odebraná hmotnost vrstev komunikace [t] =&gt; z toho 25%</t>
  </si>
  <si>
    <t>Potrubí z  PP / PVC-U v kruhové tuhosti min. SN 12 kN/m2, d 400 mm s plnostěnnou konstrukcí stěny vyráběné dle ČSN EN 1401. Parametry zejména určena pro splaškové kanalizace, kde je vyžadována co nejvyšší síla stěny. Potrubí využívá řadu PVC nebo PP  tvarovek v odpovídající síle stěny. Potrubí je oranžové/hnědé barvy a je spojováno pomocí hrdel a gumového těsnění jištěné plastovým kroužkem. Dodávka materiálu. D
Výpočet - výměra, rozměr:
(312,0*0,75)/6,0 =&gt; celková délka potrubí [m] * 75% z celku / délka trubky + ztratné 10%
Pozn.: Orientační počet daného rozměru, přesný počet bude vykázán zhotovitelem stavby.</t>
  </si>
  <si>
    <t>Potrubí z  PP / PVC-U v kruhové tuhosti min. SN 12 kN/m2, d 400 mm s plnostěnnou konstrukcí stěny vyráběné dle ČSN EN 1401. Parametry zejména určena pro splaškové kanalizace, kde je vyžadována co nejvyšší síla stěny. Potrubí využívá řadu PVC nebo PP  tvarovek v odpovídající síle stěny. Potrubí je oranžové/hnědé barvy a je spojováno pomocí hrdel a gumového těsnění jištěné plastovým kroužkem. Dodávka materiálu. D
Výpočet - výměra, rozměr:
(312,00*0,25)/3,0 =&gt; celková délka potrubí [m] * 25% z celku / délka trubky + ztratné 10%
Pozn.: Orientační počet daného rozměru, přesný počet bude vykázán zhotovitelem stavby.</t>
  </si>
  <si>
    <t>Potrubí z  PP / PVC-U v kruhové tuhosti min. SN 12 kN/m2, d 400 mm s plnostěnnou konstrukcí stěny vyráběné dle ČSN EN 1401. Parametry zejména určena pro splaškové kanalizace, kde je vyžadována co nejvyšší síla stěny. Potrubí využívá řadu PVC nebo PP  tvarovek v odpovídající síle stěny. Potrubí je oranžové/hnědé barvy a je spojováno pomocí hrdel a gumového těsnění jištěné plastovým kroužkem. Dodávka materiálu. D
Výpočet - výměra, rozměr:
3 =&gt; počet [ks] - napojení na stáv. kanalizaci
Pozn.: Orientační počet daného rozměru, přesný počet bude vykázán zhotovitelem stavby.</t>
  </si>
  <si>
    <t>Odbočka kanalizační  400/ 200 /45° PVC /PP/, nástrčná hrdla opatřená těsnicím kroužkem z elastomeru.
Výpočet - výměra, rozměr:
14 =&gt; počet odbočení na stoce [ks]</t>
  </si>
  <si>
    <t>Odbočka kanalizační  400/ 160/45° PVC /PP/, nástrčná hrdla opatřená těsnicím kroužkem z elastomeru.
Výpočet - výměra, rozměr:
7 =&gt; počet odbočení na stoce [ks]</t>
  </si>
  <si>
    <t>Koleno kanalizační 400/ 45° PVC /PP/ (DN 400), nástrčné hrdlo opatřené těsnicím kroužkem z elastomeru.
Výpočet - výměra, rozměr:
2 =&gt; množství [ks] - stanoveno odhadem + ztratné 1,5%
Pozn.: Orientační počet daného rozměru, přesný počet bude vykázán zhotovitelem stavby.</t>
  </si>
  <si>
    <t>Koleno kanalizační  400/ 30° PVC /PP/ (DN 400), nástrčné hrdlo opatřené těsnicím kroužkem z elastomeru.
Výpočet - výměra, rozměr:
4 =&gt; množství [ks]  - stanoveno odhadem + ztratné 1,5%
Pozn.: Orientační počet daného rozměru, přesný počet bude vykázán zhotovitelem stavby.</t>
  </si>
  <si>
    <t>Koleno kanalizační  400/ 15° PVC /PP/ (DN 400), nástrčné hrdlo opatřené těsnicím kroužkem z elastomeru.
Výpočet - výměra, rozměr:
6 =&gt; množství [ks]  - stanoveno odhadem + ztratné 1,5%
Pozn.: Orientační počet daného rozměru, přesný počet bude vykázán zhotovitelem stavby.</t>
  </si>
  <si>
    <t>Přesuvka kanalizační  400 PVC /PP/ (DN 400), nástrčná hrdla opatřená těsnicím kroužkem z elastomeru.
Výpočet - výměra, rozměr:
15 =&gt; množství [ks]  - stanoveno odhadem + ztratné 1,5%
Pozn.: Orientační počet daného rozměru, přesný počet bude vykázán zhotovitelem stavby.</t>
  </si>
  <si>
    <t>Dočasné zajištění potrubí ve výkopu vzniklé křížením (příp. souběhy), např.: podepřením, tvárnicemi, zákrytovými deskami.
Výpočet - výměra, rozměr:
4*1,95*0,50 =&gt; počet křížení [ks] * prům. šířka rýhy [m] - 50% z toho</t>
  </si>
  <si>
    <t>Dočasné zajištění kabelů ve výkopu vzniklé křížením, např.: podepřením, tvárnicemi, zákrytovými deskami.
Výpočet - výměra, rozměr:
3*1,95*0,50 =&gt; počet křížení [ks] * prům. šířka rýhy [m] - 50% z toho</t>
  </si>
  <si>
    <t>Množství m.j. je uvedeno dle předpokladu, celková cena této práce se stanoví podle skutečnosti při provádění stavebních prací. Den = 8 hodin.
Výpočet:
4*8 =&gt; předpoklad čerpání ve dnech * počet hodin - stanoveno odhadem</t>
  </si>
  <si>
    <t>Odstranění stávajícího krytu přijezdné komunikace, včetně nakládání a odvozu na skládku do 1 km, započítaná i zpáteční cesta. 
Položka obsahuje: 
- řezání živičného krytu tl. 5 cm, 
- odstranění asfaltbetonového krytu tl. 6 cm 
- řezání podkladního asfaltobetonu tl. 7 cm 
- odstranění podkladního asfaltobetonu tl. 7 cm 
- odstranění kameniva zpevněného cementem tl. 15 cm 
- odstranění štěrkodrti tl. 32 cm 
- nakládání suti 
- vodorovná doprava suti do 1 km (položka neobsahuje poplatek za skládku)
Výpočet - výměra, rozměr:
2,70*1,95*1,05 =&gt; ÚSEK č.1 (KSÚS): délka úseku [m] * prům. šíře rýhy [m] + rezerva 5%</t>
  </si>
  <si>
    <t>Rozebrání dlažeb ze zámkové dlažby v kamenivu, resp. v štěrkovém loži. 
Položka je určená pro rozebrání zámkových dlažeb, tl. 8 cm, včetně odebrání ložních a konstrukčních štěrkových, příp. štěrkopískových vrstev s naložením na dopravní prostředek a odvozem na skládku do 1 km.
Položka obsahuje: 
- rozebrání dlažebních kostek, tl. 8 cm
- odstranění ložní vrstvy štěrkopísku (f = 0 - 4 mm), tl. 4 cm,
- odstranění štěrkového podkladu, tl. do 50 cm
- nakládání suti, vodorovná doprava suti do 1 km
Výpočet - výměra, rozměr:
2,00*1,95*1,05 =&gt; ÚSEK č.1 (CHOD): délka úseku [m] * prům. šíře rýhy [m] + rezerva 5%</t>
  </si>
  <si>
    <t>Odstranění podkladu nad 50 m2,kam.těžené tl.18 cm - odstranění provizorní vrstvy.
Položka je určena i pro odstranění podkladů nebo krytů ze štěrkopísku, škváry, strusky nebo z mechanicky zpevněných zemin. Pro volbu položky z hlediska množství se uvažuje každá souvisle odstraňovaná plocha krytu nebo podkladu stejného druhu samostatně.
Výpočet - výměra, rozměr:
2,70*1,95 =&gt; ÚSEK č.1 (KSÚS): délka úseku [m] * prům. šíře rýhy [m]</t>
  </si>
  <si>
    <t>Sejmutí ornice s přemístěním do 50 m, uložením na dočasnou skládku. M+D
Výpočet - výměra, rozměr: 
13,30*1,95*0,20*1,05 =&gt; délka úseku nezpevněné plochy [m] * prům. šíře rýhy [m] * tl. vrstvy [m] + 5% rezerva</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</si>
  <si>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2,70*3,21*0,5*1,05 =&gt; ÚSEK č.1 (KSÚS): délka úseku [m] * prům.plocha [m2] * 50% (III. tř. horniny) + 5% rezerva
2,00*3,61*0,5*1,05 =&gt; ÚSEK č.1 (CHOD): délka úseku [m] * prům.plocha [m2] * 50% (III. tř. horniny) + 5% rezerva
13,30*4,34*0,5*1,05 =&gt; ÚSEK č.1 (NZP): délka úseku [m] * prům.plocha [m2] * 50% (III. tř. horniny) + 5% rezerva</t>
  </si>
  <si>
    <t>Příplatek za lepivost, 50% celkového objemu výkopu. Do měrných jednotek se udává poměrné množství zeminy, které ulpí v nářadí a o které je snížen celkový výkon stroje.
Výpočet - výměra, rozměr:
38,64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</si>
  <si>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2,70*3,21*0,4*1,05 =&gt; ÚSEK č.1 (KSÚS): délka úseku [m] * prům.plocha [m2] * 40% (IV. tř. horniny) + 5% rezerva
2,00*3,61*0,4*1,05 =&gt; ÚSEK č.1 (CHOD): délka úseku [m] * prům.plocha [m2] * 40% (IV. tř. horniny) + 5% rezerva
13,30*4,34*0,4*1,05 =&gt; ÚSEK č.1 (NZP): délka úseku [m] * prům.plocha [m2] * 40% (IV. tř. horniny) + 5% rezerva</t>
  </si>
  <si>
    <t>Příplatek za lepivost, 25% celkového objemu výkopu. Do měrných jednotek se udává poměrné množství zeminy, které ulpí v nářadí a o které je snížen celkový výkon stroje.
Výpočet - výměra, rozměr:
30,91 [m3] * 0,25 [%] =&gt; převzaté č. pol. 132301213R00 (Hloubení rýh v hor.4 do 10 000m3,STROJNĚ) * 25% z výkopku</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</si>
  <si>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Položka se používá bez ohledu na těžené množství.
viz. TABULKA TĚŽITELNOSTI HORNIN
Výpočet - výměra, rozměr:
2,70*3,21*0,1*1,05 =&gt; ÚSEK č.1 (KSÚS): délka úseku [m] * prům.plocha [m2] * 10% (V. tř. horniny) + 5% rezerva
2,00*3,61*0,1*1,05 =&gt; ÚSEK č.1 (CHOD): délka úseku [m] * prům.plocha [m2] * 10% (V. tř. horniny) + 5% rezerva
13,30*4,34*0,1*1,05 =&gt; ÚSEK č.1 (NZP): délka úseku [m] * prům.plocha [m2] * 10% (V. tř. horniny) + 5% rezerva</t>
  </si>
  <si>
    <t>Výkop pro uložení drenážního potrubí DN 80. 
Výpočet - výměra, rozměr:
10,0*0,25*1,10 =&gt; délka výkopku pro příp. drenážní potrubí [m] * plocha rýhy [m2] + rezerva 10%</t>
  </si>
  <si>
    <t>Příp. za hloub. rýh š. 200cm, v mokrém prostředí, hor. 1-7, nad 100 m3, příplatková položka, předpoklad mokré prostředí.
Výpočet - výměra, rozměr:
38,64+30,91+7,73+2+2,75 =&gt; součet výkopu v hor. tř. I. až VII. [m3]</t>
  </si>
  <si>
    <t>Pažení a rozepření stěny rýhy - příložné - hl. do 4 m. D+M
Výpočet - výměra, rozměr:
18,00*3,15*2*0,90 =&gt; délka trasy / úseku / stoky [m] * průměrná výška [m] * počet stěn [ks] - 90% z toho</t>
  </si>
  <si>
    <t>Odstranění pažení a rozepření stěny rýhy - příložné - hl. do 4 m. D+M
Výpočet - výměra, rozměr:
18,00*3,15*2*0,90 =&gt; délka trasy / úseku / stoky [m] * průměrná výška [m] * počet stěn [ks] - 90% z toho</t>
  </si>
  <si>
    <t>bez naložení do dopravní nádoby, ale s vyprázdněním dopravní nádoby na hromadu nebo na dopravní prostředek
hloubení rýh š. do 200 cm objemu do 10 000 m3 (stavba globálně): 7 %
Výpočet - výměra, rozměr:
(38,64+30,91)*0,07 =&gt; součet kubatury horn.  tř. I. až IV. * 7 % - stanoveno z tabulky pro určení podílu svislého přemístění výkopku</t>
  </si>
  <si>
    <t>bez naložení do dopravní nádoby, ale s vyprázdněním dopravní nádoby na hromadu nebo na dopravní prostředek
hloubení rýh š. do 200 cm objemu do 10 000 m3 (stavba globálně): 7 %
viz. TABULKA TĚŽITELNOSTI HORNIN
Výpočet:
(7,73+2+2,75)*0,07 =&gt; součet kubatury horn.  tř. V. až VII. * 7 % - stanoveno z tabulky pro určení podílu svislého přemístění výkopku</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</si>
  <si>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(38,64+30,91) =&gt; celkový výkop hor. tř. I.-IV. [m3]
-61,30 =&gt; odečet kubatury zeminy potřebné k zásypu [m3]</t>
  </si>
  <si>
    <t>1 km nad rozpočtovou položku s odvozem nad 10 km, příplatek za 1 km, včetně zpáteční cesty.
Předpoklad uložení skládka (AVE CZ, Jindřichův Hradec - Žirovnice ul. Hradecká = 24,0 km).
Výpočet - výměra, rozměr:
8,25*14,0 =&gt; kubatura k přemístění [m3] * počet km nad 10 km [-]</t>
  </si>
  <si>
    <t>Po suchu, bez naložení výkopku, avšak se složením bez rozhrnutí, zpáteční cesta vozidla.
Předpoklad uložení - skládka (AVE CZ, Jindřichův Hradec - Žirovnice ul. Hradecká = 24,0 km).
Výpočet - výměra, rozměr:
7,73+2+2,75 =&gt; součet výkopků tř. V. až VII. [m3]</t>
  </si>
  <si>
    <t>1 km nad rozpočtovou položku s odvozem nad 10 km, příplatek za 1 km, včetně zpáteční cesty.
Předpoklad uložení skládka  (AVE CZ, Jindřichův Hradec - Žirovnice ul. Hradecká = 24,0 km).
Výpočet - výměra, rozměr:
12,48*14 =&gt; kubatura k přemístění [m3] * počet km nad 10 km [-]</t>
  </si>
  <si>
    <t>Naložení a složení výkopku tř. 1. až 4. z mezideponie pro zásyp rýhy.
Výpočet - výměra, rozměr:
2*61,30 =&gt; počet nakládání / skládání [-] * kubatura horniny tř. I. - IV. potřebná pro zásyp [m3]</t>
  </si>
  <si>
    <t>Nakládání, skládání, překládání ornice v množství do 100 m3 na / (z) mezideponii(e).
Výpočet - výměra, rozměr:
2*5,45 =&gt; počet nakládání / skládání [-] * kubatura ornice [m3]</t>
  </si>
  <si>
    <t>Vodorovné přemístění ornice - odvoz / dovoz - mezideponie.
Výpočet - výměra, rozměr:
2*5,45 =&gt; počet přesunů 1x odvoz, 1x dovoz [-] * kubatura ornice [m3]</t>
  </si>
  <si>
    <t>Obsyp hutnitelným nesoudržným materiálem (f = 0-16 mm pro PP/PVC) , pro jakoukoliv hloubku výkopu a jakoukoliv míru zhutnění, včetně dodávky obsypového materiálu. D+M
viz. PODÉLNÉ PROFILY
Výpočet - výměra, rozměr:
18,00*0,64*1,05 =&gt; délka trasy úseku / stoky [m] * plocha obsypu [m2] + rezerva na zhutnění 5%
-(18,00*(pi*0,125^2)) =&gt; odečet kubatury vytlačené potrubím [m3]</t>
  </si>
  <si>
    <t>Zásyp jam, rýh, šachet se zhutněním z jakékoliv horniny (tř. I - IV.) s uložením výkopku po vrtstvách, max. velikost kamene 100 mm, přebytečná zemina odvezena na skládku:
viz. PODÉLNÉ PROFILY
Výpočet - výměra, rozměr:
2,70*2,11*1,05 =&gt; ÚSEK č.1 (KSÚS): délka úseku [m] * prům.pl. zásypu [m2]  + 5% rezerva na zhutnění
2,00*2,80*1,05 =&gt; ÚSEK č.1 (CHOD): délka úseku [m] * prům.pl. zásypu [m2]  + 5% rezerva na zhutnění
13,30*3,54*1,05 =&gt; ÚSEK č.1 (KSÚS): délka úseku [m] * prům.pl. zásypu [m2]  + 5% rezerva na zhutnění</t>
  </si>
  <si>
    <t>Rozprostření vrstvy ornice v rovině / mírném svahu, tloušťka 20 cm.
Výpočet - výměra, rozměr:
13,30*1,95*1,05 =&gt; délka trasy úseku / stoky [m] * šíře rýhy [m]  + 5% rezerva</t>
  </si>
  <si>
    <t>Výpočet - výměra, rozměr:
8,25 =&gt; kubatura [m3] - převzato z pol. vodorovného přesunu horn. tř. 1 - 4</t>
  </si>
  <si>
    <t>Zhutnění podloží pod potrubím válcem.
Výpočet - výměra, rozměr:
18,0*1,05*1,10 =&gt; délka úseku / stoky [m] * šířka lože [m] + 10% rezerva</t>
  </si>
  <si>
    <t>Drenážní (odvodňovací) potrubí DN 80, lože ze štěrkopísku (f = 4 - 16 mm), obalení potrubí geotextilií, uložení do rýhy, obsyp štěrkem (f = 32 - 64 mm). D+M
Odvodnění, napojení do dešťové kanalizace.
Výpočet - výměra, rozměr:
10,0 =&gt; délka drenážního potrubí [m]</t>
  </si>
  <si>
    <t>Beton podkladní pod základové konstrukce, prostý - betonové lože pod revizní šachtu, tl. 0,20 m, a = 0,80 m. D+M
Výpočet - výměra, rozměr:
2*(0,8*0,8*0,2) =&gt; počet šachet [ks] * objem podkladového bet. pod šachtu [m3]</t>
  </si>
  <si>
    <t>Zhotovení podkladního lože pod kanalizační potrubí ze štěrkopísku, f = 0 - 4 mm, včetně dodávky podkladového materiálu. D+M
Výpočet - výměra, rozměr:
18,00*1,05*0,15*1,15 =&gt; délka trasy úseku / stoky [m] * šíře rýhy [m] * tl. lože [m] + rezerva na zhutnění 15%</t>
  </si>
  <si>
    <t>Podklad ze štěrkodrti po zhutnění tloušťky 17 cm - podkladní (zpevňovací) vrstva komunikace, štěrkodrť f = 0 - 63 mm, včetně dodávky štěrkodrti. D+M
Výpočet - výměra, rozměr:
2,70*1,71*1,05 =&gt; ÚSEK č.1: délka úseku [m] * prům. šíře rýhy [m] + rezerva 5%</t>
  </si>
  <si>
    <t>Podkladní vrstva z kameniva drceného, f = 32 - 63 mm, s výplň.kamen., tl. vrstvy 25 cm, včetně dodávky kameniva. D+M
Výpočet - výměra, rozměr:
2,70*1,81*1,05 =&gt; ÚSEK č.1: délka úseku [m] * prům. šíře rýhy [m] + rezerva 5%</t>
  </si>
  <si>
    <t>Podkladní vrstva z kameniva drceného, f = 32 - 63 mm, s výplň.kamen., tl. vrstvy 20 cm, včetně dodávky kameniva. D+M
Výpočet - výměra, rozměr:
2,70*1,81*1,05 =&gt; ÚSEK č.1: délka úseku [m] * prům. šíře rýhy [m] + rezerva 5%</t>
  </si>
  <si>
    <t>Podklad ze štěrkodrti po zhutnění tloušťky 18 cm, vrchní vrstva - dočasná po dobu stavby před celoplošnou rekonstrukcí komunikace, včetně dodávky štěrkodrti (f = 0 - 32 mm). D+M
Výpočet - výměra, rozměr:
2,70*1,95 =&gt; ÚSEK č.1: délka úseku [m] * prům. šíře rýhy [m] + rezerva 5%</t>
  </si>
  <si>
    <t>Podklad z obal kam.ACP 16+,ACP 22+,do 3 m,tl. 8 cm, ložní vrstva komunikace. D+M
Výpočet - výměra, rozměr:
2,70*1,95 =&gt; ÚSEK č.1: délka úseku [m] * prům. šíře rýhy [m]</t>
  </si>
  <si>
    <t>Příplatek za zpevnění štěrkové vrstvy cementem (pl. do 5000 m2), včetně dodávky cementové směsi a promísení, tl. do 20 cm. M+D
Výpočet - výměra, rozměr:
2,70*1,81*1,05 =&gt; ÚSEK č.1: délka úseku [m] * prům. šíře rýhy [m] + rezerva 5%</t>
  </si>
  <si>
    <t>Postřik spojovací z KAE modifikované, 0,7 kg/m2. D+M 
Výpočet - výměra, rozměr:
2,70*1,95 =&gt; ÚSEK č.1: délka úseku [m] * prům. šíře rýhy [m]</t>
  </si>
  <si>
    <t>Komunikace / chodník z dlažby zámkové, podklad štěrkopísek, dlažba přírodní tloušťka 8 cm, včetně zemních prací. D+M
Skladba: 
- podklad ze štěrkopísku, tl. 17 cm 
- podklad z drceného kameniva, tl. 30 cm 
- lože z kameniva, tl. 5 cm 
- dlažba zámková, betonová, tl. 8 cm
Výpočet - výměra, rozměr:
2,00*1,95*1,05 =&gt; ÚSEK č.1: délka [m] * šířka [m] + rezerva 5%</t>
  </si>
  <si>
    <t>Montáž potrubí z tvrdého PVC těsněných gumovým kroužkem. V položce je uvažováno s jedním spojem na 6 m potrubí. Položka je určena pro montáž potrubí z kanalizačních trub z plastu těsněných gumovým kroužkem v otevřeném výkopu ve sklonu do 20 %. V položce montáže potrubí nejsou zakalkulovány náklady na dodání trub; tyto náklady se oceňují ve specifikaci.
Výpočet - výměra, rozměr:
18,0 =&gt; celková délka montáže potrubí dané světlosti [m]</t>
  </si>
  <si>
    <t>Položka je určena pro montáž tvarovek jednoosých na potrubí z kanalizačních trub z plastu těsněných gumovým kroužkem v otevřeném výkopu. M
Výpočet - výměra, rozměr:
8+2 =&gt; součet všech jednoosých tvarovek [ks]</t>
  </si>
  <si>
    <t>Kompletní dodávka a montáž přefabrikované plastové šachty, D 600 mm, dl. šach. roury 2,00 m, 30° dno. D+M
Položka obsahuje:
- dodávka osazení plastového dna, 
- dodávka a osazení korugované šachtové roury, 
- dodávka a vložení těsnění, 
- dodávka a osazení šachtové teleskopické roury
- osazení litinového poklopu.
viz. VÝPIS KANALIZAČNÍCH ŠACHET
Výpočet - výměra, rozměr:
1 =&gt; počet navrhovaných šachet [ks]</t>
  </si>
  <si>
    <t>Kompletní dodávka a montáž přefabrikované plastové šachty, D 600 mm, dl. šach. roury 2,00 m, sběrná - T. D+M
Položka obsahuje:
- dodávka osazení plastového dna, 
- dodávka a osazení korugované šachtové roury, 
- dodávka a vložení těsnění, 
- dodávka a osazení šachtové teleskopické roury
- osazení litinového poklopu.
viz. VÝPIS KANALIZAČNÍCH ŠACHET
Výpočet - výměra, rozměr:
1 =&gt; počet navrhovaných šachet [ks]</t>
  </si>
  <si>
    <t>Položka je určena pro zabezpečení jakéhokoliv druhu potrubí v úseku mezi dvěma šachtami pro staveništní čerpání pro zkoušku těsnosti potrubí. V položce jsou zakalkulovány náklady na osazení a odstranění dvou těsnicích uzávěrů.
Výpočet - výměra, rozměr:
2 =&gt; počet úseků na trase  (úsek = libovolná vzdálenost mezi dvěma šachtami)</t>
  </si>
  <si>
    <t>Výpočet - výměra, rozměr:
7,06*0,75 =&gt; celková hmotnost odebraných konstrukcí komunikací [t]  =&gt; z toho prům. 75%</t>
  </si>
  <si>
    <t>Přesun hmot, komunikace z kameniva, příplatek 1 km - odvoz na skládku (AVE CZ, Jindřichův Hradec - Žirovnice ul. Hradecká = 24,0 km).
Výpočet - výměra, rozměr:
23*7,06*0,75 =&gt; počet km [-] * celk. odebraná hmotnost vrstev komunikace [t] =&gt; z toho 75%</t>
  </si>
  <si>
    <t>Přesun hmot, kryt živičný (do 1 km) - odvoz na skládku investora (Skládka - Žirovnice ul. Hradecká = 2,0 km).
Výpočet - výměra, rozměr:
7,06*0,25 =&gt; celk. odebraná hmotnost vrstev komunikace [t] =&gt; z toho 25%</t>
  </si>
  <si>
    <t>Odbočka kanalizační  250/ 160/45° PVC /PP/, nástrčná hrdla opatřená těsnicím kroužkem z elastomeru.
Výpočet - výměra, rozměr:
1 =&gt; počet odbočení na stoce [ks]</t>
  </si>
  <si>
    <t>Zádlažba okolo poklopu - žulová kostka + beton. D+M
Výpočet - výměra, rozměr:
2 =&gt; počet zádlažeb okolo poklopů [ks]</t>
  </si>
  <si>
    <t>Pohotovost čerpací soupravy. Oceňují se všechny dny od ukončení montáže po započetí demontáže čerpací soustavy.
Výpočet:
4 =&gt; předpokad čerpání ve dnech =&gt; stanoveno odhadem</t>
  </si>
  <si>
    <t>Odstranění stávajícího krytu přijezdné komunikace, včetně nakládání a odvozu na skládku do 1 km, započítaná i zpáteční cesta. 
Položka obsahuje: 
- řezání živičného krytu tl. 5 cm, 
- odstranění asfaltbetonového krytu tl. 6 cm 
- řezání podkladního asfaltobetonu tl. 7 cm 
- odstranění podkladního asfaltobetonu tl. 7 cm 
- odstranění kameniva zpevněného cementem tl. 15 cm 
- odstranění štěrkodrti tl. 32 cm 
- nakládání suti 
- vodorovná doprava suti do 1 km (položka neobsahuje poplatek za skládku)
Výpočet - výměra, rozměr:
5,80*1,74*1,05 =&gt; ÚSEK č.1 (KSÚS): délka úseku [m] * prům. šíře rýhy [m] + rezerva 5%</t>
  </si>
  <si>
    <t>Odstranění podkladu nad 50 m2,kam.těžené tl.18 cm - odstranění provizorní vrstvy.
Položka je určena i pro odstranění podkladů nebo krytů ze štěrkopísku, škváry, strusky nebo z mechanicky zpevněných zemin. Pro volbu položky z hlediska množství se uvažuje každá souvisle odstraňovaná plocha krytu nebo podkladu stejného druhu samostatně.
Výpočet - výměra, rozměr:
5,80*1,74 =&gt; ÚSEK č.1 (KSÚS): délka úseku [m] * prům. šíře rýhy [m]</t>
  </si>
  <si>
    <t>Sejmutí ornice s přemístěním do 50 m, uložením na dočasnou skládku. M+D
Výpočet - výměra, rozměr: 
3,20*1,74*0,20*1,05 =&gt; délka úseku nezpevněné plochy [m] * prům. šíře rýhy [m] * tl. vrstvy [m] + 5% rezerva</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</si>
  <si>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5,80*1,59*0,5*1,05 =&gt; ÚSEK č.1 (KSÚS): délka úseku [m] * prům.plocha [m2] * 50% (III. tř. horniny) + 5% rezerva
3,20*2,60*0,5*1,05 =&gt; ÚSEK č.1 (NZP): délka úseku [m] * prům.plocha [m2] * 50% (III. tř. horniny) + 5% rezerva</t>
  </si>
  <si>
    <t>Příplatek za lepivost, 50% celkového objemu výkopu. Do měrných jednotek se udává poměrné množství zeminy, které ulpí v nářadí a o které je snížen celkový výkon stroje.
Výpočet - výměra, rozměr:
9,21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</si>
  <si>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5,80*1,59*0,4*1,05 =&gt; ÚSEK č.1 (KSÚS): délka úseku [m] * prům.plocha [m2] * 40% (IV. tř. horniny) + 5% rezerva
3,20*2,60*0,4*1,05 =&gt; ÚSEK č.1 (NZP): délka úseku [m] * prům.plocha [m2] * 40% (IV. tř. horniny) + 5% rezerva</t>
  </si>
  <si>
    <t>Příplatek za lepivost, 25% celkového objemu výkopu. Do měrných jednotek se udává poměrné množství zeminy, které ulpí v nářadí a o které je snížen celkový výkon stroje.
Výpočet - výměra, rozměr:
7,36 [m3] * 0,25 [%] =&gt; převzaté č. pol. 132301213R00 (Hloubení rýh v hor.4 do 10 000m3,STROJNĚ) * 25% z výkopku</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</si>
  <si>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Položka se používá bez ohledu na těžené množství.
viz. TABULKA TĚŽITELNOSTI HORNIN
Výpočet - výměra, rozměr:
5,80*1,59*0,1*1,05 =&gt; ÚSEK č.1 (KSÚS): délka úseku [m] * prům.plocha [m2] * 10% (V. tř. horniny) + 5% rezerva
3,20*2,60*0,1*1,05 =&gt; ÚSEK č.1 (NZP): délka úseku [m] * prům.plocha [m2] * 10% (V. tř. horniny) + 5% rezerva</t>
  </si>
  <si>
    <t>Pažení a rozepření stěny rýhy - příložné - hl. do 4 m. D+M
Výpočet - výměra, rozměr:
9,00*2,00*2*0,90 =&gt; délka trasy / úseku / stoky [m] * průměrná výška [m] * počet stěn [ks] - 90% z toho</t>
  </si>
  <si>
    <t>Odstranění pažení a rozepření stěny rýhy - příložné - hl. do 4 m. D+M
Výpočet - výměra, rozměr:
9,00*2,00*2*0,90 =&gt; délka trasy / úseku / stoky [m] * průměrná výška [m] * počet stěn [ks] - 90% z toho</t>
  </si>
  <si>
    <t>bez naložení do dopravní nádoby, ale s vyprázdněním dopravní nádoby na hromadu nebo na dopravní prostředek
hloubení rýh š. do 200 cm objemu do 10 000 m3 (stavba globálně): 3 %
Výpočet - výměra, rozměr:
(9,21+7,36)*0,03 =&gt; součet kubatury horn.  tř. I. až IV. * 3 % - stanoveno z tabulky pro určení podílu svislého přemístění výkopku</t>
  </si>
  <si>
    <t>bez naložení do dopravní nádoby, ale s vyprázdněním dopravní nádoby na hromadu nebo na dopravní prostředek
hloubení rýh š. do 200 cm objemu do 10 000 m3 (stavba globálně): 3 %
viz. TABULKA TĚŽITELNOSTI HORNIN
Výpočet - výměra, rozměr:
(1,84+0,5)*0,07 =&gt; součet kubatury horn.  tř. V. až VII. * 3 % - stanoveno z tabulky pro určení podílu svislého přemístění výkopku</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</si>
  <si>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(9,21+7,36) =&gt; celkový výkop hor. tř. I.-IV. [m3]
-6,31 =&gt; odečet kubatury zeminy potřebné k zásypu [m3]</t>
  </si>
  <si>
    <t>1 km nad rozpočtovou položku s odvozem nad 10 km, příplatek za 1 km, včetně zpáteční cesty.
Předpoklad uložení skládka (AVE CZ, Jindřichův Hradec - Žirovnice ul. Hradecká = 24,0 km).
Výpočet - výměra, rozměr:
10,26*14,0 =&gt; kubatura k přemístění [m3] * počet km nad 10 km [-]</t>
  </si>
  <si>
    <t>Po suchu, bez naložení výkopku, avšak se složením bez rozhrnutí, zpáteční cesta vozidla.
Předpoklad uložení - skládka (AVE CZ, Jindřichův Hradec - Žirovnice ul. Hradecká = 24,0 km).
Výpočet - výměra, rozměr:
1,84+0,50 =&gt; součet výkopků tř. V. až VII. [m3]</t>
  </si>
  <si>
    <t>1 km nad rozpočtovou položku s odvozem nad 10 km, příplatek za 1 km, včetně zpáteční cesty.
Předpoklad uložení skládka  (AVE CZ, Jindřichův Hradec - Žirovnice ul. Hradecká = 24,0 km).
Výpočet - výměra, rozměr:
2,34*14 =&gt; kubatura k přemístění [m3] * počet km nad 10 km [-]</t>
  </si>
  <si>
    <t>Naložení a složení výkopku tř. 1. až 4. z mezideponie pro zásyp rýhy.
Výpočet - výměra, rozměr:
2*6,31 =&gt; počet nakládání / skládání [-] * kubatura horniny tř. I. - IV. potřebná pro zásyp [m3]</t>
  </si>
  <si>
    <t>Položka obsahuje naložení, odvoz výkopku na mezideponii, složení výkopku a zpáteční cestu.
Výpočet - výměra, rozměr:
2*6,31 =&gt; 1x odvoz + 1x dovoz [-] * kubatura horniny tř. I. - IV. potřebná pro zásyp [m3]</t>
  </si>
  <si>
    <t>Nakládání, skládání, překládání ornice v množství do 100 m3 na / (z) mezideponii(e).
Výpočet - výměra, rozměr:
2*1,17 =&gt; počet nakládání / skládání [-] * kubatura ornice [m3]</t>
  </si>
  <si>
    <t>Vodorovné přemístění ornice - odvoz / dovoz - mezideponie.
Výpočet - výměra, rozměr:
2*1,17 =&gt; počet přesunů 1x odvoz, 1x dovoz [-] * kubatura ornice [m3]</t>
  </si>
  <si>
    <t>Obsyp hutnitelným nesoudržným materiálem (f = 0-16 mm pro PP/PVC) , pro jakoukoliv hloubku výkopu a jakoukoliv míru zhutnění, včetně dodávky obsypového materiálu. D+M
viz. PODÉLNÉ PROFILY
Výpočet - výměra, rozměr:
9,00*0,95*1,05 =&gt; délka trasy úseku / stoky [m] * plocha obsypu [m2] + rezerva na zhutnění 5%
-(9,00*(pi*0,200^2)) =&gt; odečet kubatury vytlačené potrubím [m3]</t>
  </si>
  <si>
    <t>Zásyp jam, rýh, šachet se zhutněním z jakékoliv horniny (tř. I - IV.) s uložením výkopku po vrtstvách, max. velikost kamene 100 mm, přebytečná zemina odvezena na skládku:
viz. PODÉLNÉ PROFILY
Výpočet - výměra, rozměr:
5,80*0,22*1,05 =&gt; ÚSEK č.1 (KSÚS): délka úseku [m] * prům.pl. zásypu [m2]  + 5% rezerva na zhutnění
3,20*1,48*1,05 =&gt; ÚSEK č.1 (NZP): délka úseku [m] * prům.pl. zásypu [m2]  + 5% rezerva na zhutnění</t>
  </si>
  <si>
    <t>Rozprostření vrstvy ornice v rovině / mírném svahu, tloušťka 20 cm.
Výpočet - výměra, rozměr:
3,20*1,74*1,05 =&gt; délka trasy úseku / stoky [m] * šíře rýhy [m]  + 5% rezerva</t>
  </si>
  <si>
    <t>Výpočet - výměra, rozměr:
10,26 =&gt; kubatura [m3] - převzato z pol. vodorovného přesunu horn. tř. 1 - 4</t>
  </si>
  <si>
    <t>Výpočet - výměra, rozměr:
2,34 =&gt; kubatura [m3] - převzato z pol. vodorovného přesunu horn. tř. 5 - 7</t>
  </si>
  <si>
    <t>Zhutnění podloží pod potrubím válcem.
Výpočet - výměra, rozměr:
9,00*1,20*1,10 =&gt; délka řadu [m] * šířka lože [m] + 10% rezerva</t>
  </si>
  <si>
    <t>Beton podkladní pod základové konstrukce, prostý - betonové lože pod revizní šachtu, tl. 0,20 m, a = 1,20 m. D+M
Výpočet - výměra, rozměr:
1*(1,2*1,2*0,2) =&gt; počet šachet [ks] * objem podkladového bet. pod šachtu [m3]</t>
  </si>
  <si>
    <t>Zhotovení podkladního lože pod kanalizační potrubí ze štěrkopísku, f = 0 - 4 mm, včetně dodávky podkladového materiálu. D+M
Výpočet - výměra, rozměr:
9,00*1,20*0,15*1,15 =&gt; délka trasy úseku / stoky [m] * šíře rýhy [m] * tl. lože [m] + rezerva na zhutnění 15%</t>
  </si>
  <si>
    <t>Podklad ze štěrkodrti po zhutnění tloušťky 17 cm - podkladní (zpevňovací) vrstva komunikace, štěrkodrť f = 0 - 63 mm, včetně dodávky štěrkodrti. D+M
Výpočet - výměra, rozměr:
5,80*1,52*1,05 =&gt; ÚSEK č.1: délka úseku [m] * prům. šíře rýhy [m] + rezerva 5%</t>
  </si>
  <si>
    <t>Podkladní vrstva z kameniva drceného, f = 32 - 63 mm, s výplň.kamen., tl. vrstvy 25 cm, včetně dodávky kameniva. D+M
Výpočet - výměra, rozměr:
5,80*1,60*1,05 =&gt; ÚSEK č.1: délka úseku [m] * prům. šíře rýhy [m] + rezerva 5%</t>
  </si>
  <si>
    <t>Podkladní vrstva z kameniva drceného, f = 32 - 63 mm, s výplň.kamen., tl. vrstvy 20 cm, včetně dodávky kameniva. D+M
Výpočet - výměra, rozměr:
5,80*1,60*1,05 =&gt; ÚSEK č.1: délka úseku [m] * prům. šíře rýhy [m] + rezerva 5%</t>
  </si>
  <si>
    <t>Podklad ze štěrkodrti po zhutnění tloušťky 18 cm, vrchní vrstva - dočasná po dobu stavby před celoplošnou rekonstrukcí komunikace, včetně dodávky štěrkodrti (f = 0 - 32 mm). D+M
Výpočet - výměra, rozměr:
3,20*1,74 =&gt; ÚSEK č.1: délka úseku [m] * prům. šíře rýhy [m]</t>
  </si>
  <si>
    <t>Podklad z obal kam.ACP 16+,ACP 22+,do 3 m,tl. 8 cm, ložní vrstva komunikace. D+M
Výpočet - výměra, rozměr:
3,20*1,74 =&gt; ÚSEK č.1: délka úseku [m] * prům. šíře rýhy [m]</t>
  </si>
  <si>
    <t>Příplatek za zpevnění štěrkové vrstvy cementem (pl. do 5000 m2), včetně dodávky cementové směsi a promísení, tl. do 20 cm. M+D
Výpočet - výměra, rozměr:
5,80*1,60*1,05 =&gt; ÚSEK č.1: délka úseku [m] * prům. šíře rýhy [m] + rezerva 5%</t>
  </si>
  <si>
    <t>Postřik spojovací z KAE modifikované, 0,7 kg/m2. D+M 
Výpočet - výměra, rozměr:
3,20*1,74 =&gt; ÚSEK č.1: délka úseku [m] * prům. šíře rýhy [m]</t>
  </si>
  <si>
    <t>Montáž potrubí z tvrdého PVC těsněných gumovým kroužkem. V položce je uvažováno s jedním spojem na 6 m potrubí. Položka je určena pro montáž potrubí z kanalizačních trub z plastu těsněných gumovým kroužkem v otevřeném výkopu ve sklonu do 20 %. V položce montáže potrubí nejsou zakalkulovány náklady na dodání trub; tyto náklady se oceňují ve specifikaci.
Výpočet - výměra, rozměr:
9,0=&gt; celková délka montáže potrubí dané světlosti [m]</t>
  </si>
  <si>
    <t>Vyčištění kanalizační stoky - proplach vodou před zkouškou těsnosti kanalizace, v položce jsou započteny i náklady na dodání vody. D+M
Výpočet - výměra, rozměr:
9,0 =&gt; délka gravitační kanalizace [m]</t>
  </si>
  <si>
    <t>Zkouška těsnosti dešťové kanalizace DN do 400, vodou, včetně nákladů dodávek na vodu, napuštění vodou, zabezpečení konců zajištěno předchozí položkou. D+M
Výpočet - výměra, rozměr:
9,0 =&gt; délka kanalizačního potrubí [m]</t>
  </si>
  <si>
    <t>Kontrola kanalizace TV kamerou nad 500 m, včetně TV záznamu s kontrolou ovality potrubí. D+M
Výpočet - výměra, rozměr:
9,0 =&gt; délka gravit. kanalizace [m]</t>
  </si>
  <si>
    <t>Dodávka a uložení výstražné fólie, hnědé barvy s nápisem "KANALIZACE" / "POZOR KANALIZACE", cca 30 cm nad povrchem potrubí. D+M
Výpočet - výměra, rozměr:
9,0*1,10 =&gt; délka potrubí /úseku/ [m] + rezerva 10%</t>
  </si>
  <si>
    <t>Výpočet - výměra, rozměr:
13,54*0,75 =&gt; celková hmotnost odebraných konstrukcí komunikací [t]  =&gt; z toho prům. 75%</t>
  </si>
  <si>
    <t>Přesun hmot, komunikace z kameniva, příplatek 1 km - odvoz na skládku (AVE CZ, Jindřichův Hradec - Žirovnice ul. Hradecká = 24,0 km).
Výpočet - výměra, rozměr:
23*13,54*0,75 =&gt; počet km [-] * celk. odebraná hmotnost vrstev komunikace [t] =&gt; z toho 75%</t>
  </si>
  <si>
    <t>Přesun hmot, kryt živičný (do 1 km) - odvoz na skládku investora (Skládka - Žirovnice ul. Hradecká = 2,0 km).
Výpočet - výměra, rozměr:
13,54*0,25 =&gt; celk. odebraná hmotnost vrstev komunikace [t] =&gt; z toho 25%</t>
  </si>
  <si>
    <t>Potrubí z  PP / PVC-U v kruhové tuhosti min. SN 12 kN/m2, d 400 mm s plnostěnnou konstrukcí stěny vyráběné dle ČSN EN 1401. Parametry zejména určena pro splaškové kanalizace, kde je vyžadována co nejvyšší síla stěny. Potrubí využívá řadu PVC nebo PP  tvarovek v odpovídající síle stěny. Potrubí je oranžové/hnědé barvy a je spojováno pomocí hrdel a gumového těsnění jištěné plastovým kroužkem. Dodávka materiálu. D
Výpočet - výměra, rozměr:
4 =&gt; počet trub [ks] + ztratné 10%
Pozn.: Orientační počet daného rozměru, přesný počet bude vykázán zhotovitelem stavby.</t>
  </si>
  <si>
    <t>Koleno kanalizační  400/ 30° PVC /PP/ (DN 400), nástrčné hrdlo opatřené těsnicím kroužkem z elastomeru.
Výpočet - výměra, rozměr:
1 =&gt; množství [ks]  - stanoveno odhadem + ztratné 1,5%
Pozn.: Orientační počet daného rozměru, přesný počet bude vykázán zhotovitelem stavby.</t>
  </si>
  <si>
    <t>Koleno kanalizační  400/ 15° PVC /PP/ (DN 400), nástrčné hrdlo opatřené těsnicím kroužkem z elastomeru.
Výpočet - výměra, rozměr:
2 =&gt; množství [ks]  - stanoveno odhadem + ztratné 1,5%
Pozn.: Orientační počet daného rozměru, přesný počet bude vykázán zhotovitelem stavby.</t>
  </si>
  <si>
    <t>Přesuvka kanalizační  400 PVC /PP/ (DN 400), nástrčná hrdla opatřená těsnicím kroužkem z elastomeru.
Výpočet - výměra, rozměr:
2 =&gt; množství [ks]  - stanoveno odhadem + ztratné 1,5%
Pozn.: Orientační počet daného rozměru, přesný počet bude vykázán zhotovitelem stavby.</t>
  </si>
  <si>
    <t>Zádlažba okolo poklopu - žulová kostka + beton. D+M
Výpočet - výměra, rozměr:
1 =&gt; počet zádlažeb okolo poklopů [ks]</t>
  </si>
  <si>
    <t>Dočasné zajištění kabelů ve výkopu vzniklé křížením, např.: podepřením, tvárnicemi, zákrytovými deskami.
Výpočet - výměra, rozměr:
29*1,53*0,60 =&gt; počet křížení [ks] * prům. šířka rýhy [m] =&gt; z toho 60%</t>
  </si>
  <si>
    <t>Dočasné zajištění potrubí ve výkopu vzniklé křížením (příp. souběhy), např.: podepřením, tvárnicemi, zákrytovými deskami.
Výpočet - výměra, rozměr:
28*1,53*0,60 =&gt; počet křížení [ks] * prům. šířka rýhy [m] =&gt; z toho 60%</t>
  </si>
  <si>
    <t>Odstranění stávajícího krytu přijezdné komunikace, včetně nakládání a odvozu na skládku do 1 km, započítaná i zpáteční cesta. 
Položka obsahuje: 
- řezání živičného krytu tl. 5 cm, 
- odstranění asfaltbetonového krytu tl. 6 cm 
- řezání podkladního asfaltobetonu tl. 7 cm 
- odstranění podkladního asfaltobetonu tl. 7 cm 
- odstranění kameniva zpevněného cementem tl. 15 cm 
- odstranění štěrkodrti tl. 32 cm 
- nakládání suti 
- vodorovná doprava suti do 1 km (položka neobsahuje poplatek za skládku)
Výpočet - výměra, rozměr:
49,50*1,53*1,05 =&gt; celk. délka tras(y) / úsek(ů) kan. odbočení [m] * prům. šíře rýhy [m] + rezerva 5%</t>
  </si>
  <si>
    <t>Odstranění stávajícího krytu přijezdné komunikace, včetně nakládání a odvozu na skládku do 1 km, započítaná i zpáteční cesta. 
Položka obsahuje: (konstrukce místní obslužné komunikace - MOK)
- řezání živičného krytu tl. 4-5 cm, 
- odstranění asfaltbetonového krytu tl. 4-5 cm 
- řezání podkladního asfaltobetonu tl. do 5 cm 
- odstranění podkladního asfaltobetonu tl. do 5 cm 
- odstranění kameniva zpevněného cementem tl. 15 cm 
- odstranění štěrkodrti tl. 30 cm 
- nakládání suti 
- vodorovná doprava suti do 1 km (položka neobsahuje poplatek za skládku)
Výpočet - výměra, rozměr:
4,30*1,53*1,05 =&gt; celk. délka tras(y) / úsek(ů) kan. odbočení [m] * prům. šíře rýhy [m] + rezerva 5%</t>
  </si>
  <si>
    <t>Rozebrání dlažeb / vstupů / vjezdů ze zámkové dlažby v kamenivu, resp. v štěrkovém loži. 
Položka je určená pro rozebrání zámkových dlažeb, tl. 8 cm, včetně odebrání ložních a konstrukčních štěrkových, příp. štěrkopískových vrstev s naložením na dopravní prostředek a odvozem na skládku do 1 km.
Položka obsahuje: 
- rozebrání dlažebních kostek, tl. 8 cm
- odstranění ložní vrstvy štěrkopísku (f = 0 - 4 mm), tl. 4 cm,
- odstranění štěrkového podkladu, tl. do 50 cm
- nakládání suti, vodorovná doprava suti do 1 km
Výpočet - výměra, rozměr:
19,50*1,53*1,05 =&gt; celk. délka tras(y) / úsek(ů) kan. odbočení [m] * prům. šíře rýhy [m] + rezerva 5%</t>
  </si>
  <si>
    <t>Ztížený podchod pod plotem (M+D), soubor prací - překop / podvrt pod stávajícím oplocením, PVC / PE chránička, délka 1 podchodu do 1,0 m - provlečení, zaslepovací manžety, distanční objímky dle potřeby, včetně navrácení do původního stavu. Zhotoviteli se předepisuje provést pasportizaci stávajících plotů. M+D
1x soubor = 1 podchod
Výpočet - výměra, rozměr:
6 =&gt; počet podchodů pod plotem [soubor]</t>
  </si>
  <si>
    <t>Sejmutí ornice s přemístěním do 50 m, uložením na dočasnou skládku / mezideponii.
Výpočet - výměra, rozměr:
49,20*1,53*0,20*1,05 =&gt; celk. délka tras(y) / úsek(ů) odbočení [m] * prům. šíře [m] * tl. vrstvy [m] + rezerva 5%</t>
  </si>
  <si>
    <t>Příplatek za ztížení vykopávky v blízkosti vedení (NN, optické vedení, metalové vedení, plynovod).
Výpočet - výměra, rozměr:
(27+28)*0,50*0,50 =&gt; počet křížení [ks] * pr. kubatura na křížení [m3] =&gt; 50% z toho</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</si>
  <si>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49,50*1,32*0,50*1,05 =&gt; KSÚS: délka trasy / úseku [m] * prům. plocha výkopu [m2] * 50% (III. tř. horniny) + 5% rezerva
4,30*1,62*0,50*1,05 =&gt; MOK: délka trasy / úseku [m] * prům. plocha výkopu [m2] * 50% (III. tř. horniny) + 5% rezerva
49,20*2,19*0,50*1,05 =&gt; NEZPEVNĚNO: délka trasy / úseku [m] * prům. plocha výkopu [m2] * 50% (III. tř. horniny) + 5% rezerva
19,50*1,62*0,50*1,05 =&gt; CHODNÍKY: délka trasy / úseku [m] * prům. plocha výkopu [m2] * 50% (III. tř. horniny) + 5% rezerva
1,00*2,19*0,50*1,05 =&gt; ŠTĚRK: délka trasy / úseku [m] * prům. plocha výkopu [m2] * 50% (III. tř. horniny) + 5% rezerva</t>
  </si>
  <si>
    <t>Příplatek za lepivost, 50% celkového objemu výkopu. Do měrných jednotek se udává poměrné množství zeminy, které ulpí v nářadí a o které je snížen celkový výkon stroje.
Výpočet - výměra, rozměr:
112,26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</si>
  <si>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49,50*1,32*0,45*1,05 =&gt; KSÚS: délka trasy / úseku [m] * prům. plocha výkopu [m2] * 45% (IV. horniny) + 5% rezerva
4,30*1,62*0,45*1,05 =&gt; MOK: délka trasy / úseku [m] * prům. plocha výkopu [m2] * 45% (IV. tř. horniny) + 5% rezerva
49,20*2,19*0,45*1,05 =&gt; NEZPEVNĚNO: délka trasy / úseku [m] * prům. plocha výkopu [m2] * 45% (IV. tř. horniny) + 5% rezerva
19,50*1,62*0,45*1,05 =&gt; CHODNÍKY: délka trasy / úseku [m] * prům. plocha výkopu [m2] * 45% (IV. tř. horniny) + 5% rezerva
1,00*2,19*0,45*1,05 =&gt; ŠTĚRK: délka trasy / úseku [m] * prům. plocha výkopu [m2] * 45% (IV. tř. horniny) + 5% rezerva</t>
  </si>
  <si>
    <t>Příplatek za lepivost, 25% celkového objemu výkopu. Do měrných jednotek se udává poměrné množství zeminy, které ulpí v nářadí a o které je snížen celkový výkon stroje.
Výpočet - výměra, rozměr:
101,03 [m3] * 0,25 [%] =&gt; převzaté č. pol. 132301213R00 (Hloubení rýh v hor.4 do 10 000m3,STROJNĚ) * 25% z výkopku</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</si>
  <si>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Položka se používá bez ohledu na těžené množství.
viz. TABULKA TĚŽITELNOSTI HORNIN
Výpočet - výměra, rozměr:
49,50*1,32*0,05*1,05 =&gt; KSÚS: délka trasy / úseku [m] * prům. plocha výkopu [m2] * 5% (V. horniny) + 5% rezerva
4,30*1,62*0,05*1,05 =&gt; MOK: délka trasy / úseku [m] * prům. plocha výkopu [m2] * 5% (V. tř. horniny) + 5% rezerva
49,20*2,19*0,05*1,05 =&gt; NEZPEVNĚNO: délka trasy / úseku [m] * prům. plocha výkopu [m2] * 5% (V. tř. horniny) + 5% rezerva
19,50*1,62*0,05*1,05 =&gt; CHODNÍKY: délka trasy / úseku [m] * prům. plocha výkopu [m2] * 5% (V. tř. horniny) + 5% rezerva
1,00*2,19*0,05*1,05 =&gt; ŠTĚRK: délka trasy / úseku [m] * prům. plocha výkopu [m2] * 5% (V. tř. horniny) + 5% rezerva</t>
  </si>
  <si>
    <t>Pažení a rozepření stěny rýhy - příložné - hl. do 4 m. D+M
Výpočet - výměra, rozměr:
123,50*2,00*2*0,25 =&gt; celk. délka trasy / úseku kan. odbočení [m] * průměrná výška [m] * počet stěn [ks] - 25% z toho</t>
  </si>
  <si>
    <t>Odstranění pažení a rozepření stěny rýhy - příložné - hl. do 4 m. D+M
Výpočet - výměra, rozměr:
123,50*2,00*2*0,25 =&gt; délka trasy / úseku / stoky [m] * průměrná výška [m] * počet stěn [ks] - 25% z toho</t>
  </si>
  <si>
    <t>Svislé přemístění výkopku z hor.1-4 do 2,5 m bez naložení do dopravní nádoby, ale s vyprázdněním dopravní nádoby na hromadu nebo na dopravní prostředek.
- hloubení rýh objemu do 10 000 m3 (stavba globálně): 3 %
viz. TABULKA TĚŽITELNOSTI HORNIN
Výpočet - výměra, rozměr:
(112,36+101,03)*0,03 =&gt; součet výkopů I. až IV. tř.  *  3 % (stanoveno z tabulky pro určení podílu svislého přemístění)</t>
  </si>
  <si>
    <t>bez naložení do dopravní nádoby, ale s vyprázdněním dopravní nádoby na hromadu nebo na doopravní prostředek
hloubení rýh objemu do 10 000 m3 (stavba globálně): 3 %
viz. TABULKA TĚŽITELNOSTI HORNIN
Výpočet - výměra, rozměr:
(11,23+2,0)*0,03 =&gt; součet výkopů V. až VII. tř.  *  3 % (stanoveno z tabulky pro určení podílu svislého přemístění)</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</si>
  <si>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(112,36+101,03) =&gt; celkový výkop hor. tř. I.-IV. [m3]
-124,92 =&gt; odečet kubatury potřebné k zásypu [m3]</t>
  </si>
  <si>
    <t>Příplatek k vod. přemístění hor.1-4 za další 1 km nad rozpočtovou položku s odvozem nad 10 km, příplatek za 1 km, včetně zpáteční cesty.
Předpoklad uložení skládka (AVE CZ, Jindřichův Hradec - Žirovnice ul. Hradecká = 24,0 km).
Výpočet - výměra, rozměr:
88,47*14,0 =&gt; kubatura k přemístění [m3] * počet km nad 10 km [-]</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</si>
  <si>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11,23+2,00 =&gt; součet výkopků tř. V. až VII. [m3]</t>
  </si>
  <si>
    <t>Příplatek k vod. přemístění hor.1-4 za další 1 km nad rozpočtovou položku s odvozem nad 10 km, příplatek za 1 km, včetně zpáteční cesty.
Předpoklad uložení skládka (AVE CZ, Jindřichův Hradec - Žirovnice ul. Hradecká = 24,0 km).
Výpočet - výměra, rozměr:
13,23*14,0 =&gt; kubatura k přemístění [m3] * počet km nad 10 km [-]</t>
  </si>
  <si>
    <t>Naložení a složení výkopku tř. 1. až 4. z mezideponie pro zásyp rýhy.
Výpočet - výměra, rozměr:
2*124,92 =&gt; počet nakládání / skládání [-] * kubatura horniny tř. I. - IV. potřebná pro zásyp [m3]</t>
  </si>
  <si>
    <t>Položka obsahuje naložení, odvoz výkopku na mezideponii, složení výkopku a zpáteční cestu.
Výpočet - výměra, rozměr:
2*124,92 =&gt; 1x odvoz + 1x dovoz [-] * kubatura horniny tř. I. - IV. potřebná pro zásyp [m3]</t>
  </si>
  <si>
    <t>Nakládání, skládání, překládání ornice v množství do 100 m3 na / (z) mezideponii(e).
Výpočet - výměra, rozměr:
2*15,81 =&gt; počet nakládání / skládání [-] * kubatura ornice [m3]</t>
  </si>
  <si>
    <t>Vodorovné přemístění ornice - odvoz / dovoz - mezideponie.
Výpočet - výměra, rozměr:
2*15,81 =&gt; počet přesunů 1x odvoz, 1x dovoz [-] * kubatura ornice [m3]</t>
  </si>
  <si>
    <t>Obsyp hutnitelným nesoudržným materiálem = prosívkou (f = 0-4 mm pro PP / PVC) , pro jakoukoliv hloubku výkopu a jakoukoliv míru zhutnění, včetně dodávky obsypového materiálu. D+M
Výpočet - výměra, rozměr:
0,54*123,5*1,05 =&gt; plocha obsypu [m2] * délka trasy / úseku kan. odbočení [m] + rezerva 5% na zhutnění
-(3,14*0,08^2*22,10) =&gt; odečet kubatury vytlačené potrubím [m3] - DN 150
-(3,14*0,125^2*101,40) =&gt; odečet kubatury vytlačené potrubím [m3] - DN 250</t>
  </si>
  <si>
    <t>Příplatek za prohození sypaniny pro obsyp potrubí.
Výpočet - výměra, rozměr:
64,61 =&gt; kubatura obsypu [m] - převzato z předchozí položky</t>
  </si>
  <si>
    <t>Zásyp jam, rýh, šachet se zhutněním z jakékoliv horniny (tř. I - IV.) s uložením výkopku po vrtstvách, vhodná zemina ze staveniště k zásypům (posouzeno bude geologem), max. vel. kamene 100 mm.
Výpočet - výměra, rozměr:
49,50*0,42*1,05 =&gt; KSÚS: délka trasy / úseku [m] * prům. plocha zásypu [m2] + 5% rezerva (max. míra zhutnění)
4,30*0,94*1,05 =&gt; MOK: délka trasy / úseku [m] * prům. plocha zásypu [m2] + 5% rezerva (max. míra zhutnění)
49,20*1,51*1,05 =&gt; NEZPEVNĚNO: délka trasy / úseku [m] * prům. plocha zásypu [m2] + 5% rezerva (max. míra zhutnění)
19,50*0,94*1,05 =&gt; CHODNÍKY: délka trasy / úseku [m] * prům. plocha zásypu [m2] + 5% rezerva (max. míra zhutnění)
1,00*1,51*1,05 =&gt; ŠTĚRK: délka trasy / úseku [m] * prům. plocha zásypu [m2] + 5% rezerva (max. míra zhutnění)</t>
  </si>
  <si>
    <t>Rozprostření sejmuté ornice v rovině nebo ve svahu  do 1 : 5 s urovnáním, vyhrabáním větších kamenů, dovoz ornice ze vzdálenosti 500 m.
Výpočet - výměra, rozměr:
49,20*1,53*1,05 =&gt; délka tras(y) / úsek(ů) [m] * prům. šíře [m] + rezerva 5%</t>
  </si>
  <si>
    <t>Zhutnění lože pod potrubím, vibrační deskou / válcem.
Výpočet - výměra, rozměr:
123,5*0,96*1,10 =&gt; celk. délka kan. odbočení [m] * šířka lože [m] + rezerva 10%</t>
  </si>
  <si>
    <t>Beton podkladní pod základové konstrukce, prostý - betonové lože pod domovní revizní šachtu, tl. 0,15 m, a = 0,50 m. D+M
Výpočet - výměra, rozměr:
16*(0,5*0,5*0,15) =&gt; počet šachet [ks] * objem podkladového bet. pod šachtu [m3]</t>
  </si>
  <si>
    <t>Zhotovení podkladního lože pod odpadní potrubí z lom. prosívky f = 0 až 4 mm, včetně dodávky prosívky. D+M
viz. PODÉLNÉ PROFILY / ULOŽENÍ TRUB
Výpočet - výměra, rozměr:
123,50*0,96*0,15*1,1 =&gt; celk. délka trasy / úseku kan. odbočení [m] * šířka lože [m] * tl. vrstvy [m] + 10% rezerva
m3 prosívky = cca 2,34 T</t>
  </si>
  <si>
    <t>Podklad ze štěrkodrti po zhutnění tloušťky 17 cm - podkladní (zpevňovací) vrstva komunikace, štěrkodrť f = 0 - 63 mm, včetně dodávky štěrkodrti. D+M
Výpočet - výměra, rozměr:
49,50*1,29*1,05 =&gt; délka úseku(ů) [m] * prům. šíře podkladu [m] + rezerva 5%</t>
  </si>
  <si>
    <t>Podkladní vrstva z kameniva drceného, f = 32 - 63 mm, s výplň.kamen., tl. vrstvy 25 cm, včetně dodávky kameniva. D+M
Výpočet - výměra, rozměr:
49,50*1,37*1,05 =&gt; délka úseku(ů) [m] * prům. šíře podkladu [m] + rezerva 5%</t>
  </si>
  <si>
    <t>Podkladní vrstva z kameniva drceného, f = 32 - 63 mm, s výplň.kamen., tl. vrstvy 20 cm, včetně dodávky kameniva. D+M
Výpočet - výměra, rozměr:
49,50*1,42*1,05 =&gt; délka úseku(ů) [m] * prům. šíře podkladu [m] + rezerva 5%</t>
  </si>
  <si>
    <t>Podkladní vrstva z kameniva drceného, f = 32 - 63 mm, s výplň.kamen., tl. vrstvy 20 cm, včetně dodávky kameniva. D+M
Výpočet - výměra, rozměr:
49,50*1,48*1,05 =&gt; délka úseku(ů) [m] * prům. šíře podkladu [m] + rezerva 5%</t>
  </si>
  <si>
    <t>Podklad ze štěrkodrti po zhutnění tloušťky 18 cm, vrchní vrstva - dočasná po dobu stavby před celoplošnou rekonstrukcí komunikace, včetně dodávky štěrkodrti (f = 0 - 32 mm). D+M
Výpočet - výměra, rozměr:
49,50*1,53 =&gt; délka úseku(ů) [m] * prům. šíře rýhy [m]</t>
  </si>
  <si>
    <t>Podklad z obal kam.ACP 16+,ACP 22+,do 3 m,tl. 8 cm, ložní vrstva komunikace. D+M
Výpočet - výměra, rozměr:
49,50*1,50*1,01 =&gt; délka pokladu kom. [m] * šířka podkladu [m] + rezerva 1%</t>
  </si>
  <si>
    <t>Příplatek za zpevnění štěrkové vrstvy cementem (pl. do 5000 m2), včetně dodávky cementové směsi a promísení, tl. do 20 cm. M+D
Výpočet - výměra, rozměr:
49,50*1,42*1,05 =&gt; délka úseku(ů) [m] * prům. šíře podkladu [m] + rezerva 5%</t>
  </si>
  <si>
    <t>Podklad ze štěrkodrti, f = 0 - 63 mm, po zhutnění tl. vrstvy 25 cm, včetně dodávky štěrkodrti. D+M
Výpočet - výměra, rozměr:
4,30*1,43*1,05 =&gt; délka úseku(ů) [m] * prům. šíře rýhy [m] + rezerva 5%</t>
  </si>
  <si>
    <t>Podkladní vrstva z kameniva drceného, f = 32 - 63 mm, s výplň.kamen., tl. vrstvy 20 cm, včetně dodávky kameniva. D+M
Výpočet - výměra, rozměr:
4,30*1,49*1,05 =&gt; délka úseku(ů) [m] * prům. šíře rýhy [m] + rezerva 5%</t>
  </si>
  <si>
    <t>Provizorní pojízdná vrstva ze štěrkodrti, f = 0 - 32 mm, tl. vrstvy 15 cm, včetně dodávky štěrkodrti. D+M
Výpočet - výměra, rozměr:
4,30*1,53 =&gt; délka úseku(ů) [m] * prům. šíře rýhy [m]</t>
  </si>
  <si>
    <t>Podklad z obal kam.ACP 16+,ACP 22+,do 3 m,tl. 5 cm. D+M
Výpočet - výměra, rozměr:
4,30*1,50*1,01 =&gt; délka pokladu zpevň. kom. [m] * šířka podkladu [m] + rezerva 1%</t>
  </si>
  <si>
    <t>Postřik spojovací z KAE modifikované, 0,7 kg/m2. D+M 
Výpočet - výměra, rozměr:
49,50*1,48*1,10 =&gt; délka pokladu zpevň. kom. [m] * šířka podkladu [m] + rezerva 10%</t>
  </si>
  <si>
    <t>Postřik spojovací z KAE, 0,7 kg/m2. D+M
Výpočet - výměra, rozměr:
4,30*1,49*1,10 =&gt; délka povrchu kom. [m] * šířka [m] + rezerva 10% (ztratné)</t>
  </si>
  <si>
    <t>Komunikace / chodník z dlažby zámkové, podklad štěrkopísek, dlažba přírodní tloušťka 8 cm, včetně zemních prací i nákladů na řezání. D+M
Skladba: 
- podklad ze štěrkopísku, tl. 17 cm 
- podklad z drceného kameniva, tl. 30 cm 
- lože z kameniva, tl. 5 cm 
- dlažba zámková, betonová, tl. 8 cm
Výpočet - výměra, rozměr:
19,50*1,53*1,05 =&gt; CHODNÍK: délka úseku(ů) [m] * pr. šířka [m] + rezerva 5%</t>
  </si>
  <si>
    <t>Lapač střešních splavenin, DN 150 mm, dodávka včetně montáže a zapojení na kanalizační odbočení. D+M
Výpočet - výměra, rozměr:
1 =&gt; počet navrhovaných lapačů [ks]</t>
  </si>
  <si>
    <t>Kanalizační přípojka z trub PVC / PP, D 160 mm, položka obsahuje:
- náklady na dodávku a montáž PVC / PP potrubí bez ohledu na kruhovou tuhost potrubí, 
- napojení na odbočné místo (odbočky jsou součástí jednotlivých splaškových kanalizačních stok), 
- dodávku a montáž tvarovek jednoosých (pro jednu odbočku: 1x koleno 45°, 1x koleno 30°, 3x koleno 15°, 2x přesuvka),
- napojení na domovní revizní šachtu (bez dodávky a montáže domovní revizní šachty),
- zkoušku těsnosti potrubí,
- dodávka a montáž kanalizačního víčka D 160 mm. 
Výpočet - výměra, rozměr:
22,10 =&gt; délka kanalizačního/ch odbočení [m] - pro uliční vpusti, vlastní vpusti jsou součástí technického řešení projektu komunikace</t>
  </si>
  <si>
    <t>Kanalizační přípojka z trub PVC, D 200 mm, položka obsahuje:
- náklady na dodávku a montáž PVC / PP potrubí bez ohledu na kruhovou tuhost potrubí, 
- napojení na odbočné místo (odbočky jsou součástí jednotlivých splaškových kanalizačních stok), 
- dodávku a montáž tvarovek jednoosých (pro jednu odbočku: 1x koleno 45°, 1x koleno 30°, 3x koleno 15°, 2x přesuvka),
- napojení na domovní revizní šachtu (bez dodávky a montáže domovní revizní šachty),
- zkoušku těsnosti potrubí,
- dodávka a montáž kanalizačního víčka D 200 mm. 
Výpočet - výměra, rozměr:
101,40 =&gt; délka kanalizačního/ch odbočení [m]</t>
  </si>
  <si>
    <t>Revizní šachta d 425 mm, dl. šachetní roury do 2,0 m, dno pro PVC /PP/ d 200, 180°, litinový poklop 40 t. D+M. 
Osazení plastového dna, osazení korugované šachtové roury, vložení těsnění, osazení šachtové teleskopické roury a litinového poklopu.
Výpočet - výměra, rozměr:
16 =&gt; počet revizních šachet [ks]</t>
  </si>
  <si>
    <t>Příplatek za ztíženou montáž kanalizace v hornině mokré - předpoklad: mokré prostředí.
Výpočet - výměra, rozměr:
123,50 =&gt; odhad mokré prostředí: celková délka odbočení [m]</t>
  </si>
  <si>
    <t>Výpočet - výměra, rozměr:
77,83*0,75 =&gt; celková hmotnost odebraných konstrukcí komunikací [t]  =&gt; z toho prům. 75%
34,62 =&gt; celková hmotnost odebraných komunikací dlážděných [t]</t>
  </si>
  <si>
    <t>Přesun hmot, komunikace z kameniva, příplatek 1 km - odvoz na skládku (AVE CZ, Jindřichův Hradec - Žirovnice ul. Hradecká = 24,0 km).
Výpočet - výměra, rozměr:
23*71,88*0,50 =&gt; počet km [-] * celk. přesun hmot dlážděných povrchů [t] =&gt; z toho 50% (původní dlažděné povrchy budou kompletně nahrazeny, tzn. 1/2 z celk. hmotnosti  - odvoz na skládku)</t>
  </si>
  <si>
    <t>Poznámka: Stavba běžného charakteru a náročnosti s důrazem na koordinaci prací.</t>
  </si>
  <si>
    <t>Vypracoval</t>
  </si>
  <si>
    <t>Odpovědný projektant</t>
  </si>
  <si>
    <t>tel.: +420 603 243 494
e-mail.: klicka@projekceklicka.cz</t>
  </si>
  <si>
    <t>Bc. Marek Petschenka</t>
  </si>
  <si>
    <t>Ing. Vladimír Klička</t>
  </si>
  <si>
    <t>Investor</t>
  </si>
  <si>
    <t>Okres</t>
  </si>
  <si>
    <t>MĚSTO ŽIROVNICE, 
Cholunská 665, 394 68 Žirovnice</t>
  </si>
  <si>
    <t>PELHŘIMOV</t>
  </si>
  <si>
    <r>
      <rPr>
        <b/>
        <sz val="20"/>
        <rFont val="Times New Roman"/>
        <family val="1"/>
        <charset val="238"/>
      </rPr>
      <t>MĚSTO ŽIROVNICE, UL. HRADECKÁ</t>
    </r>
    <r>
      <rPr>
        <sz val="20"/>
        <rFont val="Times New Roman"/>
        <family val="1"/>
        <charset val="238"/>
      </rPr>
      <t xml:space="preserve">
</t>
    </r>
    <r>
      <rPr>
        <b/>
        <sz val="16"/>
        <rFont val="Times New Roman"/>
        <family val="1"/>
        <charset val="238"/>
      </rPr>
      <t>ODDÍLNÁ KANALIZACE V KOMUNIKACI II/132</t>
    </r>
  </si>
  <si>
    <t>Datum</t>
  </si>
  <si>
    <t>08/2024</t>
  </si>
  <si>
    <t>Číslo zakázky</t>
  </si>
  <si>
    <t>08/2023</t>
  </si>
  <si>
    <t>Stupeň</t>
  </si>
  <si>
    <t>DSJ</t>
  </si>
  <si>
    <t>Číslo přílohy</t>
  </si>
  <si>
    <t>H.</t>
  </si>
  <si>
    <t xml:space="preserve">NÁZEV STAVBY </t>
  </si>
  <si>
    <r>
      <rPr>
        <b/>
        <sz val="16"/>
        <color theme="1"/>
        <rFont val="Times New Roman"/>
        <family val="1"/>
        <charset val="238"/>
      </rPr>
      <t>MĚSTO ŽIROVNICE,</t>
    </r>
    <r>
      <rPr>
        <b/>
        <sz val="20"/>
        <color theme="1"/>
        <rFont val="Times New Roman"/>
        <family val="1"/>
        <charset val="238"/>
      </rPr>
      <t xml:space="preserve"> </t>
    </r>
    <r>
      <rPr>
        <b/>
        <sz val="14"/>
        <color theme="1"/>
        <rFont val="Times New Roman"/>
        <family val="1"/>
        <charset val="238"/>
      </rPr>
      <t>UL. HRADECKÁ</t>
    </r>
  </si>
  <si>
    <t>ODDÍLNÁ KANALIZACE V KOMUNIKACI II/132</t>
  </si>
  <si>
    <t>INVESTOR</t>
  </si>
  <si>
    <t>ZASTOUPENÉ</t>
  </si>
  <si>
    <t>Radkem VOPRAVILEM, starostou města</t>
  </si>
  <si>
    <t>IČO</t>
  </si>
  <si>
    <t>00249505</t>
  </si>
  <si>
    <t>DIČ</t>
  </si>
  <si>
    <t>CZ00249505</t>
  </si>
  <si>
    <t>ZPRACOVATEL PROJEKTOVÉ DOKUMENTACE, VÝKAZU VÝMĚR A ROZPOČTU</t>
  </si>
  <si>
    <t>GP</t>
  </si>
  <si>
    <t>Ing. Vladimír KLIČKA, PROJEKCE VH STAVEB</t>
  </si>
  <si>
    <t>ADRESA</t>
  </si>
  <si>
    <t>Jihlava, U Koželuhů 4853/4, 586 01 Jihlava</t>
  </si>
  <si>
    <t>ČÁST STAVEBNÍ</t>
  </si>
  <si>
    <t>KONTAKT</t>
  </si>
  <si>
    <t>Ing. Vladimír Klička, tel.: 603 243 494, e-mail.: klicka@projekceklicka.cz</t>
  </si>
  <si>
    <t>Bc. Marek PETSCHENKA, tel.: 603 319 742, e-mail.: petschenka@projekceklicka.cz</t>
  </si>
  <si>
    <t>ČÁST TECHNOLOGICKÁ - NEZASTOUPENO</t>
  </si>
  <si>
    <t>ČÁST ELEKTROSTAVEBNÍ - NEZASTOUPENO</t>
  </si>
  <si>
    <t>ČÁST ELEKTROTECHNOLOGICKÁ - NEZASTOUPENO</t>
  </si>
  <si>
    <t>PŘEDMĚT STAVBY, ROZPOČTU A VÝKAZU VÝMĚR</t>
  </si>
  <si>
    <t xml:space="preserve">MĚSTO ŽIROVNICE, UL. HRADECKÁ ODDÍLNÁ KANALIZACE V KOMUNIKACI II/132 </t>
  </si>
  <si>
    <r>
      <t xml:space="preserve">   Předmětem je splašková a deš´tová kanalizace, včetně splaškoých a deš´tových odbočení,
   vyvolané přeložky vodovodního řadu, včetně provizorního vodovodu po dobu stavby
   a zrušení nepotřebných sítí a objektů ,  </t>
    </r>
    <r>
      <rPr>
        <b/>
        <sz val="11"/>
        <color theme="1"/>
        <rFont val="Times New Roman"/>
        <family val="1"/>
        <charset val="238"/>
      </rPr>
      <t>/hlavní, základní projekt/</t>
    </r>
  </si>
  <si>
    <t xml:space="preserve">MĚSTO ŽIROVNICE, UL. HRADECKÁ ODDÍLNÁ KANALIZACE V KOMUNIKACI II/132
DODATEK č.1 </t>
  </si>
  <si>
    <t xml:space="preserve">   Předmětem je technické řešení související s přípravou navazující stavby, a to přeložky
   dešťové kanalizace vedené pod RD č.p. 621 od zemědělské společnosti AGROZA, spol. s r.o. 
   Zařazeno po dodatečném zjištění průběhu kanalizace a provedených průzkumech za účelem
   monitoringu stavu kanalizace. Předmětem Dodatku č.1 je vložení 2 ks revizních šachet do tratě
   navrhovaných stok a trubní vývod mimo zpevněné plochy ulice Hradecká.
   Do souhrnného rozpočtu je zařazeno pod pol. č. 10 s názvem DOD č.1 </t>
  </si>
  <si>
    <t xml:space="preserve">MĚSTO ŽIROVNICE, UL. HRADECKÁ ODDÍLNÁ KANALIZACE V KOMUNIKACI II/132
DODATEK č.2 </t>
  </si>
  <si>
    <t xml:space="preserve">   Předmětem je návrh technického řešení pro výměnu úseku potrubí z rybníka Nuzov.
   Zařazeno bylo po dohodě zainteresovaných stran.
   V průběhu přípravy se nepodařilo provést průzkumy v rozsahu pro jednoznačné stanovení
   potřeby výměny úseku potrubí.
   Průzkumy budou dokončeny po vypuštění rybníka Nuzov, následně bude rozhodnuto, 
   zda D+M definované Dodatkem č. 2 budou provedeny.
   Do souhrnného rozpočtu je zařazeno pod pol. č. 11 s názvem DOD č.2. Při zjištění vyhovujícího
   stavu, nebudou D+M definované Dodatkem č.2 provedeny a fakturovány.</t>
  </si>
  <si>
    <t xml:space="preserve">SESTAVA A CELKOVÁ AKTUALIZACE ROZPOČTU A VV PROVEDENA DNE : </t>
  </si>
  <si>
    <t>USTANOVENÍ K ROZPOČTU A VÝKAZU VÝMĚR SPOLEČNÁ PRO CELOU STAVBU</t>
  </si>
  <si>
    <t>♦</t>
  </si>
  <si>
    <t>Tento soupis stavebních prací, dodávek a služeb je sestaven jako podklad pro zpracování nabídek uchazečů o veřejnou zakázku na stavební práce a obsahuje podmínky a požadavky zadavatele, za kterých má být zpracována nabídková cena uchazečů o dodávku. 
Účelem tohoto soupisu je zabezpečit obsahovou shodu všech nabídkových cen a usnadnit zadavateli následné posouzení předložených cenových nabídek jednotlivými uchazeči.
Předmětem SO 001 VRN /Vedl. rozpočt. náklady/ je specifikace ekonomicky nutných nákladů zhotovitele stavby spojených s pracemi, úkony, činnostmi a subdodávkami, které souvisí s plněním smluvního vztahu zhotovitele vůči zadavateli, příp. vyplývajících ze zadávací PD, 
či výzvy k předložení cenové nabídky.</t>
  </si>
  <si>
    <t>Projektová dokumentace vyjadřuje koncový stav řádně provedeného díla v jeho požadované kvalitě, užitné hodnotě, realizované zabudováním předepsaných materiálů v termínech stanovených 
investorem / zadavatelem.
Investor / zadavatel díla je s technickým řešením stavby, rozsahem prací, které jsou předmětem PD, jakožto i položkami v oddílu VRN, rozpočtu a výkazu výměr seznámen a souhlasí s nimi.</t>
  </si>
  <si>
    <t>•</t>
  </si>
  <si>
    <t xml:space="preserve">Právem uchazeče o dodávku stavby / zhotovitele stavby, je organizovat a koordinovat práce, úkony a činnosti se stavbou související a vésti stavbu způsobem takovým, aby pro dosažení koncového stavu díla minimalizoval svoje náklady na výstavbu. 
</t>
  </si>
  <si>
    <t>Právo uchazeče o dodávku stavby / zhotovitele stavby, výše uvedené, nezakládá uchazeči / zhotoviteli právo svévolně měnit navržené materiály, konstrukce, technologické postupy, apod., resp. vypouštět materiály či práce, úkony, činnosti a postupy předepsané dokumentací, výrobci materiálů a to ve výčtu pro jejich dopravu, skládání, dočasného uskladnění a zabudování do stavby, vztahující se technické předpisy (ČSN, ČSN-EN, TNV, apod.) a legislativní předpisy (zákony, vyhlášky, nařízení), 
resp. předpisy investora či zadavatele, tedy organizovat a vésti stavební činnost způsobem takovým, 
která může mít za následek sníženou kvalitu díla, bezpečnost a hospodárnost provozu, 
resp. vésti k porušení předpisů souvisejících se zajištěním bezpečnosti práce pracovníků stavby, 
osob provozovatele, či osob se stavbou a budoucím provozem díla nesouvisejících, bezpečnosti staveniště, bezpečnosti dočasných konstrukcí či bezpečnosti staveništní či mimostaveništní dopravy.</t>
  </si>
  <si>
    <t>Pokud v průběhu stavby vyvstanou okolnosti ovlivňující průběh stavby, které nebyly známy při zpracování PD, případně v rámci výkonu IČI /například souběh jiných staveb vyžadujících objízdné trasy, uzavírky komunikací na území staveniště, či v okolí stavby s přímou vazbou na staveniště předmětné stavby, je povinností zhotovitele přizpůsobit vedení stavby a koordinaci prací, tak, aby postup prací na předmětné stavbě byl takovým okolnostem uzpůsoben.
Při vzniku takového stavu budou postupy dopřesněny na kontrolních dnech stavby.</t>
  </si>
  <si>
    <t>Pro nacenění předloženého soupisu stavebních prací, dodávek a služeb se předpokládá :</t>
  </si>
  <si>
    <t>Zadavatel stavby předal v rámci poptávky uchazeči kompletní dokumentaci v rozsahu textové
a výkresové části, dokladovou část, smlouvy s vlastníky dotčených pozemků, případně další 
podklady uvedené v zadávacích podmínkách zadavatele.</t>
  </si>
  <si>
    <t>Zadavatel stavby předepsal a umožnil uchazeči prohlídku staveniště.
Uchazeč prohlídku absolvoval, je srozuměn se specifiky staveniště, přístupu a příjezdu 
k  jednotlivým částí staveniště /SO, PS/.</t>
  </si>
  <si>
    <t>Uchazeč v rámci výběrového řízení dodá zadavateli doklad / čestné prohlášení 
o seznámení se s dokumentací a o provedení prohlídky staveniště.</t>
  </si>
  <si>
    <t>Uchazeč poskytne zadavateli reference o zkušenostech s realizací stavby obdobného charakteru, 
jakožto i seznam strojů, zařízení, a počet pracovníků a jejich profesní zaměření, které předpokládá 
pro realizaci stavby nasadit, a to pro jednotlivé fáze výstavby.</t>
  </si>
  <si>
    <t>Ke stavbě je zpracován položkový výkaz výměr / rozpočet po jednotlivých stavebních, 
či dílčích stavebních objektech a provozních či dílčích provozních souborech, pokud 
jsou tyto v rámci stavby zastoupeny.</t>
  </si>
  <si>
    <t>Oddíl VRN /vedlejší rozpočtové náklady/ zahrnuje výčet prací souvisejících s přípravou stavby,
koordinací stavebních a nestavebních činností a s kompletací stavby před předáním investorovi /příp. zadaveteli či uživateli/ do užívání.
Jedná se o výkony zhotovitele, resp. zajištění výkonů zhotovitelem prostřednictvím jiného subjektu 
u přidružených činností ke stavbě požadovaných projektovou dokumentací, investorem, či zadavatelem po zhotoviteli díla, resp. vyplývající ze vztahující se legislativy.
V převážné většině se jedná o práce a činnosti dříve ceněné procentuální částkou z ceny díla 
jako globál zařízení staveniště /GZS/.</t>
  </si>
  <si>
    <r>
      <t xml:space="preserve">Právem investora či jím pověřeného zadavatele je, po projednání s projektantem, před zahájením výběrového řízení na zhotovitele vnést do rozpočtu a výkazu výměr položku/y/ </t>
    </r>
    <r>
      <rPr>
        <b/>
        <sz val="11"/>
        <color theme="1"/>
        <rFont val="Times New Roman"/>
        <family val="1"/>
        <charset val="238"/>
      </rPr>
      <t>nové</t>
    </r>
    <r>
      <rPr>
        <sz val="11"/>
        <color theme="1"/>
        <rFont val="Times New Roman"/>
        <family val="1"/>
        <charset val="238"/>
      </rPr>
      <t xml:space="preserve">, 
a to v důsledku okolností vyžadujících dodatečný požadavek na zhotovitele, na výkon prací stavebního
i nestavebního charakteru, resp. jiných činností či úkonů požadovaných po zhotoviteli. </t>
    </r>
  </si>
  <si>
    <r>
      <t xml:space="preserve">Právem investora či zadavatele je, po projednání s projektantem, před zahájením výběrového řízení 
na zhotovitele, vybrané položky rozpočtu a výkazu </t>
    </r>
    <r>
      <rPr>
        <b/>
        <sz val="11"/>
        <color theme="1"/>
        <rFont val="Times New Roman"/>
        <family val="1"/>
        <charset val="238"/>
      </rPr>
      <t>vypustit</t>
    </r>
    <r>
      <rPr>
        <sz val="11"/>
        <color theme="1"/>
        <rFont val="Times New Roman"/>
        <family val="1"/>
        <charset val="238"/>
      </rPr>
      <t>, pokud jsou v době konání výběrového řízení vypouštěné položky vůči stavbě bezpředmětné, např.: z důvodů okolností,
které nastaly v mezidobí od zpracování dokumentace /rozpočtu/ do doby konání výběrového řízení 
a jejich výkon či zajištění již není nutný, případně pokud investor či zadavatel předmět vypouštěných položek zajistil samostatně, či jiným způsobem nebo jinou osobou.</t>
    </r>
  </si>
  <si>
    <r>
      <t>Právem investora či zadavatele je, po projednání s projektantem, před zahájením výběrového řízení 
na zhotovitele, vybrané položky rozpočtu / výkazu výměr</t>
    </r>
    <r>
      <rPr>
        <b/>
        <sz val="11"/>
        <color theme="1"/>
        <rFont val="Times New Roman"/>
        <family val="1"/>
        <charset val="238"/>
      </rPr>
      <t xml:space="preserve"> dopřesnit</t>
    </r>
    <r>
      <rPr>
        <sz val="11"/>
        <color theme="1"/>
        <rFont val="Times New Roman"/>
        <family val="1"/>
        <charset val="238"/>
      </rPr>
      <t>, pokud dospěl k názoru či zjištění, že popis položek či jejich množství je vůči zadávané stavbě potřeba specifikovat jiným způsobem /popisem dodávky, prací, změnou požadované technologie dodávky, apod. příp. předpokládaným množstvím/.</t>
    </r>
  </si>
  <si>
    <t>Při nejasnostech uchazeče vůči předmětu položky /položek/ na dodávku materiálu či prací, je tento povinen ve lhůtě stanovené pro takový případ investorem / zadavatelem učinit dotaz způsobem investorem / zadavatelem definovaným s požadavkem vysvětlení či dopřesnění specifikace položky, 
pro možnost správného a jednoznačného nacenění položky zhotovitelem
do předkládané nabídky. Investor či zadavatel je povinen uchazeči ve lhůtě stanovené na dotaz odpovědět, resp. odpověď vůči uchazeči zajistit od projektanta či zpracovatele rozpočtu. 
Investor či zadavatel je v takovém případě povinen seznámit s dotazem i odpovědí k dotazu 
ve stanovené lhůtě i ostatní uchazeče o dodávku díla.</t>
  </si>
  <si>
    <t>V průběhu výběrového řízení se nevylučuje případ, kdy uchazeč v rámci přípravy nabídky 
pro zadavatele zjistí :    
a) absenci rozpočtové položky, 
b) nesprávně uvedené položky, 
c) nesprávně vypočtené množství či odhad množství v položce ve výkazu výměr, 
d) nesprávně uvedenou měrnou jednotku položky.
V takovém případě je uchazeč povinen k tomuto zadavateli, či osobě pověřené zadavatelem, učinit dotaz, na který bude způsobem stanoveným zadavatelem stavby odpovězeno.
O položenén dotazu, včetně poskytnuté odpovědi na něj, budou vyrozuměni ostatní uchazeči. 
Tímto bodem není myšleno, že uchazeč je povinen přepočítávat množství každé položky výkazu výměr, či kontrolovat správnost sestavení výkazu výměr, ale stav, kdy je na první pohled zřejmé, že ve výkazu výměr položka chybí, či množství v ní uvedené je zjevně stanoveno nesprávně.</t>
  </si>
  <si>
    <t>MĚSTO ŽIROVNICE, okres PELHŘIMOV, ODDÍLNÁ KANALIZACE V KOMUNIKACI II/132
HLAVNÍ STAVBA + DODATEK č.1 + DODATEK č.2</t>
  </si>
  <si>
    <t xml:space="preserve">dle podmínek VŘ
a požadavku zadavatele  </t>
  </si>
  <si>
    <t>Vedlejší rozpočtové náklady stavby zajišťované investorem stavby samostatně</t>
  </si>
  <si>
    <t>Vedlejší rozpočtové náklady stavby zajišťované zhotovitelem stavby</t>
  </si>
  <si>
    <t>15.1.</t>
  </si>
  <si>
    <t>Náklady na pořízení či pronájem přejezdového plechu pro vozidla kategorie N3, tj. o hmotnosti nad 12 t (například cisterna PHM). Osazení, přemisťování a zrušení v místech nevyhnutelné potřeby a po dobu stavby.
Pro zajištění stavby v prosturu ČS ČEPRO (viz.: sdělení ČEPRO v dokladové části PD) se navrhuje mít pro stavbu IS v prostoru kolem ČS ČEPRO 3 ks přejezdových plechů o rozměrech 2x6 m, tl. 40 mm.</t>
  </si>
  <si>
    <t>Umožnění vjezdů vozidel k ČS ČEPRO a neomezení jejího provozu po dobu stavby. Osazení přejezdových plechů přes výkop bude provedeno vždy s přesahem min 1,0 m za hranu výkopu pro bezproblémový příjezd k ČS, 
a to pro všechny kategorie vozidel. Zhotoviteli se umožňuje organizovat stavbu způsobem takovým, aby přejezdovéplechy byly zapotřebí v menším počtu, případně vůbec (kroky výstavby po úsecích umožnujících provoz ČS ČEPRO
bez omezení). Na zhotoviteli se ponechává, zda bude přejezdové plechy pořizovat nově, pro realizaci zapůjčí plechy vlastní, resp. si zajistí pronájem takové konstrukce na dobu potřebnou prorealizaci úseků, resp. obslužnost ČS ČEPRO zajistí jiným zůsobem. Organizaci dopravy přes popsané provizorium zajistí zhotovitel, včetně příslušného mobilního dopravního značení. Náklady obsahují dopravu na staveniště, osazení a přemisťování po dobu stavby, včetně odvozu ze staveniště.</t>
  </si>
  <si>
    <t xml:space="preserve">Vypracování GP vybudovaných objektů pro vnos do KN. V rámci předmětné stavby VaK se nepředpokládá vybudování objektů charakteru vyžadujících samostatný pozemek v evidenci KN. </t>
  </si>
  <si>
    <t>1) V době dopracování rozpočtu není přesně znám způsob, jakým bude investor výběrové řízení na zhotovitele stavby organizovat, tj. zda bude zadávat stavbu jako celek, případně zda bude tuto členit na etapy výstavby.</t>
  </si>
  <si>
    <t>10.</t>
  </si>
  <si>
    <t>DOD č.1</t>
  </si>
  <si>
    <t xml:space="preserve">DODATEK č.1 </t>
  </si>
  <si>
    <t>11.</t>
  </si>
  <si>
    <t>DOD č.2</t>
  </si>
  <si>
    <t xml:space="preserve">DODATEK č.2 </t>
  </si>
  <si>
    <t>MĚSTO ŽIROVNICE, ul. HRADECKÁ
VÝMĚNA VÝPUSTNÉHO POTRUBÍ Z RYBNÍKA NUZOV V KOMUNIKACI II/132</t>
  </si>
  <si>
    <t>HAVARIJNÍ STAV</t>
  </si>
  <si>
    <t>8272113</t>
  </si>
  <si>
    <t>0895005001VD</t>
  </si>
  <si>
    <t>Montáž nerez / pryžové spojky s vyrovnáv. prst., stah. obj. do DN 500</t>
  </si>
  <si>
    <t>089200000VD</t>
  </si>
  <si>
    <t>Ochrana těšnění spoje /přesuvek, tvarovek/ geotextílií</t>
  </si>
  <si>
    <t>Ochrana těšnění spoje /přesuvek, tvarovek/ geotextílií - obalení spoje, ochranná vrstva. M+D
Výpočet - výměra, rozměr:
3 =&gt; počet spojů (přesuvek) [ks]</t>
  </si>
  <si>
    <t>Dočasné zajištění potrubí ve výkopu vzniklé křížením (příp. souběhy), např.: podepřením, tvárnicemi, zákrytovými deskami.
Výpočet - výměra, rozměr:
2*2,30*0,50 =&gt; počet křížení [ks] * prům. šířka rýhy [m] - 50% z toho</t>
  </si>
  <si>
    <t>Dočasné zajištění kabelů ve výkopu vzniklé křížením, např.: podepřením, tvárnicemi, zákrytovými deskami.
Výpočet - výměra, rozměr:
3*2,30*0,50 =&gt; počet křížení [ks] * prům. šířka rýhy [m] - 50% z toho</t>
  </si>
  <si>
    <t>Množství m.j. je uvedeno dle předpokladu, celková cena této práce se stanoví podle skutečnosti při provádění stavebních prací. Den = 8 hodin.
Výpočet:
6*8 =&gt; předpoklad čerpání ve dnech * počet hodin - stanoveno odhadem</t>
  </si>
  <si>
    <t>Pohotovost čerpací soupravy. Oceňují se všechny dny od ukončení montáže po započetí demontáže čerpací soustavy.
Výpočet:
6 =&gt; předpokad čerpání ve dnech =&gt; stanoveno odhadem</t>
  </si>
  <si>
    <t>Odstranění stávajícího krytu přijezdné komunikace, včetně nakládání a odvozu na skládku do 1 km, započítaná i zpáteční cesta. 
Položka obsahuje: 
- řezání živičného krytu tl. 5 cm, 
- odstranění asfaltbetonového krytu tl. 6 cm 
- řezání podkladního asfaltobetonu tl. 7 cm 
- odstranění podkladního asfaltobetonu tl. 7 cm 
- odstranění kameniva zpevněného cementem tl. 15 cm 
- odstranění štěrkodrti tl. 32 cm 
- nakládání suti 
- vodorovná doprava suti do 1 km (položka neobsahuje poplatek za skládku)
Výpočet - výměra, rozměr:
24,80*2,27*1,05 =&gt; ÚSEK č.1 (KSÚS): délka úseku [m] * prům. šíře rýhy [m] + rezerva 5%</t>
  </si>
  <si>
    <t>Odstranění podkladu nad 50 m2,kam.těžené tl.18 cm - odstranění provizorní vrstvy.
Položka je určena i pro odstranění podkladů nebo krytů ze štěrkopísku, škváry, strusky nebo z mechanicky zpevněných zemin. Pro volbu položky z hlediska množství se uvažuje každá souvisle odstraňovaná plocha krytu nebo podkladu stejného druhu samostatně.
Výpočet - výměra, rozměr:
24,80*2,30 =&gt; ÚSEK č.2 (KSÚS): délka úseku [m] * prům. šíře rýhy [m]</t>
  </si>
  <si>
    <t>Sejmutí ornice s přemístěním do 50 m, uložením na dočasnou skládku. M+D
Výpočet - výměra, rozměr: 
2,40*2,27*0,20*1,05 =&gt; délka úseku nezpevněné plochy [m] * prům. šíře rýhy [m] * tl. vrstvy [m] + 5% rezerva</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</si>
  <si>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2,40*7,72*0,6*1,05 =&gt; ÚSEK č.1 (NZP): délka úseku [m] * prům.plocha [m2] * 60% (III. tř. horniny) + 5% rezerva
24,80*5,15*0,6*1,05 =&gt; ÚSEK č.2 (KSÚS): délka úseku [m] * prům.plocha [m2] * 60% (III. tř. horniny) + 5% rezerva</t>
  </si>
  <si>
    <t>Příplatek za lepivost, 50% celkového objemu výkopu. Do měrných jednotek se udává poměrné množství zeminy, které ulpí v nářadí a o které je snížen celkový výkon stroje.
Výpočet - výměra, rozměr:
92,13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</si>
  <si>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2,40*7,72*0,4*1,05 =&gt; ÚSEK č.1 (NZP): délka úseku [m] * prům.plocha [m2] * 40% (IV. tř. horniny) + 5% rezerva
24,80*5,15*0,4*1,05 =&gt; ÚSEK č.2 (KSÚS): délka úseku [m] * prům.plocha [m2] * 40% (IV. tř. horniny) + 5% rezerva</t>
  </si>
  <si>
    <t>Příplatek za lepivost, 25% celkového objemu výkopu. Do měrných jednotek se udává poměrné množství zeminy, které ulpí v nářadí a o které je snížen celkový výkon stroje.
Výpočet - výměra, rozměr:
61,42 [m3] * 0,25 [%] =&gt; převzaté č. pol. 132301213R00 (Hloubení rýh v hor.4 do 10 000m3,STROJNĚ) * 25% z výkopku</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</si>
  <si>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Položka se používá bez ohledu na těžené množství.
viz. TABULKA TĚŽITELNOSTI HORNIN
Výpočet - výměra, rozměr:
1 [m3] =&gt; rezerva pro výskyt hornny třídy V. - stanoveno odhadem</t>
  </si>
  <si>
    <t>Výkop pro uložení drenážního potrubí DN 100. 
Výpočet - výměra, rozměr:
27,20*0,25*1,10 =&gt; délka výkopku pro příp. drenážní potrubí [m] * plocha rýhy [m2] + rezerva 10%</t>
  </si>
  <si>
    <t>Příp. za hloub. rýh š. 200cm, v mokrém prostředí, hor. 1-7, nad 100 m3, příplatková položka, předpoklad mokré prostředí.
Výpočet - výměra, rozměr:
28,38+18,92+1+0,5 =&gt; součet výkopu v hor. tř. I. až VII. [m3]</t>
  </si>
  <si>
    <t>Pažení a rozepření stěny rýhy - příložné - hl. do 4 m. D+M
Výpočet - výměra, rozměr:
27,20*3,35*2 =&gt; délka trasy / úseku / stoky [m] * průměrná výška [m] * počet stěn [ks] - 90% z toho</t>
  </si>
  <si>
    <t>Odstranění pažení a rozepření stěny rýhy - příložné - hl. do 4 m. D+M
Výpočet - výměra, rozměr:
27,20*3,35*2 =&gt; délka trasy / úseku / stoky [m] * průměrná výška [m] * počet stěn [ks]</t>
  </si>
  <si>
    <t>bez naložení do dopravní nádoby, ale s vyprázdněním dopravní nádoby na hromadu nebo na dopravní prostředek
hloubení rýh š. do 200 cm objemu do 10 000 m3 (stavba globálně): 7 %
Výpočet - výměra, rozměr:
(28,38+18,92)*0,07 =&gt; součet kubatury horn.  tř. I. až IV. * 7 % - stanoveno z tabulky pro určení podílu svislého přemístění výkopku</t>
  </si>
  <si>
    <t>bez naložení do dopravní nádoby, ale s vyprázdněním dopravní nádoby na hromadu nebo na dopravní prostředek
hloubení rýh š. do 200 cm objemu do 10 000 m3 (stavba globálně): 7 %
viz. TABULKA TĚŽITELNOSTI HORNIN
Výpočet:
(1+0,5)*0,07 =&gt; součet kubatury horn.  tř. V. až VII. * 7 % - stanoveno z tabulky pro určení podílu svislého přemístění výkopku</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</si>
  <si>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(92,13+61,42) =&gt; celkový výkop hor. tř. I.-IV. [m3]
-(21,71+76,60) =&gt; odečet kubatury zeminy potřebné k obyspu a zásypu [m3]</t>
  </si>
  <si>
    <t>1 km nad rozpočtovou položku s odvozem nad 10 km, příplatek za 1 km, včetně zpáteční cesty.
Předpoklad uložení skládka (AVE CZ, Jindřichův Hradec - Žirovnice ul. Hradecká = 24,0 km).
Výpočet - výměra, rozměr:
55,24*14,0 =&gt; kubatura k přemístění [m3] * počet km nad 10 km [-]</t>
  </si>
  <si>
    <t>Po suchu, bez naložení výkopku, avšak se složením bez rozhrnutí, zpáteční cesta vozidla.
Předpoklad uložení - skládka (AVE CZ, Jindřichův Hradec - Žirovnice ul. Hradecká = 24,0 km).
Výpočet - výměra, rozměr:
1+0,50 =&gt; součet výkopků tř. V. až VII. [m3]</t>
  </si>
  <si>
    <t>1 km nad rozpočtovou položku s odvozem nad 10 km, příplatek za 1 km, včetně zpáteční cesty.
Předpoklad uložení skládka  (AVE CZ, Jindřichův Hradec - Žirovnice ul. Hradecká = 24,0 km).
Výpočet - výměra, rozměr:
1,50*14 =&gt; kubatura k přemístění [m3] * počet km nad 10 km [-]</t>
  </si>
  <si>
    <t>Naložení a složení výkopku tř. 1. až 4. z mezideponie pro zásyp rýhy.
Výpočet - výměra, rozměr:
2*55,24 =&gt; počet nakládání / skládání [-] * kubatura horniny tř. I. - IV. potřebná pro zásyp [m3]</t>
  </si>
  <si>
    <t>Položka obsahuje naložení, odvoz výkopku na mezideponii, složení výkopku a zpáteční cestu.
Výpočet - výměra, rozměr:
2*55,24 =&gt; 1x odvoz + 1x dovoz [-] * kubatura horniny tř. I. - IV. potřebná pro zásyp [m3]</t>
  </si>
  <si>
    <t>Obsyp hutnitelným nesoudržným materiálem (f = 0-16 mm pro PP/PVC), příp. prohozenou sypaninou (vytěženou zeminou s max. velikostí kamene do 50 mm) pro jakoukoliv hloubku výkopu a jakoukoliv míru zhutnění, včetně dodávky obsypového materiálu. D+M
viz. PODÉLNÉ PROFILY
Výpočet - výměra, rozměr:
27,20*0,76*1,05 =&gt; délka trasy úseku / stoky [m] * plocha obsypu [m2] + rezerva na zhutnění 5%</t>
  </si>
  <si>
    <t>Zásyp jam, rýh, šachet se zhutněním z jakékoliv horniny (tř. I - IV.) s uložením výkopku po vrtstvách, max. velikost kamene 100 mm, přebytečná zemina odvezena na skládku:
viz. PODÉLNÉ PROFILY
Výpočet - výměra, rozměr:
2,40*5,39*1,05 =&gt; ÚSEK č.1 (NZP): délka úseku [m] * prům.pl. zásypu [m2]  + 5% rezerva na zhutnění
24,80*2,42*1,05 =&gt; ÚSEK č.2 (KSÚS): délka úseku [m] * prům.pl. zásypu [m2]  + 5% rezerva na zhutnění</t>
  </si>
  <si>
    <t>Rozprostření vrstvy ornice v rovině / mírném svahu, tloušťka 20 cm.
Výpočet - výměra, rozměr:
2,40*2,27*1,05 =&gt; délka trasy úseku / stoky [m] * šíře rýhy [m]  + 5% rezerva</t>
  </si>
  <si>
    <t>Výpočet - výměra, rozměr:
55,24 =&gt; kubatura [m3] - převzato z pol. vodorovného přesunu horn. tř. 1 - 4</t>
  </si>
  <si>
    <t>Výpočet - výměra, rozměr:
1,50 =&gt; kubatura [m3] - převzato z pol. vodorovného přesunu horn. tř. 5 - 7</t>
  </si>
  <si>
    <t>Zhutnění podloží pod potrubím válcem.
Výpočet - výměra, rozměr:
27,20*2,27*1,10 =&gt; délka stoky [m] * šířka lože [m] + 10% rezerva</t>
  </si>
  <si>
    <t>Drenážní (odvodňovací) potrubí DN 100, lože ze štěrkopísku (f = 4 - 16 mm), obalení potrubí geotextilií, uložení do rýhy, obsyp štěrkem (f = 32 - 64 mm). D+M
Dočasné odvodnění po dobu prací ve výkopu, po dokončení stavby bude drenáž zaslepena.
Výpočet - výměra, rozměr:
27,20 =&gt; délka drenážního potrubí [m]</t>
  </si>
  <si>
    <t>Štětové stěny</t>
  </si>
  <si>
    <t>235681111R00</t>
  </si>
  <si>
    <t>Těsnění hradicích stěn nepropustnou hrázkou ze zhutněné sypaniny s dodáním jílu</t>
  </si>
  <si>
    <t>23_</t>
  </si>
  <si>
    <t>Těsnění hradicích stěn nepropustnou hrázkou ze zhutněné sypaniny s dodáním jílu - těsnění výkopu za hrází rybníka. D+M
Výpočet - výměra, rozměr:
4,00*0,80*2,90*1,10 =&gt; půdorysná délka [m] * šířka [m] * výška [m] + rezerva 10%</t>
  </si>
  <si>
    <t>Beton podkladní pod základové konstrukce, prostý - bet. lože pod potrubí</t>
  </si>
  <si>
    <t>Položka je určena pro podkladní beton tl. do 100 mm tř. C 12/15 S1. Položka obsahuje náklady na dodávku a uložení betonu do připravené konstrukce bez bednění. D+M
Výpočet - výměra, rozměr:
27,20*2,27*0,10*1,05 =&gt; délka stoky [m] * šířka lože [m] * tl. vrstvy [m] + rezerva 5%</t>
  </si>
  <si>
    <t>273361821R00</t>
  </si>
  <si>
    <t>Výztuž základových desek z betonářské oceli B500B (10 505)</t>
  </si>
  <si>
    <t>Výztuž základových desek z betonářské oceli B500B (10 505) - armovací síť do betonového lože potrubí, kari síť oka 100/100/5 mm. D+M
Výpočet - výměra, rozměr:
(27,20*1,85*1,05)*0,0021 =&gt; (délka [m] * šířka [m] + rezerva 10%) * koef. přepočtu hmotnosti [t/m2]</t>
  </si>
  <si>
    <t>Beton podkladní pod základové konstrukce, prostý - betonové lože pod revizní šachtu, tl. 0,20 m, a = 1,40 m. D+M
Výpočet - výměra, rozměr:
2*(1,4*1,4*0,2) =&gt; počet šachet [ks] * objem podkladového bet. pod šachtu [m3]</t>
  </si>
  <si>
    <t>Lože pod potrubí ze štěrku</t>
  </si>
  <si>
    <t>Lože pod potrubí ze štěrku, f = 0 - 63 mm. Položka je určena pro práce v otevřeném výkopu. D+M
Výpočet - výměra, rozměr:
27,20*2,27*0,15*1,10 =&gt; délka [m] * šířka [m] * tl. zhutn. vrstvy [m] + rezerva 10% na zahutnění</t>
  </si>
  <si>
    <t>Podklad ze štěrkodrti po zhutnění tloušťky 17 cm - podkladní (zpevňovací) vrstva komunikace, štěrkodrť f = 0 - 63 mm, včetně dodávky štěrkodrti. D+M
Výpočet - výměra, rozměr:
24,80*2,30*1,05 =&gt; ÚSEK č.1: délka úseku [m] * prům. šíře rýhy [m] + rezerva 5%</t>
  </si>
  <si>
    <t>Podkladní vrstva z kameniva drceného, f = 32 - 63 mm, s výplň.kamen., tl. vrstvy 25 cm, včetně dodávky kameniva. D+M
Výpočet - výměra, rozměr:
24,80*2,30*1,05 =&gt; ÚSEK č.2 (KSÚSV): délka úseku [m] * prům. šíře rýhy [m] + rezerva 5%</t>
  </si>
  <si>
    <t>Podkladní vrstva z kameniva drceného, f = 32 - 63 mm, s výplň.kamen., tl. vrstvy 20 cm, včetně dodávky kameniva. D+M
Výpočet - výměra, rozměr:
24,80*2,30*1,05 =&gt; ÚSEK č.2 (KSÚSV): délka úseku [m] * prům. šíře rýhy [m] + rezerva 5%</t>
  </si>
  <si>
    <t>Podkladní vrstva z kameniva drceného, f = 32 - 63 mm, s výplň.kamen., tl. vrstvy 20 cm, včetně dodávky kameniva. D+M
Výpočet - výměra, rozměr:
24,80*2,30*1,05 =&gt; ÚSEK č.2: délka úseku [m] * prům. šíře rýhy [m] + rezerva 5%</t>
  </si>
  <si>
    <t>Podklad ze štěrkodrti po zhutnění tloušťky 18 cm, vrchní vrstva - dočasná po dobu stavby před celoplošnou rekonstrukcí komunikace, včetně dodávky štěrkodrti (f = 0 - 32 mm). D+M
Výpočet - výměra, rozměr:
24,80*2,30 =&gt; ÚSEK č.2: délka úseku [m] * prům. šíře rýhy [m] + rezerva 5%</t>
  </si>
  <si>
    <t>Podklad z obal kam.ACP 16+,ACP 22+,do 3 m,tl. 8 cm, ložní vrstva komunikace. D+M
Výpočet - výměra, rozměr:
24,80*2,30 =&gt; ÚSEK č.2: délka úseku [m] * prům. šíře rýhy [m] + rezerva 5%</t>
  </si>
  <si>
    <t>Postřik spojovací z KAE modifikované, 0,7 kg/m2. D+M 
Výpočet - výměra, rozměr:
24,80*2,30 =&gt; ÚSEK č.2: délka úseku [m] * prům. šíře rýhy [m] + rezerva 5%</t>
  </si>
  <si>
    <t>871413121R00</t>
  </si>
  <si>
    <t>Montáž trub kanaliz. z plastu, hrdlových, DN 500</t>
  </si>
  <si>
    <t>Montáž potrubí z PP. V položce je uvažováno s jedním spojem na 6 m potrubí. Položka je určena pro montáž potrubí z kanalizačních trub z plastu v otevřeném výkopu ve sklonu do 20 %. V položce montáže potrubí nejsou zakalkulovány náklady na dodání trub, tyto náklady se oceňují ve specifikaci.
Výpočet - výměra, rozměr:
27,20 =&gt; celková délka montáže potrubí dané světlosti [m]</t>
  </si>
  <si>
    <t>877413121R00.1</t>
  </si>
  <si>
    <t>Montáž tvarovek odboč. plast. DN 500</t>
  </si>
  <si>
    <t>877413122R00</t>
  </si>
  <si>
    <t>Montáž přesuvek z plastu, DN 500</t>
  </si>
  <si>
    <t>Položka je určena pro montáž tvarovek jednoosých na potrubí z kanalizačních trub z plastu těsněných gumovým kroužkem v otevřeném výkopu. M
Výpočet - výměra, rozměr:
3 =&gt; součet všech jednoosých tvarovek [ks]</t>
  </si>
  <si>
    <t>Montáž tvarovek jednoos. pro nesourodá potrubí, výkop DN 500</t>
  </si>
  <si>
    <t>899623141R00</t>
  </si>
  <si>
    <t>Obetonování potrubí nebo zdiva stok betonem C12/15</t>
  </si>
  <si>
    <t>Obetonování potrubí nebo zdiva stok betonem C12/15. Položka je určena pro obetonování potrubí v otevřeném výkopu, včetně nákladů na dodání betonu. D+M
Výpočet - výměra, rozměr:
27,20*1,03*1,10 =&gt; délka [m] * pr. plocha obetonování  - planimetrováno [m2] + rezerva 5%
-(pi*0,25^2*27,2) =&gt; odečet kubatury vytlačené potrubím [m3]</t>
  </si>
  <si>
    <t>894423114R00</t>
  </si>
  <si>
    <t>Osaz. bet. dílců šachet, dna, na kroužek, do 5,0 t</t>
  </si>
  <si>
    <t>Osazení šachtového dna, 1 dno do 5,0 t, TBZ-Q.1 120/120.</t>
  </si>
  <si>
    <t>Vyčištění kanalizační stoky - proplach vodou před zkouškou těsnosti kanalizace, v položce jsou započteny i náklady na dodání vody. D+M
Výpočet - výměra, rozměr:
27,20 =&gt; délka gravitační kanalizace [m]</t>
  </si>
  <si>
    <t>892661111R00</t>
  </si>
  <si>
    <t>Zkouška těsnosti kanalizace DN do 600, vodou</t>
  </si>
  <si>
    <t>Zkouška těsnosti dešťové kanalizace DN do 400, vodou, včetně nákladů dodávek na vodu, napuštění vodou, zabezpečení konců zajištěno předchozí položkou. D+M
Výpočet - výměra, rozměr:
27,20 =&gt; délka kanalizačního potrubí [m]</t>
  </si>
  <si>
    <t>Kontrola kanalizace TV kamerou nad 500 m, včetně TV záznamu s kontrolou ovality potrubí. D+M
Výpočet - výměra, rozměr:
27,20 =&gt; délka gravit. kanalizace [m]</t>
  </si>
  <si>
    <t>Dodávka a uložení výstražné fólie, hnědé barvy s nápisem "KANALIZACE" / "POZOR KANALIZACE", cca 30 cm nad povrchem potrubí. D+M
Výpočet - výměra, rozměr:
27,20*1,10 =&gt; délka potrubí /úseku/ [m] + rezerva 10%</t>
  </si>
  <si>
    <t>Příplatek za ztíženou montáž kanalizace v hornině mokré - předpoklad: mokré prostředí.
Výpočet - výměra, rozměr:
27,20 =&gt; odhad mokré prostředí: délka [m]</t>
  </si>
  <si>
    <t>Bourání konstrukcí</t>
  </si>
  <si>
    <t>969021131R00.1</t>
  </si>
  <si>
    <t>Vybourání kanalizačního potrubí DN do 500 mm</t>
  </si>
  <si>
    <t>96_</t>
  </si>
  <si>
    <t>Vybourání kanalizačního potrubí DN do 500 mm, včetně naložení na dopravní prostředek.
Výpočet - výměra, rozměr:
27,20 =&gt; celková délka demolice stáv. kanalizace [m]</t>
  </si>
  <si>
    <t>960111221R00</t>
  </si>
  <si>
    <t>Bourání konstrukcí z dílců prefa. betonových a ŽB</t>
  </si>
  <si>
    <t>Bourání konstrukcí z dílců prefa. betonových a ŽB - bourání / demolice stávající kanalizační šachty BET 1000, včetně naložení na dopravní prostředek, odvozu suti, složení a zpáteční cesty.
Výpočet - výměra, rozměr:
1*(0,20*3,20)*1,25 =&gt; počet šachet BET 1000 [ks] * (plocha prstence [m2] * výška šachty [m]) + rezerva 25% (přípočet vybetonovaného dna)</t>
  </si>
  <si>
    <t>Výpočet - výměra, rozměr:
75,82*0,75 =&gt; celková hmotnost odebraných konstrukcí komunikací [t]  =&gt; z toho prům. 75%</t>
  </si>
  <si>
    <t>Přesun hmot, komunikace z kameniva, příplatek 1 km - odvoz na skládku (AVE CZ, Jindřichův Hradec - Žirovnice ul. Hradecká = 24,0 km).
Výpočet - výměra, rozměr:
23*75,82*0,75 =&gt; počet km [-] * celk. odebraná hmotnost vrstev komunikace [t] =&gt; z toho 75%</t>
  </si>
  <si>
    <t>Přesun hmot, kryt živičný (do 1 km) - odvoz na skládku investora (Skládka - Žirovnice ul. Hradecká = 2,0 km).
Výpočet - výměra, rozměr:
75,82*0,25 =&gt; celk. odebraná hmotnost vrstev komunikace [t] =&gt; z toho 25%</t>
  </si>
  <si>
    <t>998271319R00</t>
  </si>
  <si>
    <t>Přesun hmot, kanalizace beton., přípl. dalších 5km</t>
  </si>
  <si>
    <t>Přesun hmot, kanalizace beton., přípl. dalších 5km, odvoz na skládku (AVE CZ, Jindřichův Hradec - Žirovnice ul. Hradecká = 24,0 km)
Výpočet - výměra, rozměr:
2,55*5 =&gt; hmotnost demolované kanalizace DN do 500 [t] * přepočet počtu km na skládku (24 km = cca 5*5 km)</t>
  </si>
  <si>
    <t>2861421047</t>
  </si>
  <si>
    <t>Trubka kanalizační ULTRA COR SN 16 500x6000 mm</t>
  </si>
  <si>
    <t>Korugované potrubí vyráběné z polypropylenu (PP)  dle DIN 16961 o DN 300- 600 mm, pevnostní třída SN 16 kN/m2. Doporučené pro dešťovou kanalizaci v zátěžových komunikacích.
Výpočet - výměra, rozměr:
4 =&gt; počet [ks] navržených ke stavbě</t>
  </si>
  <si>
    <t>2861421047.1</t>
  </si>
  <si>
    <t>Trubka kanalizační ULTRA COR SN 16 500x3000 mm</t>
  </si>
  <si>
    <t>Korugované potrubí vyráběné z polypropylenu (PP)  dle DIN 16961 o DN 300- 600 mm, pevnostní třída SN 16 kN/m2. Doporučené pro dešťovou kanalizaci v zátěžových komunikacích.
Výpočet - výměra, rozměr:
2 =&gt; počet [ks] navržených ke stavbě</t>
  </si>
  <si>
    <t>2865447016.1</t>
  </si>
  <si>
    <t>Odbočka kanalizační (UC/KG - 45°) PP SN16, DN 500 / DN 200</t>
  </si>
  <si>
    <t>Odbočka kanalizační (UC/KG - 45°), DN 500 / DN 200 z PP v kruhové tuhosti SN 16kN/m2.
Výpočet - výměra, rozměr:
1 =&gt; počet odboček [ks]</t>
  </si>
  <si>
    <t>28654470506.1</t>
  </si>
  <si>
    <t>Spojka přesuvná kanalizační PP, SN16, DN 500</t>
  </si>
  <si>
    <t>Spojka přesuvná kanalizační PP, SN16, DN 500, dvojitá objímka. 
Výpočet - výměra, rozměr:
3 =&gt; počet přesuvek [ks]</t>
  </si>
  <si>
    <t>286114012</t>
  </si>
  <si>
    <t>Trubka kanalizační PP / PVC SN 12, 200 x 3000 mm</t>
  </si>
  <si>
    <t>Potrubí z  PP / PVC-U v kruhové tuhosti min. SN 12 kN/m2, d 200 mm s plnostěnnou konstrukcí stěny vyráběné dle ČSN EN 1401. Parametry zejména určena pro splaškové kanalizace, kde je vyžadována co nejvyšší síla stěny. Potrubí využívá řadu PVC nebo PP  tvarovek v odpovídající síle stěny. Potrubí je oranžové/hnědé barvy a je spojováno pomocí hrdel a gumového těsnění jištěné plastovým kroužkem. Dodávka materiálu. D
Výpočet - výměra, rozměr:
1 =&gt; počet [ks]</t>
  </si>
  <si>
    <t>59224369.A</t>
  </si>
  <si>
    <t>Dno šachtové přímé TBZ-Q.1 120/120 V max. 80</t>
  </si>
  <si>
    <t>592243732</t>
  </si>
  <si>
    <t>Těsnění elastomerové pro šachtové díly EMT DN 1200</t>
  </si>
  <si>
    <t>55291225</t>
  </si>
  <si>
    <t>Spojka standardní FLEX-SEAL SC 560</t>
  </si>
  <si>
    <t>Nerez-pryžová spojka standardní FLEX-SEAL SC 560,  pro PP DN 500 / BET DN 400-500. Nízkokotlaká pružná spojka FLEX-SEAL pro potrubní systémy (opravné manžety pro kanalizace, drenáže a vzduchotechniku). Ocel AISI 304 - běžné podmínky.
Výpočet - výměra, rozměr:
1 =&gt; počet [ks]</t>
  </si>
  <si>
    <t>Vyrovnávací kroužek BC 08/545</t>
  </si>
  <si>
    <t>Celkem (bez DPH):</t>
  </si>
  <si>
    <t>Kč</t>
  </si>
  <si>
    <t>Předmětná stavba je běžné technické náročnosti s důrazem na její koordinaci.</t>
  </si>
  <si>
    <t>Dokumentace: B. SOUHRNNÁ TECHNICKÁ ZPRÁVA, C. SITUAČNÍ PŘÍLOHY, D. DOKUMENTACE STAVEBNÍHO OBJEKTŮ</t>
  </si>
  <si>
    <t>Výkaz výměr / Soupis prací, dodávek a služeb - neoceněný výkaz výměr</t>
  </si>
  <si>
    <t>MĚSTO ŽIROVNICE, ul. HRADECKÁ - ODDÍLNÁ KANALIZACE V KOMUNIKACI II/132
PŘÍPRAVA PRO PŘELOŽKU DEŠŤOVÉ KANALIZACE POD RD č.p. 620</t>
  </si>
  <si>
    <t>DODATEK č.1</t>
  </si>
  <si>
    <t>Množství m.j. je uvedeno dle předpokladu, celková cena této práce se stanoví podle skutečnosti při provádění stavebních prací. Den = 8 hodin.
Výpočet:
2*8 =&gt; předpoklad čerpání ve dnech * počet hodin - stanoveno odhadem</t>
  </si>
  <si>
    <t>Pohotovost čerpací soupravy. Oceňují se všechny dny od ukončení montáže po započetí demontáže čerpací soustavy.
Výpočet:
2 =&gt; předpokad čerpání ve dnech =&gt; stanoveno odhadem</t>
  </si>
  <si>
    <t>Odstranění stávajícího krytu přijezdné komunikace, včetně nakládání a odvozu na skládku do 1 km, započítaná i zpáteční cesta. 
Položka obsahuje: 
- řezání živičného krytu tl. 5 cm, 
- odstranění asfaltbetonového krytu tl. 6 cm 
- řezání podkladního asfaltobetonu tl. 7 cm 
- odstranění podkladního asfaltobetonu tl. 7 cm 
- odstranění kameniva zpevněného cementem tl. 15 cm 
- odstranění štěrkodrti tl. 32 cm 
- nakládání suti 
- vodorovná doprava suti do 1 km (položka neobsahuje poplatek za skládku)
Výpočet - výměra, rozměr:
2,50*2,82*1,05 =&gt; ÚSEK č.1 (KSÚS): délka úseku [m] * prům. šíře rýhy [m] + rezerva 5%</t>
  </si>
  <si>
    <t>Odstranění podkladu nad 50 m2,kam.těžené tl.18 cm - odstranění provizorní vrstvy.
Položka je určena i pro odstranění podkladů nebo krytů ze štěrkopísku, škváry, strusky nebo z mechanicky zpevněných zemin. Pro volbu položky z hlediska množství se uvažuje každá souvisle odstraňovaná plocha krytu nebo podkladu stejného druhu samostatně.
Výpočet - výměra, rozměr:
2,50*2,82=&gt; ÚSEK č.1 (KSÚS): délka úseku [m] * prům. šíře rýhy [m]</t>
  </si>
  <si>
    <t>Rozebrání dlažeb ze zámkové dlažby v kamenivu, resp. v štěrkovém loži. 
Položka je určená pro rozebrání zámkových dlažeb, tl. 8 cm, včetně odebrání ložních a konstrukčních štěrkových, příp. štěrkopískových vrstev s naložením na dopravní prostředek a odvozem na skládku do 1 km.
Položka obsahuje: 
- rozebrání dlažebních kostek, tl. 8 cm
- odstranění ložní vrstvy štěrkopísku (f = 0 - 4 mm), tl. 4 cm,
- odstranění štěrkového podkladu, tl. do 50 cm
- nakládání suti, vodorovná doprava suti do 1 km
Výpočet - výměra, rozměr:
1,50*2,82*1,05 =&gt; ÚSEK č.1 (CHOD): délka úseku [m] * prům. šíře rýhy [m] + rezerva 5%</t>
  </si>
  <si>
    <t>Sejmutí ornice s přemístěním do 50 m, uložením na dočasnou skládku. M+D
Výpočet - výměra, rozměr: 
2,50*2,82*0,20*1,05 =&gt; délka úseku nezpevněné plochy [m] * prům. šíře rýhy [m] * tl. vrstvy [m] + 5% rezerva</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</si>
  <si>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2,50*4,61*0,6*1,05 =&gt; ÚSEK č.1 (KSÚS): délka úseku [m] * prům.plocha [m2] * 60% (III. tř. horniny) + 5% rezerva
1,50*5,21*0,6*1,05 =&gt; ÚSEK č.1 (CHOD): délka úseku [m] * prům.plocha [m2] * 60% (III. tř. horniny) + 5% rezerva
2,50*6,35*0,6*1,05 =&gt; ÚSEK č.1 (NZP): délka úseku [m] * prům.plocha [m2] * 60% (III. tř. horniny) + 5% rezerva</t>
  </si>
  <si>
    <t>Příplatek za lepivost, 50% celkového objemu výkopu. Do měrných jednotek se udává poměrné množství zeminy, které ulpí v nářadí a o které je snížen celkový výkon stroje.
Výpočet - výměra, rozměr:
22,18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</si>
  <si>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2,50*4,61*0,4*1,05 =&gt; ÚSEK č.1 (KSÚS): délka úseku [m] * prům.plocha [m2] * 40% (IV. tř. horniny) + 5% rezerva
1,50*5,21*0,4*1,05 =&gt; ÚSEK č.1 (CHOD): délka úseku [m] * prům.plocha [m2] * 40% (IV. tř. horniny) + 5% rezerva
2,50*6,35*0,4*1,05 =&gt; ÚSEK č.1 (NZP): délka úseku [m] * prům.plocha [m2] * 40% (IV. tř. horniny) + 5% rezerva</t>
  </si>
  <si>
    <t>Příplatek za lepivost, 25% celkového objemu výkopu. Do měrných jednotek se udává poměrné množství zeminy, které ulpí v nářadí a o které je snížen celkový výkon stroje.
Výpočet - výměra, rozměr:
14,79 [m3] * 0,25 [%] =&gt; převzaté č. pol. 132301213R00 (Hloubení rýh v hor.4 do 10 000m3,STROJNĚ) * 25% z výkopku</t>
  </si>
  <si>
    <t>Položka obsahuje hloubení jámy kolovým rypadlem s rozrývacím zubem,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Položka se používá bez ohledu na těžené množství.
viz. TABULKA TĚŽITELNOSTI HORNIN
Výpočet - výměra, rozměr:
1,0 =&gt; rezerva pro výskyt horniny [m3] - stanoveno odhadem</t>
  </si>
  <si>
    <t>Pažení a rozepření stěny rýhy - příložné - hl. do 4 m. D+M
Výpočet - výměra, rozměr:
6,50*3,15*2*0,90 =&gt; délka trasy / úseku / stoky [m] * průměrná výška [m] * počet stěn [ks] - 90% z toho</t>
  </si>
  <si>
    <t>Odstranění pažení a rozepření stěny rýhy - příložné - hl. do 4 m. D+M
Výpočet - výměra, rozměr:
6,50*3,15*2*0,90 =&gt; délka trasy / úseku / stoky [m] * průměrná výška [m] * počet stěn [ks] - 90% z toho</t>
  </si>
  <si>
    <t>bez naložení do dopravní nádoby, ale s vyprázdněním dopravní nádoby na hromadu nebo na dopravní prostředek
hloubení rýh š. do 200 cm objemu do 10 000 m3 (stavba globálně): 3 %
Výpočet - výměra, rozměr:
(22,18+14,79)*0,03 =&gt; součet kubatury horn.  tř. I. až IV. * 3 % - stanoveno z tabulky pro určení podílu svislého přemístění výkopku</t>
  </si>
  <si>
    <t>bez naložení do dopravní nádoby, ale s vyprázdněním dopravní nádoby na hromadu nebo na dopravní prostředek
hloubení rýh š. do 200 cm objemu do 10 000 m3 (stavba globálně): 3 %
viz. TABULKA TĚŽITELNOSTI HORNIN
Výpočet:
(1,00+0,50)*0,03 =&gt; součet kubatury horn.  tř. V. až VII. * 3 % - stanoveno z tabulky pro určení podílu svislého přemístění výkopku</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</si>
  <si>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(22,18+14,79) =&gt; celkový výkop hor. tř. I.-IV. [m3]
-22,51 =&gt; odečet kubatury zeminy potřebné k zásypu [m3]</t>
  </si>
  <si>
    <t>1 km nad rozpočtovou položku s odvozem nad 10 km, příplatek za 1 km, včetně zpáteční cesty.
Předpoklad uložení skládka (AVE CZ, Jindřichův Hradec - Žirovnice ul. Hradecká = 24,0 km).
Výpočet - výměra, rozměr:
14,46*14,0 =&gt; kubatura k přemístění [m3] * počet km nad 10 km [-]</t>
  </si>
  <si>
    <t>Po suchu, bez naložení výkopku, avšak se složením bez rozhrnutí, zpáteční cesta vozidla.
Předpoklad uložení - skládka (AVE CZ, Jindřichův Hradec - Žirovnice ul. Hradecká = 24,0 km).
Výpočet - výměra, rozměr:
1,00+0,50 =&gt; součet výkopků tř. V. až VII. [m3]</t>
  </si>
  <si>
    <t>Naložení a složení výkopku tř. 1. až 4. z mezideponie pro zásyp rýhy.
Výpočet - výměra, rozměr:
2*22,51 =&gt; počet nakládání / skládání [-] * kubatura horniny tř. I. - IV. potřebná pro zásyp [m3]</t>
  </si>
  <si>
    <t>Položka obsahuje naložení, odvoz výkopku na mezideponii, složení výkopku a zpáteční cestu.
Výpočet - výměra, rozměr:
2*22,51 =&gt; 1x odvoz + 1x dovoz [-] * kubatura horniny tř. I. - IV. potřebná pro zásyp [m3]</t>
  </si>
  <si>
    <t>Nakládání, skládání, překládání ornice v množství do 100 m3 na / (z) mezideponii(e).
Výpočet - výměra, rozměr:
2*1,48 =&gt; počet nakládání / skládání [-] * kubatura ornice [m3]</t>
  </si>
  <si>
    <t>Vodorovné přemístění ornice - odvoz / dovoz - mezideponie.
Výpočet - výměra, rozměr:
2*1,48 =&gt; počet přesunů 1x odvoz, 1x dovoz [-] * kubatura ornice [m3]</t>
  </si>
  <si>
    <t>Obsyp hutnitelným nesoudržným materiálem (f = 0-16 mm pro PP/PVC) , pro jakoukoliv hloubku výkopu a jakoukoliv míru zhutnění, včetně dodávky obsypového materiálu. D+M
viz. PODÉLNÉ PROFILY
Výpočet - výměra, rozměr:
6,50*(0,66+0,94)*1,05 =&gt; délka trasy úseku / stoky [m] * plocha obsypu [m2] + rezerva na zhutnění 5%
-(6,50*(pi*0,125^2))	odečet kubatury vytlačené potrubím [m3]
-(5,50*(pi*0,200^2))	odečet kubatury vytlačené potrubím [m3]</t>
  </si>
  <si>
    <t>Zásyp jam, rýh, šachet se zhutněním z jakékoliv horniny (tř. I - IV.) s uložením výkopku po vrtstvách, max. velikost kamene 100 mm, přebytečná zemina odvezena na skládku:
viz. PODÉLNÉ PROFILY
Výpočet - výměra, rozměr:
2,50*2,22*1,05 =&gt; ÚSEK č.1 (KSÚS): délka úseku [m] * prům.pl. zásypu [m2]  + 5% rezerva na zhutnění
1,50*3,26*1,05 =&gt; ÚSEK č.1 (CHOD): délka úseku [m] * prům.pl. zásypu [m2]  + 5% rezerva na zhutnění
2,50*4,40*1,05 =&gt; ÚSEK č.1 (NZP): délka úseku [m] * prům.pl. zásypu [m2]  + 5% rezerva na zhutnění</t>
  </si>
  <si>
    <t>Rozprostření vrstvy ornice v rovině / mírném svahu, tloušťka 20 cm.
Výpočet - výměra, rozměr:
2,50*2,82*1,05 =&gt; délka trasy úseku / stoky [m] * šíře rýhy [m]  + 5% rezerva</t>
  </si>
  <si>
    <t>Výpočet - výměra, rozměr:
14,46 =&gt; kubatura [m3] - převzato z pol. vodorovného přesunu horn. tř. 1 - 4</t>
  </si>
  <si>
    <t>Zhutnění podloží pod potrubím válcem.
Výpočet - výměra, rozměr:
6,50*1,96*1,10 =&gt; délka stok(y) [m] * šířka lože [m] + 10% rezerva</t>
  </si>
  <si>
    <t>Beton podkladní pod základové konstrukce, prostý - betonové lože pod revizní šachtu, tl. 0,20 m, a = 0,80 / 1,20 m. D+M
Výpočet - výměra, rozměr:
1*(1,2*1,2*0,2) =&gt; počet šachet betonových [ks] * objem podkladového bet. pod šachtu [m3]
2*(0,8*0,8*0,2) =&gt; počet šachet plastových [ks] * objem podkladového bet. pod šachtu [m3]</t>
  </si>
  <si>
    <t>Zhotovení podkladního lože pod kanalizační potrubí ze štěrkopísku, f = 0 - 4 mm, včetně dodávky podkladového materiálu. D+M
Výpočet - výměra, rozměr:
6,50*1,96*0,15*1,15 =&gt; délka trasy úseku / stoky [m] * šíře rýhy [m] * tl. lože [m] + rezerva na zhutnění 15%</t>
  </si>
  <si>
    <t>Podklad ze štěrkodrti po zhutnění tloušťky 17 cm - podkladní (zpevňovací) vrstva komunikace, štěrkodrť f = 0 - 63 mm, včetně dodávky štěrkodrti. D+M
Výpočet - výměra, rozměr:
2,50*2,58*1,05 =&gt; ÚSEK č.1: délka úseku [m] * prům. šíře rýhy [m] + rezerva 5%</t>
  </si>
  <si>
    <t>Podkladní vrstva z kameniva drceného, f = 32 - 63 mm, s výplň.kamen., tl. vrstvy 25 cm, včetně dodávky kameniva. D+M
Výpočet - výměra, rozměr:
2,50*2,65*1,05 =&gt; ÚSEK č.1: délka úseku [m] * prům. šíře rýhy [m] + rezerva 5%</t>
  </si>
  <si>
    <t>Podkladní vrstva z kameniva drceného, f = 32 - 63 mm, s výplň.kamen., tl. vrstvy 20 cm, včetně dodávky kameniva. D+M
Výpočet - výměra, rozměr:
2,50*2,70*1,05 =&gt; ÚSEK č.1: délka úseku [m] * prům. šíře rýhy [m] + rezerva 5%</t>
  </si>
  <si>
    <t>Podklad ze štěrkodrti po zhutnění tloušťky 18 cm, vrchní vrstva - dočasná po dobu stavby před celoplošnou rekonstrukcí komunikace, včetně dodávky štěrkodrti (f = 0 - 32 mm). D+M
Výpočet - výměra, rozměr:
2,50*2,82 =&gt; ÚSEK č.1: délka úseku [m] * prům. šíře rýhy [m]</t>
  </si>
  <si>
    <t>Podklad z obal kam.ACP 16+,ACP 22+,do 3 m,tl. 8 cm, ložní vrstva komunikace. D+M
Výpočet - výměra, rozměr:
2,50*2,82 =&gt; ÚSEK č.1: délka úseku [m] * prům. šíře rýhy [m]</t>
  </si>
  <si>
    <t>Příplatek za zpevnění štěrkové vrstvy cementem (pl. do 5000 m2), včetně dodávky cementové směsi a promísení, tl. do 20 cm. M+D
Výpočet - výměra, rozměr:
2,50*2,65*1,05 =&gt; ÚSEK č.1: délka úseku [m] * prům. šíře rýhy [m] + rezerva 5%</t>
  </si>
  <si>
    <t>Postřik spojovací z KAE modifikované, 0,7 kg/m2. D+M 
Výpočet - výměra, rozměr:
2,50*2,82 =&gt; ÚSEK č.1: délka úseku [m] * prům. šíře rýhy [m]</t>
  </si>
  <si>
    <t>Komunikace / chodník z dlažby zámkové, podklad štěrkopísek, dlažba přírodní tloušťka 8 cm, včetně zemních prací. D+M
Skladba: 
- podklad ze štěrkopísku, tl. 17 cm 
- podklad z drceného kameniva, tl. 30 cm 
- lože z kameniva, tl. 5 cm 
- dlažba zámková, betonová, tl. 8 cm
Výpočet - výměra, rozměr	Poznámka
1,50*2,82*1,05 =&gt; ÚSEK č.1: délka [m] * šířka [m] + rezerva 5%</t>
  </si>
  <si>
    <t>Montáž potrubí z tvrdého PVC těsněných gumovým kroužkem. V položce jsou zakalkulovány i náklady na montáž tvarovek. V položce nejsou zakalkulovány náklady na dodání trubek a tvarovek (mimo odbočné tvarovky), tyto materiály jsou oceněny samostaně ve specifikaci. M
Výpočet - výměra, rozměr:
6,50 =&gt; celková délka montáže potrubí dané světlosti [m]</t>
  </si>
  <si>
    <t>Položka je určena pro montáž tvarovek jednoosých na potrubí z kanalizačních trub z plastu těsněných gumovým kroužkem v otevřeném výkopu. M
Výpočet - výměra, rozměr:
2 =&gt; součet všech jednoosých tvarovek [ks]</t>
  </si>
  <si>
    <t>Montáž potrubí z tvrdého PVC těsněných gumovým kroužkem. V položce jsou zakalkulovány i náklady na montáž tvarovek. V položce nejsou zakalkulovány náklady na dodání trubek a tvarovek (mimo odbočné tvarovky), tyto materiály jsou oceněny samostaně ve specifikaci. M
Výpočet - výměra, rozměr:
5,50 =&gt; celková délka montáže potrubí dané světlosti [m]</t>
  </si>
  <si>
    <t>894431441RCB</t>
  </si>
  <si>
    <t>Šachta D 600 mm, dl.šach.roury 3,00 m, přímá</t>
  </si>
  <si>
    <t>Kompletní dodávka a montáž přefabrikované plastové šachty, D 600 mm, dl. šach. roury do 3,00 m. D+M
Položka obsahuje:
- dodávka osazení plastového dna, 
- dodávka a osazení korugované šachtové roury, 
- dodávka a vložení těsnění, 
- dodávka a osazení šachtové teleskopické roury
- osazení litinového poklopu.
viz. VÝPIS KANALIZAČNÍCH ŠACHET
Výpočet - výměra, rozměr:
2 =&gt; počet navrhovaných šachet [ks]</t>
  </si>
  <si>
    <t>Vyčištění kanalizační stoky - proplach vodou před zkouškou těsnosti kanalizace, v položce jsou započteny i náklady na dodání vody. D+M
Výpočet - výměra, rozměr:
6,50+5,50 =&gt; délka gravitační kanalizace [m]</t>
  </si>
  <si>
    <t>Zkouška těsnosti dešťové kanalizace DN do 300, vodou, včetně nákladů dodávek na vodu, napuštění vodou, zabezpečení konců zajištěno předchozí položkou. D+M
Výpočet - výměra, rozměr:
6,50+5,50 =&gt; délka kanalizačního potrubí [m]</t>
  </si>
  <si>
    <t>Kontrola kanalizace TV kamerou do 50 m, včetně TV záznamu s kontrolou ovality potrubí. D+M
Výpočet - výměra, rozměr:
6,50+5,50 =&gt; délka gravit. kanalizace [m]</t>
  </si>
  <si>
    <t>Dodávka a uložení výstražné fólie, hnědé barvy s nápisem "KANALIZACE" / "POZOR KANALIZACE", cca 30 cm nad povrchem potrubí. D+M
Výpočet - výměra, rozměr:
(6,50+5,50)*1,10 =&gt; délka potrubí /úseku/ [m] + rezerva 10%</t>
  </si>
  <si>
    <t>Příplatek za ztíženou montáž kanalizace v hornině mokré - předpoklad: mokré prostředí.
Výpočet - výměra, rozměr:
6,50+5,50 =&gt; odhad mokré prostředí: délka [m]</t>
  </si>
  <si>
    <t>Výpočet - výměra, rozměr:
9,45*0,75 =&gt; celková hmotnost odebraných konstrukcí komunikací [t]  =&gt; z toho prům. 75%</t>
  </si>
  <si>
    <t>Přesun hmot, komunikace z kameniva, příplatek 1 km - odvoz na skládku (AVE CZ, Jindřichův Hradec - Žirovnice ul. Hradecká = 24,0 km).
Výpočet - výměra, rozměr:
23*9,45*0,75 =&gt; počet km [-] * celk. odebraná hmotnost vrstev komunikace [t] =&gt; z toho 75%</t>
  </si>
  <si>
    <t>Přesun hmot, kryt živičný (do 1 km) - odvoz na skládku investora (Skládka - Žirovnice ul. Hradecká = 2,0 km).
Výpočet - výměra, rozměr:
9,45*0,25 =&gt; celk. odebraná hmotnost vrstev komunikace [t] =&gt; z toho 25%</t>
  </si>
  <si>
    <t>Potrubí z  PP / PVC-U v kruhové tuhosti min. SN 12 kN/m2, d 250 mm s plnostěnnou konstrukcí stěny vyráběné dle ČSN EN 1401. Parametry zejména určena pro splaškové kanalizace, kde je vyžadována co nejvyšší síla stěny. Potrubí využívá řadu PVC nebo PP  tvarovek v odpovídající síle stěny. Potrubí je oranžové/hnědé barvy a je spojováno pomocí hrdel a gumového těsnění jištěné plastovým kroužkem. Dodávka materiálu. D
Výpočet - výměra, rozměr:
1 =&gt; počet [ks]
Pozn.: Orientační počet daného rozměru, přesný počet bude vykázán zhotovitelem stavby.</t>
  </si>
  <si>
    <t>28651714.A</t>
  </si>
  <si>
    <t>Odbočka kanalizační 250/ 250/45° PVC / PP, min. SN 12</t>
  </si>
  <si>
    <t>Přesuvka kanalizační  250 PVC /PP/ (DN 250), nástrčná hrdla opatřená těsnicím kroužkem z elastomeru.
Výpočet - výměra, rozměr:
1 =&gt; množství [ks]  - stanoveno odhadem + ztratné 1,5%
Pozn.: Orientační počet daného rozměru, přesný počet bude vykázán zhotovitelem stavby.</t>
  </si>
  <si>
    <t>28651834.A</t>
  </si>
  <si>
    <t>Zátka hrdla kanalizační DN 250 PVC/PP, min. SN 12</t>
  </si>
  <si>
    <t>Zátka hrdla kanalizační DN 250 PVC/PP, min. SN 12, nástrčná hrdla opatřená těsnicím kroužkem z elastomeru.
Výpočet - výměra, rozměr:
1 =&gt; množství [ks]  - stanoveno odhadem + ztratné 1,5%
Pozn.: Orientační počet daného rozměru, přesný počet bude vykázán zhotovitelem stavby.</t>
  </si>
  <si>
    <t>Přesuvka kanalizační DN 400 PVC / PP, min. SN 12</t>
  </si>
  <si>
    <t>Přesuvka kanalizační DN 400 PVC / PP, min. SN 12, nástrčná hrdla opatřená těsnicím kroužkem z elastomeru.
Výpočet - výměra, rozměr:
1 =&gt; množství [ks]  - stanoveno odhadem + ztratné 1,5%
Pozn.: Orientační počet daného rozměru, přesný počet bude vykázán zhotovitelem stavby.</t>
  </si>
  <si>
    <t>28651836.A</t>
  </si>
  <si>
    <t>Zátka hrdla kanalizační DN 400 PVC / PP, min. SN 12</t>
  </si>
  <si>
    <t>Zátka hrdla kanalizační DN 400 PVC / PP, min. SN 12, nástrčná hrdla opatřená těsnicím kroužkem z elastomeru.
Výpočet - výměra, rozměr:
1 =&gt; množství [ks]  - stanoveno odhadem + ztratné 1,5%
Pozn.: Orientační počet daného rozměru, přesný počet bude vykázán zhotovitelem stavby.</t>
  </si>
  <si>
    <t>RTS I / 2022</t>
  </si>
  <si>
    <t>Předmětná stavba je běžné technické náročnosti s vyššími nároky na její koordinaci.</t>
  </si>
  <si>
    <t>Přesun hmot - vtokový objekt (štěrk, beton, kamenivo apod.)</t>
  </si>
  <si>
    <t>H33_</t>
  </si>
  <si>
    <t>998332011R00.1</t>
  </si>
  <si>
    <t>Nádrže na tocích, úpravy toků a kanály</t>
  </si>
  <si>
    <t>H33</t>
  </si>
  <si>
    <t>Spárování do hl. 70 mm MCs zdí z lomového kamene, včetně dodávky spárovací malty (MC). D+M
Výpočet - výměra, rozměr:
2,50*3,15*1,20 =&gt; pr. délka kontury vtok. obj. [m] * délka rovnaniny [m] + rezerva 20%</t>
  </si>
  <si>
    <t>Podkladní vrstva z betonu prostého C 25/30 do 10cm, včetně dodávky betonu. D+M
Výpočet - výměra, rozměr:
2,20*1,65*1,05 =&gt; délka [m] * šířka [m] + rezerva 5%</t>
  </si>
  <si>
    <t>Podkladní vrstva tl. do 25 cm ze štěrku, f = 0 - 63 mm. D+M
Výpočet - výměra, rozměr:
3,50*1,65*0,25 =&gt; délka [m] * šířka [m] * tl. vrstvy [m]</t>
  </si>
  <si>
    <t>Rovnanina vtokového objektu z lomového kamene 150/500 mm, rovnanina uložena do betonu C12/15. M+D
Výpočet - výměra, rozměr:
2,50*3,15*0,20*1,20 =&gt; pr. délka kontury vtok [m] * délka rovnaniny [m] * tl. zdiva / dna [m] + rezerva 20%</t>
  </si>
  <si>
    <t>Bednění stěn základových pasů - odstranění, materiál bednící prkna. D+M
Výpočet - výměra, rozměr:
2*1,60*0,50*1,15 =&gt; počet [ks] * délka bednění [m] * výška [m] + rezerva 15% prořezy
2*0,30*0,50*1,15 =&gt; počet [ks] * délka bednění [m] * výška [m] + rezerva 15% prořezy</t>
  </si>
  <si>
    <t>Betonová základová stěna vtokového objektu, do čela osadit a zebtonovat PVC / PP troubu DN 400 v požadovaném spádu. D+M
Výpočet - výměra, rozměr:
1,60*0,30*0,50*1,15 =&gt; BETONOVÝ OPĚRNÝ BLOK: délka [m] * šířka pasu [m] * výška [m] + rezerva 15%</t>
  </si>
  <si>
    <t>Bednění stěn základových pasů - zřízení betonového opěrného bloku, materiál bednící prkna. D+M
Výpočet - výměra, rozměr:
2*1,60*0,50*1,15 =&gt; počet [ks] * délka bednění [m] * výška [m] + rezerva 15% prořezy
2*0,30*0,50*1,15 =&gt; počet [ks] * délka bednění [m] * výška [m] + rezerva 15% prořezy</t>
  </si>
  <si>
    <t>Bednění stěn základových pasů - odstranění.
Výpočet - výměra, rozměr:
2*2,30*0,365*1,15 =&gt; počet [ks] * délka bednění [m] * výška [m] + rezerva 15% prořezy
2*0,80*0,365*1,15 =&gt; počet [ks] * délka bednění [m] * výška [m] + rezerva 15% prořezy</t>
  </si>
  <si>
    <t>Betonový základ pod vtokový objekt. D+M
Výpočet - výměra, rozměr:
2,20*0,80*0,35*1,05 =&gt; délka [m] * šířka [m] * výška [m] + rezerva 5%</t>
  </si>
  <si>
    <t>Bednění stěn základových pasů - zřízení, materiál bednící prkna. D+M
Výpočet - výměra, rozměr:
2*2,30*0,365*1,15 =&gt; počet [ks] * délka bednění [m] * výška [m] + rezerva 15% prořezy
2*0,80*0,365*1,15 =&gt; počet [ks] * délka bednění [m] * výška [m] + rezerva 15% prořezy</t>
  </si>
  <si>
    <t>Zhutnění podloží pod vtokovým objektem - válcem.
Výpočet - výměra, rozměr:
3,50*1,70*1,10 =&gt; délka  [m] * šířka [m] + 10% rezerva</t>
  </si>
  <si>
    <t>Terénní modelace - HTÚ - Úprava silničníko příkopu, pročištění, vysbírání kamene. 
Výpočet - výměra, rozměr:
15,00*5,00*1,15 =&gt; délka úseku [m] * orient. délka kontury [m] + 15% rezerva</t>
  </si>
  <si>
    <t>Rozprostření sejmuté ornice v rovině nebo ve svahu  do 1 : 20 s urovnáním, vyhrabáním větších kamenů, dovoz ornice ze vzdálenosti 500 m, osetí trávou včetně dodání osiva.
Výpočet - výměra, rozměr:
15,00*5,00*1,05 =&gt; délka úseku [m] * orient. délka kontury [m] * tl. vrstvy [m] + 5% rezerva</t>
  </si>
  <si>
    <t>Vodorovné přemístění ornice - odvoz / dovoz - mezideponie.
Výpočet - výměra, rozměr:
2*15,75*0,20 =&gt; počet přesunů 1x odvoz, 1x dovoz [-] * kubatura ornice [m3] - z toho 20%</t>
  </si>
  <si>
    <t>Nakládání, skládání, překládání ornice v množství do 100 m3 na / (z) mezideponii(e).
Výpočet - výměra, rozměr:
2*15,75*0,20 =&gt; počet nakládání / skládání [-] * kubatura ornice [m3] - z toho 20%</t>
  </si>
  <si>
    <t>1 km nad rozpočtovou položku s odvozem nad 10 km, příplatek za 1 km, včetně zpáteční cesty.
Předpoklad uložení skládka (AVE CZ, Jindřichův Hradec - Žirovnice ul. Hradecká = 24,0 km).
Výpočet - výměra, rozměr:
5,08*14,0 =&gt; kubatura k přemístění [m3] * počet km nad 10 km [-]</t>
  </si>
  <si>
    <t>Po suchu, bez naložení výkopku, avšak se složením bez rozhrnutí, zpáteční cesta vozidla.
Část výkopku hornin tř. I-IV. může být použit na dorovnání nezpevněných ploch, zbylé množství bude odveženo na skládku (AVE CZ, Jindřichův Hradec - Žirovnice ul. Hradecká = 24,0 km).
Výpočet - výměra, rozměr:
(2,54+2,54) =&gt; celkový výkop hor. tř. I.-IV. [m3]</t>
  </si>
  <si>
    <t>Platí pro hloubky výkopu od 1 do 2,5 m bez naložení do dopravní nádoby, ale s vyprázdněním dopravní nádoby na hromadu nebo na doopravní prostředek - hloubení rýh objemu do 10 000 m3 (globální stavba): 3 %
viz. TABULKA TĚŽITELNOSTI HORNIN
Výpočet - výměra, rozměr:
(2,54+2,54)*0,03 =&gt; součet výkopů I. až IV. tř. *  3 % (stanoveno z tabulky pro určení podílu svislého přemístění)</t>
  </si>
  <si>
    <t>Příplatek za lepivost, 25% celkového objemu výkopu. Do měrných jednotek se udává poměrné množství zeminy, které ulpí v nářadí a o které je snížen celkový výkon stroje.
Výpočet - výměra, rozměr:
2,54 [m3] * 0,25 [%] =&gt; převzaté č. pol. 132301213R00 (Hloubení rýh v hor.4 do 10 000m3,STROJNĚ) * 25%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</si>
  <si>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3,45*2,00*0,70*0,50*1,05 =&gt; VÝKOP PRO VTOK. OBJ.: délka [m] * šířka [m] * max. hl. výkopu [m] * 50% (IV. tř. horniny) + 5% rezerva</t>
  </si>
  <si>
    <t>Příplatek za lepivost, 50% celkového objemu výkopu. Do měrných jednotek se udává poměrné množství zeminy, které ulpí v nářadí a o které je snížen celkový výkon stroje.
Výpočet - výměra, rozměr:
2,54 [m3] * 0,50 [%] =&gt; převzaté č. pol. 132201213R00 (Hloubení rýh š.do 200 cm hor.3 do 10 000m3,STROJNĚ) * 50% z výkopku</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</si>
  <si>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
viz. TABULKA TĚŽITELNOSTI HORNIN
Výpočet - výměra, rozměr:
3,45*2,00*0,70*0,50*1,05 =&gt; VÝKOP PRO VTOK. OBJ.: délka [m] * šířka [m] * max. hl. výkopu [m] * 50% (III. tř. horniny) + 5% rezerva</t>
  </si>
  <si>
    <t>Sejmutí ornice s přemístěním do 50 m, uložením na dočasnou skládku. M+D
Výpočet - výměra, rozměr: 
15,00*5,00*0,20*1,05 =&gt; délka úseku [m] * orient. délka kontury [m] * tl. vrstvy [m] + 5% rezerva</t>
  </si>
  <si>
    <t>Odstranění betonových trub do DN 500 mm, ve výkopu. Položka obsahuje odstranění materiálu obklopujícího potrubí v míře nutné pro vyzvednutí, rozpojení trub, uchopení a vyzvednutí trub z výkopu a uložení na dopravní prostředek nebo přemístění do 5 m od výkopu.
Výpočet - výměra, rozměr:
5,0 =&gt; celk. délka demont. kanalizace [m]</t>
  </si>
  <si>
    <t>Demontáž potrubí litinového / plastového do DN 100 mm. Odstavení úseku řadu z provozu bude rušením trubního vedení LT při výkopových pracech pro pokládku nových sítí. Litinové potrubí patří do kategorie odpadů 17 04 05 - kovové odpady.
Tento druh odpadu je zařazen jako odpad ostatní (O) a není považován za nebezpečný. Litinové potrubí se může recyklovat nebo likvidovat podle platných právních předpisů. Likvidace bude odvozem do sběrných surovin - oceněno samostanými položkami.
Položka obsahuje demontáž, příp. řezání potrubí ve výkopu, včetně naložení na dopravní prostředek.
Výpočet - výměra, rozměr:
325,50 =&gt; celková délka demontáže [m]</t>
  </si>
  <si>
    <t>Demontáž šoupátek do DN 150 mm. Položka obsahuje demontáž všech sáv. LT šoupátek, včetně domovních.
Výpočet - výměra, rozměr:
20 =&gt; celk. počet rušených šoupátek [ks]</t>
  </si>
  <si>
    <t>Volné konce rušeného potrubí budou zaslepeny proti volnému proudění vody. Zaslepení přírubového spoje do DN 80, slepou LT přírubou, alternativně se povoluje jiný vhodný způsob.
Výpočet - výměra, rozměr:
8 =&gt; celkový počet zaslepovaných konců [ks]</t>
  </si>
  <si>
    <t>Demontáž armatur se třemi přírubami (T-KUS) do DN 100, včetně naložení na dopravní prostředek.
Výpočet - výměra, rozměr:
4+1 =&gt; počet stáv. T-kusů [ks]</t>
  </si>
  <si>
    <t>Demontáž armatur se dvěma přírubami do DN 100.
Výpočet - výměra, rozměr:
4*2 =&gt; počet stáv. hydrantů [ks] * 2 armatury (pat. koleno + FFR kus)</t>
  </si>
  <si>
    <t>Demontáž hydrantů podzemních DN 50, DN 80.
Výpočet - výměra, rozměr:
4 =&gt; počet demontovaných hydrantů [ks]</t>
  </si>
  <si>
    <t>Kontrola kanalizace TV kamerou do 500 m, Prohlídka úseků rušené kanalizace pro vyloučení živých přípojek se záznamem 
prohlídky na digitální záznamový nosič. D+M
Výpočet - výměra, rozměr:
114,0 =&gt; BET DN 400: celková délka [m]
72,0 =&gt; BET DN 300: celková délka [m]</t>
  </si>
  <si>
    <t>Cementopopílková suspenze je materiál ze směsi popílku, cementu a vody, který získá své vlastnosti hydratací cementu a je vyráběn podle PN 01/2009. Používá se jako výplňové médium pro zálivku trubních vedení, velkých prostor jako jsou šachty, tunely, zemní rýhy, zásypy, studny apod.S ohledem na dobrou tekutost směsi dojde k vyplnění všech prostor. D+M
Výpočet - výměra, rozměr:
72,0*1,05 =&gt; BET 300: celková délka [m] + rezerva 5%</t>
  </si>
  <si>
    <t>Cementopopílková suspenze je materiál ze směsi popílku, cementu a vody, který získá své vlastnosti hydratací cementu a je vyráběn podle PN 01/2009. Používá se jako výplňové médium pro zálivku trubních vedení, velkých prostor jako jsou šachty, tunely, zemní rýhy, zásypy, studny apod.S ohledem na dobrou tekutost směsi dojde k vyplnění všech prostor. D+M
Výpočet - výměra, rozměr:
114,0*1,05 =&gt; BET DN 400: celková délka [m] + rezerva 5%
7,10*1,05 =&gt; PROPUSTEK - KSÚS BET DN 400: celková délka [m] + rezerva 5%</t>
  </si>
  <si>
    <t>979013312R00</t>
  </si>
  <si>
    <t>Svislá doprava vybouraných hmot na výšku do 3,5 m</t>
  </si>
  <si>
    <t>S naložením do dopravního zařízení s vyprázdněním dopravního zařízení na hromadu nebo do dopravního prostředku.</t>
  </si>
  <si>
    <t>979083117R00</t>
  </si>
  <si>
    <t>Vodorovné přemístění suti na skládku do 6000 m</t>
  </si>
  <si>
    <t>Vodorovné přemístění suti na skládku do 6000 m, kanalizace betonové. Odvoz na skládku AVE CZ (ul. Hradecká - Jindřichův Hradec = 24,0 km), cesta tam i zpět.
Výpočet - výměra, rozměr:
5,34 =&gt; celková demontovaná hmotnost [t]</t>
  </si>
  <si>
    <t>979083191R00</t>
  </si>
  <si>
    <t>Příplatek za dalších započatých 1000 m nad 6000 m</t>
  </si>
  <si>
    <t>Příplatek za dalších započatých 1000 m nad 6000 m, kanalizace betonové. Odvoz na skládku AVE CZ (ul. Hradecká - Jindřichův Hradec = 24,0 km), cesta tam i zpět.
Výpočet - výměra, rozměr:
5,34*18 =&gt; celková demontovaná hmotnost [t] * počet [km] nad rozpočtovanou pol. přesunu suti do 6 km</t>
  </si>
  <si>
    <t>979013112R00</t>
  </si>
  <si>
    <t>Svislá doprava vybouraných hmot na H do 3,5 m - litina</t>
  </si>
  <si>
    <t>979082318R00</t>
  </si>
  <si>
    <t>Vodorovná doprava suti a hmot po suchu do 6000 m - litina</t>
  </si>
  <si>
    <t>Vodorovná doprava suti a hmot po suchu do 6000 m - litina, trubní vedení litinové. Odvoz na skládku AVE CZ (ul. Hradecká - Jindřichův Hradec = 24,0 km), cesta tam i zpět.
Výpočet - výměra, rozměr:
6,26 =&gt; celková demontovaná hmotnost [t]</t>
  </si>
  <si>
    <t>Příplatek za dalších započatých 1000 m nad 6000 m - litina</t>
  </si>
  <si>
    <t>Příplatek za dalších započatých 1000 m nad 6000 m, litina, trubní vedení litinové. Odvoz na skládku AVE CZ (ul. Hradecká - Jindřichův Hradec = 24,0 km), cesta tam i zpět.
Výpočet - výměra, rozměr:
6,26*18 =&gt; celková demontovaná hmotnost [t] * počet [km] nad rozpočtovanou pol. přesunu hmot do 6 km</t>
  </si>
  <si>
    <t>Přesun hmot pro kanalizace betonové, otevř. výkop - cementopopílková směs</t>
  </si>
  <si>
    <t>Položka je určena pro kanalizace hloubené nebo ražené monolitické z betonu nebo železobetonu včetně drobných objektů. Dovoz cementopopílkové směsi na stavbu + stavební přesuny.</t>
  </si>
  <si>
    <t>Demontáž šachet betonových DN 1000. Položka obsahuje obnažení šachty, rozebrání, příp. demolici a naložení na dopravní prostředek s odvozem do 50 m.
Výpočet - výměra, rozměr:
3 =&gt; počet šachet k demontáži [ks=soubor]</t>
  </si>
  <si>
    <t>Čištění potrubí profukováním nebo proplach. DN 400. D+M
Výpočet - výměra, rozměr:
114,0 =&gt; celková délka dané dimenze [m]</t>
  </si>
  <si>
    <t>Čištění potrubí profukováním nebo proplach. DN 300. D+M
Výpočet - výměra, rozměr:
72,0 =&gt; celková délka dané dimenze [m]</t>
  </si>
  <si>
    <t>S</t>
  </si>
  <si>
    <t>Přesuny sutí</t>
  </si>
  <si>
    <t>979990107R00</t>
  </si>
  <si>
    <t>Poplatek za uložení suti - směs betonu, cihel, dřeva, skupina odpadu 170904</t>
  </si>
  <si>
    <t>S_</t>
  </si>
  <si>
    <t>Příruba litinová zaslepovací X, DN 80, PN 16 - dodávka na stavbu. D
Výpočet - výměra, rozměr:
8 =&gt; celkový počet zaslepovacích přírub [ks]</t>
  </si>
  <si>
    <t>Bednění stěn základových pasů - zřízení, materiál bednící prkna, připravení otvoru pro odtokové potrubí. D+M
Výpočet - výměra, rozměr:
2*1,90*1,75*1,15 =&gt; ČELNÍ STĚNY: počet [ks] * délka bednění [m] * výška [m] + rezerva 15% prořezy
2*0,25*1,75*1,15 =&gt; BOČNÍ STĚNY: počet [ks] * délka bednění [m] * výška [m] + rezerva 15% prořezy</t>
  </si>
  <si>
    <t>Betonová základová stěna vtokového objektu, do čela osadit a zebtonovat PVC / PP troubu DN 400 v požadovaném spádu, založení pode dnem, vázáno do svahu. D+M
Výpočet - výměra, rozměr:
1,90*0,250*1,75*1,15 =&gt; ČELNÍ STĚNA VTOKU: délka [m] * šířka pasu [m] * výška [m] + rezerva 15%</t>
  </si>
  <si>
    <t>274361921RT4</t>
  </si>
  <si>
    <t>Výztuž základových pasů ze svařovaných sítí</t>
  </si>
  <si>
    <t>Výztuž základových pasů ze svařovaných sítí, včetně dodávky sítě KH 30, drát d 6,0 mm, oko 100 x 100 mm. D+M
V položce jsou zakalkulovány náklady na dodání plošně rovných sítí, jejich uložení a případné stříhání a její vyvázání nebo přivaření bodovými svary.
Výpočet - výměra, rozměr:
1,80*1,60*0,00444*1,05 =&gt; VÝZTUŽ č.1: šířka [m] * výška [m] * koef. přepočtu [t/m2] + rezerva 5%
1,80*1,45*0,00444*1,05 =&gt; VÝZTUŽ č.2: šířka [m] * výška [m] * koef. přepočtu [t/m2] + rezerva 5%</t>
  </si>
  <si>
    <t>Bednění stěn základových pasů - ostranění, materiál bednící prkna. D+M
Výpočet - výměra, rozměr:
2*1,90*1,75*1,15 =&gt; ČELNÍ STĚNY: počet [ks] * délka bednění [m] * výška [m] + rezerva 15% prořezy
2*0,25*1,75*1,15 =&gt; BOČNÍ STĚNY: počet [ks] * délka bednění [m] * výška [m] + rezerva 15% prořezy</t>
  </si>
  <si>
    <t>Podkladní vrstva z betonu prostého C 12/15 do 10cm</t>
  </si>
  <si>
    <t>Dodávka a montáž lapače nečistot - česlí - provedení z ocelových profilů, atypický zámečnický výrobek, včetně dodávky a montáže (separačního) betonového bloku s vsazenými otvory 3x DN 100. D+M</t>
  </si>
  <si>
    <r>
      <t xml:space="preserve">VÝKAZ VÝMĚR
</t>
    </r>
    <r>
      <rPr>
        <b/>
        <sz val="11"/>
        <rFont val="Times New Roman"/>
        <family val="1"/>
        <charset val="238"/>
      </rPr>
      <t xml:space="preserve">(SOUPIS PRACÍ, DODÁVEK A SLUŽEB - NEOCENĚNÝ VÝKAZ VÝMĚR)
</t>
    </r>
    <r>
      <rPr>
        <b/>
        <sz val="12"/>
        <color rgb="FF0000FF"/>
        <rFont val="Times New Roman"/>
        <family val="1"/>
        <charset val="238"/>
      </rPr>
      <t>REVIZE 24.09.2024</t>
    </r>
  </si>
  <si>
    <r>
      <t xml:space="preserve">01-02/2024
</t>
    </r>
    <r>
      <rPr>
        <sz val="10"/>
        <color rgb="FF0000FF"/>
        <rFont val="Arial"/>
        <family val="2"/>
        <charset val="238"/>
      </rPr>
      <t>REVIZE 24.9.2024</t>
    </r>
  </si>
  <si>
    <r>
      <t xml:space="preserve">01.02.2024
</t>
    </r>
    <r>
      <rPr>
        <sz val="10"/>
        <color rgb="FF0000FF"/>
        <rFont val="Arial"/>
        <family val="2"/>
        <charset val="238"/>
      </rPr>
      <t>REVIZE 24.9.2024</t>
    </r>
  </si>
  <si>
    <t>Přesun hmot -odvoz suti, vybouraná kanalizace betonová, včetně poplatku za uložení</t>
  </si>
  <si>
    <t>Odvoz vybouraného bet. odpadu, včetně poplatku za uložení na skládce odpadu.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</si>
</sst>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 _K_č_-;\-* #,##0.00\ _K_č_-;_-* \-??\ _K_č_-;_-@_-"/>
    <numFmt numFmtId="166" formatCode="#,##0\ &quot;Kč&quot;"/>
    <numFmt numFmtId="167" formatCode="000\ 00"/>
  </numFmts>
  <fonts count="103" x14ac:knownFonts="1">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alibri"/>
      <family val="2"/>
      <charset val="238"/>
    </font>
    <font>
      <sz val="11"/>
      <color indexed="9"/>
      <name val="Calibri"/>
      <family val="2"/>
      <charset val="238"/>
    </font>
    <font>
      <b/>
      <sz val="11"/>
      <color indexed="8"/>
      <name val="Calibri"/>
      <family val="2"/>
      <charset val="238"/>
    </font>
    <font>
      <sz val="10"/>
      <name val="Arial"/>
      <family val="2"/>
      <charset val="238"/>
    </font>
    <font>
      <u/>
      <sz val="10"/>
      <color indexed="12"/>
      <name val="Arial CE"/>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charset val="238"/>
    </font>
    <font>
      <sz val="10"/>
      <name val="Arial CE"/>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b/>
      <sz val="14"/>
      <name val="Arial CE"/>
      <family val="2"/>
      <charset val="238"/>
    </font>
    <font>
      <b/>
      <sz val="12"/>
      <name val="Arial CE"/>
      <family val="2"/>
      <charset val="238"/>
    </font>
    <font>
      <sz val="12"/>
      <name val="Arial CE"/>
      <family val="2"/>
      <charset val="238"/>
    </font>
    <font>
      <sz val="11"/>
      <name val="Arial CE"/>
      <family val="2"/>
      <charset val="238"/>
    </font>
    <font>
      <b/>
      <sz val="11"/>
      <name val="Arial CE"/>
      <family val="2"/>
      <charset val="238"/>
    </font>
    <font>
      <sz val="11"/>
      <color indexed="10"/>
      <name val="Arial CE"/>
      <family val="2"/>
      <charset val="238"/>
    </font>
    <font>
      <i/>
      <sz val="11"/>
      <name val="Arial CE"/>
      <family val="2"/>
      <charset val="238"/>
    </font>
    <font>
      <b/>
      <sz val="9"/>
      <color indexed="10"/>
      <name val="Arial CE"/>
      <family val="2"/>
      <charset val="238"/>
    </font>
    <font>
      <b/>
      <sz val="13"/>
      <name val="Arial CE"/>
      <family val="2"/>
      <charset val="238"/>
    </font>
    <font>
      <sz val="8"/>
      <name val="Trebuchet MS"/>
      <family val="2"/>
    </font>
    <font>
      <sz val="8"/>
      <name val="Trebuchet MS"/>
      <family val="2"/>
      <charset val="238"/>
    </font>
    <font>
      <u/>
      <sz val="8"/>
      <color indexed="12"/>
      <name val="Trebuchet MS"/>
      <family val="2"/>
      <charset val="238"/>
    </font>
    <font>
      <sz val="8"/>
      <name val="Trebuchet MS"/>
      <family val="2"/>
      <charset val="238"/>
    </font>
    <font>
      <u/>
      <sz val="11"/>
      <color theme="10"/>
      <name val="Calibri"/>
      <family val="2"/>
      <charset val="238"/>
      <scheme val="minor"/>
    </font>
    <font>
      <sz val="12"/>
      <color theme="4"/>
      <name val="Arial CE"/>
      <family val="2"/>
      <charset val="238"/>
    </font>
    <font>
      <sz val="10"/>
      <color theme="4"/>
      <name val="Arial CE"/>
      <family val="2"/>
      <charset val="238"/>
    </font>
    <font>
      <b/>
      <sz val="10.5"/>
      <name val="Arial CE"/>
      <family val="2"/>
      <charset val="238"/>
    </font>
    <font>
      <sz val="8"/>
      <name val="Calibri"/>
      <family val="2"/>
      <charset val="238"/>
      <scheme val="minor"/>
    </font>
    <font>
      <sz val="8"/>
      <color theme="1"/>
      <name val="Calibri"/>
      <family val="2"/>
      <charset val="238"/>
      <scheme val="minor"/>
    </font>
    <font>
      <sz val="9"/>
      <color theme="1"/>
      <name val="Calibri"/>
      <family val="2"/>
      <charset val="238"/>
      <scheme val="minor"/>
    </font>
    <font>
      <sz val="8"/>
      <name val="Arial"/>
      <family val="2"/>
      <charset val="238"/>
    </font>
    <font>
      <sz val="18"/>
      <color rgb="FF000000"/>
      <name val="Arial"/>
      <family val="2"/>
      <charset val="238"/>
    </font>
    <font>
      <sz val="11"/>
      <name val="Calibri"/>
      <family val="2"/>
      <charset val="238"/>
    </font>
    <font>
      <b/>
      <sz val="10"/>
      <color rgb="FF000000"/>
      <name val="Arial"/>
      <family val="2"/>
      <charset val="238"/>
    </font>
    <font>
      <sz val="10"/>
      <color rgb="FF000000"/>
      <name val="Arial"/>
      <family val="2"/>
      <charset val="238"/>
    </font>
    <font>
      <i/>
      <sz val="10"/>
      <color rgb="FF0000FF"/>
      <name val="Arial"/>
      <family val="2"/>
      <charset val="238"/>
    </font>
    <font>
      <i/>
      <sz val="8"/>
      <color rgb="FF000000"/>
      <name val="Arial"/>
      <family val="2"/>
      <charset val="238"/>
    </font>
    <font>
      <sz val="10"/>
      <color rgb="FF8B0000"/>
      <name val="Arial"/>
      <family val="2"/>
      <charset val="238"/>
    </font>
    <font>
      <sz val="10"/>
      <color rgb="FF0000BF"/>
      <name val="Arial"/>
      <family val="2"/>
      <charset val="238"/>
    </font>
    <font>
      <sz val="9"/>
      <color rgb="FF000000"/>
      <name val="Arial"/>
      <family val="2"/>
      <charset val="238"/>
    </font>
    <font>
      <i/>
      <sz val="10"/>
      <color theme="9"/>
      <name val="Arial"/>
      <family val="2"/>
      <charset val="238"/>
    </font>
    <font>
      <sz val="10"/>
      <color rgb="FF990033"/>
      <name val="Arial"/>
      <family val="2"/>
      <charset val="238"/>
    </font>
    <font>
      <b/>
      <sz val="9"/>
      <name val="Arial CE"/>
      <charset val="238"/>
    </font>
    <font>
      <b/>
      <i/>
      <sz val="9"/>
      <name val="Arial CE"/>
      <charset val="238"/>
    </font>
    <font>
      <b/>
      <i/>
      <u/>
      <sz val="8"/>
      <color indexed="12"/>
      <name val="Arial CE"/>
      <charset val="238"/>
    </font>
    <font>
      <b/>
      <i/>
      <sz val="8"/>
      <name val="Arial CE"/>
      <charset val="238"/>
    </font>
    <font>
      <sz val="18"/>
      <color indexed="8"/>
      <name val="Arial"/>
      <family val="2"/>
      <charset val="238"/>
    </font>
    <font>
      <sz val="10"/>
      <color indexed="8"/>
      <name val="Arial"/>
      <family val="2"/>
      <charset val="238"/>
    </font>
    <font>
      <b/>
      <sz val="10"/>
      <color indexed="8"/>
      <name val="Arial"/>
      <family val="2"/>
      <charset val="238"/>
    </font>
    <font>
      <i/>
      <sz val="11"/>
      <color indexed="30"/>
      <name val="Arial"/>
      <family val="2"/>
      <charset val="238"/>
    </font>
    <font>
      <i/>
      <sz val="10"/>
      <color indexed="30"/>
      <name val="Arial"/>
      <family val="2"/>
      <charset val="238"/>
    </font>
    <font>
      <sz val="10"/>
      <color indexed="61"/>
      <name val="Arial"/>
      <family val="2"/>
      <charset val="238"/>
    </font>
    <font>
      <i/>
      <sz val="10"/>
      <color indexed="10"/>
      <name val="Arial"/>
      <family val="2"/>
      <charset val="238"/>
    </font>
    <font>
      <b/>
      <i/>
      <sz val="10"/>
      <color indexed="30"/>
      <name val="Arial"/>
      <family val="2"/>
      <charset val="238"/>
    </font>
    <font>
      <b/>
      <sz val="11"/>
      <color indexed="8"/>
      <name val="Arial"/>
      <family val="2"/>
      <charset val="238"/>
    </font>
    <font>
      <b/>
      <sz val="9"/>
      <color indexed="81"/>
      <name val="Tahoma"/>
      <family val="2"/>
      <charset val="238"/>
    </font>
    <font>
      <sz val="9"/>
      <color indexed="81"/>
      <name val="Tahoma"/>
      <family val="2"/>
      <charset val="238"/>
    </font>
    <font>
      <sz val="11"/>
      <name val="Calibri"/>
      <family val="2"/>
      <charset val="238"/>
    </font>
    <font>
      <sz val="18"/>
      <color rgb="FF000000"/>
      <name val="Arial"/>
      <family val="2"/>
      <charset val="238"/>
    </font>
    <font>
      <b/>
      <sz val="10"/>
      <color rgb="FF000000"/>
      <name val="Arial"/>
      <family val="2"/>
      <charset val="238"/>
    </font>
    <font>
      <sz val="10"/>
      <color rgb="FF000000"/>
      <name val="Arial"/>
      <family val="2"/>
      <charset val="238"/>
    </font>
    <font>
      <i/>
      <sz val="10"/>
      <color rgb="FF0000FF"/>
      <name val="Arial"/>
      <family val="2"/>
      <charset val="238"/>
    </font>
    <font>
      <i/>
      <sz val="8"/>
      <color rgb="FF000000"/>
      <name val="Arial"/>
      <family val="2"/>
      <charset val="238"/>
    </font>
    <font>
      <sz val="8"/>
      <color rgb="FF000000"/>
      <name val="Arial"/>
      <family val="2"/>
      <charset val="238"/>
    </font>
    <font>
      <sz val="10"/>
      <name val="Times New Roman"/>
      <family val="1"/>
      <charset val="238"/>
    </font>
    <font>
      <sz val="8"/>
      <name val="Times New Roman"/>
      <family val="1"/>
      <charset val="238"/>
    </font>
    <font>
      <b/>
      <sz val="11"/>
      <name val="Times New Roman"/>
      <family val="1"/>
      <charset val="238"/>
    </font>
    <font>
      <sz val="20"/>
      <name val="Times New Roman"/>
      <family val="1"/>
      <charset val="238"/>
    </font>
    <font>
      <b/>
      <sz val="20"/>
      <name val="Times New Roman"/>
      <family val="1"/>
      <charset val="238"/>
    </font>
    <font>
      <b/>
      <sz val="16"/>
      <name val="Times New Roman"/>
      <family val="1"/>
      <charset val="238"/>
    </font>
    <font>
      <b/>
      <sz val="12"/>
      <name val="Times New Roman"/>
      <family val="1"/>
      <charset val="238"/>
    </font>
    <font>
      <b/>
      <sz val="18"/>
      <name val="Times New Roman"/>
      <family val="1"/>
      <charset val="238"/>
    </font>
    <font>
      <b/>
      <sz val="22"/>
      <name val="Times New Roman"/>
      <family val="1"/>
      <charset val="238"/>
    </font>
    <font>
      <sz val="11"/>
      <color theme="1"/>
      <name val="Times New Roman"/>
      <family val="1"/>
      <charset val="238"/>
    </font>
    <font>
      <b/>
      <sz val="20"/>
      <color theme="1"/>
      <name val="Times New Roman"/>
      <family val="1"/>
      <charset val="238"/>
    </font>
    <font>
      <b/>
      <sz val="16"/>
      <color theme="1"/>
      <name val="Times New Roman"/>
      <family val="1"/>
      <charset val="238"/>
    </font>
    <font>
      <b/>
      <sz val="14"/>
      <color theme="1"/>
      <name val="Times New Roman"/>
      <family val="1"/>
      <charset val="238"/>
    </font>
    <font>
      <b/>
      <sz val="11"/>
      <color theme="1"/>
      <name val="Times New Roman"/>
      <family val="1"/>
      <charset val="238"/>
    </font>
    <font>
      <b/>
      <sz val="12"/>
      <color theme="1"/>
      <name val="Times New Roman"/>
      <family val="1"/>
      <charset val="238"/>
    </font>
    <font>
      <b/>
      <sz val="11"/>
      <color rgb="FF0000FF"/>
      <name val="Times New Roman"/>
      <family val="1"/>
      <charset val="238"/>
    </font>
    <font>
      <b/>
      <sz val="10.5"/>
      <color theme="1"/>
      <name val="Times New Roman"/>
      <family val="1"/>
      <charset val="238"/>
    </font>
    <font>
      <sz val="10"/>
      <color theme="1"/>
      <name val="Times New Roman"/>
      <family val="1"/>
      <charset val="238"/>
    </font>
    <font>
      <b/>
      <sz val="10"/>
      <name val="Arial"/>
      <family val="2"/>
      <charset val="238"/>
    </font>
    <font>
      <i/>
      <sz val="10"/>
      <name val="Arial"/>
      <family val="2"/>
      <charset val="238"/>
    </font>
    <font>
      <sz val="14"/>
      <name val="Calibri"/>
      <family val="2"/>
      <charset val="238"/>
    </font>
    <font>
      <b/>
      <sz val="11"/>
      <color rgb="FF000000"/>
      <name val="Arial"/>
      <family val="2"/>
      <charset val="238"/>
    </font>
    <font>
      <b/>
      <sz val="12"/>
      <color rgb="FF0000FF"/>
      <name val="Times New Roman"/>
      <family val="1"/>
      <charset val="238"/>
    </font>
    <font>
      <sz val="10"/>
      <color rgb="FF0000FF"/>
      <name val="Arial"/>
      <family val="2"/>
      <charset val="238"/>
    </font>
  </fonts>
  <fills count="37">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theme="7" tint="0.79998168889431442"/>
        <bgColor indexed="22"/>
      </patternFill>
    </fill>
    <fill>
      <patternFill patternType="solid">
        <fgColor rgb="FF99FFCC"/>
        <bgColor indexed="64"/>
      </patternFill>
    </fill>
    <fill>
      <patternFill patternType="solid">
        <fgColor theme="0" tint="-0.249977111117893"/>
        <bgColor indexed="31"/>
      </patternFill>
    </fill>
    <fill>
      <patternFill patternType="solid">
        <fgColor theme="0" tint="-0.249977111117893"/>
        <bgColor indexed="41"/>
      </patternFill>
    </fill>
    <fill>
      <patternFill patternType="solid">
        <fgColor rgb="FFC0C0C0"/>
        <bgColor indexed="9"/>
      </patternFill>
    </fill>
    <fill>
      <patternFill patternType="solid">
        <fgColor theme="7" tint="0.59999389629810485"/>
        <bgColor indexed="64"/>
      </patternFill>
    </fill>
    <fill>
      <patternFill patternType="solid">
        <fgColor theme="7" tint="0.59999389629810485"/>
        <bgColor indexed="22"/>
      </patternFill>
    </fill>
    <fill>
      <patternFill patternType="solid">
        <fgColor indexed="22"/>
        <bgColor indexed="9"/>
      </patternFill>
    </fill>
    <fill>
      <patternFill patternType="solid">
        <fgColor indexed="22"/>
        <bgColor indexed="64"/>
      </patternFill>
    </fill>
    <fill>
      <patternFill patternType="solid">
        <fgColor rgb="FFC0C0C0"/>
        <bgColor rgb="FFC0C0C0"/>
      </patternFill>
    </fill>
    <fill>
      <patternFill patternType="solid">
        <fgColor indexed="42"/>
        <bgColor indexed="64"/>
      </patternFill>
    </fill>
    <fill>
      <patternFill patternType="solid">
        <fgColor theme="0"/>
        <bgColor indexed="64"/>
      </patternFill>
    </fill>
    <fill>
      <patternFill patternType="solid">
        <fgColor theme="0" tint="-0.14999847407452621"/>
        <bgColor indexed="64"/>
      </patternFill>
    </fill>
  </fills>
  <borders count="132">
    <border>
      <left/>
      <right/>
      <top/>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diagonalUp="1">
      <left style="thin">
        <color indexed="8"/>
      </left>
      <right style="thin">
        <color indexed="8"/>
      </right>
      <top style="thin">
        <color indexed="8"/>
      </top>
      <bottom style="thin">
        <color indexed="8"/>
      </bottom>
      <diagonal style="thin">
        <color indexed="8"/>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thin">
        <color indexed="8"/>
      </bottom>
      <diagonal/>
    </border>
    <border>
      <left style="medium">
        <color indexed="10"/>
      </left>
      <right/>
      <top style="medium">
        <color indexed="10"/>
      </top>
      <bottom/>
      <diagonal/>
    </border>
    <border>
      <left/>
      <right/>
      <top style="medium">
        <color indexed="10"/>
      </top>
      <bottom/>
      <diagonal/>
    </border>
    <border>
      <left/>
      <right style="medium">
        <color indexed="10"/>
      </right>
      <top style="medium">
        <color indexed="10"/>
      </top>
      <bottom/>
      <diagonal/>
    </border>
    <border>
      <left style="medium">
        <color indexed="10"/>
      </left>
      <right/>
      <top/>
      <bottom/>
      <diagonal/>
    </border>
    <border>
      <left/>
      <right style="medium">
        <color indexed="10"/>
      </right>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thin">
        <color indexed="8"/>
      </left>
      <right/>
      <top style="thin">
        <color indexed="8"/>
      </top>
      <bottom/>
      <diagonal/>
    </border>
    <border>
      <left/>
      <right style="medium">
        <color indexed="64"/>
      </right>
      <top/>
      <bottom style="thin">
        <color indexed="8"/>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rgb="FF000000"/>
      </right>
      <top/>
      <bottom/>
      <diagonal/>
    </border>
    <border>
      <left style="medium">
        <color rgb="FF000000"/>
      </left>
      <right style="thin">
        <color rgb="FF000000"/>
      </right>
      <top/>
      <bottom/>
      <diagonal/>
    </border>
    <border>
      <left/>
      <right style="medium">
        <color rgb="FF000000"/>
      </right>
      <top/>
      <bottom/>
      <diagonal/>
    </border>
    <border>
      <left/>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rgb="FF000000"/>
      </right>
      <top/>
      <bottom/>
      <diagonal/>
    </border>
    <border>
      <left style="medium">
        <color rgb="FF000000"/>
      </left>
      <right style="medium">
        <color indexed="64"/>
      </right>
      <top/>
      <bottom/>
      <diagonal/>
    </border>
    <border>
      <left style="medium">
        <color indexed="64"/>
      </left>
      <right style="thin">
        <color rgb="FF000000"/>
      </right>
      <top/>
      <bottom style="medium">
        <color indexed="64"/>
      </bottom>
      <diagonal/>
    </border>
    <border>
      <left/>
      <right style="thin">
        <color rgb="FF000000"/>
      </right>
      <top/>
      <bottom style="medium">
        <color indexed="64"/>
      </bottom>
      <diagonal/>
    </border>
    <border>
      <left/>
      <right/>
      <top/>
      <bottom style="medium">
        <color indexed="64"/>
      </bottom>
      <diagonal/>
    </border>
    <border>
      <left style="medium">
        <color rgb="FF000000"/>
      </left>
      <right style="thin">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rgb="FF000000"/>
      </bottom>
      <diagonal/>
    </border>
    <border>
      <left style="medium">
        <color indexed="64"/>
      </left>
      <right style="thin">
        <color rgb="FF000000"/>
      </right>
      <top style="medium">
        <color indexed="64"/>
      </top>
      <bottom/>
      <diagonal/>
    </border>
    <border>
      <left/>
      <right style="thin">
        <color rgb="FF000000"/>
      </right>
      <top style="medium">
        <color indexed="64"/>
      </top>
      <bottom/>
      <diagonal/>
    </border>
    <border>
      <left style="medium">
        <color rgb="FF000000"/>
      </left>
      <right/>
      <top style="medium">
        <color indexed="64"/>
      </top>
      <bottom style="thin">
        <color rgb="FF000000"/>
      </bottom>
      <diagonal/>
    </border>
    <border>
      <left/>
      <right style="medium">
        <color rgb="FF000000"/>
      </right>
      <top style="medium">
        <color indexed="64"/>
      </top>
      <bottom style="thin">
        <color rgb="FF000000"/>
      </bottom>
      <diagonal/>
    </border>
    <border>
      <left style="medium">
        <color rgb="FF000000"/>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8"/>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rgb="FF000000"/>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indexed="64"/>
      </left>
      <right style="thin">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s>
  <cellStyleXfs count="62">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0" borderId="1" applyNumberFormat="0" applyFill="0" applyAlignment="0" applyProtection="0"/>
    <xf numFmtId="0" fontId="9" fillId="0" borderId="0" applyNumberFormat="0" applyFill="0" applyBorder="0" applyAlignment="0" applyProtection="0">
      <alignment vertical="top"/>
      <protection locked="0"/>
    </xf>
    <xf numFmtId="0" fontId="38" fillId="0" borderId="0" applyNumberFormat="0" applyFill="0" applyBorder="0" applyAlignment="0" applyProtection="0"/>
    <xf numFmtId="0" fontId="36" fillId="0" borderId="0" applyNumberFormat="0" applyFill="0" applyBorder="0" applyAlignment="0" applyProtection="0">
      <alignment vertical="top"/>
      <protection locked="0"/>
    </xf>
    <xf numFmtId="0" fontId="10" fillId="3" borderId="0" applyNumberFormat="0" applyBorder="0" applyAlignment="0" applyProtection="0"/>
    <xf numFmtId="0" fontId="11" fillId="16" borderId="2" applyNumberFormat="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17" borderId="0" applyNumberFormat="0" applyBorder="0" applyAlignment="0" applyProtection="0"/>
    <xf numFmtId="0" fontId="8" fillId="0" borderId="0"/>
    <xf numFmtId="0" fontId="34" fillId="0" borderId="0"/>
    <xf numFmtId="0" fontId="35" fillId="0" borderId="0" applyAlignment="0">
      <alignment vertical="top" wrapText="1"/>
      <protection locked="0"/>
    </xf>
    <xf numFmtId="0" fontId="37" fillId="0" borderId="0" applyAlignment="0">
      <alignment vertical="top" wrapText="1"/>
      <protection locked="0"/>
    </xf>
    <xf numFmtId="0" fontId="17" fillId="0" borderId="0"/>
    <xf numFmtId="0" fontId="17" fillId="18" borderId="6" applyNumberFormat="0" applyAlignment="0" applyProtection="0"/>
    <xf numFmtId="0" fontId="18" fillId="0" borderId="7" applyNumberFormat="0" applyFill="0" applyAlignment="0" applyProtection="0"/>
    <xf numFmtId="0" fontId="19" fillId="4" borderId="0" applyNumberFormat="0" applyBorder="0" applyAlignment="0" applyProtection="0"/>
    <xf numFmtId="0" fontId="20" fillId="0" borderId="0" applyNumberFormat="0" applyFill="0" applyBorder="0" applyAlignment="0" applyProtection="0"/>
    <xf numFmtId="0" fontId="21" fillId="7" borderId="8" applyNumberFormat="0" applyAlignment="0" applyProtection="0"/>
    <xf numFmtId="0" fontId="22" fillId="19" borderId="8" applyNumberFormat="0" applyAlignment="0" applyProtection="0"/>
    <xf numFmtId="0" fontId="23" fillId="19" borderId="9" applyNumberFormat="0" applyAlignment="0" applyProtection="0"/>
    <xf numFmtId="0" fontId="24" fillId="0" borderId="0" applyNumberFormat="0" applyFill="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3" borderId="0" applyNumberFormat="0" applyBorder="0" applyAlignment="0" applyProtection="0"/>
    <xf numFmtId="0" fontId="4" fillId="0" borderId="0"/>
    <xf numFmtId="49" fontId="42" fillId="0" borderId="37">
      <alignment horizontal="left" vertical="center" wrapText="1"/>
    </xf>
    <xf numFmtId="167" fontId="42" fillId="0" borderId="38">
      <alignment horizontal="left" vertical="center" wrapText="1"/>
    </xf>
    <xf numFmtId="0" fontId="43" fillId="0" borderId="38">
      <alignment horizontal="center" vertical="center"/>
    </xf>
    <xf numFmtId="49" fontId="43" fillId="0" borderId="38">
      <alignment horizontal="center" vertical="center"/>
    </xf>
    <xf numFmtId="166" fontId="44" fillId="0" borderId="38">
      <alignment horizontal="right" vertical="center"/>
    </xf>
    <xf numFmtId="0" fontId="3" fillId="0" borderId="0"/>
    <xf numFmtId="0" fontId="2" fillId="0" borderId="0"/>
    <xf numFmtId="0" fontId="45" fillId="0" borderId="0" applyNumberFormat="0" applyFont="0" applyFill="0" applyBorder="0" applyAlignment="0" applyProtection="0"/>
    <xf numFmtId="0" fontId="72" fillId="0" borderId="0"/>
    <xf numFmtId="0" fontId="47" fillId="0" borderId="0"/>
    <xf numFmtId="0" fontId="1" fillId="0" borderId="0"/>
  </cellStyleXfs>
  <cellXfs count="663">
    <xf numFmtId="0" fontId="0" fillId="0" borderId="0" xfId="0" applyAlignment="1">
      <alignment vertical="center"/>
    </xf>
    <xf numFmtId="0" fontId="17" fillId="0" borderId="0" xfId="35"/>
    <xf numFmtId="0" fontId="25" fillId="0" borderId="0" xfId="35" applyFont="1"/>
    <xf numFmtId="0" fontId="25" fillId="0" borderId="0" xfId="35" applyFont="1" applyAlignment="1">
      <alignment horizontal="left" indent="1"/>
    </xf>
    <xf numFmtId="0" fontId="26" fillId="0" borderId="0" xfId="35" applyFont="1" applyAlignment="1">
      <alignment horizontal="left" wrapText="1"/>
    </xf>
    <xf numFmtId="0" fontId="26" fillId="0" borderId="0" xfId="35" applyFont="1" applyAlignment="1">
      <alignment horizontal="left" indent="1"/>
    </xf>
    <xf numFmtId="0" fontId="27" fillId="0" borderId="0" xfId="35" applyFont="1" applyAlignment="1">
      <alignment horizontal="left"/>
    </xf>
    <xf numFmtId="0" fontId="27" fillId="0" borderId="0" xfId="35" applyFont="1" applyAlignment="1">
      <alignment horizontal="left" wrapText="1"/>
    </xf>
    <xf numFmtId="0" fontId="17" fillId="0" borderId="11" xfId="35" applyBorder="1"/>
    <xf numFmtId="0" fontId="29" fillId="0" borderId="10" xfId="35" applyFont="1" applyBorder="1" applyAlignment="1">
      <alignment horizontal="center"/>
    </xf>
    <xf numFmtId="0" fontId="29" fillId="0" borderId="10" xfId="35" applyFont="1" applyBorder="1" applyAlignment="1">
      <alignment horizontal="left" indent="1"/>
    </xf>
    <xf numFmtId="0" fontId="29" fillId="0" borderId="10" xfId="35" applyFont="1" applyBorder="1" applyAlignment="1">
      <alignment horizontal="left"/>
    </xf>
    <xf numFmtId="0" fontId="28" fillId="0" borderId="10" xfId="35" applyFont="1" applyBorder="1" applyAlignment="1">
      <alignment horizontal="left" indent="1"/>
    </xf>
    <xf numFmtId="0" fontId="28" fillId="0" borderId="10" xfId="35" applyFont="1" applyBorder="1" applyAlignment="1">
      <alignment horizontal="center"/>
    </xf>
    <xf numFmtId="0" fontId="31" fillId="0" borderId="10" xfId="35" applyFont="1" applyBorder="1" applyAlignment="1">
      <alignment horizontal="center"/>
    </xf>
    <xf numFmtId="0" fontId="39" fillId="0" borderId="0" xfId="35" applyFont="1" applyAlignment="1">
      <alignment horizontal="left"/>
    </xf>
    <xf numFmtId="0" fontId="40" fillId="0" borderId="0" xfId="35" applyFont="1"/>
    <xf numFmtId="0" fontId="26" fillId="24" borderId="13" xfId="35" applyFont="1" applyFill="1" applyBorder="1" applyAlignment="1">
      <alignment horizontal="left" vertical="center" indent="1"/>
    </xf>
    <xf numFmtId="0" fontId="29" fillId="24" borderId="13" xfId="35" applyFont="1" applyFill="1" applyBorder="1" applyAlignment="1">
      <alignment horizontal="left" vertical="center" indent="1"/>
    </xf>
    <xf numFmtId="4" fontId="26" fillId="24" borderId="13" xfId="35" applyNumberFormat="1" applyFont="1" applyFill="1" applyBorder="1" applyAlignment="1">
      <alignment horizontal="center" vertical="center"/>
    </xf>
    <xf numFmtId="4" fontId="29" fillId="24" borderId="13" xfId="35" applyNumberFormat="1" applyFont="1" applyFill="1" applyBorder="1" applyAlignment="1">
      <alignment horizontal="center" vertical="center"/>
    </xf>
    <xf numFmtId="0" fontId="26" fillId="0" borderId="26" xfId="35" applyFont="1" applyBorder="1" applyAlignment="1">
      <alignment horizontal="left" vertical="center" wrapText="1" indent="1"/>
    </xf>
    <xf numFmtId="0" fontId="26" fillId="0" borderId="27" xfId="35" applyFont="1" applyBorder="1" applyAlignment="1">
      <alignment horizontal="left" vertical="center" wrapText="1" indent="1"/>
    </xf>
    <xf numFmtId="0" fontId="26" fillId="0" borderId="28" xfId="35" applyFont="1" applyBorder="1" applyAlignment="1">
      <alignment horizontal="left" vertical="center" wrapText="1" indent="1"/>
    </xf>
    <xf numFmtId="0" fontId="17" fillId="0" borderId="29" xfId="35" applyBorder="1"/>
    <xf numFmtId="0" fontId="29" fillId="0" borderId="30" xfId="35" applyFont="1" applyBorder="1" applyAlignment="1">
      <alignment horizontal="left"/>
    </xf>
    <xf numFmtId="164" fontId="30" fillId="0" borderId="30" xfId="35" applyNumberFormat="1" applyFont="1" applyBorder="1" applyAlignment="1">
      <alignment horizontal="right"/>
    </xf>
    <xf numFmtId="0" fontId="29" fillId="0" borderId="30" xfId="35" applyFont="1" applyBorder="1" applyAlignment="1">
      <alignment horizontal="right" indent="1"/>
    </xf>
    <xf numFmtId="0" fontId="32" fillId="0" borderId="30" xfId="35" applyFont="1" applyBorder="1" applyAlignment="1">
      <alignment horizontal="right" indent="1"/>
    </xf>
    <xf numFmtId="4" fontId="29" fillId="24" borderId="32" xfId="35" applyNumberFormat="1" applyFont="1" applyFill="1" applyBorder="1" applyAlignment="1">
      <alignment horizontal="center" vertical="center"/>
    </xf>
    <xf numFmtId="0" fontId="29" fillId="0" borderId="29" xfId="35" applyFont="1" applyBorder="1" applyAlignment="1">
      <alignment horizontal="left" vertical="center" indent="1"/>
    </xf>
    <xf numFmtId="0" fontId="41" fillId="0" borderId="29" xfId="35" applyFont="1" applyBorder="1" applyAlignment="1">
      <alignment horizontal="left" vertical="center" indent="1"/>
    </xf>
    <xf numFmtId="0" fontId="41" fillId="0" borderId="11" xfId="35" applyFont="1" applyBorder="1" applyAlignment="1">
      <alignment horizontal="left" vertical="center" indent="3"/>
    </xf>
    <xf numFmtId="49" fontId="26" fillId="26" borderId="29" xfId="35" applyNumberFormat="1" applyFont="1" applyFill="1" applyBorder="1" applyAlignment="1">
      <alignment horizontal="left" vertical="center" indent="1"/>
    </xf>
    <xf numFmtId="0" fontId="26" fillId="26" borderId="12" xfId="35" applyFont="1" applyFill="1" applyBorder="1" applyAlignment="1">
      <alignment horizontal="left" vertical="center" indent="1"/>
    </xf>
    <xf numFmtId="0" fontId="26" fillId="26" borderId="11" xfId="35" applyFont="1" applyFill="1" applyBorder="1" applyAlignment="1">
      <alignment horizontal="left" vertical="center" indent="1"/>
    </xf>
    <xf numFmtId="0" fontId="26" fillId="26" borderId="10" xfId="35" applyFont="1" applyFill="1" applyBorder="1" applyAlignment="1">
      <alignment horizontal="left" vertical="center" indent="1"/>
    </xf>
    <xf numFmtId="0" fontId="29" fillId="26" borderId="14" xfId="35" applyFont="1" applyFill="1" applyBorder="1" applyAlignment="1">
      <alignment horizontal="left" vertical="center" indent="1"/>
    </xf>
    <xf numFmtId="165" fontId="26" fillId="27" borderId="11" xfId="35" applyNumberFormat="1" applyFont="1" applyFill="1" applyBorder="1" applyAlignment="1">
      <alignment horizontal="center" vertical="center"/>
    </xf>
    <xf numFmtId="165" fontId="26" fillId="26" borderId="11" xfId="35" applyNumberFormat="1" applyFont="1" applyFill="1" applyBorder="1" applyAlignment="1">
      <alignment horizontal="center" vertical="center"/>
    </xf>
    <xf numFmtId="165" fontId="26" fillId="26" borderId="32" xfId="35" applyNumberFormat="1" applyFont="1" applyFill="1" applyBorder="1" applyAlignment="1">
      <alignment horizontal="center" vertical="center"/>
    </xf>
    <xf numFmtId="0" fontId="26" fillId="26" borderId="29" xfId="35" applyFont="1" applyFill="1" applyBorder="1" applyAlignment="1">
      <alignment horizontal="left" vertical="center" indent="1"/>
    </xf>
    <xf numFmtId="165" fontId="26" fillId="25" borderId="10" xfId="35" applyNumberFormat="1" applyFont="1" applyFill="1" applyBorder="1" applyAlignment="1">
      <alignment horizontal="left" vertical="center" indent="3"/>
    </xf>
    <xf numFmtId="165" fontId="26" fillId="0" borderId="14" xfId="35" applyNumberFormat="1" applyFont="1" applyBorder="1" applyAlignment="1">
      <alignment horizontal="center" vertical="center"/>
    </xf>
    <xf numFmtId="165" fontId="26" fillId="0" borderId="12" xfId="35" applyNumberFormat="1" applyFont="1" applyBorder="1" applyAlignment="1">
      <alignment horizontal="center" vertical="center"/>
    </xf>
    <xf numFmtId="14" fontId="26" fillId="0" borderId="0" xfId="35" applyNumberFormat="1" applyFont="1" applyAlignment="1">
      <alignment horizontal="left" indent="1"/>
    </xf>
    <xf numFmtId="165" fontId="26" fillId="0" borderId="30" xfId="35" applyNumberFormat="1" applyFont="1" applyBorder="1" applyAlignment="1">
      <alignment horizontal="left" vertical="center" indent="3"/>
    </xf>
    <xf numFmtId="0" fontId="41" fillId="0" borderId="12" xfId="35" applyFont="1" applyBorder="1" applyAlignment="1">
      <alignment horizontal="left" vertical="center" indent="1"/>
    </xf>
    <xf numFmtId="0" fontId="41" fillId="0" borderId="10" xfId="35" applyFont="1" applyBorder="1" applyAlignment="1">
      <alignment horizontal="left" vertical="center" indent="1"/>
    </xf>
    <xf numFmtId="165" fontId="26" fillId="24" borderId="16" xfId="35" applyNumberFormat="1" applyFont="1" applyFill="1" applyBorder="1" applyAlignment="1">
      <alignment horizontal="center" vertical="center"/>
    </xf>
    <xf numFmtId="49" fontId="25" fillId="24" borderId="31" xfId="35" applyNumberFormat="1" applyFont="1" applyFill="1" applyBorder="1" applyAlignment="1">
      <alignment horizontal="left" vertical="center" indent="1"/>
    </xf>
    <xf numFmtId="0" fontId="41" fillId="0" borderId="42" xfId="35" applyFont="1" applyBorder="1" applyAlignment="1">
      <alignment horizontal="left" vertical="center" indent="1"/>
    </xf>
    <xf numFmtId="0" fontId="41" fillId="0" borderId="35" xfId="35" applyFont="1" applyBorder="1" applyAlignment="1">
      <alignment horizontal="left" vertical="center" indent="1"/>
    </xf>
    <xf numFmtId="0" fontId="41" fillId="0" borderId="43" xfId="35" applyFont="1" applyBorder="1" applyAlignment="1">
      <alignment horizontal="left" vertical="center" indent="3"/>
    </xf>
    <xf numFmtId="165" fontId="26" fillId="25" borderId="44" xfId="35" applyNumberFormat="1" applyFont="1" applyFill="1" applyBorder="1" applyAlignment="1">
      <alignment horizontal="left" vertical="center" indent="3"/>
    </xf>
    <xf numFmtId="49" fontId="33" fillId="24" borderId="39" xfId="35" applyNumberFormat="1" applyFont="1" applyFill="1" applyBorder="1" applyAlignment="1">
      <alignment horizontal="left" vertical="center" indent="1"/>
    </xf>
    <xf numFmtId="0" fontId="26" fillId="24" borderId="40" xfId="35" applyFont="1" applyFill="1" applyBorder="1" applyAlignment="1">
      <alignment horizontal="left" vertical="center" indent="1"/>
    </xf>
    <xf numFmtId="0" fontId="29" fillId="24" borderId="41" xfId="35" applyFont="1" applyFill="1" applyBorder="1" applyAlignment="1">
      <alignment horizontal="left" vertical="center" indent="1"/>
    </xf>
    <xf numFmtId="0" fontId="47" fillId="0" borderId="0" xfId="58" applyNumberFormat="1" applyFont="1" applyFill="1" applyBorder="1" applyAlignment="1" applyProtection="1"/>
    <xf numFmtId="4" fontId="48" fillId="28" borderId="0" xfId="58" applyNumberFormat="1" applyFont="1" applyFill="1" applyBorder="1" applyAlignment="1" applyProtection="1">
      <alignment horizontal="right" vertical="center"/>
    </xf>
    <xf numFmtId="0" fontId="49" fillId="0" borderId="0" xfId="58" applyNumberFormat="1" applyFont="1" applyFill="1" applyBorder="1" applyAlignment="1" applyProtection="1">
      <alignment horizontal="left" vertical="center"/>
    </xf>
    <xf numFmtId="0" fontId="48" fillId="0" borderId="0" xfId="58" applyNumberFormat="1" applyFont="1" applyFill="1" applyBorder="1" applyAlignment="1" applyProtection="1">
      <alignment horizontal="left" vertical="center"/>
    </xf>
    <xf numFmtId="0" fontId="49" fillId="0" borderId="45" xfId="58" applyNumberFormat="1" applyFont="1" applyFill="1" applyBorder="1" applyAlignment="1" applyProtection="1">
      <alignment horizontal="left" vertical="center"/>
    </xf>
    <xf numFmtId="0" fontId="49" fillId="0" borderId="0" xfId="58" applyNumberFormat="1" applyFont="1" applyFill="1" applyBorder="1" applyAlignment="1" applyProtection="1">
      <alignment horizontal="left" vertical="center" wrapText="1"/>
    </xf>
    <xf numFmtId="0" fontId="48" fillId="28" borderId="0" xfId="58" applyNumberFormat="1" applyFont="1" applyFill="1" applyBorder="1" applyAlignment="1" applyProtection="1">
      <alignment horizontal="right" vertical="center"/>
    </xf>
    <xf numFmtId="0" fontId="48" fillId="0" borderId="0" xfId="58" applyNumberFormat="1" applyFont="1" applyFill="1" applyBorder="1" applyAlignment="1" applyProtection="1">
      <alignment horizontal="right" vertical="center"/>
    </xf>
    <xf numFmtId="0" fontId="48" fillId="0" borderId="0" xfId="58" applyNumberFormat="1" applyFont="1" applyFill="1" applyBorder="1" applyAlignment="1" applyProtection="1">
      <alignment horizontal="center" vertical="center"/>
    </xf>
    <xf numFmtId="0" fontId="48" fillId="0" borderId="46" xfId="58" applyNumberFormat="1" applyFont="1" applyFill="1" applyBorder="1" applyAlignment="1" applyProtection="1">
      <alignment horizontal="center" vertical="center"/>
    </xf>
    <xf numFmtId="0" fontId="48" fillId="0" borderId="45" xfId="58" applyNumberFormat="1" applyFont="1" applyFill="1" applyBorder="1" applyAlignment="1" applyProtection="1">
      <alignment horizontal="center" vertical="center"/>
    </xf>
    <xf numFmtId="0" fontId="48" fillId="0" borderId="47" xfId="58" applyNumberFormat="1" applyFont="1" applyFill="1" applyBorder="1" applyAlignment="1" applyProtection="1">
      <alignment horizontal="center" vertical="center"/>
    </xf>
    <xf numFmtId="4" fontId="49" fillId="0" borderId="0" xfId="58" applyNumberFormat="1" applyFont="1" applyFill="1" applyBorder="1" applyAlignment="1" applyProtection="1">
      <alignment horizontal="right" vertical="center"/>
    </xf>
    <xf numFmtId="0" fontId="49" fillId="0" borderId="0" xfId="58" applyNumberFormat="1" applyFont="1" applyFill="1" applyBorder="1" applyAlignment="1" applyProtection="1">
      <alignment horizontal="right" vertical="center"/>
    </xf>
    <xf numFmtId="0" fontId="50" fillId="0" borderId="0" xfId="58" applyNumberFormat="1" applyFont="1" applyFill="1" applyBorder="1" applyAlignment="1" applyProtection="1">
      <alignment horizontal="right" vertical="center"/>
    </xf>
    <xf numFmtId="4" fontId="48" fillId="0" borderId="0" xfId="58" applyNumberFormat="1" applyFont="1" applyFill="1" applyBorder="1" applyAlignment="1" applyProtection="1">
      <alignment horizontal="right" vertical="center"/>
    </xf>
    <xf numFmtId="0" fontId="51" fillId="0" borderId="0" xfId="58" applyNumberFormat="1" applyFont="1" applyFill="1" applyBorder="1" applyAlignment="1" applyProtection="1">
      <alignment horizontal="left" vertical="center"/>
    </xf>
    <xf numFmtId="0" fontId="52" fillId="0" borderId="0" xfId="58" applyNumberFormat="1" applyFont="1" applyFill="1" applyBorder="1" applyAlignment="1" applyProtection="1">
      <alignment horizontal="left" vertical="center"/>
    </xf>
    <xf numFmtId="4" fontId="52" fillId="0" borderId="0" xfId="58" applyNumberFormat="1" applyFont="1" applyFill="1" applyBorder="1" applyAlignment="1" applyProtection="1">
      <alignment horizontal="right" vertical="center"/>
    </xf>
    <xf numFmtId="0" fontId="53" fillId="0" borderId="0" xfId="58" applyNumberFormat="1" applyFont="1" applyFill="1" applyBorder="1" applyAlignment="1" applyProtection="1">
      <alignment horizontal="left" vertical="center"/>
    </xf>
    <xf numFmtId="4" fontId="53" fillId="0" borderId="0" xfId="58" applyNumberFormat="1" applyFont="1" applyFill="1" applyBorder="1" applyAlignment="1" applyProtection="1">
      <alignment horizontal="right" vertical="center"/>
    </xf>
    <xf numFmtId="0" fontId="49" fillId="0" borderId="0" xfId="58" applyNumberFormat="1" applyFont="1" applyFill="1" applyBorder="1" applyAlignment="1" applyProtection="1">
      <alignment vertical="center"/>
    </xf>
    <xf numFmtId="0" fontId="49" fillId="0" borderId="57" xfId="58" applyNumberFormat="1" applyFont="1" applyFill="1" applyBorder="1" applyAlignment="1" applyProtection="1">
      <alignment horizontal="left" vertical="center"/>
    </xf>
    <xf numFmtId="0" fontId="48" fillId="0" borderId="52" xfId="58" applyNumberFormat="1" applyFont="1" applyFill="1" applyBorder="1" applyAlignment="1" applyProtection="1">
      <alignment horizontal="left" vertical="center"/>
    </xf>
    <xf numFmtId="0" fontId="49" fillId="0" borderId="54" xfId="58" applyNumberFormat="1" applyFont="1" applyFill="1" applyBorder="1" applyAlignment="1" applyProtection="1">
      <alignment horizontal="left" vertical="center"/>
    </xf>
    <xf numFmtId="0" fontId="49" fillId="0" borderId="56" xfId="58" applyNumberFormat="1" applyFont="1" applyFill="1" applyBorder="1" applyAlignment="1" applyProtection="1">
      <alignment horizontal="left" vertical="center"/>
    </xf>
    <xf numFmtId="0" fontId="49" fillId="0" borderId="51" xfId="58" applyNumberFormat="1" applyFont="1" applyFill="1" applyBorder="1" applyAlignment="1" applyProtection="1">
      <alignment horizontal="left" vertical="center"/>
    </xf>
    <xf numFmtId="0" fontId="49" fillId="0" borderId="52" xfId="58" applyNumberFormat="1" applyFont="1" applyFill="1" applyBorder="1" applyAlignment="1" applyProtection="1">
      <alignment horizontal="left" vertical="center"/>
    </xf>
    <xf numFmtId="4" fontId="48" fillId="0" borderId="52" xfId="58" applyNumberFormat="1" applyFont="1" applyFill="1" applyBorder="1" applyAlignment="1" applyProtection="1">
      <alignment horizontal="right" vertical="center"/>
    </xf>
    <xf numFmtId="0" fontId="48" fillId="0" borderId="52" xfId="58" applyNumberFormat="1" applyFont="1" applyFill="1" applyBorder="1" applyAlignment="1" applyProtection="1">
      <alignment horizontal="right" vertical="center"/>
    </xf>
    <xf numFmtId="0" fontId="48" fillId="0" borderId="53" xfId="58" applyNumberFormat="1" applyFont="1" applyFill="1" applyBorder="1" applyAlignment="1" applyProtection="1">
      <alignment horizontal="right" vertical="center"/>
    </xf>
    <xf numFmtId="0" fontId="49" fillId="0" borderId="55" xfId="58" applyNumberFormat="1" applyFont="1" applyFill="1" applyBorder="1" applyAlignment="1" applyProtection="1">
      <alignment horizontal="right" vertical="center"/>
    </xf>
    <xf numFmtId="0" fontId="47" fillId="0" borderId="54" xfId="58" applyNumberFormat="1" applyFont="1" applyFill="1" applyBorder="1" applyAlignment="1" applyProtection="1"/>
    <xf numFmtId="0" fontId="48" fillId="0" borderId="55" xfId="58" applyNumberFormat="1" applyFont="1" applyFill="1" applyBorder="1" applyAlignment="1" applyProtection="1">
      <alignment horizontal="right" vertical="center"/>
    </xf>
    <xf numFmtId="0" fontId="47" fillId="0" borderId="56" xfId="58" applyNumberFormat="1" applyFont="1" applyFill="1" applyBorder="1" applyAlignment="1" applyProtection="1"/>
    <xf numFmtId="0" fontId="50" fillId="0" borderId="57" xfId="58" applyNumberFormat="1" applyFont="1" applyFill="1" applyBorder="1" applyAlignment="1" applyProtection="1">
      <alignment horizontal="right" vertical="center"/>
    </xf>
    <xf numFmtId="4" fontId="49" fillId="0" borderId="52" xfId="58" applyNumberFormat="1" applyFont="1" applyFill="1" applyBorder="1" applyAlignment="1" applyProtection="1">
      <alignment horizontal="right" vertical="center"/>
    </xf>
    <xf numFmtId="0" fontId="49" fillId="0" borderId="53" xfId="58" applyNumberFormat="1" applyFont="1" applyFill="1" applyBorder="1" applyAlignment="1" applyProtection="1">
      <alignment horizontal="right" vertical="center"/>
    </xf>
    <xf numFmtId="0" fontId="48" fillId="0" borderId="63" xfId="58" applyNumberFormat="1" applyFont="1" applyFill="1" applyBorder="1" applyAlignment="1" applyProtection="1">
      <alignment horizontal="center" vertical="center"/>
    </xf>
    <xf numFmtId="0" fontId="49" fillId="0" borderId="64" xfId="58" applyNumberFormat="1" applyFont="1" applyFill="1" applyBorder="1" applyAlignment="1" applyProtection="1">
      <alignment horizontal="left" vertical="center"/>
    </xf>
    <xf numFmtId="0" fontId="49" fillId="0" borderId="65" xfId="58" applyNumberFormat="1" applyFont="1" applyFill="1" applyBorder="1" applyAlignment="1" applyProtection="1">
      <alignment horizontal="left" vertical="center"/>
    </xf>
    <xf numFmtId="0" fontId="48" fillId="0" borderId="66" xfId="58" applyNumberFormat="1" applyFont="1" applyFill="1" applyBorder="1" applyAlignment="1" applyProtection="1">
      <alignment horizontal="center" vertical="center"/>
    </xf>
    <xf numFmtId="0" fontId="48" fillId="0" borderId="67" xfId="58" applyNumberFormat="1" applyFont="1" applyFill="1" applyBorder="1" applyAlignment="1" applyProtection="1">
      <alignment horizontal="center" vertical="center"/>
    </xf>
    <xf numFmtId="0" fontId="48" fillId="0" borderId="65" xfId="58" applyNumberFormat="1" applyFont="1" applyFill="1" applyBorder="1" applyAlignment="1" applyProtection="1">
      <alignment horizontal="center" vertical="center"/>
    </xf>
    <xf numFmtId="0" fontId="48" fillId="0" borderId="68" xfId="58" applyNumberFormat="1" applyFont="1" applyFill="1" applyBorder="1" applyAlignment="1" applyProtection="1">
      <alignment horizontal="center" vertical="center"/>
    </xf>
    <xf numFmtId="0" fontId="48" fillId="0" borderId="69" xfId="58" applyNumberFormat="1" applyFont="1" applyFill="1" applyBorder="1" applyAlignment="1" applyProtection="1">
      <alignment horizontal="center" vertical="center"/>
    </xf>
    <xf numFmtId="0" fontId="48" fillId="0" borderId="73" xfId="58" applyNumberFormat="1" applyFont="1" applyFill="1" applyBorder="1" applyAlignment="1" applyProtection="1">
      <alignment horizontal="left" vertical="center"/>
    </xf>
    <xf numFmtId="0" fontId="48" fillId="0" borderId="74" xfId="58" applyNumberFormat="1" applyFont="1" applyFill="1" applyBorder="1" applyAlignment="1" applyProtection="1">
      <alignment horizontal="left" vertical="center"/>
    </xf>
    <xf numFmtId="0" fontId="48" fillId="0" borderId="74" xfId="58" applyNumberFormat="1" applyFont="1" applyFill="1" applyBorder="1" applyAlignment="1" applyProtection="1">
      <alignment horizontal="center" vertical="center"/>
    </xf>
    <xf numFmtId="0" fontId="48" fillId="0" borderId="59" xfId="58" applyNumberFormat="1" applyFont="1" applyFill="1" applyBorder="1" applyAlignment="1" applyProtection="1">
      <alignment horizontal="center" vertical="center"/>
    </xf>
    <xf numFmtId="0" fontId="48" fillId="0" borderId="77" xfId="58" applyNumberFormat="1" applyFont="1" applyFill="1" applyBorder="1" applyAlignment="1" applyProtection="1">
      <alignment horizontal="center" vertical="center"/>
    </xf>
    <xf numFmtId="0" fontId="49" fillId="0" borderId="62" xfId="58" applyNumberFormat="1" applyFont="1" applyFill="1" applyBorder="1" applyAlignment="1" applyProtection="1">
      <alignment horizontal="left" vertical="center"/>
    </xf>
    <xf numFmtId="4" fontId="49" fillId="0" borderId="57" xfId="58" applyNumberFormat="1" applyFont="1" applyFill="1" applyBorder="1" applyAlignment="1" applyProtection="1">
      <alignment horizontal="right" vertical="center"/>
    </xf>
    <xf numFmtId="0" fontId="49" fillId="0" borderId="37" xfId="58" applyNumberFormat="1" applyFont="1" applyFill="1" applyBorder="1" applyAlignment="1" applyProtection="1">
      <alignment horizontal="right" vertical="center"/>
    </xf>
    <xf numFmtId="0" fontId="52" fillId="0" borderId="51" xfId="58" applyNumberFormat="1" applyFont="1" applyFill="1" applyBorder="1" applyAlignment="1" applyProtection="1">
      <alignment horizontal="left" vertical="center"/>
    </xf>
    <xf numFmtId="0" fontId="52" fillId="0" borderId="52" xfId="58" applyNumberFormat="1" applyFont="1" applyFill="1" applyBorder="1" applyAlignment="1" applyProtection="1">
      <alignment horizontal="left" vertical="center"/>
    </xf>
    <xf numFmtId="4" fontId="52" fillId="0" borderId="52" xfId="58" applyNumberFormat="1" applyFont="1" applyFill="1" applyBorder="1" applyAlignment="1" applyProtection="1">
      <alignment horizontal="right" vertical="center"/>
    </xf>
    <xf numFmtId="0" fontId="52" fillId="0" borderId="53" xfId="58" applyNumberFormat="1" applyFont="1" applyFill="1" applyBorder="1" applyAlignment="1" applyProtection="1">
      <alignment horizontal="right" vertical="center"/>
    </xf>
    <xf numFmtId="0" fontId="52" fillId="0" borderId="54" xfId="58" applyNumberFormat="1" applyFont="1" applyFill="1" applyBorder="1" applyAlignment="1" applyProtection="1">
      <alignment horizontal="left" vertical="center"/>
    </xf>
    <xf numFmtId="0" fontId="52" fillId="0" borderId="55" xfId="58" applyNumberFormat="1" applyFont="1" applyFill="1" applyBorder="1" applyAlignment="1" applyProtection="1">
      <alignment horizontal="right" vertical="center"/>
    </xf>
    <xf numFmtId="0" fontId="52" fillId="0" borderId="56" xfId="58" applyNumberFormat="1" applyFont="1" applyFill="1" applyBorder="1" applyAlignment="1" applyProtection="1">
      <alignment horizontal="left" vertical="center"/>
    </xf>
    <xf numFmtId="0" fontId="52" fillId="0" borderId="57" xfId="58" applyNumberFormat="1" applyFont="1" applyFill="1" applyBorder="1" applyAlignment="1" applyProtection="1">
      <alignment horizontal="left" vertical="center"/>
    </xf>
    <xf numFmtId="4" fontId="52" fillId="0" borderId="57" xfId="58" applyNumberFormat="1" applyFont="1" applyFill="1" applyBorder="1" applyAlignment="1" applyProtection="1">
      <alignment horizontal="right" vertical="center"/>
    </xf>
    <xf numFmtId="0" fontId="52" fillId="0" borderId="37" xfId="58" applyNumberFormat="1" applyFont="1" applyFill="1" applyBorder="1" applyAlignment="1" applyProtection="1">
      <alignment horizontal="right" vertical="center"/>
    </xf>
    <xf numFmtId="0" fontId="53" fillId="0" borderId="54" xfId="58" applyNumberFormat="1" applyFont="1" applyFill="1" applyBorder="1" applyAlignment="1" applyProtection="1">
      <alignment horizontal="left" vertical="center"/>
    </xf>
    <xf numFmtId="0" fontId="53" fillId="0" borderId="55" xfId="58" applyNumberFormat="1" applyFont="1" applyFill="1" applyBorder="1" applyAlignment="1" applyProtection="1">
      <alignment horizontal="right" vertical="center"/>
    </xf>
    <xf numFmtId="165" fontId="26" fillId="30" borderId="16" xfId="35" applyNumberFormat="1" applyFont="1" applyFill="1" applyBorder="1" applyAlignment="1">
      <alignment horizontal="center" vertical="center"/>
    </xf>
    <xf numFmtId="165" fontId="26" fillId="30" borderId="33" xfId="35" applyNumberFormat="1" applyFont="1" applyFill="1" applyBorder="1" applyAlignment="1">
      <alignment horizontal="center" vertical="center"/>
    </xf>
    <xf numFmtId="165" fontId="26" fillId="30" borderId="34" xfId="35" applyNumberFormat="1" applyFont="1" applyFill="1" applyBorder="1" applyAlignment="1">
      <alignment horizontal="center" vertical="center"/>
    </xf>
    <xf numFmtId="0" fontId="59" fillId="0" borderId="0" xfId="20" applyFont="1" applyAlignment="1" applyProtection="1">
      <alignment horizontal="left" wrapText="1"/>
    </xf>
    <xf numFmtId="0" fontId="58" fillId="0" borderId="0" xfId="35" applyFont="1" applyAlignment="1">
      <alignment horizontal="left" wrapText="1"/>
    </xf>
    <xf numFmtId="0" fontId="41" fillId="0" borderId="44" xfId="35" applyFont="1" applyBorder="1" applyAlignment="1">
      <alignment horizontal="left" vertical="center" indent="1"/>
    </xf>
    <xf numFmtId="0" fontId="62" fillId="0" borderId="0" xfId="31" applyFont="1" applyAlignment="1">
      <alignment vertical="center"/>
    </xf>
    <xf numFmtId="0" fontId="62" fillId="0" borderId="54" xfId="31" applyFont="1" applyBorder="1" applyAlignment="1">
      <alignment vertical="center"/>
    </xf>
    <xf numFmtId="0" fontId="62" fillId="0" borderId="0" xfId="31" applyFont="1" applyAlignment="1">
      <alignment horizontal="left" vertical="center"/>
    </xf>
    <xf numFmtId="0" fontId="63" fillId="0" borderId="0" xfId="31" applyFont="1" applyAlignment="1">
      <alignment horizontal="left" vertical="center"/>
    </xf>
    <xf numFmtId="49" fontId="63" fillId="0" borderId="86" xfId="31" applyNumberFormat="1" applyFont="1" applyBorder="1" applyAlignment="1">
      <alignment horizontal="left" vertical="center"/>
    </xf>
    <xf numFmtId="49" fontId="63" fillId="0" borderId="87" xfId="31" applyNumberFormat="1" applyFont="1" applyBorder="1" applyAlignment="1">
      <alignment horizontal="left" vertical="center"/>
    </xf>
    <xf numFmtId="49" fontId="63" fillId="0" borderId="87" xfId="31" applyNumberFormat="1" applyFont="1" applyBorder="1" applyAlignment="1">
      <alignment horizontal="center" vertical="center"/>
    </xf>
    <xf numFmtId="49" fontId="63" fillId="0" borderId="88" xfId="31" applyNumberFormat="1" applyFont="1" applyBorder="1" applyAlignment="1">
      <alignment horizontal="center" vertical="center"/>
    </xf>
    <xf numFmtId="49" fontId="63" fillId="0" borderId="89" xfId="31" applyNumberFormat="1" applyFont="1" applyBorder="1" applyAlignment="1">
      <alignment horizontal="center" vertical="center"/>
    </xf>
    <xf numFmtId="49" fontId="62" fillId="0" borderId="90" xfId="31" applyNumberFormat="1" applyFont="1" applyBorder="1" applyAlignment="1">
      <alignment horizontal="left" vertical="center"/>
    </xf>
    <xf numFmtId="49" fontId="62" fillId="0" borderId="91" xfId="31" applyNumberFormat="1" applyFont="1" applyBorder="1" applyAlignment="1">
      <alignment horizontal="left" vertical="center"/>
    </xf>
    <xf numFmtId="49" fontId="63" fillId="0" borderId="91" xfId="31" applyNumberFormat="1" applyFont="1" applyBorder="1" applyAlignment="1">
      <alignment horizontal="left" vertical="center"/>
    </xf>
    <xf numFmtId="49" fontId="63" fillId="0" borderId="92" xfId="31" applyNumberFormat="1" applyFont="1" applyBorder="1" applyAlignment="1">
      <alignment horizontal="right" vertical="center"/>
    </xf>
    <xf numFmtId="49" fontId="63" fillId="0" borderId="93" xfId="31" applyNumberFormat="1" applyFont="1" applyBorder="1" applyAlignment="1">
      <alignment horizontal="center" vertical="center"/>
    </xf>
    <xf numFmtId="49" fontId="63" fillId="0" borderId="94" xfId="31" applyNumberFormat="1" applyFont="1" applyBorder="1" applyAlignment="1">
      <alignment horizontal="center" vertical="center"/>
    </xf>
    <xf numFmtId="49" fontId="63" fillId="0" borderId="95" xfId="31" applyNumberFormat="1" applyFont="1" applyBorder="1" applyAlignment="1">
      <alignment horizontal="center" vertical="center"/>
    </xf>
    <xf numFmtId="49" fontId="63" fillId="0" borderId="96" xfId="31" applyNumberFormat="1" applyFont="1" applyBorder="1" applyAlignment="1">
      <alignment horizontal="center" vertical="center"/>
    </xf>
    <xf numFmtId="49" fontId="63" fillId="31" borderId="0" xfId="31" applyNumberFormat="1" applyFont="1" applyFill="1" applyAlignment="1">
      <alignment horizontal="right" vertical="center"/>
    </xf>
    <xf numFmtId="49" fontId="62" fillId="31" borderId="97" xfId="31" applyNumberFormat="1" applyFont="1" applyFill="1" applyBorder="1" applyAlignment="1">
      <alignment horizontal="left" vertical="center"/>
    </xf>
    <xf numFmtId="49" fontId="63" fillId="31" borderId="38" xfId="31" applyNumberFormat="1" applyFont="1" applyFill="1" applyBorder="1" applyAlignment="1">
      <alignment horizontal="left" vertical="center"/>
    </xf>
    <xf numFmtId="49" fontId="63" fillId="31" borderId="38" xfId="31" applyNumberFormat="1" applyFont="1" applyFill="1" applyBorder="1" applyAlignment="1">
      <alignment vertical="center"/>
    </xf>
    <xf numFmtId="0" fontId="63" fillId="31" borderId="38" xfId="31" applyFont="1" applyFill="1" applyBorder="1" applyAlignment="1">
      <alignment vertical="center"/>
    </xf>
    <xf numFmtId="4" fontId="63" fillId="31" borderId="38" xfId="31" applyNumberFormat="1" applyFont="1" applyFill="1" applyBorder="1" applyAlignment="1">
      <alignment horizontal="right" vertical="center"/>
    </xf>
    <xf numFmtId="49" fontId="63" fillId="31" borderId="38" xfId="31" applyNumberFormat="1" applyFont="1" applyFill="1" applyBorder="1" applyAlignment="1">
      <alignment horizontal="right" vertical="center"/>
    </xf>
    <xf numFmtId="49" fontId="63" fillId="31" borderId="98" xfId="31" applyNumberFormat="1" applyFont="1" applyFill="1" applyBorder="1" applyAlignment="1">
      <alignment horizontal="center" vertical="center" wrapText="1"/>
    </xf>
    <xf numFmtId="4" fontId="63" fillId="31" borderId="0" xfId="31" applyNumberFormat="1" applyFont="1" applyFill="1" applyAlignment="1">
      <alignment horizontal="right" vertical="center"/>
    </xf>
    <xf numFmtId="49" fontId="66" fillId="0" borderId="97" xfId="31" applyNumberFormat="1" applyFont="1" applyBorder="1" applyAlignment="1">
      <alignment horizontal="left" vertical="center"/>
    </xf>
    <xf numFmtId="49" fontId="66" fillId="0" borderId="38" xfId="31" applyNumberFormat="1" applyFont="1" applyBorder="1" applyAlignment="1">
      <alignment horizontal="left" vertical="center"/>
    </xf>
    <xf numFmtId="49" fontId="66" fillId="0" borderId="99" xfId="31" applyNumberFormat="1" applyFont="1" applyBorder="1" applyAlignment="1" applyProtection="1">
      <alignment horizontal="left" vertical="center"/>
      <protection locked="0"/>
    </xf>
    <xf numFmtId="49" fontId="66" fillId="0" borderId="99" xfId="31" applyNumberFormat="1" applyFont="1" applyBorder="1" applyAlignment="1">
      <alignment horizontal="left" vertical="center"/>
    </xf>
    <xf numFmtId="49" fontId="66" fillId="0" borderId="98" xfId="31" applyNumberFormat="1" applyFont="1" applyBorder="1" applyAlignment="1">
      <alignment horizontal="left" vertical="center"/>
    </xf>
    <xf numFmtId="49" fontId="66" fillId="0" borderId="0" xfId="31" applyNumberFormat="1" applyFont="1" applyAlignment="1">
      <alignment horizontal="right" vertical="center"/>
    </xf>
    <xf numFmtId="4" fontId="66" fillId="0" borderId="0" xfId="31" applyNumberFormat="1" applyFont="1" applyAlignment="1">
      <alignment horizontal="right" vertical="center"/>
    </xf>
    <xf numFmtId="4" fontId="62" fillId="0" borderId="0" xfId="31" applyNumberFormat="1" applyFont="1" applyAlignment="1">
      <alignment horizontal="right" vertical="center"/>
    </xf>
    <xf numFmtId="49" fontId="62" fillId="0" borderId="0" xfId="31" applyNumberFormat="1" applyFont="1" applyAlignment="1">
      <alignment horizontal="right" vertical="center"/>
    </xf>
    <xf numFmtId="49" fontId="65" fillId="0" borderId="38" xfId="31" applyNumberFormat="1" applyFont="1" applyBorder="1" applyAlignment="1">
      <alignment horizontal="right" vertical="top"/>
    </xf>
    <xf numFmtId="0" fontId="65" fillId="0" borderId="98" xfId="31" applyFont="1" applyBorder="1" applyAlignment="1">
      <alignment horizontal="left" vertical="top"/>
    </xf>
    <xf numFmtId="49" fontId="66" fillId="0" borderId="98" xfId="31" applyNumberFormat="1" applyFont="1" applyBorder="1" applyAlignment="1">
      <alignment horizontal="right" vertical="center"/>
    </xf>
    <xf numFmtId="49" fontId="8" fillId="0" borderId="38" xfId="31" applyNumberFormat="1" applyBorder="1" applyAlignment="1">
      <alignment horizontal="left" vertical="center"/>
    </xf>
    <xf numFmtId="49" fontId="65" fillId="0" borderId="101" xfId="31" applyNumberFormat="1" applyFont="1" applyBorder="1" applyAlignment="1">
      <alignment horizontal="right" vertical="top"/>
    </xf>
    <xf numFmtId="49" fontId="8" fillId="0" borderId="101" xfId="31" applyNumberFormat="1" applyBorder="1" applyAlignment="1">
      <alignment horizontal="left" vertical="center"/>
    </xf>
    <xf numFmtId="49" fontId="66" fillId="0" borderId="102" xfId="31" applyNumberFormat="1" applyFont="1" applyBorder="1" applyAlignment="1">
      <alignment horizontal="left" vertical="center"/>
    </xf>
    <xf numFmtId="0" fontId="65" fillId="0" borderId="103" xfId="31" applyFont="1" applyBorder="1" applyAlignment="1">
      <alignment horizontal="left" vertical="top"/>
    </xf>
    <xf numFmtId="49" fontId="66" fillId="0" borderId="104" xfId="31" applyNumberFormat="1" applyFont="1" applyBorder="1" applyAlignment="1">
      <alignment horizontal="left" vertical="center"/>
    </xf>
    <xf numFmtId="49" fontId="66" fillId="0" borderId="105" xfId="31" applyNumberFormat="1" applyFont="1" applyBorder="1" applyAlignment="1">
      <alignment horizontal="left" vertical="center"/>
    </xf>
    <xf numFmtId="49" fontId="65" fillId="0" borderId="105" xfId="31" applyNumberFormat="1" applyFont="1" applyBorder="1" applyAlignment="1">
      <alignment horizontal="right" vertical="top"/>
    </xf>
    <xf numFmtId="49" fontId="66" fillId="0" borderId="0" xfId="31" applyNumberFormat="1" applyFont="1" applyAlignment="1">
      <alignment horizontal="left" vertical="center"/>
    </xf>
    <xf numFmtId="49" fontId="65" fillId="0" borderId="0" xfId="31" applyNumberFormat="1" applyFont="1" applyAlignment="1">
      <alignment horizontal="right" vertical="top"/>
    </xf>
    <xf numFmtId="0" fontId="65" fillId="0" borderId="0" xfId="31" applyFont="1" applyAlignment="1">
      <alignment horizontal="left" vertical="top" wrapText="1"/>
    </xf>
    <xf numFmtId="0" fontId="65" fillId="0" borderId="0" xfId="31" applyFont="1" applyAlignment="1">
      <alignment horizontal="left" vertical="top"/>
    </xf>
    <xf numFmtId="49" fontId="62" fillId="0" borderId="106" xfId="31" applyNumberFormat="1" applyFont="1" applyBorder="1" applyAlignment="1">
      <alignment horizontal="left" vertical="center"/>
    </xf>
    <xf numFmtId="49" fontId="62" fillId="0" borderId="107" xfId="31" applyNumberFormat="1" applyFont="1" applyBorder="1" applyAlignment="1">
      <alignment horizontal="left" vertical="center"/>
    </xf>
    <xf numFmtId="49" fontId="63" fillId="0" borderId="107" xfId="31" applyNumberFormat="1" applyFont="1" applyBorder="1" applyAlignment="1">
      <alignment horizontal="left" vertical="center"/>
    </xf>
    <xf numFmtId="49" fontId="63" fillId="0" borderId="108" xfId="31" applyNumberFormat="1" applyFont="1" applyBorder="1" applyAlignment="1">
      <alignment horizontal="right" vertical="center"/>
    </xf>
    <xf numFmtId="49" fontId="63" fillId="0" borderId="104" xfId="31" applyNumberFormat="1" applyFont="1" applyBorder="1" applyAlignment="1">
      <alignment horizontal="center" vertical="center"/>
    </xf>
    <xf numFmtId="49" fontId="63" fillId="0" borderId="105" xfId="31" applyNumberFormat="1" applyFont="1" applyBorder="1" applyAlignment="1">
      <alignment horizontal="center" vertical="center"/>
    </xf>
    <xf numFmtId="49" fontId="63" fillId="0" borderId="109" xfId="31" applyNumberFormat="1" applyFont="1" applyBorder="1" applyAlignment="1">
      <alignment horizontal="center" vertical="center"/>
    </xf>
    <xf numFmtId="49" fontId="63" fillId="0" borderId="110" xfId="31" applyNumberFormat="1" applyFont="1" applyBorder="1" applyAlignment="1">
      <alignment horizontal="center" vertical="center"/>
    </xf>
    <xf numFmtId="49" fontId="62" fillId="31" borderId="58" xfId="31" applyNumberFormat="1" applyFont="1" applyFill="1" applyBorder="1" applyAlignment="1">
      <alignment horizontal="left" vertical="center"/>
    </xf>
    <xf numFmtId="49" fontId="63" fillId="31" borderId="59" xfId="31" applyNumberFormat="1" applyFont="1" applyFill="1" applyBorder="1" applyAlignment="1">
      <alignment horizontal="left" vertical="center"/>
    </xf>
    <xf numFmtId="49" fontId="63" fillId="31" borderId="60" xfId="31" applyNumberFormat="1" applyFont="1" applyFill="1" applyBorder="1" applyAlignment="1">
      <alignment horizontal="center" vertical="center" wrapText="1"/>
    </xf>
    <xf numFmtId="0" fontId="62" fillId="0" borderId="97" xfId="31" applyFont="1" applyBorder="1" applyAlignment="1">
      <alignment vertical="center"/>
    </xf>
    <xf numFmtId="0" fontId="62" fillId="0" borderId="38" xfId="31" applyFont="1" applyBorder="1" applyAlignment="1">
      <alignment vertical="center"/>
    </xf>
    <xf numFmtId="4" fontId="65" fillId="0" borderId="109" xfId="31" applyNumberFormat="1" applyFont="1" applyBorder="1" applyAlignment="1">
      <alignment horizontal="left" vertical="top" wrapText="1"/>
    </xf>
    <xf numFmtId="0" fontId="65" fillId="0" borderId="98" xfId="31" applyFont="1" applyBorder="1" applyAlignment="1">
      <alignment horizontal="left" vertical="top" wrapText="1"/>
    </xf>
    <xf numFmtId="49" fontId="66" fillId="0" borderId="93" xfId="31" applyNumberFormat="1" applyFont="1" applyBorder="1" applyAlignment="1">
      <alignment horizontal="left" vertical="center"/>
    </xf>
    <xf numFmtId="49" fontId="66" fillId="0" borderId="94" xfId="31" applyNumberFormat="1" applyFont="1" applyBorder="1" applyAlignment="1">
      <alignment horizontal="left" vertical="center"/>
    </xf>
    <xf numFmtId="49" fontId="65" fillId="0" borderId="94" xfId="31" applyNumberFormat="1" applyFont="1" applyBorder="1" applyAlignment="1">
      <alignment horizontal="right" vertical="top"/>
    </xf>
    <xf numFmtId="0" fontId="65" fillId="0" borderId="95" xfId="31" applyFont="1" applyBorder="1" applyAlignment="1">
      <alignment horizontal="left" vertical="top" wrapText="1"/>
    </xf>
    <xf numFmtId="0" fontId="67" fillId="0" borderId="98" xfId="31" applyFont="1" applyBorder="1" applyAlignment="1">
      <alignment horizontal="left" vertical="top"/>
    </xf>
    <xf numFmtId="0" fontId="62" fillId="0" borderId="94" xfId="31" applyFont="1" applyBorder="1" applyAlignment="1">
      <alignment vertical="center"/>
    </xf>
    <xf numFmtId="0" fontId="8" fillId="0" borderId="38" xfId="31" applyBorder="1" applyAlignment="1">
      <alignment horizontal="left" vertical="center" wrapText="1"/>
    </xf>
    <xf numFmtId="0" fontId="62" fillId="0" borderId="93" xfId="31" applyFont="1" applyBorder="1" applyAlignment="1">
      <alignment vertical="center"/>
    </xf>
    <xf numFmtId="0" fontId="62" fillId="0" borderId="98" xfId="31" applyFont="1" applyBorder="1" applyAlignment="1">
      <alignment vertical="center"/>
    </xf>
    <xf numFmtId="49" fontId="66" fillId="0" borderId="61" xfId="31" applyNumberFormat="1" applyFont="1" applyBorder="1" applyAlignment="1">
      <alignment horizontal="left" vertical="center"/>
    </xf>
    <xf numFmtId="0" fontId="62" fillId="0" borderId="15" xfId="31" applyFont="1" applyBorder="1" applyAlignment="1">
      <alignment vertical="center"/>
    </xf>
    <xf numFmtId="49" fontId="63" fillId="32" borderId="93" xfId="31" applyNumberFormat="1" applyFont="1" applyFill="1" applyBorder="1" applyAlignment="1">
      <alignment horizontal="center" vertical="center"/>
    </xf>
    <xf numFmtId="49" fontId="63" fillId="32" borderId="94" xfId="31" applyNumberFormat="1" applyFont="1" applyFill="1" applyBorder="1" applyAlignment="1">
      <alignment horizontal="center" vertical="center"/>
    </xf>
    <xf numFmtId="49" fontId="63" fillId="32" borderId="95" xfId="31" applyNumberFormat="1" applyFont="1" applyFill="1" applyBorder="1" applyAlignment="1">
      <alignment horizontal="center" vertical="center"/>
    </xf>
    <xf numFmtId="49" fontId="63" fillId="31" borderId="78" xfId="31" applyNumberFormat="1" applyFont="1" applyFill="1" applyBorder="1" applyAlignment="1">
      <alignment vertical="center"/>
    </xf>
    <xf numFmtId="4" fontId="63" fillId="31" borderId="79" xfId="31" applyNumberFormat="1" applyFont="1" applyFill="1" applyBorder="1" applyAlignment="1">
      <alignment vertical="center"/>
    </xf>
    <xf numFmtId="49" fontId="63" fillId="31" borderId="80" xfId="31" applyNumberFormat="1" applyFont="1" applyFill="1" applyBorder="1" applyAlignment="1">
      <alignment vertical="center"/>
    </xf>
    <xf numFmtId="4" fontId="69" fillId="31" borderId="16" xfId="31" applyNumberFormat="1" applyFont="1" applyFill="1" applyBorder="1" applyAlignment="1">
      <alignment horizontal="right" vertical="center"/>
    </xf>
    <xf numFmtId="49" fontId="63" fillId="31" borderId="116" xfId="31" applyNumberFormat="1" applyFont="1" applyFill="1" applyBorder="1" applyAlignment="1">
      <alignment horizontal="right" vertical="center"/>
    </xf>
    <xf numFmtId="4" fontId="63" fillId="31" borderId="117" xfId="31" applyNumberFormat="1" applyFont="1" applyFill="1" applyBorder="1" applyAlignment="1">
      <alignment horizontal="right" vertical="center"/>
    </xf>
    <xf numFmtId="49" fontId="63" fillId="31" borderId="119" xfId="31" applyNumberFormat="1" applyFont="1" applyFill="1" applyBorder="1" applyAlignment="1">
      <alignment horizontal="right" vertical="center"/>
    </xf>
    <xf numFmtId="0" fontId="63" fillId="0" borderId="0" xfId="31" applyFont="1" applyAlignment="1">
      <alignment vertical="center"/>
    </xf>
    <xf numFmtId="49" fontId="63" fillId="0" borderId="0" xfId="31" applyNumberFormat="1" applyFont="1" applyAlignment="1">
      <alignment horizontal="left" vertical="center"/>
    </xf>
    <xf numFmtId="9" fontId="63" fillId="0" borderId="0" xfId="31" applyNumberFormat="1" applyFont="1" applyAlignment="1">
      <alignment horizontal="left" vertical="center"/>
    </xf>
    <xf numFmtId="4" fontId="63" fillId="0" borderId="0" xfId="31" applyNumberFormat="1" applyFont="1" applyAlignment="1">
      <alignment horizontal="right" vertical="center"/>
    </xf>
    <xf numFmtId="49" fontId="63" fillId="0" borderId="0" xfId="31" applyNumberFormat="1" applyFont="1" applyAlignment="1">
      <alignment horizontal="right" vertical="center"/>
    </xf>
    <xf numFmtId="0" fontId="72" fillId="0" borderId="0" xfId="59"/>
    <xf numFmtId="4" fontId="74" fillId="33" borderId="0" xfId="59" applyNumberFormat="1" applyFont="1" applyFill="1" applyAlignment="1">
      <alignment horizontal="right" vertical="center"/>
    </xf>
    <xf numFmtId="0" fontId="75" fillId="0" borderId="0" xfId="59" applyFont="1" applyAlignment="1">
      <alignment horizontal="left" vertical="center"/>
    </xf>
    <xf numFmtId="0" fontId="74" fillId="0" borderId="0" xfId="59" applyFont="1" applyAlignment="1">
      <alignment horizontal="left" vertical="center"/>
    </xf>
    <xf numFmtId="0" fontId="75" fillId="0" borderId="0" xfId="59" applyFont="1" applyAlignment="1">
      <alignment horizontal="left" vertical="center" wrapText="1"/>
    </xf>
    <xf numFmtId="0" fontId="74" fillId="0" borderId="120" xfId="59" applyFont="1" applyBorder="1" applyAlignment="1">
      <alignment horizontal="left" vertical="center"/>
    </xf>
    <xf numFmtId="0" fontId="74" fillId="0" borderId="120" xfId="59" applyFont="1" applyBorder="1" applyAlignment="1">
      <alignment horizontal="center" vertical="center"/>
    </xf>
    <xf numFmtId="0" fontId="74" fillId="0" borderId="121" xfId="59" applyFont="1" applyBorder="1" applyAlignment="1">
      <alignment horizontal="center" vertical="center"/>
    </xf>
    <xf numFmtId="0" fontId="74" fillId="33" borderId="0" xfId="59" applyFont="1" applyFill="1" applyAlignment="1">
      <alignment horizontal="right" vertical="center"/>
    </xf>
    <xf numFmtId="0" fontId="74" fillId="0" borderId="0" xfId="59" applyFont="1" applyAlignment="1">
      <alignment horizontal="right" vertical="center"/>
    </xf>
    <xf numFmtId="0" fontId="74" fillId="0" borderId="45" xfId="59" applyFont="1" applyBorder="1" applyAlignment="1">
      <alignment horizontal="left" vertical="center"/>
    </xf>
    <xf numFmtId="0" fontId="74" fillId="0" borderId="45" xfId="59" applyFont="1" applyBorder="1" applyAlignment="1">
      <alignment horizontal="center" vertical="center"/>
    </xf>
    <xf numFmtId="4" fontId="75" fillId="0" borderId="0" xfId="59" applyNumberFormat="1" applyFont="1" applyAlignment="1">
      <alignment horizontal="right" vertical="center"/>
    </xf>
    <xf numFmtId="0" fontId="75" fillId="0" borderId="0" xfId="59" applyFont="1" applyAlignment="1">
      <alignment horizontal="right" vertical="center"/>
    </xf>
    <xf numFmtId="4" fontId="74" fillId="0" borderId="0" xfId="59" applyNumberFormat="1" applyFont="1" applyAlignment="1">
      <alignment horizontal="right" vertical="center"/>
    </xf>
    <xf numFmtId="0" fontId="77" fillId="0" borderId="0" xfId="59" applyFont="1" applyAlignment="1">
      <alignment horizontal="left" vertical="center"/>
    </xf>
    <xf numFmtId="0" fontId="75" fillId="0" borderId="51" xfId="59" applyFont="1" applyBorder="1" applyAlignment="1">
      <alignment horizontal="left" vertical="center"/>
    </xf>
    <xf numFmtId="0" fontId="75" fillId="0" borderId="52" xfId="59" applyFont="1" applyBorder="1" applyAlignment="1">
      <alignment horizontal="left" vertical="center"/>
    </xf>
    <xf numFmtId="0" fontId="75" fillId="0" borderId="54" xfId="59" applyFont="1" applyBorder="1" applyAlignment="1">
      <alignment horizontal="left" vertical="center"/>
    </xf>
    <xf numFmtId="0" fontId="75" fillId="0" borderId="55" xfId="59" applyFont="1" applyBorder="1" applyAlignment="1">
      <alignment horizontal="right" vertical="center"/>
    </xf>
    <xf numFmtId="0" fontId="72" fillId="0" borderId="54" xfId="59" applyBorder="1"/>
    <xf numFmtId="0" fontId="76" fillId="0" borderId="0" xfId="59" applyFont="1" applyAlignment="1">
      <alignment horizontal="right" vertical="center"/>
    </xf>
    <xf numFmtId="0" fontId="74" fillId="0" borderId="55" xfId="59" applyFont="1" applyBorder="1" applyAlignment="1">
      <alignment horizontal="right" vertical="center"/>
    </xf>
    <xf numFmtId="0" fontId="72" fillId="0" borderId="56" xfId="59" applyBorder="1"/>
    <xf numFmtId="0" fontId="76" fillId="0" borderId="57" xfId="59" applyFont="1" applyBorder="1" applyAlignment="1">
      <alignment horizontal="right" vertical="center"/>
    </xf>
    <xf numFmtId="0" fontId="74" fillId="0" borderId="73" xfId="59" applyFont="1" applyBorder="1" applyAlignment="1">
      <alignment horizontal="left" vertical="center"/>
    </xf>
    <xf numFmtId="0" fontId="74" fillId="0" borderId="74" xfId="59" applyFont="1" applyBorder="1" applyAlignment="1">
      <alignment horizontal="left" vertical="center"/>
    </xf>
    <xf numFmtId="0" fontId="74" fillId="0" borderId="74" xfId="59" applyFont="1" applyBorder="1" applyAlignment="1">
      <alignment horizontal="center" vertical="center"/>
    </xf>
    <xf numFmtId="0" fontId="74" fillId="0" borderId="59" xfId="59" applyFont="1" applyBorder="1" applyAlignment="1">
      <alignment horizontal="center" vertical="center"/>
    </xf>
    <xf numFmtId="0" fontId="74" fillId="0" borderId="77" xfId="59" applyFont="1" applyBorder="1" applyAlignment="1">
      <alignment horizontal="center" vertical="center"/>
    </xf>
    <xf numFmtId="0" fontId="75" fillId="0" borderId="64" xfId="59" applyFont="1" applyBorder="1" applyAlignment="1">
      <alignment horizontal="left" vertical="center"/>
    </xf>
    <xf numFmtId="0" fontId="75" fillId="0" borderId="65" xfId="59" applyFont="1" applyBorder="1" applyAlignment="1">
      <alignment horizontal="left" vertical="center"/>
    </xf>
    <xf numFmtId="0" fontId="74" fillId="0" borderId="66" xfId="59" applyFont="1" applyBorder="1" applyAlignment="1">
      <alignment horizontal="center" vertical="center"/>
    </xf>
    <xf numFmtId="0" fontId="74" fillId="0" borderId="67" xfId="59" applyFont="1" applyBorder="1" applyAlignment="1">
      <alignment horizontal="center" vertical="center"/>
    </xf>
    <xf numFmtId="0" fontId="74" fillId="0" borderId="65" xfId="59" applyFont="1" applyBorder="1" applyAlignment="1">
      <alignment horizontal="center" vertical="center"/>
    </xf>
    <xf numFmtId="0" fontId="74" fillId="0" borderId="68" xfId="59" applyFont="1" applyBorder="1" applyAlignment="1">
      <alignment horizontal="center" vertical="center"/>
    </xf>
    <xf numFmtId="0" fontId="74" fillId="0" borderId="69" xfId="59" applyFont="1" applyBorder="1" applyAlignment="1">
      <alignment horizontal="center" vertical="center"/>
    </xf>
    <xf numFmtId="4" fontId="75" fillId="0" borderId="52" xfId="59" applyNumberFormat="1" applyFont="1" applyBorder="1" applyAlignment="1">
      <alignment horizontal="right" vertical="center"/>
    </xf>
    <xf numFmtId="0" fontId="75" fillId="0" borderId="53" xfId="59" applyFont="1" applyBorder="1" applyAlignment="1">
      <alignment horizontal="right" vertical="center"/>
    </xf>
    <xf numFmtId="0" fontId="74" fillId="0" borderId="52" xfId="59" applyFont="1" applyBorder="1" applyAlignment="1">
      <alignment horizontal="left" vertical="center"/>
    </xf>
    <xf numFmtId="4" fontId="74" fillId="0" borderId="52" xfId="59" applyNumberFormat="1" applyFont="1" applyBorder="1" applyAlignment="1">
      <alignment horizontal="right" vertical="center"/>
    </xf>
    <xf numFmtId="0" fontId="74" fillId="0" borderId="52" xfId="59" applyFont="1" applyBorder="1" applyAlignment="1">
      <alignment horizontal="right" vertical="center"/>
    </xf>
    <xf numFmtId="0" fontId="74" fillId="0" borderId="53" xfId="59" applyFont="1" applyBorder="1" applyAlignment="1">
      <alignment horizontal="right" vertical="center"/>
    </xf>
    <xf numFmtId="0" fontId="75" fillId="0" borderId="56" xfId="59" applyFont="1" applyBorder="1" applyAlignment="1">
      <alignment horizontal="left" vertical="center"/>
    </xf>
    <xf numFmtId="0" fontId="75" fillId="0" borderId="57" xfId="59" applyFont="1" applyBorder="1" applyAlignment="1">
      <alignment horizontal="left" vertical="center"/>
    </xf>
    <xf numFmtId="4" fontId="75" fillId="0" borderId="57" xfId="59" applyNumberFormat="1" applyFont="1" applyBorder="1" applyAlignment="1">
      <alignment horizontal="right" vertical="center"/>
    </xf>
    <xf numFmtId="0" fontId="75" fillId="0" borderId="37" xfId="59" applyFont="1" applyBorder="1" applyAlignment="1">
      <alignment horizontal="right" vertical="center"/>
    </xf>
    <xf numFmtId="0" fontId="74" fillId="0" borderId="125" xfId="59" applyFont="1" applyBorder="1" applyAlignment="1">
      <alignment horizontal="left" vertical="center"/>
    </xf>
    <xf numFmtId="0" fontId="74" fillId="0" borderId="126" xfId="59" applyFont="1" applyBorder="1" applyAlignment="1">
      <alignment horizontal="center" vertical="center"/>
    </xf>
    <xf numFmtId="0" fontId="74" fillId="0" borderId="0" xfId="59" applyFont="1" applyAlignment="1">
      <alignment horizontal="center" vertical="center"/>
    </xf>
    <xf numFmtId="0" fontId="74" fillId="0" borderId="63" xfId="59" applyFont="1" applyBorder="1" applyAlignment="1">
      <alignment horizontal="center" vertical="center"/>
    </xf>
    <xf numFmtId="0" fontId="74" fillId="0" borderId="62" xfId="59" applyFont="1" applyBorder="1" applyAlignment="1">
      <alignment horizontal="left" vertical="center"/>
    </xf>
    <xf numFmtId="0" fontId="47" fillId="0" borderId="0" xfId="60"/>
    <xf numFmtId="4" fontId="48" fillId="33" borderId="0" xfId="60" applyNumberFormat="1" applyFont="1" applyFill="1" applyAlignment="1">
      <alignment horizontal="right" vertical="center"/>
    </xf>
    <xf numFmtId="0" fontId="49" fillId="0" borderId="0" xfId="60" applyFont="1" applyAlignment="1">
      <alignment horizontal="left" vertical="center"/>
    </xf>
    <xf numFmtId="0" fontId="48" fillId="0" borderId="0" xfId="60" applyFont="1" applyAlignment="1">
      <alignment horizontal="left" vertical="center"/>
    </xf>
    <xf numFmtId="0" fontId="49" fillId="0" borderId="0" xfId="60" applyFont="1" applyAlignment="1">
      <alignment horizontal="left" vertical="center" wrapText="1"/>
    </xf>
    <xf numFmtId="0" fontId="48" fillId="33" borderId="0" xfId="60" applyFont="1" applyFill="1" applyAlignment="1">
      <alignment horizontal="right" vertical="center"/>
    </xf>
    <xf numFmtId="0" fontId="48" fillId="0" borderId="0" xfId="60" applyFont="1" applyAlignment="1">
      <alignment horizontal="right" vertical="center"/>
    </xf>
    <xf numFmtId="4" fontId="49" fillId="0" borderId="0" xfId="60" applyNumberFormat="1" applyFont="1" applyAlignment="1">
      <alignment horizontal="right" vertical="center"/>
    </xf>
    <xf numFmtId="0" fontId="49" fillId="0" borderId="0" xfId="60" applyFont="1" applyAlignment="1">
      <alignment horizontal="right" vertical="center"/>
    </xf>
    <xf numFmtId="4" fontId="48" fillId="0" borderId="0" xfId="60" applyNumberFormat="1" applyFont="1" applyAlignment="1">
      <alignment horizontal="right" vertical="center"/>
    </xf>
    <xf numFmtId="0" fontId="51" fillId="0" borderId="0" xfId="60" applyFont="1" applyAlignment="1">
      <alignment horizontal="left" vertical="center"/>
    </xf>
    <xf numFmtId="0" fontId="49" fillId="0" borderId="51" xfId="60" applyFont="1" applyBorder="1" applyAlignment="1">
      <alignment horizontal="left" vertical="center"/>
    </xf>
    <xf numFmtId="0" fontId="49" fillId="0" borderId="52" xfId="60" applyFont="1" applyBorder="1" applyAlignment="1">
      <alignment horizontal="left" vertical="center"/>
    </xf>
    <xf numFmtId="4" fontId="49" fillId="0" borderId="52" xfId="60" applyNumberFormat="1" applyFont="1" applyBorder="1" applyAlignment="1">
      <alignment horizontal="right" vertical="center"/>
    </xf>
    <xf numFmtId="0" fontId="49" fillId="0" borderId="53" xfId="60" applyFont="1" applyBorder="1" applyAlignment="1">
      <alignment horizontal="right" vertical="center"/>
    </xf>
    <xf numFmtId="0" fontId="47" fillId="0" borderId="54" xfId="60" applyBorder="1"/>
    <xf numFmtId="0" fontId="50" fillId="0" borderId="0" xfId="60" applyFont="1" applyAlignment="1">
      <alignment horizontal="right" vertical="center"/>
    </xf>
    <xf numFmtId="0" fontId="49" fillId="0" borderId="54" xfId="60" applyFont="1" applyBorder="1" applyAlignment="1">
      <alignment horizontal="left" vertical="center"/>
    </xf>
    <xf numFmtId="0" fontId="49" fillId="0" borderId="55" xfId="60" applyFont="1" applyBorder="1" applyAlignment="1">
      <alignment horizontal="right" vertical="center"/>
    </xf>
    <xf numFmtId="0" fontId="47" fillId="0" borderId="56" xfId="60" applyBorder="1"/>
    <xf numFmtId="0" fontId="50" fillId="0" borderId="57" xfId="60" applyFont="1" applyBorder="1" applyAlignment="1">
      <alignment horizontal="right" vertical="center"/>
    </xf>
    <xf numFmtId="0" fontId="48" fillId="0" borderId="55" xfId="60" applyFont="1" applyBorder="1" applyAlignment="1">
      <alignment horizontal="right" vertical="center"/>
    </xf>
    <xf numFmtId="0" fontId="48" fillId="0" borderId="52" xfId="60" applyFont="1" applyBorder="1" applyAlignment="1">
      <alignment horizontal="left" vertical="center"/>
    </xf>
    <xf numFmtId="4" fontId="48" fillId="0" borderId="52" xfId="60" applyNumberFormat="1" applyFont="1" applyBorder="1" applyAlignment="1">
      <alignment horizontal="right" vertical="center"/>
    </xf>
    <xf numFmtId="0" fontId="48" fillId="0" borderId="52" xfId="60" applyFont="1" applyBorder="1" applyAlignment="1">
      <alignment horizontal="right" vertical="center"/>
    </xf>
    <xf numFmtId="0" fontId="48" fillId="0" borderId="53" xfId="60" applyFont="1" applyBorder="1" applyAlignment="1">
      <alignment horizontal="right" vertical="center"/>
    </xf>
    <xf numFmtId="0" fontId="48" fillId="0" borderId="73" xfId="60" applyFont="1" applyBorder="1" applyAlignment="1">
      <alignment horizontal="left" vertical="center"/>
    </xf>
    <xf numFmtId="0" fontId="48" fillId="0" borderId="74" xfId="60" applyFont="1" applyBorder="1" applyAlignment="1">
      <alignment horizontal="left" vertical="center"/>
    </xf>
    <xf numFmtId="0" fontId="48" fillId="0" borderId="74" xfId="60" applyFont="1" applyBorder="1" applyAlignment="1">
      <alignment horizontal="center" vertical="center"/>
    </xf>
    <xf numFmtId="0" fontId="48" fillId="0" borderId="59" xfId="60" applyFont="1" applyBorder="1" applyAlignment="1">
      <alignment horizontal="center" vertical="center"/>
    </xf>
    <xf numFmtId="0" fontId="48" fillId="0" borderId="77" xfId="60" applyFont="1" applyBorder="1" applyAlignment="1">
      <alignment horizontal="center" vertical="center"/>
    </xf>
    <xf numFmtId="0" fontId="49" fillId="0" borderId="64" xfId="60" applyFont="1" applyBorder="1" applyAlignment="1">
      <alignment horizontal="left" vertical="center"/>
    </xf>
    <xf numFmtId="0" fontId="49" fillId="0" borderId="65" xfId="60" applyFont="1" applyBorder="1" applyAlignment="1">
      <alignment horizontal="left" vertical="center"/>
    </xf>
    <xf numFmtId="0" fontId="48" fillId="0" borderId="66" xfId="60" applyFont="1" applyBorder="1" applyAlignment="1">
      <alignment horizontal="center" vertical="center"/>
    </xf>
    <xf numFmtId="0" fontId="48" fillId="0" borderId="67" xfId="60" applyFont="1" applyBorder="1" applyAlignment="1">
      <alignment horizontal="center" vertical="center"/>
    </xf>
    <xf numFmtId="0" fontId="48" fillId="0" borderId="65" xfId="60" applyFont="1" applyBorder="1" applyAlignment="1">
      <alignment horizontal="center" vertical="center"/>
    </xf>
    <xf numFmtId="0" fontId="48" fillId="0" borderId="68" xfId="60" applyFont="1" applyBorder="1" applyAlignment="1">
      <alignment horizontal="center" vertical="center"/>
    </xf>
    <xf numFmtId="0" fontId="48" fillId="0" borderId="69" xfId="60" applyFont="1" applyBorder="1" applyAlignment="1">
      <alignment horizontal="center" vertical="center"/>
    </xf>
    <xf numFmtId="4" fontId="66" fillId="34" borderId="0" xfId="0" applyNumberFormat="1" applyFont="1" applyFill="1" applyAlignment="1" applyProtection="1">
      <alignment horizontal="right" vertical="center"/>
      <protection locked="0"/>
    </xf>
    <xf numFmtId="0" fontId="79" fillId="0" borderId="0" xfId="0" applyFont="1" applyAlignment="1">
      <alignment vertical="center"/>
    </xf>
    <xf numFmtId="0" fontId="79" fillId="35" borderId="86" xfId="0" applyFont="1" applyFill="1" applyBorder="1" applyAlignment="1">
      <alignment horizontal="left" vertical="center" wrapText="1" indent="1"/>
    </xf>
    <xf numFmtId="0" fontId="79" fillId="35" borderId="87" xfId="0" applyFont="1" applyFill="1" applyBorder="1" applyAlignment="1">
      <alignment horizontal="left" vertical="center" wrapText="1" indent="1"/>
    </xf>
    <xf numFmtId="0" fontId="79" fillId="35" borderId="88" xfId="0" applyFont="1" applyFill="1" applyBorder="1" applyAlignment="1">
      <alignment horizontal="left" vertical="center" wrapText="1" indent="1"/>
    </xf>
    <xf numFmtId="0" fontId="81" fillId="35" borderId="100" xfId="0" applyFont="1" applyFill="1" applyBorder="1" applyAlignment="1">
      <alignment horizontal="left" vertical="center" indent="1"/>
    </xf>
    <xf numFmtId="0" fontId="81" fillId="35" borderId="101" xfId="0" applyFont="1" applyFill="1" applyBorder="1" applyAlignment="1">
      <alignment horizontal="left" vertical="center" indent="1"/>
    </xf>
    <xf numFmtId="0" fontId="81" fillId="35" borderId="92" xfId="0" applyFont="1" applyFill="1" applyBorder="1" applyAlignment="1">
      <alignment horizontal="left" vertical="center" indent="1"/>
    </xf>
    <xf numFmtId="0" fontId="79" fillId="35" borderId="95" xfId="0" applyFont="1" applyFill="1" applyBorder="1" applyAlignment="1">
      <alignment horizontal="left" vertical="center" wrapText="1" indent="1"/>
    </xf>
    <xf numFmtId="0" fontId="81" fillId="35" borderId="108" xfId="0" applyFont="1" applyFill="1" applyBorder="1" applyAlignment="1">
      <alignment horizontal="left" vertical="center" indent="1"/>
    </xf>
    <xf numFmtId="0" fontId="79" fillId="0" borderId="127" xfId="0" applyFont="1" applyBorder="1" applyAlignment="1">
      <alignment horizontal="left" vertical="center" wrapText="1" indent="1"/>
    </xf>
    <xf numFmtId="49" fontId="85" fillId="0" borderId="128" xfId="0" applyNumberFormat="1" applyFont="1" applyBorder="1" applyAlignment="1">
      <alignment horizontal="left" vertical="center" wrapText="1" indent="1"/>
    </xf>
    <xf numFmtId="0" fontId="79" fillId="0" borderId="97" xfId="0" applyFont="1" applyBorder="1" applyAlignment="1">
      <alignment horizontal="left" vertical="center" wrapText="1" indent="1"/>
    </xf>
    <xf numFmtId="49" fontId="85" fillId="0" borderId="98" xfId="0" applyNumberFormat="1" applyFont="1" applyBorder="1" applyAlignment="1">
      <alignment horizontal="left" vertical="center" wrapText="1" indent="1"/>
    </xf>
    <xf numFmtId="0" fontId="79" fillId="0" borderId="104" xfId="0" applyFont="1" applyBorder="1" applyAlignment="1">
      <alignment horizontal="left" vertical="center" wrapText="1" indent="1"/>
    </xf>
    <xf numFmtId="49" fontId="85" fillId="0" borderId="109" xfId="0" applyNumberFormat="1" applyFont="1" applyBorder="1" applyAlignment="1">
      <alignment horizontal="left" vertical="center" wrapText="1" indent="1"/>
    </xf>
    <xf numFmtId="0" fontId="79" fillId="0" borderId="129" xfId="0" applyFont="1" applyBorder="1" applyAlignment="1">
      <alignment horizontal="left" vertical="center" wrapText="1" indent="1"/>
    </xf>
    <xf numFmtId="0" fontId="87" fillId="0" borderId="130" xfId="0" applyFont="1" applyBorder="1" applyAlignment="1">
      <alignment horizontal="left" vertical="center" wrapText="1" indent="1"/>
    </xf>
    <xf numFmtId="0" fontId="88" fillId="0" borderId="0" xfId="61" applyFont="1"/>
    <xf numFmtId="0" fontId="88" fillId="0" borderId="60" xfId="61" applyFont="1" applyBorder="1"/>
    <xf numFmtId="0" fontId="88" fillId="0" borderId="15" xfId="61" applyFont="1" applyBorder="1"/>
    <xf numFmtId="0" fontId="88" fillId="0" borderId="61" xfId="61" applyFont="1" applyBorder="1" applyAlignment="1">
      <alignment horizontal="left" indent="1"/>
    </xf>
    <xf numFmtId="0" fontId="88" fillId="0" borderId="0" xfId="61" applyFont="1" applyAlignment="1">
      <alignment horizontal="left" indent="1"/>
    </xf>
    <xf numFmtId="0" fontId="92" fillId="0" borderId="0" xfId="61" applyFont="1" applyAlignment="1">
      <alignment horizontal="left" vertical="center" indent="1"/>
    </xf>
    <xf numFmtId="0" fontId="88" fillId="0" borderId="61" xfId="61" applyFont="1" applyBorder="1"/>
    <xf numFmtId="0" fontId="88" fillId="0" borderId="70" xfId="61" applyFont="1" applyBorder="1"/>
    <xf numFmtId="0" fontId="88" fillId="0" borderId="66" xfId="61" applyFont="1" applyBorder="1"/>
    <xf numFmtId="0" fontId="88" fillId="0" borderId="71" xfId="61" applyFont="1" applyBorder="1"/>
    <xf numFmtId="0" fontId="92" fillId="0" borderId="61" xfId="61" applyFont="1" applyBorder="1" applyAlignment="1">
      <alignment horizontal="left" indent="1"/>
    </xf>
    <xf numFmtId="0" fontId="92" fillId="0" borderId="0" xfId="61" applyFont="1" applyAlignment="1">
      <alignment horizontal="left" indent="1"/>
    </xf>
    <xf numFmtId="0" fontId="92" fillId="0" borderId="0" xfId="61" applyFont="1"/>
    <xf numFmtId="0" fontId="88" fillId="0" borderId="0" xfId="61" applyFont="1" applyAlignment="1">
      <alignment horizontal="left" vertical="center" wrapText="1"/>
    </xf>
    <xf numFmtId="0" fontId="92" fillId="0" borderId="61" xfId="61" applyFont="1" applyBorder="1" applyAlignment="1">
      <alignment horizontal="left" vertical="center" indent="1"/>
    </xf>
    <xf numFmtId="14" fontId="94" fillId="0" borderId="130" xfId="61" applyNumberFormat="1" applyFont="1" applyBorder="1" applyAlignment="1">
      <alignment horizontal="center" vertical="center" wrapText="1"/>
    </xf>
    <xf numFmtId="0" fontId="92" fillId="0" borderId="51" xfId="61" applyFont="1" applyBorder="1" applyAlignment="1">
      <alignment vertical="center"/>
    </xf>
    <xf numFmtId="0" fontId="92" fillId="0" borderId="52" xfId="61" applyFont="1" applyBorder="1" applyAlignment="1">
      <alignment vertical="center"/>
    </xf>
    <xf numFmtId="0" fontId="92" fillId="0" borderId="54" xfId="61" applyFont="1" applyBorder="1" applyAlignment="1">
      <alignment vertical="center"/>
    </xf>
    <xf numFmtId="0" fontId="92" fillId="0" borderId="0" xfId="61" applyFont="1" applyAlignment="1">
      <alignment vertical="center"/>
    </xf>
    <xf numFmtId="0" fontId="88" fillId="0" borderId="54" xfId="61" applyFont="1" applyBorder="1" applyAlignment="1">
      <alignment vertical="center"/>
    </xf>
    <xf numFmtId="0" fontId="96" fillId="0" borderId="0" xfId="61" applyFont="1" applyAlignment="1">
      <alignment vertical="center"/>
    </xf>
    <xf numFmtId="0" fontId="92" fillId="0" borderId="54" xfId="61" applyFont="1" applyBorder="1"/>
    <xf numFmtId="0" fontId="92" fillId="0" borderId="55" xfId="61" applyFont="1" applyBorder="1"/>
    <xf numFmtId="0" fontId="88" fillId="0" borderId="54" xfId="61" applyFont="1" applyBorder="1"/>
    <xf numFmtId="0" fontId="88" fillId="0" borderId="56" xfId="61" applyFont="1" applyBorder="1"/>
    <xf numFmtId="0" fontId="96" fillId="0" borderId="57" xfId="61" applyFont="1" applyBorder="1" applyAlignment="1">
      <alignment vertical="center"/>
    </xf>
    <xf numFmtId="0" fontId="88" fillId="0" borderId="51" xfId="61" applyFont="1" applyBorder="1" applyAlignment="1">
      <alignment horizontal="center" vertical="center"/>
    </xf>
    <xf numFmtId="0" fontId="88" fillId="0" borderId="52" xfId="61" applyFont="1" applyBorder="1" applyAlignment="1">
      <alignment horizontal="center" vertical="center"/>
    </xf>
    <xf numFmtId="49" fontId="8" fillId="0" borderId="97" xfId="31" applyNumberFormat="1" applyBorder="1" applyAlignment="1">
      <alignment horizontal="left" vertical="center"/>
    </xf>
    <xf numFmtId="4" fontId="8" fillId="0" borderId="38" xfId="31" applyNumberFormat="1" applyBorder="1" applyAlignment="1">
      <alignment horizontal="right" vertical="center"/>
    </xf>
    <xf numFmtId="49" fontId="8" fillId="0" borderId="38" xfId="31" applyNumberFormat="1" applyBorder="1" applyAlignment="1">
      <alignment horizontal="left" vertical="center" wrapText="1"/>
    </xf>
    <xf numFmtId="49" fontId="8" fillId="0" borderId="100" xfId="31" applyNumberFormat="1" applyBorder="1" applyAlignment="1">
      <alignment horizontal="left" vertical="center"/>
    </xf>
    <xf numFmtId="4" fontId="8" fillId="0" borderId="101" xfId="31" applyNumberFormat="1" applyBorder="1" applyAlignment="1">
      <alignment horizontal="right" vertical="center"/>
    </xf>
    <xf numFmtId="49" fontId="8" fillId="0" borderId="98" xfId="31" applyNumberFormat="1" applyBorder="1" applyAlignment="1">
      <alignment horizontal="right" vertical="center"/>
    </xf>
    <xf numFmtId="49" fontId="8" fillId="0" borderId="0" xfId="31" applyNumberFormat="1" applyAlignment="1">
      <alignment horizontal="right" vertical="center"/>
    </xf>
    <xf numFmtId="4" fontId="8" fillId="0" borderId="0" xfId="31" applyNumberFormat="1" applyAlignment="1">
      <alignment horizontal="right" vertical="center"/>
    </xf>
    <xf numFmtId="0" fontId="8" fillId="0" borderId="0" xfId="31" applyAlignment="1">
      <alignment vertical="center"/>
    </xf>
    <xf numFmtId="49" fontId="97" fillId="31" borderId="0" xfId="31" applyNumberFormat="1" applyFont="1" applyFill="1" applyAlignment="1">
      <alignment horizontal="right" vertical="center"/>
    </xf>
    <xf numFmtId="0" fontId="62" fillId="0" borderId="104" xfId="31" applyFont="1" applyBorder="1" applyAlignment="1">
      <alignment vertical="center"/>
    </xf>
    <xf numFmtId="0" fontId="62" fillId="0" borderId="105" xfId="31" applyFont="1" applyBorder="1" applyAlignment="1">
      <alignment vertical="center"/>
    </xf>
    <xf numFmtId="0" fontId="65" fillId="0" borderId="109" xfId="31" applyFont="1" applyBorder="1" applyAlignment="1">
      <alignment horizontal="left" vertical="top"/>
    </xf>
    <xf numFmtId="0" fontId="98" fillId="0" borderId="98" xfId="31" applyFont="1" applyBorder="1" applyAlignment="1">
      <alignment horizontal="left" vertical="top" wrapText="1"/>
    </xf>
    <xf numFmtId="0" fontId="98" fillId="0" borderId="98" xfId="31" applyFont="1" applyBorder="1" applyAlignment="1">
      <alignment horizontal="left" vertical="top"/>
    </xf>
    <xf numFmtId="49" fontId="8" fillId="0" borderId="99" xfId="31" applyNumberFormat="1" applyBorder="1" applyAlignment="1">
      <alignment horizontal="left" vertical="center"/>
    </xf>
    <xf numFmtId="0" fontId="8" fillId="0" borderId="98" xfId="31" applyBorder="1" applyAlignment="1">
      <alignment vertical="center"/>
    </xf>
    <xf numFmtId="4" fontId="66" fillId="34" borderId="57" xfId="0" applyNumberFormat="1" applyFont="1" applyFill="1" applyBorder="1" applyAlignment="1" applyProtection="1">
      <alignment horizontal="right" vertical="center"/>
      <protection locked="0"/>
    </xf>
    <xf numFmtId="0" fontId="99" fillId="36" borderId="39" xfId="59" applyFont="1" applyFill="1" applyBorder="1"/>
    <xf numFmtId="0" fontId="47" fillId="36" borderId="40" xfId="59" applyFont="1" applyFill="1" applyBorder="1"/>
    <xf numFmtId="4" fontId="100" fillId="36" borderId="39" xfId="59" applyNumberFormat="1" applyFont="1" applyFill="1" applyBorder="1" applyAlignment="1">
      <alignment vertical="center"/>
    </xf>
    <xf numFmtId="4" fontId="100" fillId="36" borderId="40" xfId="59" applyNumberFormat="1" applyFont="1" applyFill="1" applyBorder="1" applyAlignment="1">
      <alignment vertical="center"/>
    </xf>
    <xf numFmtId="4" fontId="100" fillId="36" borderId="39" xfId="59" applyNumberFormat="1" applyFont="1" applyFill="1" applyBorder="1" applyAlignment="1">
      <alignment horizontal="left" vertical="center" indent="1"/>
    </xf>
    <xf numFmtId="4" fontId="100" fillId="36" borderId="41" xfId="59" applyNumberFormat="1" applyFont="1" applyFill="1" applyBorder="1" applyAlignment="1">
      <alignment vertical="center"/>
    </xf>
    <xf numFmtId="0" fontId="99" fillId="0" borderId="0" xfId="59" applyFont="1"/>
    <xf numFmtId="0" fontId="100" fillId="0" borderId="0" xfId="59" applyFont="1" applyAlignment="1">
      <alignment horizontal="left" vertical="center"/>
    </xf>
    <xf numFmtId="4" fontId="100" fillId="0" borderId="0" xfId="59" applyNumberFormat="1" applyFont="1" applyAlignment="1">
      <alignment horizontal="right" vertical="center"/>
    </xf>
    <xf numFmtId="0" fontId="86" fillId="0" borderId="39" xfId="0" applyFont="1" applyBorder="1" applyAlignment="1">
      <alignment horizontal="center" vertical="center" wrapText="1"/>
    </xf>
    <xf numFmtId="0" fontId="86" fillId="0" borderId="40" xfId="0" applyFont="1" applyBorder="1" applyAlignment="1">
      <alignment horizontal="center" vertical="center"/>
    </xf>
    <xf numFmtId="0" fontId="86" fillId="0" borderId="41" xfId="0" applyFont="1" applyBorder="1" applyAlignment="1">
      <alignment horizontal="center" vertical="center"/>
    </xf>
    <xf numFmtId="0" fontId="79" fillId="0" borderId="0" xfId="0" applyFont="1" applyAlignment="1">
      <alignment horizontal="center" vertical="center"/>
    </xf>
    <xf numFmtId="0" fontId="80" fillId="0" borderId="127" xfId="0" applyFont="1" applyBorder="1" applyAlignment="1">
      <alignment horizontal="left" wrapText="1"/>
    </xf>
    <xf numFmtId="0" fontId="80" fillId="0" borderId="128" xfId="0" applyFont="1" applyBorder="1" applyAlignment="1">
      <alignment horizontal="left"/>
    </xf>
    <xf numFmtId="0" fontId="80" fillId="0" borderId="97" xfId="0" applyFont="1" applyBorder="1" applyAlignment="1">
      <alignment horizontal="left"/>
    </xf>
    <xf numFmtId="0" fontId="80" fillId="0" borderId="98" xfId="0" applyFont="1" applyBorder="1" applyAlignment="1">
      <alignment horizontal="left"/>
    </xf>
    <xf numFmtId="0" fontId="80" fillId="0" borderId="104" xfId="0" applyFont="1" applyBorder="1" applyAlignment="1">
      <alignment horizontal="left"/>
    </xf>
    <xf numFmtId="0" fontId="80" fillId="0" borderId="109" xfId="0" applyFont="1" applyBorder="1" applyAlignment="1">
      <alignment horizontal="left"/>
    </xf>
    <xf numFmtId="0" fontId="79" fillId="35" borderId="81" xfId="0" applyFont="1" applyFill="1" applyBorder="1" applyAlignment="1">
      <alignment horizontal="left" vertical="center" wrapText="1" indent="1"/>
    </xf>
    <xf numFmtId="0" fontId="79" fillId="35" borderId="53" xfId="0" applyFont="1" applyFill="1" applyBorder="1" applyAlignment="1">
      <alignment horizontal="left" vertical="center" wrapText="1" indent="1"/>
    </xf>
    <xf numFmtId="0" fontId="81" fillId="35" borderId="70" xfId="0" applyFont="1" applyFill="1" applyBorder="1" applyAlignment="1">
      <alignment horizontal="left" vertical="center" wrapText="1" indent="1"/>
    </xf>
    <xf numFmtId="0" fontId="81" fillId="35" borderId="85" xfId="0" applyFont="1" applyFill="1" applyBorder="1" applyAlignment="1">
      <alignment horizontal="left" vertical="center" indent="1"/>
    </xf>
    <xf numFmtId="0" fontId="82" fillId="0" borderId="100" xfId="0" applyFont="1" applyBorder="1" applyAlignment="1">
      <alignment horizontal="center" vertical="center" wrapText="1"/>
    </xf>
    <xf numFmtId="0" fontId="82" fillId="0" borderId="101" xfId="0" applyFont="1" applyBorder="1" applyAlignment="1">
      <alignment horizontal="center" vertical="center"/>
    </xf>
    <xf numFmtId="0" fontId="82" fillId="0" borderId="56" xfId="0" applyFont="1" applyBorder="1" applyAlignment="1">
      <alignment horizontal="center" vertical="center"/>
    </xf>
    <xf numFmtId="0" fontId="82" fillId="0" borderId="97" xfId="0" applyFont="1" applyBorder="1" applyAlignment="1">
      <alignment horizontal="center" vertical="center"/>
    </xf>
    <xf numFmtId="0" fontId="82" fillId="0" borderId="38" xfId="0" applyFont="1" applyBorder="1" applyAlignment="1">
      <alignment horizontal="center" vertical="center"/>
    </xf>
    <xf numFmtId="0" fontId="82" fillId="0" borderId="111" xfId="0" applyFont="1" applyBorder="1" applyAlignment="1">
      <alignment horizontal="center" vertical="center"/>
    </xf>
    <xf numFmtId="0" fontId="82" fillId="0" borderId="93" xfId="0" applyFont="1" applyBorder="1" applyAlignment="1">
      <alignment horizontal="center" vertical="center"/>
    </xf>
    <xf numFmtId="0" fontId="82" fillId="0" borderId="94" xfId="0" applyFont="1" applyBorder="1" applyAlignment="1">
      <alignment horizontal="center" vertical="center"/>
    </xf>
    <xf numFmtId="0" fontId="82" fillId="0" borderId="51" xfId="0" applyFont="1" applyBorder="1" applyAlignment="1">
      <alignment horizontal="center" vertical="center"/>
    </xf>
    <xf numFmtId="0" fontId="93" fillId="0" borderId="39" xfId="61" applyFont="1" applyBorder="1" applyAlignment="1">
      <alignment horizontal="center" vertical="center" wrapText="1"/>
    </xf>
    <xf numFmtId="0" fontId="93" fillId="0" borderId="40" xfId="61" applyFont="1" applyBorder="1" applyAlignment="1">
      <alignment horizontal="center" vertical="center" wrapText="1"/>
    </xf>
    <xf numFmtId="0" fontId="93" fillId="0" borderId="61" xfId="61" applyFont="1" applyBorder="1" applyAlignment="1">
      <alignment horizontal="left" vertical="center" wrapText="1" indent="1"/>
    </xf>
    <xf numFmtId="0" fontId="93" fillId="0" borderId="0" xfId="61" applyFont="1" applyAlignment="1">
      <alignment horizontal="left" vertical="center" wrapText="1" indent="1"/>
    </xf>
    <xf numFmtId="0" fontId="93" fillId="0" borderId="15" xfId="61" applyFont="1" applyBorder="1" applyAlignment="1">
      <alignment horizontal="left" vertical="center" wrapText="1" indent="1"/>
    </xf>
    <xf numFmtId="0" fontId="93" fillId="0" borderId="61" xfId="61" applyFont="1" applyBorder="1" applyAlignment="1">
      <alignment horizontal="left" indent="1"/>
    </xf>
    <xf numFmtId="0" fontId="93" fillId="0" borderId="0" xfId="61" applyFont="1" applyAlignment="1">
      <alignment horizontal="left" indent="1"/>
    </xf>
    <xf numFmtId="0" fontId="93" fillId="0" borderId="15" xfId="61" applyFont="1" applyBorder="1" applyAlignment="1">
      <alignment horizontal="left" indent="1"/>
    </xf>
    <xf numFmtId="0" fontId="93" fillId="0" borderId="58" xfId="61" applyFont="1" applyBorder="1" applyAlignment="1">
      <alignment horizontal="left" vertical="center" wrapText="1" indent="1"/>
    </xf>
    <xf numFmtId="0" fontId="93" fillId="0" borderId="59" xfId="61" applyFont="1" applyBorder="1" applyAlignment="1">
      <alignment horizontal="left" vertical="center" wrapText="1" indent="1"/>
    </xf>
    <xf numFmtId="0" fontId="93" fillId="0" borderId="60" xfId="61" applyFont="1" applyBorder="1" applyAlignment="1">
      <alignment horizontal="left" vertical="center" wrapText="1" indent="1"/>
    </xf>
    <xf numFmtId="0" fontId="88" fillId="0" borderId="0" xfId="61" applyFont="1" applyAlignment="1">
      <alignment horizontal="left" vertical="center" wrapText="1"/>
    </xf>
    <xf numFmtId="0" fontId="88" fillId="0" borderId="15" xfId="61" applyFont="1" applyBorder="1" applyAlignment="1">
      <alignment horizontal="left" vertical="center" wrapText="1"/>
    </xf>
    <xf numFmtId="0" fontId="92" fillId="0" borderId="0" xfId="61" applyFont="1" applyAlignment="1">
      <alignment horizontal="left" vertical="center" wrapText="1" indent="1"/>
    </xf>
    <xf numFmtId="0" fontId="92" fillId="0" borderId="15" xfId="61" applyFont="1" applyBorder="1" applyAlignment="1">
      <alignment horizontal="left" vertical="center" wrapText="1" indent="1"/>
    </xf>
    <xf numFmtId="0" fontId="88" fillId="0" borderId="66" xfId="61" applyFont="1" applyBorder="1" applyAlignment="1">
      <alignment horizontal="left" vertical="center" wrapText="1"/>
    </xf>
    <xf numFmtId="0" fontId="88" fillId="0" borderId="71" xfId="61" applyFont="1" applyBorder="1" applyAlignment="1">
      <alignment horizontal="left" vertical="center" wrapText="1"/>
    </xf>
    <xf numFmtId="49" fontId="88" fillId="0" borderId="0" xfId="61" applyNumberFormat="1" applyFont="1" applyAlignment="1">
      <alignment horizontal="left" indent="1"/>
    </xf>
    <xf numFmtId="0" fontId="88" fillId="0" borderId="58" xfId="61" applyFont="1" applyBorder="1" applyAlignment="1">
      <alignment horizontal="left" vertical="center" indent="1"/>
    </xf>
    <xf numFmtId="0" fontId="88" fillId="0" borderId="59" xfId="61" applyFont="1" applyBorder="1" applyAlignment="1">
      <alignment horizontal="left" vertical="center" indent="1"/>
    </xf>
    <xf numFmtId="0" fontId="88" fillId="0" borderId="61" xfId="61" applyFont="1" applyBorder="1" applyAlignment="1">
      <alignment horizontal="left" vertical="center" indent="1"/>
    </xf>
    <xf numFmtId="0" fontId="88" fillId="0" borderId="0" xfId="61" applyFont="1" applyAlignment="1">
      <alignment horizontal="left" vertical="center" indent="1"/>
    </xf>
    <xf numFmtId="0" fontId="89" fillId="0" borderId="59" xfId="61" applyFont="1" applyBorder="1" applyAlignment="1">
      <alignment horizontal="left" vertical="center" indent="1"/>
    </xf>
    <xf numFmtId="0" fontId="91" fillId="0" borderId="0" xfId="61" applyFont="1" applyAlignment="1">
      <alignment horizontal="left" vertical="center" indent="1"/>
    </xf>
    <xf numFmtId="0" fontId="88" fillId="0" borderId="61" xfId="61" applyFont="1" applyBorder="1" applyAlignment="1">
      <alignment horizontal="center"/>
    </xf>
    <xf numFmtId="0" fontId="88" fillId="0" borderId="0" xfId="61" applyFont="1" applyAlignment="1">
      <alignment horizontal="center"/>
    </xf>
    <xf numFmtId="0" fontId="88" fillId="0" borderId="15" xfId="61" applyFont="1" applyBorder="1" applyAlignment="1">
      <alignment horizontal="center"/>
    </xf>
    <xf numFmtId="0" fontId="88" fillId="0" borderId="0" xfId="61" applyFont="1" applyAlignment="1">
      <alignment horizontal="left" vertical="top" wrapText="1"/>
    </xf>
    <xf numFmtId="0" fontId="88" fillId="0" borderId="55" xfId="61" applyFont="1" applyBorder="1" applyAlignment="1">
      <alignment horizontal="left" vertical="top" wrapText="1"/>
    </xf>
    <xf numFmtId="0" fontId="88" fillId="0" borderId="57" xfId="61" applyFont="1" applyBorder="1" applyAlignment="1">
      <alignment horizontal="left" vertical="top" wrapText="1"/>
    </xf>
    <xf numFmtId="0" fontId="88" fillId="0" borderId="37" xfId="61" applyFont="1" applyBorder="1" applyAlignment="1">
      <alignment horizontal="left" vertical="top" wrapText="1"/>
    </xf>
    <xf numFmtId="0" fontId="93" fillId="0" borderId="0" xfId="61" applyFont="1" applyAlignment="1">
      <alignment horizontal="left"/>
    </xf>
    <xf numFmtId="0" fontId="95" fillId="0" borderId="52" xfId="61" applyFont="1" applyBorder="1" applyAlignment="1">
      <alignment horizontal="left" vertical="top" wrapText="1"/>
    </xf>
    <xf numFmtId="0" fontId="95" fillId="0" borderId="53" xfId="61" applyFont="1" applyBorder="1" applyAlignment="1">
      <alignment horizontal="left" vertical="top" wrapText="1"/>
    </xf>
    <xf numFmtId="0" fontId="92" fillId="0" borderId="0" xfId="61" applyFont="1" applyAlignment="1">
      <alignment horizontal="left" vertical="top" wrapText="1"/>
    </xf>
    <xf numFmtId="0" fontId="92" fillId="0" borderId="55" xfId="61" applyFont="1" applyBorder="1" applyAlignment="1">
      <alignment horizontal="left" vertical="top" wrapText="1"/>
    </xf>
    <xf numFmtId="0" fontId="88" fillId="0" borderId="55" xfId="61" applyFont="1" applyBorder="1" applyAlignment="1">
      <alignment horizontal="left" vertical="center" wrapText="1"/>
    </xf>
    <xf numFmtId="0" fontId="88" fillId="0" borderId="57" xfId="61" applyFont="1" applyBorder="1" applyAlignment="1">
      <alignment horizontal="left" vertical="center" wrapText="1"/>
    </xf>
    <xf numFmtId="0" fontId="88" fillId="0" borderId="37" xfId="61" applyFont="1" applyBorder="1" applyAlignment="1">
      <alignment horizontal="left" vertical="center" wrapText="1"/>
    </xf>
    <xf numFmtId="0" fontId="92" fillId="0" borderId="52" xfId="61" applyFont="1" applyBorder="1" applyAlignment="1">
      <alignment horizontal="left" vertical="top" wrapText="1"/>
    </xf>
    <xf numFmtId="0" fontId="92" fillId="0" borderId="53" xfId="61" applyFont="1" applyBorder="1" applyAlignment="1">
      <alignment horizontal="left" vertical="top" wrapText="1"/>
    </xf>
    <xf numFmtId="49" fontId="33" fillId="0" borderId="83" xfId="35" applyNumberFormat="1" applyFont="1" applyBorder="1" applyAlignment="1">
      <alignment horizontal="center" vertical="center"/>
    </xf>
    <xf numFmtId="49" fontId="33" fillId="0" borderId="17" xfId="35" applyNumberFormat="1" applyFont="1" applyBorder="1" applyAlignment="1">
      <alignment horizontal="center" vertical="center"/>
    </xf>
    <xf numFmtId="49" fontId="33" fillId="0" borderId="36" xfId="35" applyNumberFormat="1" applyFont="1" applyBorder="1" applyAlignment="1">
      <alignment horizontal="center" vertical="center"/>
    </xf>
    <xf numFmtId="49" fontId="25" fillId="29" borderId="39" xfId="35" applyNumberFormat="1" applyFont="1" applyFill="1" applyBorder="1" applyAlignment="1">
      <alignment horizontal="left" vertical="center" indent="1"/>
    </xf>
    <xf numFmtId="49" fontId="25" fillId="29" borderId="40" xfId="35" applyNumberFormat="1" applyFont="1" applyFill="1" applyBorder="1" applyAlignment="1">
      <alignment horizontal="left" vertical="center" indent="1"/>
    </xf>
    <xf numFmtId="49" fontId="25" fillId="29" borderId="41" xfId="35" applyNumberFormat="1" applyFont="1" applyFill="1" applyBorder="1" applyAlignment="1">
      <alignment horizontal="left" vertical="center" indent="1"/>
    </xf>
    <xf numFmtId="0" fontId="17" fillId="0" borderId="0" xfId="35" applyAlignment="1">
      <alignment horizontal="left" indent="1"/>
    </xf>
    <xf numFmtId="0" fontId="26" fillId="0" borderId="0" xfId="35" applyFont="1" applyAlignment="1">
      <alignment horizontal="left" wrapText="1" indent="1"/>
    </xf>
    <xf numFmtId="0" fontId="26" fillId="25" borderId="18" xfId="35" applyFont="1" applyFill="1" applyBorder="1" applyAlignment="1">
      <alignment horizontal="center" vertical="center" wrapText="1"/>
    </xf>
    <xf numFmtId="0" fontId="26" fillId="25" borderId="19" xfId="35" applyFont="1" applyFill="1" applyBorder="1" applyAlignment="1">
      <alignment horizontal="center" vertical="center" wrapText="1"/>
    </xf>
    <xf numFmtId="0" fontId="26" fillId="25" borderId="20" xfId="35" applyFont="1" applyFill="1" applyBorder="1" applyAlignment="1">
      <alignment horizontal="center" vertical="center" wrapText="1"/>
    </xf>
    <xf numFmtId="0" fontId="26" fillId="25" borderId="21" xfId="35" applyFont="1" applyFill="1" applyBorder="1" applyAlignment="1">
      <alignment horizontal="center" vertical="center" wrapText="1"/>
    </xf>
    <xf numFmtId="0" fontId="26" fillId="25" borderId="0" xfId="35" applyFont="1" applyFill="1" applyAlignment="1">
      <alignment horizontal="center" vertical="center" wrapText="1"/>
    </xf>
    <xf numFmtId="0" fontId="26" fillId="25" borderId="22" xfId="35" applyFont="1" applyFill="1" applyBorder="1" applyAlignment="1">
      <alignment horizontal="center" vertical="center" wrapText="1"/>
    </xf>
    <xf numFmtId="0" fontId="26" fillId="25" borderId="23" xfId="35" applyFont="1" applyFill="1" applyBorder="1" applyAlignment="1">
      <alignment horizontal="center" vertical="center" wrapText="1"/>
    </xf>
    <xf numFmtId="0" fontId="26" fillId="25" borderId="24" xfId="35" applyFont="1" applyFill="1" applyBorder="1" applyAlignment="1">
      <alignment horizontal="center" vertical="center" wrapText="1"/>
    </xf>
    <xf numFmtId="0" fontId="26" fillId="25" borderId="25" xfId="35" applyFont="1" applyFill="1" applyBorder="1" applyAlignment="1">
      <alignment horizontal="center" vertical="center" wrapText="1"/>
    </xf>
    <xf numFmtId="0" fontId="26" fillId="0" borderId="27" xfId="35" applyFont="1" applyBorder="1" applyAlignment="1">
      <alignment horizontal="left" vertical="center" wrapText="1" indent="1"/>
    </xf>
    <xf numFmtId="0" fontId="25" fillId="0" borderId="0" xfId="35" applyFont="1" applyAlignment="1">
      <alignment horizontal="center"/>
    </xf>
    <xf numFmtId="0" fontId="17" fillId="0" borderId="0" xfId="35" applyAlignment="1">
      <alignment horizontal="left" wrapText="1" indent="1"/>
    </xf>
    <xf numFmtId="49" fontId="63" fillId="32" borderId="114" xfId="31" applyNumberFormat="1" applyFont="1" applyFill="1" applyBorder="1" applyAlignment="1">
      <alignment horizontal="center" vertical="center"/>
    </xf>
    <xf numFmtId="0" fontId="63" fillId="32" borderId="57" xfId="31" applyFont="1" applyFill="1" applyBorder="1" applyAlignment="1">
      <alignment horizontal="center" vertical="center"/>
    </xf>
    <xf numFmtId="0" fontId="63" fillId="32" borderId="115" xfId="31" applyFont="1" applyFill="1" applyBorder="1" applyAlignment="1">
      <alignment horizontal="center" vertical="center"/>
    </xf>
    <xf numFmtId="49" fontId="63" fillId="31" borderId="78" xfId="31" applyNumberFormat="1" applyFont="1" applyFill="1" applyBorder="1" applyAlignment="1">
      <alignment horizontal="left" vertical="center" indent="1"/>
    </xf>
    <xf numFmtId="49" fontId="63" fillId="31" borderId="79" xfId="31" applyNumberFormat="1" applyFont="1" applyFill="1" applyBorder="1" applyAlignment="1">
      <alignment horizontal="left" vertical="center" indent="1"/>
    </xf>
    <xf numFmtId="49" fontId="63" fillId="31" borderId="80" xfId="31" applyNumberFormat="1" applyFont="1" applyFill="1" applyBorder="1" applyAlignment="1">
      <alignment horizontal="left" vertical="center" indent="1"/>
    </xf>
    <xf numFmtId="49" fontId="63" fillId="31" borderId="116" xfId="31" applyNumberFormat="1" applyFont="1" applyFill="1" applyBorder="1" applyAlignment="1">
      <alignment horizontal="left" vertical="center" indent="1"/>
    </xf>
    <xf numFmtId="49" fontId="63" fillId="31" borderId="117" xfId="31" applyNumberFormat="1" applyFont="1" applyFill="1" applyBorder="1" applyAlignment="1">
      <alignment horizontal="left" vertical="center" indent="1"/>
    </xf>
    <xf numFmtId="49" fontId="63" fillId="31" borderId="119" xfId="31" applyNumberFormat="1" applyFont="1" applyFill="1" applyBorder="1" applyAlignment="1">
      <alignment horizontal="left" vertical="center" indent="1"/>
    </xf>
    <xf numFmtId="0" fontId="63" fillId="0" borderId="0" xfId="31" applyFont="1" applyAlignment="1">
      <alignment horizontal="left" vertical="center" wrapText="1"/>
    </xf>
    <xf numFmtId="0" fontId="63" fillId="0" borderId="0" xfId="31" applyFont="1" applyAlignment="1">
      <alignment horizontal="left" vertical="center"/>
    </xf>
    <xf numFmtId="0" fontId="65" fillId="0" borderId="111" xfId="31" applyFont="1" applyBorder="1" applyAlignment="1">
      <alignment horizontal="left" vertical="center" wrapText="1"/>
    </xf>
    <xf numFmtId="0" fontId="65" fillId="0" borderId="112" xfId="31" applyFont="1" applyBorder="1" applyAlignment="1">
      <alignment horizontal="left" vertical="center" wrapText="1"/>
    </xf>
    <xf numFmtId="0" fontId="65" fillId="0" borderId="113" xfId="31" applyFont="1" applyBorder="1" applyAlignment="1">
      <alignment horizontal="left" vertical="center" wrapText="1"/>
    </xf>
    <xf numFmtId="49" fontId="63" fillId="0" borderId="78" xfId="31" applyNumberFormat="1" applyFont="1" applyBorder="1" applyAlignment="1">
      <alignment horizontal="center" vertical="center"/>
    </xf>
    <xf numFmtId="0" fontId="63" fillId="0" borderId="79" xfId="31" applyFont="1" applyBorder="1" applyAlignment="1">
      <alignment horizontal="center" vertical="center"/>
    </xf>
    <xf numFmtId="0" fontId="63" fillId="0" borderId="80" xfId="31" applyFont="1" applyBorder="1" applyAlignment="1">
      <alignment horizontal="center" vertical="center"/>
    </xf>
    <xf numFmtId="0" fontId="65" fillId="0" borderId="131" xfId="31" applyFont="1" applyBorder="1" applyAlignment="1">
      <alignment horizontal="left" vertical="center" wrapText="1"/>
    </xf>
    <xf numFmtId="0" fontId="65" fillId="0" borderId="117" xfId="31" applyFont="1" applyBorder="1" applyAlignment="1">
      <alignment horizontal="left" vertical="center" wrapText="1"/>
    </xf>
    <xf numFmtId="0" fontId="65" fillId="0" borderId="118" xfId="31" applyFont="1" applyBorder="1" applyAlignment="1">
      <alignment horizontal="left" vertical="center" wrapText="1"/>
    </xf>
    <xf numFmtId="0" fontId="65" fillId="0" borderId="94" xfId="31" applyFont="1" applyBorder="1" applyAlignment="1">
      <alignment horizontal="left" vertical="center" wrapText="1"/>
    </xf>
    <xf numFmtId="0" fontId="65" fillId="0" borderId="38" xfId="31" applyFont="1" applyBorder="1" applyAlignment="1">
      <alignment horizontal="left" vertical="center" wrapText="1"/>
    </xf>
    <xf numFmtId="0" fontId="65" fillId="0" borderId="38" xfId="31" applyFont="1" applyBorder="1" applyAlignment="1">
      <alignment horizontal="left" vertical="top" wrapText="1"/>
    </xf>
    <xf numFmtId="0" fontId="65" fillId="0" borderId="38" xfId="31" applyFont="1" applyBorder="1" applyAlignment="1">
      <alignment horizontal="left" vertical="top"/>
    </xf>
    <xf numFmtId="0" fontId="65" fillId="0" borderId="98" xfId="31" applyFont="1" applyBorder="1" applyAlignment="1">
      <alignment horizontal="left" vertical="top"/>
    </xf>
    <xf numFmtId="0" fontId="65" fillId="0" borderId="105" xfId="31" applyFont="1" applyBorder="1" applyAlignment="1">
      <alignment horizontal="left" vertical="top" wrapText="1"/>
    </xf>
    <xf numFmtId="0" fontId="62" fillId="0" borderId="54" xfId="31" applyFont="1" applyBorder="1" applyAlignment="1">
      <alignment horizontal="left" vertical="center" wrapText="1"/>
    </xf>
    <xf numFmtId="0" fontId="62" fillId="0" borderId="0" xfId="31" applyFont="1" applyAlignment="1">
      <alignment horizontal="left" vertical="center"/>
    </xf>
    <xf numFmtId="0" fontId="62" fillId="0" borderId="84" xfId="31" applyFont="1" applyBorder="1" applyAlignment="1">
      <alignment horizontal="left" vertical="center"/>
    </xf>
    <xf numFmtId="0" fontId="62" fillId="0" borderId="66" xfId="31" applyFont="1" applyBorder="1" applyAlignment="1">
      <alignment horizontal="left" vertical="center"/>
    </xf>
    <xf numFmtId="0" fontId="62" fillId="0" borderId="0" xfId="31" applyFont="1" applyAlignment="1">
      <alignment horizontal="left" vertical="center" wrapText="1"/>
    </xf>
    <xf numFmtId="49" fontId="62" fillId="0" borderId="0" xfId="31" applyNumberFormat="1" applyFont="1" applyAlignment="1">
      <alignment horizontal="left" vertical="center"/>
    </xf>
    <xf numFmtId="49" fontId="8" fillId="0" borderId="0" xfId="31" applyNumberFormat="1" applyAlignment="1">
      <alignment horizontal="left" vertical="center"/>
    </xf>
    <xf numFmtId="49" fontId="8" fillId="0" borderId="66" xfId="31" applyNumberFormat="1" applyBorder="1" applyAlignment="1">
      <alignment horizontal="left" vertical="center"/>
    </xf>
    <xf numFmtId="0" fontId="62" fillId="0" borderId="55" xfId="31" applyFont="1" applyBorder="1" applyAlignment="1">
      <alignment horizontal="left" vertical="center"/>
    </xf>
    <xf numFmtId="0" fontId="62" fillId="0" borderId="85" xfId="31" applyFont="1" applyBorder="1" applyAlignment="1">
      <alignment horizontal="left" vertical="center"/>
    </xf>
    <xf numFmtId="0" fontId="64" fillId="0" borderId="59" xfId="31" applyFont="1" applyBorder="1" applyAlignment="1">
      <alignment horizontal="left"/>
    </xf>
    <xf numFmtId="0" fontId="62" fillId="0" borderId="54" xfId="31" applyFont="1" applyBorder="1" applyAlignment="1">
      <alignment horizontal="left" vertical="center"/>
    </xf>
    <xf numFmtId="14" fontId="8" fillId="0" borderId="0" xfId="31" applyNumberFormat="1" applyAlignment="1">
      <alignment horizontal="left" vertical="center"/>
    </xf>
    <xf numFmtId="0" fontId="8" fillId="0" borderId="0" xfId="31" applyAlignment="1">
      <alignment horizontal="left" vertical="center"/>
    </xf>
    <xf numFmtId="49" fontId="61" fillId="0" borderId="57" xfId="31" applyNumberFormat="1" applyFont="1" applyBorder="1" applyAlignment="1">
      <alignment horizontal="center" vertical="center"/>
    </xf>
    <xf numFmtId="0" fontId="61" fillId="0" borderId="57" xfId="31" applyFont="1" applyBorder="1" applyAlignment="1">
      <alignment horizontal="center" vertical="center"/>
    </xf>
    <xf numFmtId="0" fontId="62" fillId="0" borderId="51" xfId="31" applyFont="1" applyBorder="1" applyAlignment="1">
      <alignment horizontal="left" vertical="center" wrapText="1"/>
    </xf>
    <xf numFmtId="0" fontId="62" fillId="0" borderId="52" xfId="31" applyFont="1" applyBorder="1" applyAlignment="1">
      <alignment horizontal="left" vertical="center"/>
    </xf>
    <xf numFmtId="0" fontId="63" fillId="0" borderId="52" xfId="31" applyFont="1" applyBorder="1" applyAlignment="1">
      <alignment horizontal="left" vertical="center" wrapText="1"/>
    </xf>
    <xf numFmtId="49" fontId="62" fillId="0" borderId="52" xfId="31" applyNumberFormat="1" applyFont="1" applyBorder="1" applyAlignment="1">
      <alignment horizontal="left" vertical="center"/>
    </xf>
    <xf numFmtId="49" fontId="62" fillId="0" borderId="52" xfId="31" applyNumberFormat="1" applyFont="1" applyBorder="1" applyAlignment="1">
      <alignment horizontal="left" vertical="center" wrapText="1"/>
    </xf>
    <xf numFmtId="0" fontId="62" fillId="0" borderId="52" xfId="31" applyFont="1" applyBorder="1" applyAlignment="1">
      <alignment horizontal="left" vertical="center" wrapText="1"/>
    </xf>
    <xf numFmtId="0" fontId="62" fillId="0" borderId="53" xfId="31" applyFont="1" applyBorder="1" applyAlignment="1">
      <alignment horizontal="left" vertical="center"/>
    </xf>
    <xf numFmtId="0" fontId="75" fillId="0" borderId="61" xfId="59" applyFont="1" applyBorder="1" applyAlignment="1">
      <alignment horizontal="left" vertical="center" wrapText="1"/>
    </xf>
    <xf numFmtId="0" fontId="75" fillId="0" borderId="0" xfId="59" applyFont="1" applyAlignment="1">
      <alignment horizontal="left" vertical="center"/>
    </xf>
    <xf numFmtId="0" fontId="75" fillId="0" borderId="61" xfId="59" applyFont="1" applyBorder="1" applyAlignment="1">
      <alignment horizontal="left" vertical="center"/>
    </xf>
    <xf numFmtId="0" fontId="75" fillId="0" borderId="0" xfId="59" applyFont="1" applyAlignment="1">
      <alignment horizontal="left" vertical="center" wrapText="1"/>
    </xf>
    <xf numFmtId="0" fontId="49" fillId="0" borderId="0" xfId="58" applyNumberFormat="1" applyFont="1" applyFill="1" applyBorder="1" applyAlignment="1" applyProtection="1">
      <alignment horizontal="center" vertical="center"/>
    </xf>
    <xf numFmtId="0" fontId="73" fillId="0" borderId="39" xfId="59" applyFont="1" applyBorder="1" applyAlignment="1">
      <alignment horizontal="center" vertical="center"/>
    </xf>
    <xf numFmtId="0" fontId="73" fillId="0" borderId="40" xfId="59" applyFont="1" applyBorder="1" applyAlignment="1">
      <alignment horizontal="center" vertical="center"/>
    </xf>
    <xf numFmtId="0" fontId="73" fillId="0" borderId="41" xfId="59" applyFont="1" applyBorder="1" applyAlignment="1">
      <alignment horizontal="center" vertical="center"/>
    </xf>
    <xf numFmtId="0" fontId="74" fillId="0" borderId="0" xfId="59" applyFont="1" applyAlignment="1">
      <alignment horizontal="left" vertical="center" wrapText="1"/>
    </xf>
    <xf numFmtId="0" fontId="74" fillId="0" borderId="0" xfId="59" applyFont="1" applyAlignment="1">
      <alignment horizontal="left" vertical="center"/>
    </xf>
    <xf numFmtId="0" fontId="74" fillId="0" borderId="66" xfId="59" applyFont="1" applyBorder="1" applyAlignment="1">
      <alignment horizontal="left" vertical="center"/>
    </xf>
    <xf numFmtId="0" fontId="74" fillId="0" borderId="65" xfId="59" applyFont="1" applyBorder="1" applyAlignment="1">
      <alignment horizontal="left" vertical="center"/>
    </xf>
    <xf numFmtId="0" fontId="76" fillId="0" borderId="0" xfId="59" applyFont="1" applyAlignment="1">
      <alignment horizontal="left" vertical="center" wrapText="1"/>
    </xf>
    <xf numFmtId="0" fontId="76" fillId="0" borderId="0" xfId="59" applyFont="1" applyAlignment="1">
      <alignment horizontal="left" vertical="center"/>
    </xf>
    <xf numFmtId="0" fontId="76" fillId="0" borderId="55" xfId="59" applyFont="1" applyBorder="1" applyAlignment="1">
      <alignment horizontal="left" vertical="center"/>
    </xf>
    <xf numFmtId="0" fontId="75" fillId="0" borderId="66" xfId="59" applyFont="1" applyBorder="1" applyAlignment="1">
      <alignment horizontal="left" vertical="center"/>
    </xf>
    <xf numFmtId="0" fontId="49" fillId="0" borderId="66" xfId="58" applyNumberFormat="1" applyFont="1" applyFill="1" applyBorder="1" applyAlignment="1" applyProtection="1">
      <alignment horizontal="center" vertical="center"/>
    </xf>
    <xf numFmtId="0" fontId="74" fillId="0" borderId="121" xfId="59" applyFont="1" applyBorder="1" applyAlignment="1">
      <alignment horizontal="left" vertical="center"/>
    </xf>
    <xf numFmtId="0" fontId="74" fillId="0" borderId="120" xfId="59" applyFont="1" applyBorder="1" applyAlignment="1">
      <alignment horizontal="left" vertical="center"/>
    </xf>
    <xf numFmtId="0" fontId="74" fillId="0" borderId="122" xfId="59" applyFont="1" applyBorder="1" applyAlignment="1">
      <alignment horizontal="center" vertical="center"/>
    </xf>
    <xf numFmtId="0" fontId="74" fillId="0" borderId="123" xfId="59" applyFont="1" applyBorder="1" applyAlignment="1">
      <alignment horizontal="center" vertical="center"/>
    </xf>
    <xf numFmtId="0" fontId="74" fillId="0" borderId="124" xfId="59" applyFont="1" applyBorder="1" applyAlignment="1">
      <alignment horizontal="center" vertical="center"/>
    </xf>
    <xf numFmtId="0" fontId="76" fillId="0" borderId="57" xfId="59" applyFont="1" applyBorder="1" applyAlignment="1">
      <alignment horizontal="left" vertical="center" wrapText="1"/>
    </xf>
    <xf numFmtId="0" fontId="76" fillId="0" borderId="57" xfId="59" applyFont="1" applyBorder="1" applyAlignment="1">
      <alignment horizontal="left" vertical="center"/>
    </xf>
    <xf numFmtId="0" fontId="76" fillId="0" borderId="37" xfId="59" applyFont="1" applyBorder="1" applyAlignment="1">
      <alignment horizontal="left" vertical="center"/>
    </xf>
    <xf numFmtId="0" fontId="75" fillId="0" borderId="52" xfId="59" applyFont="1" applyBorder="1" applyAlignment="1">
      <alignment horizontal="left" vertical="center" wrapText="1"/>
    </xf>
    <xf numFmtId="0" fontId="75" fillId="0" borderId="52" xfId="59" applyFont="1" applyBorder="1" applyAlignment="1">
      <alignment horizontal="left" vertical="center"/>
    </xf>
    <xf numFmtId="0" fontId="74" fillId="0" borderId="52" xfId="59" applyFont="1" applyBorder="1" applyAlignment="1">
      <alignment horizontal="left" vertical="center" wrapText="1"/>
    </xf>
    <xf numFmtId="0" fontId="74" fillId="0" borderId="52" xfId="59" applyFont="1" applyBorder="1" applyAlignment="1">
      <alignment horizontal="left" vertical="center"/>
    </xf>
    <xf numFmtId="0" fontId="75" fillId="0" borderId="57" xfId="59" applyFont="1" applyBorder="1" applyAlignment="1">
      <alignment horizontal="left" vertical="center" wrapText="1"/>
    </xf>
    <xf numFmtId="0" fontId="75" fillId="0" borderId="57" xfId="59" applyFont="1" applyBorder="1" applyAlignment="1">
      <alignment horizontal="left" vertical="center"/>
    </xf>
    <xf numFmtId="0" fontId="55" fillId="0" borderId="0" xfId="58" applyNumberFormat="1" applyFont="1" applyFill="1" applyBorder="1" applyAlignment="1" applyProtection="1">
      <alignment horizontal="left" vertical="center" wrapText="1"/>
    </xf>
    <xf numFmtId="0" fontId="55" fillId="0" borderId="0" xfId="58" applyNumberFormat="1" applyFont="1" applyFill="1" applyBorder="1" applyAlignment="1" applyProtection="1">
      <alignment horizontal="left" vertical="center"/>
    </xf>
    <xf numFmtId="0" fontId="49" fillId="0" borderId="0" xfId="58" applyNumberFormat="1" applyFont="1" applyFill="1" applyBorder="1" applyAlignment="1" applyProtection="1">
      <alignment horizontal="left" vertical="center" wrapText="1"/>
    </xf>
    <xf numFmtId="0" fontId="49" fillId="0" borderId="15" xfId="58" applyNumberFormat="1" applyFont="1" applyFill="1" applyBorder="1" applyAlignment="1" applyProtection="1">
      <alignment horizontal="left" vertical="center" wrapText="1"/>
    </xf>
    <xf numFmtId="0" fontId="49" fillId="0" borderId="66" xfId="58" applyNumberFormat="1" applyFont="1" applyFill="1" applyBorder="1" applyAlignment="1" applyProtection="1">
      <alignment horizontal="left" vertical="center" wrapText="1"/>
    </xf>
    <xf numFmtId="0" fontId="49" fillId="0" borderId="71" xfId="58" applyNumberFormat="1" applyFont="1" applyFill="1" applyBorder="1" applyAlignment="1" applyProtection="1">
      <alignment horizontal="left" vertical="center" wrapText="1"/>
    </xf>
    <xf numFmtId="0" fontId="74" fillId="0" borderId="59" xfId="59" applyFont="1" applyBorder="1" applyAlignment="1">
      <alignment horizontal="left" vertical="center"/>
    </xf>
    <xf numFmtId="0" fontId="74" fillId="0" borderId="74" xfId="59" applyFont="1" applyBorder="1" applyAlignment="1">
      <alignment horizontal="left" vertical="center"/>
    </xf>
    <xf numFmtId="0" fontId="74" fillId="0" borderId="75" xfId="59" applyFont="1" applyBorder="1" applyAlignment="1">
      <alignment horizontal="center" vertical="center"/>
    </xf>
    <xf numFmtId="0" fontId="74" fillId="0" borderId="72" xfId="59" applyFont="1" applyBorder="1" applyAlignment="1">
      <alignment horizontal="center" vertical="center"/>
    </xf>
    <xf numFmtId="0" fontId="74" fillId="0" borderId="76" xfId="59" applyFont="1" applyBorder="1" applyAlignment="1">
      <alignment horizontal="center" vertical="center"/>
    </xf>
    <xf numFmtId="0" fontId="46" fillId="0" borderId="78" xfId="58" applyNumberFormat="1" applyFont="1" applyFill="1" applyBorder="1" applyAlignment="1" applyProtection="1">
      <alignment horizontal="center" vertical="center"/>
    </xf>
    <xf numFmtId="0" fontId="46" fillId="0" borderId="79" xfId="58" applyNumberFormat="1" applyFont="1" applyFill="1" applyBorder="1" applyAlignment="1" applyProtection="1">
      <alignment horizontal="center" vertical="center"/>
    </xf>
    <xf numFmtId="0" fontId="46" fillId="0" borderId="80" xfId="58" applyNumberFormat="1" applyFont="1" applyFill="1" applyBorder="1" applyAlignment="1" applyProtection="1">
      <alignment horizontal="center" vertical="center"/>
    </xf>
    <xf numFmtId="0" fontId="49" fillId="0" borderId="61" xfId="58" applyNumberFormat="1" applyFont="1" applyFill="1" applyBorder="1" applyAlignment="1" applyProtection="1">
      <alignment horizontal="left" vertical="center" wrapText="1"/>
    </xf>
    <xf numFmtId="0" fontId="48" fillId="0" borderId="0" xfId="58" applyNumberFormat="1" applyFont="1" applyFill="1" applyBorder="1" applyAlignment="1" applyProtection="1">
      <alignment horizontal="left" vertical="center" wrapText="1"/>
    </xf>
    <xf numFmtId="0" fontId="49" fillId="0" borderId="0" xfId="58" applyNumberFormat="1" applyFont="1" applyFill="1" applyBorder="1" applyAlignment="1" applyProtection="1">
      <alignment horizontal="left" vertical="center"/>
    </xf>
    <xf numFmtId="0" fontId="48" fillId="0" borderId="59" xfId="58" applyNumberFormat="1" applyFont="1" applyFill="1" applyBorder="1" applyAlignment="1" applyProtection="1">
      <alignment horizontal="left" vertical="center"/>
    </xf>
    <xf numFmtId="0" fontId="48" fillId="0" borderId="74" xfId="58" applyNumberFormat="1" applyFont="1" applyFill="1" applyBorder="1" applyAlignment="1" applyProtection="1">
      <alignment horizontal="left" vertical="center"/>
    </xf>
    <xf numFmtId="0" fontId="48" fillId="0" borderId="75" xfId="58" applyNumberFormat="1" applyFont="1" applyFill="1" applyBorder="1" applyAlignment="1" applyProtection="1">
      <alignment horizontal="center" vertical="center"/>
    </xf>
    <xf numFmtId="0" fontId="48" fillId="0" borderId="72" xfId="58" applyNumberFormat="1" applyFont="1" applyFill="1" applyBorder="1" applyAlignment="1" applyProtection="1">
      <alignment horizontal="center" vertical="center"/>
    </xf>
    <xf numFmtId="0" fontId="48" fillId="0" borderId="76" xfId="58" applyNumberFormat="1" applyFont="1" applyFill="1" applyBorder="1" applyAlignment="1" applyProtection="1">
      <alignment horizontal="center" vertical="center"/>
    </xf>
    <xf numFmtId="0" fontId="48" fillId="0" borderId="0" xfId="58" applyNumberFormat="1" applyFont="1" applyFill="1" applyBorder="1" applyAlignment="1" applyProtection="1">
      <alignment horizontal="left" vertical="center"/>
    </xf>
    <xf numFmtId="0" fontId="48" fillId="0" borderId="45" xfId="58" applyNumberFormat="1" applyFont="1" applyFill="1" applyBorder="1" applyAlignment="1" applyProtection="1">
      <alignment horizontal="left" vertical="center"/>
    </xf>
    <xf numFmtId="0" fontId="48" fillId="0" borderId="52" xfId="58" applyNumberFormat="1" applyFont="1" applyFill="1" applyBorder="1" applyAlignment="1" applyProtection="1">
      <alignment horizontal="left" vertical="center" wrapText="1"/>
    </xf>
    <xf numFmtId="0" fontId="48" fillId="0" borderId="52" xfId="58" applyNumberFormat="1" applyFont="1" applyFill="1" applyBorder="1" applyAlignment="1" applyProtection="1">
      <alignment horizontal="left" vertical="center"/>
    </xf>
    <xf numFmtId="0" fontId="49" fillId="0" borderId="70" xfId="58" applyNumberFormat="1" applyFont="1" applyFill="1" applyBorder="1" applyAlignment="1" applyProtection="1">
      <alignment horizontal="left" vertical="center" wrapText="1"/>
    </xf>
    <xf numFmtId="0" fontId="49" fillId="0" borderId="66" xfId="58" applyNumberFormat="1" applyFont="1" applyFill="1" applyBorder="1" applyAlignment="1" applyProtection="1">
      <alignment horizontal="left" vertical="center"/>
    </xf>
    <xf numFmtId="0" fontId="54" fillId="0" borderId="0" xfId="58" applyNumberFormat="1" applyFont="1" applyFill="1" applyBorder="1" applyAlignment="1" applyProtection="1">
      <alignment horizontal="left" vertical="center" wrapText="1"/>
    </xf>
    <xf numFmtId="0" fontId="54" fillId="0" borderId="15" xfId="58" applyNumberFormat="1" applyFont="1" applyFill="1" applyBorder="1" applyAlignment="1" applyProtection="1">
      <alignment horizontal="left" vertical="center" wrapText="1"/>
    </xf>
    <xf numFmtId="0" fontId="54" fillId="0" borderId="66" xfId="58" applyNumberFormat="1" applyFont="1" applyFill="1" applyBorder="1" applyAlignment="1" applyProtection="1">
      <alignment horizontal="left" vertical="center" wrapText="1"/>
    </xf>
    <xf numFmtId="0" fontId="54" fillId="0" borderId="71" xfId="58" applyNumberFormat="1" applyFont="1" applyFill="1" applyBorder="1" applyAlignment="1" applyProtection="1">
      <alignment horizontal="left" vertical="center" wrapText="1"/>
    </xf>
    <xf numFmtId="0" fontId="50" fillId="0" borderId="0" xfId="58" applyNumberFormat="1" applyFont="1" applyFill="1" applyBorder="1" applyAlignment="1" applyProtection="1">
      <alignment horizontal="left" vertical="center" wrapText="1"/>
    </xf>
    <xf numFmtId="0" fontId="50" fillId="0" borderId="0" xfId="58" applyNumberFormat="1" applyFont="1" applyFill="1" applyBorder="1" applyAlignment="1" applyProtection="1">
      <alignment horizontal="left" vertical="center"/>
    </xf>
    <xf numFmtId="0" fontId="50" fillId="0" borderId="55" xfId="58" applyNumberFormat="1" applyFont="1" applyFill="1" applyBorder="1" applyAlignment="1" applyProtection="1">
      <alignment horizontal="left" vertical="center"/>
    </xf>
    <xf numFmtId="0" fontId="50" fillId="0" borderId="57" xfId="58" applyNumberFormat="1" applyFont="1" applyFill="1" applyBorder="1" applyAlignment="1" applyProtection="1">
      <alignment horizontal="left" vertical="center" wrapText="1"/>
    </xf>
    <xf numFmtId="0" fontId="50" fillId="0" borderId="57" xfId="58" applyNumberFormat="1" applyFont="1" applyFill="1" applyBorder="1" applyAlignment="1" applyProtection="1">
      <alignment horizontal="left" vertical="center"/>
    </xf>
    <xf numFmtId="0" fontId="50" fillId="0" borderId="37" xfId="58" applyNumberFormat="1" applyFont="1" applyFill="1" applyBorder="1" applyAlignment="1" applyProtection="1">
      <alignment horizontal="left" vertical="center"/>
    </xf>
    <xf numFmtId="0" fontId="49" fillId="0" borderId="52" xfId="58" applyNumberFormat="1" applyFont="1" applyFill="1" applyBorder="1" applyAlignment="1" applyProtection="1">
      <alignment horizontal="left" vertical="center" wrapText="1"/>
    </xf>
    <xf numFmtId="0" fontId="49" fillId="0" borderId="52" xfId="58" applyNumberFormat="1" applyFont="1" applyFill="1" applyBorder="1" applyAlignment="1" applyProtection="1">
      <alignment horizontal="left" vertical="center"/>
    </xf>
    <xf numFmtId="0" fontId="49" fillId="0" borderId="57" xfId="58" applyNumberFormat="1" applyFont="1" applyFill="1" applyBorder="1" applyAlignment="1" applyProtection="1">
      <alignment horizontal="left" vertical="center" wrapText="1"/>
    </xf>
    <xf numFmtId="0" fontId="49" fillId="0" borderId="57" xfId="58" applyNumberFormat="1" applyFont="1" applyFill="1" applyBorder="1" applyAlignment="1" applyProtection="1">
      <alignment horizontal="left" vertical="center"/>
    </xf>
    <xf numFmtId="0" fontId="49" fillId="0" borderId="61" xfId="58" applyNumberFormat="1" applyFont="1" applyFill="1" applyBorder="1" applyAlignment="1" applyProtection="1">
      <alignment horizontal="left" vertical="center"/>
    </xf>
    <xf numFmtId="0" fontId="46" fillId="0" borderId="58" xfId="58" applyNumberFormat="1" applyFont="1" applyFill="1" applyBorder="1" applyAlignment="1" applyProtection="1">
      <alignment horizontal="center" vertical="center"/>
    </xf>
    <xf numFmtId="0" fontId="46" fillId="0" borderId="59" xfId="58" applyNumberFormat="1" applyFont="1" applyFill="1" applyBorder="1" applyAlignment="1" applyProtection="1">
      <alignment horizontal="center" vertical="center"/>
    </xf>
    <xf numFmtId="0" fontId="46" fillId="0" borderId="60" xfId="58" applyNumberFormat="1" applyFont="1" applyFill="1" applyBorder="1" applyAlignment="1" applyProtection="1">
      <alignment horizontal="center" vertical="center"/>
    </xf>
    <xf numFmtId="0" fontId="49" fillId="0" borderId="81" xfId="58" applyNumberFormat="1" applyFont="1" applyFill="1" applyBorder="1" applyAlignment="1" applyProtection="1">
      <alignment horizontal="left" vertical="center" wrapText="1"/>
    </xf>
    <xf numFmtId="0" fontId="49" fillId="0" borderId="52" xfId="58" applyNumberFormat="1" applyFont="1" applyFill="1" applyBorder="1" applyAlignment="1" applyProtection="1">
      <alignment horizontal="center" vertical="center"/>
    </xf>
    <xf numFmtId="0" fontId="49" fillId="0" borderId="82" xfId="58" applyNumberFormat="1" applyFont="1" applyFill="1" applyBorder="1" applyAlignment="1" applyProtection="1">
      <alignment horizontal="left" vertical="center" wrapText="1"/>
    </xf>
    <xf numFmtId="0" fontId="49" fillId="0" borderId="70" xfId="58" applyNumberFormat="1" applyFont="1" applyFill="1" applyBorder="1" applyAlignment="1" applyProtection="1">
      <alignment horizontal="left" vertical="center"/>
    </xf>
    <xf numFmtId="0" fontId="48" fillId="0" borderId="66" xfId="58" applyNumberFormat="1" applyFont="1" applyFill="1" applyBorder="1" applyAlignment="1" applyProtection="1">
      <alignment horizontal="left" vertical="center"/>
    </xf>
    <xf numFmtId="0" fontId="48" fillId="0" borderId="65" xfId="58" applyNumberFormat="1" applyFont="1" applyFill="1" applyBorder="1" applyAlignment="1" applyProtection="1">
      <alignment horizontal="left" vertical="center"/>
    </xf>
    <xf numFmtId="0" fontId="75" fillId="0" borderId="58" xfId="59" applyFont="1" applyBorder="1" applyAlignment="1">
      <alignment horizontal="left" vertical="center" wrapText="1"/>
    </xf>
    <xf numFmtId="0" fontId="75" fillId="0" borderId="59" xfId="59" applyFont="1" applyBorder="1" applyAlignment="1">
      <alignment horizontal="left" vertical="center"/>
    </xf>
    <xf numFmtId="0" fontId="74" fillId="0" borderId="59" xfId="59" applyFont="1" applyBorder="1" applyAlignment="1">
      <alignment horizontal="left" vertical="center" wrapText="1"/>
    </xf>
    <xf numFmtId="0" fontId="49" fillId="0" borderId="59" xfId="58" applyNumberFormat="1" applyFont="1" applyFill="1" applyBorder="1" applyAlignment="1" applyProtection="1">
      <alignment horizontal="center" vertical="center"/>
    </xf>
    <xf numFmtId="0" fontId="49" fillId="0" borderId="59" xfId="58" applyNumberFormat="1" applyFont="1" applyFill="1" applyBorder="1" applyAlignment="1" applyProtection="1">
      <alignment horizontal="left" vertical="center" wrapText="1"/>
    </xf>
    <xf numFmtId="0" fontId="49" fillId="0" borderId="60" xfId="58" applyNumberFormat="1" applyFont="1" applyFill="1" applyBorder="1" applyAlignment="1" applyProtection="1">
      <alignment horizontal="left" vertical="center" wrapText="1"/>
    </xf>
    <xf numFmtId="0" fontId="75" fillId="0" borderId="70" xfId="59" applyFont="1" applyBorder="1" applyAlignment="1">
      <alignment horizontal="left" vertical="center"/>
    </xf>
    <xf numFmtId="0" fontId="74" fillId="0" borderId="45" xfId="59" applyFont="1" applyBorder="1" applyAlignment="1">
      <alignment horizontal="left" vertical="center"/>
    </xf>
    <xf numFmtId="0" fontId="74" fillId="0" borderId="49" xfId="59" applyFont="1" applyBorder="1" applyAlignment="1">
      <alignment horizontal="center" vertical="center"/>
    </xf>
    <xf numFmtId="0" fontId="74" fillId="0" borderId="48" xfId="59" applyFont="1" applyBorder="1" applyAlignment="1">
      <alignment horizontal="center" vertical="center"/>
    </xf>
    <xf numFmtId="0" fontId="74" fillId="0" borderId="50" xfId="59" applyFont="1" applyBorder="1" applyAlignment="1">
      <alignment horizontal="center" vertical="center"/>
    </xf>
    <xf numFmtId="0" fontId="49" fillId="0" borderId="59" xfId="58" applyNumberFormat="1" applyFont="1" applyFill="1" applyBorder="1" applyAlignment="1" applyProtection="1">
      <alignment horizontal="left" vertical="center"/>
    </xf>
    <xf numFmtId="0" fontId="49" fillId="0" borderId="0" xfId="60" applyFont="1" applyAlignment="1">
      <alignment horizontal="left" vertical="center" wrapText="1"/>
    </xf>
    <xf numFmtId="0" fontId="49" fillId="0" borderId="0" xfId="60" applyFont="1" applyAlignment="1">
      <alignment horizontal="left" vertical="center"/>
    </xf>
    <xf numFmtId="0" fontId="50" fillId="0" borderId="0" xfId="60" applyFont="1" applyAlignment="1">
      <alignment horizontal="left" vertical="center" wrapText="1"/>
    </xf>
    <xf numFmtId="0" fontId="50" fillId="0" borderId="0" xfId="60" applyFont="1" applyAlignment="1">
      <alignment horizontal="left" vertical="center"/>
    </xf>
    <xf numFmtId="0" fontId="50" fillId="0" borderId="55" xfId="60" applyFont="1" applyBorder="1" applyAlignment="1">
      <alignment horizontal="left" vertical="center"/>
    </xf>
    <xf numFmtId="0" fontId="50" fillId="0" borderId="57" xfId="60" applyFont="1" applyBorder="1" applyAlignment="1">
      <alignment horizontal="left" vertical="center" wrapText="1"/>
    </xf>
    <xf numFmtId="0" fontId="50" fillId="0" borderId="57" xfId="60" applyFont="1" applyBorder="1" applyAlignment="1">
      <alignment horizontal="left" vertical="center"/>
    </xf>
    <xf numFmtId="0" fontId="50" fillId="0" borderId="37" xfId="60" applyFont="1" applyBorder="1" applyAlignment="1">
      <alignment horizontal="left" vertical="center"/>
    </xf>
    <xf numFmtId="0" fontId="48" fillId="0" borderId="0" xfId="60" applyFont="1" applyAlignment="1">
      <alignment horizontal="left" vertical="center"/>
    </xf>
    <xf numFmtId="0" fontId="49" fillId="0" borderId="52" xfId="60" applyFont="1" applyBorder="1" applyAlignment="1">
      <alignment horizontal="left" vertical="center" wrapText="1"/>
    </xf>
    <xf numFmtId="0" fontId="49" fillId="0" borderId="52" xfId="60" applyFont="1" applyBorder="1" applyAlignment="1">
      <alignment horizontal="left" vertical="center"/>
    </xf>
    <xf numFmtId="0" fontId="48" fillId="0" borderId="0" xfId="60" applyFont="1" applyAlignment="1">
      <alignment horizontal="left" vertical="center" wrapText="1"/>
    </xf>
    <xf numFmtId="0" fontId="48" fillId="0" borderId="52" xfId="60" applyFont="1" applyBorder="1" applyAlignment="1">
      <alignment horizontal="left" vertical="center" wrapText="1"/>
    </xf>
    <xf numFmtId="0" fontId="48" fillId="0" borderId="52" xfId="60" applyFont="1" applyBorder="1" applyAlignment="1">
      <alignment horizontal="left" vertical="center"/>
    </xf>
    <xf numFmtId="0" fontId="48" fillId="0" borderId="59" xfId="60" applyFont="1" applyBorder="1" applyAlignment="1">
      <alignment horizontal="left" vertical="center"/>
    </xf>
    <xf numFmtId="0" fontId="48" fillId="0" borderId="74" xfId="60" applyFont="1" applyBorder="1" applyAlignment="1">
      <alignment horizontal="left" vertical="center"/>
    </xf>
    <xf numFmtId="0" fontId="48" fillId="0" borderId="75" xfId="60" applyFont="1" applyBorder="1" applyAlignment="1">
      <alignment horizontal="center" vertical="center"/>
    </xf>
    <xf numFmtId="0" fontId="48" fillId="0" borderId="72" xfId="60" applyFont="1" applyBorder="1" applyAlignment="1">
      <alignment horizontal="center" vertical="center"/>
    </xf>
    <xf numFmtId="0" fontId="48" fillId="0" borderId="76" xfId="60" applyFont="1" applyBorder="1" applyAlignment="1">
      <alignment horizontal="center" vertical="center"/>
    </xf>
    <xf numFmtId="0" fontId="48" fillId="0" borderId="66" xfId="60" applyFont="1" applyBorder="1" applyAlignment="1">
      <alignment horizontal="left" vertical="center"/>
    </xf>
    <xf numFmtId="0" fontId="48" fillId="0" borderId="65" xfId="60" applyFont="1" applyBorder="1" applyAlignment="1">
      <alignment horizontal="left" vertical="center"/>
    </xf>
    <xf numFmtId="0" fontId="49" fillId="0" borderId="61" xfId="60" applyFont="1" applyBorder="1" applyAlignment="1">
      <alignment horizontal="left" vertical="center" wrapText="1"/>
    </xf>
    <xf numFmtId="0" fontId="49" fillId="0" borderId="70" xfId="60" applyFont="1" applyBorder="1" applyAlignment="1">
      <alignment horizontal="left" vertical="center"/>
    </xf>
    <xf numFmtId="0" fontId="49" fillId="0" borderId="66" xfId="60" applyFont="1" applyBorder="1" applyAlignment="1">
      <alignment horizontal="left" vertical="center"/>
    </xf>
    <xf numFmtId="0" fontId="49" fillId="0" borderId="61" xfId="60" applyFont="1" applyBorder="1" applyAlignment="1">
      <alignment horizontal="left" vertical="center"/>
    </xf>
    <xf numFmtId="0" fontId="46" fillId="0" borderId="39" xfId="60" applyFont="1" applyBorder="1" applyAlignment="1">
      <alignment horizontal="center" vertical="center"/>
    </xf>
    <xf numFmtId="0" fontId="46" fillId="0" borderId="40" xfId="60" applyFont="1" applyBorder="1" applyAlignment="1">
      <alignment horizontal="center" vertical="center"/>
    </xf>
    <xf numFmtId="0" fontId="46" fillId="0" borderId="41" xfId="60" applyFont="1" applyBorder="1" applyAlignment="1">
      <alignment horizontal="center" vertical="center"/>
    </xf>
    <xf numFmtId="0" fontId="49" fillId="0" borderId="58" xfId="60" applyFont="1" applyBorder="1" applyAlignment="1">
      <alignment horizontal="left" vertical="center" wrapText="1"/>
    </xf>
    <xf numFmtId="0" fontId="49" fillId="0" borderId="59" xfId="60" applyFont="1" applyBorder="1" applyAlignment="1">
      <alignment horizontal="left" vertical="center"/>
    </xf>
    <xf numFmtId="0" fontId="48" fillId="0" borderId="59" xfId="60" applyFont="1" applyBorder="1" applyAlignment="1">
      <alignment horizontal="left" vertical="center" wrapText="1"/>
    </xf>
    <xf numFmtId="0" fontId="49" fillId="0" borderId="0" xfId="58" applyNumberFormat="1" applyFont="1" applyFill="1" applyBorder="1" applyAlignment="1" applyProtection="1">
      <alignment horizontal="center" vertical="center" wrapText="1"/>
    </xf>
    <xf numFmtId="0" fontId="46" fillId="0" borderId="39" xfId="58" applyNumberFormat="1" applyFont="1" applyFill="1" applyBorder="1" applyAlignment="1" applyProtection="1">
      <alignment horizontal="center" vertical="center"/>
    </xf>
    <xf numFmtId="0" fontId="46" fillId="0" borderId="40" xfId="58" applyNumberFormat="1" applyFont="1" applyFill="1" applyBorder="1" applyAlignment="1" applyProtection="1">
      <alignment horizontal="center" vertical="center"/>
    </xf>
    <xf numFmtId="0" fontId="46" fillId="0" borderId="41" xfId="58" applyNumberFormat="1" applyFont="1" applyFill="1" applyBorder="1" applyAlignment="1" applyProtection="1">
      <alignment horizontal="center" vertical="center"/>
    </xf>
    <xf numFmtId="0" fontId="53" fillId="0" borderId="0" xfId="58" applyNumberFormat="1" applyFont="1" applyFill="1" applyBorder="1" applyAlignment="1" applyProtection="1">
      <alignment horizontal="left" vertical="center" wrapText="1"/>
    </xf>
    <xf numFmtId="0" fontId="53" fillId="0" borderId="0" xfId="58" applyNumberFormat="1" applyFont="1" applyFill="1" applyBorder="1" applyAlignment="1" applyProtection="1">
      <alignment horizontal="left" vertical="center"/>
    </xf>
    <xf numFmtId="0" fontId="52" fillId="0" borderId="0" xfId="58" applyNumberFormat="1" applyFont="1" applyFill="1" applyBorder="1" applyAlignment="1" applyProtection="1">
      <alignment horizontal="left" vertical="center" wrapText="1"/>
    </xf>
    <xf numFmtId="0" fontId="52" fillId="0" borderId="0" xfId="58" applyNumberFormat="1" applyFont="1" applyFill="1" applyBorder="1" applyAlignment="1" applyProtection="1">
      <alignment horizontal="left" vertical="center"/>
    </xf>
    <xf numFmtId="0" fontId="52" fillId="0" borderId="52" xfId="58" applyNumberFormat="1" applyFont="1" applyFill="1" applyBorder="1" applyAlignment="1" applyProtection="1">
      <alignment horizontal="left" vertical="center" wrapText="1"/>
    </xf>
    <xf numFmtId="0" fontId="52" fillId="0" borderId="52" xfId="58" applyNumberFormat="1" applyFont="1" applyFill="1" applyBorder="1" applyAlignment="1" applyProtection="1">
      <alignment horizontal="left" vertical="center"/>
    </xf>
    <xf numFmtId="0" fontId="52" fillId="0" borderId="57" xfId="58" applyNumberFormat="1" applyFont="1" applyFill="1" applyBorder="1" applyAlignment="1" applyProtection="1">
      <alignment horizontal="left" vertical="center" wrapText="1"/>
    </xf>
    <xf numFmtId="0" fontId="52" fillId="0" borderId="57" xfId="58" applyNumberFormat="1" applyFont="1" applyFill="1" applyBorder="1" applyAlignment="1" applyProtection="1">
      <alignment horizontal="left" vertical="center"/>
    </xf>
    <xf numFmtId="0" fontId="8" fillId="0" borderId="0" xfId="58" applyNumberFormat="1" applyFont="1" applyFill="1" applyBorder="1" applyAlignment="1" applyProtection="1">
      <alignment horizontal="left" vertical="center" wrapText="1"/>
    </xf>
    <xf numFmtId="14" fontId="49" fillId="0" borderId="0" xfId="58" applyNumberFormat="1" applyFont="1" applyFill="1" applyBorder="1" applyAlignment="1" applyProtection="1">
      <alignment horizontal="center" vertical="center" wrapText="1"/>
    </xf>
    <xf numFmtId="17" fontId="49" fillId="0" borderId="0" xfId="58" applyNumberFormat="1" applyFont="1" applyFill="1" applyBorder="1" applyAlignment="1" applyProtection="1">
      <alignment horizontal="center" vertical="center"/>
    </xf>
    <xf numFmtId="0" fontId="100" fillId="36" borderId="40" xfId="59" applyFont="1" applyFill="1" applyBorder="1" applyAlignment="1">
      <alignment horizontal="left" vertical="center"/>
    </xf>
    <xf numFmtId="0" fontId="100" fillId="36" borderId="41" xfId="59" applyFont="1" applyFill="1" applyBorder="1" applyAlignment="1">
      <alignment horizontal="left" vertical="center"/>
    </xf>
    <xf numFmtId="0" fontId="49" fillId="0" borderId="0" xfId="59" applyFont="1" applyAlignment="1">
      <alignment horizontal="left" vertical="center" wrapText="1"/>
    </xf>
    <xf numFmtId="0" fontId="50" fillId="0" borderId="0" xfId="59" applyFont="1" applyAlignment="1">
      <alignment horizontal="left" vertical="center" wrapText="1"/>
    </xf>
  </cellXfs>
  <cellStyles count="62">
    <cellStyle name="20 % – Zvýraznění1" xfId="1" xr:uid="{00000000-0005-0000-0000-000000000000}"/>
    <cellStyle name="20 % – Zvýraznění2" xfId="2" xr:uid="{00000000-0005-0000-0000-000001000000}"/>
    <cellStyle name="20 % – Zvýraznění3" xfId="3" xr:uid="{00000000-0005-0000-0000-000002000000}"/>
    <cellStyle name="20 % – Zvýraznění4" xfId="4" xr:uid="{00000000-0005-0000-0000-000003000000}"/>
    <cellStyle name="20 % – Zvýraznění5" xfId="5" xr:uid="{00000000-0005-0000-0000-000004000000}"/>
    <cellStyle name="20 % – Zvýraznění6" xfId="6" xr:uid="{00000000-0005-0000-0000-000005000000}"/>
    <cellStyle name="40 % – Zvýraznění1" xfId="7" xr:uid="{00000000-0005-0000-0000-000006000000}"/>
    <cellStyle name="40 % – Zvýraznění2" xfId="8" xr:uid="{00000000-0005-0000-0000-000007000000}"/>
    <cellStyle name="40 % – Zvýraznění3" xfId="9" xr:uid="{00000000-0005-0000-0000-000008000000}"/>
    <cellStyle name="40 % – Zvýraznění4" xfId="10" xr:uid="{00000000-0005-0000-0000-000009000000}"/>
    <cellStyle name="40 % – Zvýraznění5" xfId="11" xr:uid="{00000000-0005-0000-0000-00000A000000}"/>
    <cellStyle name="40 % – Zvýraznění6" xfId="12" xr:uid="{00000000-0005-0000-0000-00000B000000}"/>
    <cellStyle name="60 % – Zvýraznění1" xfId="13" xr:uid="{00000000-0005-0000-0000-00000C000000}"/>
    <cellStyle name="60 % – Zvýraznění2" xfId="14" xr:uid="{00000000-0005-0000-0000-00000D000000}"/>
    <cellStyle name="60 % – Zvýraznění3" xfId="15" xr:uid="{00000000-0005-0000-0000-00000E000000}"/>
    <cellStyle name="60 % – Zvýraznění4" xfId="16" xr:uid="{00000000-0005-0000-0000-00000F000000}"/>
    <cellStyle name="60 % – Zvýraznění5" xfId="17" xr:uid="{00000000-0005-0000-0000-000010000000}"/>
    <cellStyle name="60 % – Zvýraznění6" xfId="18" xr:uid="{00000000-0005-0000-0000-000011000000}"/>
    <cellStyle name="Celkem" xfId="19" builtinId="25" customBuiltin="1"/>
    <cellStyle name="ColStyle1" xfId="51" xr:uid="{D7616A15-8B8A-426B-A698-8AA0CA1A83AB}"/>
    <cellStyle name="ColStyle2" xfId="52" xr:uid="{1109F919-1A68-4147-90C2-58147D6953BF}"/>
    <cellStyle name="ColStyle3" xfId="53" xr:uid="{7CB5D173-A555-4FBE-8BF2-F0BBB753298E}"/>
    <cellStyle name="ColStyle4" xfId="54" xr:uid="{CD6EE845-BACD-4A1C-838B-B28A471752B4}"/>
    <cellStyle name="ColStyle5" xfId="55" xr:uid="{586A9E85-5347-4836-8D08-4A4721C6E82D}"/>
    <cellStyle name="Hypertextový odkaz" xfId="20" builtinId="8"/>
    <cellStyle name="Hypertextový odkaz 2" xfId="21" xr:uid="{00000000-0005-0000-0000-000014000000}"/>
    <cellStyle name="Hypertextový odkaz 3" xfId="22" xr:uid="{00000000-0005-0000-0000-000015000000}"/>
    <cellStyle name="Chybně" xfId="23" xr:uid="{00000000-0005-0000-0000-000016000000}"/>
    <cellStyle name="Kontrolní buňka" xfId="24" builtinId="23" customBuiltin="1"/>
    <cellStyle name="Nadpis 1" xfId="25" builtinId="16" customBuiltin="1"/>
    <cellStyle name="Nadpis 2" xfId="26" builtinId="17" customBuiltin="1"/>
    <cellStyle name="Nadpis 3" xfId="27" builtinId="18" customBuiltin="1"/>
    <cellStyle name="Nadpis 4" xfId="28" builtinId="19" customBuiltin="1"/>
    <cellStyle name="Název" xfId="29" builtinId="15" customBuiltin="1"/>
    <cellStyle name="Neutrální" xfId="30" builtinId="28" customBuiltin="1"/>
    <cellStyle name="Normální" xfId="0" builtinId="0"/>
    <cellStyle name="Normální 10" xfId="59" xr:uid="{23746BAA-5D90-4237-98A6-E2F4BBAF1211}"/>
    <cellStyle name="Normální 11" xfId="60" xr:uid="{E9EA5BA4-208E-4732-91D6-AA6A800044F8}"/>
    <cellStyle name="Normální 12" xfId="61" xr:uid="{CC3F10A5-B780-4C11-8FAF-FD42855C484E}"/>
    <cellStyle name="Normální 2" xfId="31" xr:uid="{00000000-0005-0000-0000-00001F000000}"/>
    <cellStyle name="Normální 3" xfId="32" xr:uid="{00000000-0005-0000-0000-000020000000}"/>
    <cellStyle name="Normální 4" xfId="33" xr:uid="{00000000-0005-0000-0000-000021000000}"/>
    <cellStyle name="Normální 5" xfId="34" xr:uid="{00000000-0005-0000-0000-000022000000}"/>
    <cellStyle name="Normální 6" xfId="50" xr:uid="{56525E39-750A-456D-9B2C-7B5F566120E0}"/>
    <cellStyle name="Normální 7" xfId="56" xr:uid="{53A1780D-90AB-4299-9555-966AA9B86412}"/>
    <cellStyle name="Normální 8" xfId="57" xr:uid="{4A4F0BEF-270B-4468-81C4-D4FCEAE54CCD}"/>
    <cellStyle name="Normální 9" xfId="58" xr:uid="{CA1A8A85-49CD-449B-BD8A-49F0E2E8C8F3}"/>
    <cellStyle name="normální_SENECO_REKAPITULACE_STAVBY_verze_2019_08_24" xfId="35" xr:uid="{00000000-0005-0000-0000-000023000000}"/>
    <cellStyle name="Poznámka" xfId="36" builtinId="10" customBuiltin="1"/>
    <cellStyle name="Propojená buňka" xfId="37" builtinId="24" customBuiltin="1"/>
    <cellStyle name="Správně" xfId="38" builtinId="26" customBuiltin="1"/>
    <cellStyle name="Text upozornění" xfId="39" builtinId="11" customBuiltin="1"/>
    <cellStyle name="Vstup" xfId="40" builtinId="20" customBuiltin="1"/>
    <cellStyle name="Výpočet" xfId="41" builtinId="22" customBuiltin="1"/>
    <cellStyle name="Výstup" xfId="42" builtinId="21" customBuiltin="1"/>
    <cellStyle name="Vysvětlující text" xfId="43" builtinId="53" customBuiltin="1"/>
    <cellStyle name="Zvýraznění 1" xfId="44" builtinId="29" customBuiltin="1"/>
    <cellStyle name="Zvýraznění 2" xfId="45" builtinId="33" customBuiltin="1"/>
    <cellStyle name="Zvýraznění 3" xfId="46" builtinId="37" customBuiltin="1"/>
    <cellStyle name="Zvýraznění 4" xfId="47" builtinId="41" customBuiltin="1"/>
    <cellStyle name="Zvýraznění 5" xfId="48" builtinId="45" customBuiltin="1"/>
    <cellStyle name="Zvýraznění 6" xfId="49" builtinId="49"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008040"/>
      <rgbColor rgb="00000000"/>
      <rgbColor rgb="00DBDBDB"/>
      <rgbColor rgb="00000000"/>
      <rgbColor rgb="00C0C0C0"/>
      <rgbColor rgb="00000000"/>
      <rgbColor rgb="00C0C0C0"/>
      <rgbColor rgb="00000000"/>
      <rgbColor rgb="00000000"/>
      <rgbColor rgb="000000FF"/>
      <rgbColor rgb="00000000"/>
      <rgbColor rgb="00000000"/>
      <rgbColor rgb="00000000"/>
    </indexedColors>
    <mruColors>
      <color rgb="FF0000FF"/>
      <color rgb="FF990033"/>
      <color rgb="FFCC0000"/>
      <color rgb="FF79DD55"/>
      <color rgb="FF66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d:schema xmlns:xsd="http://www.w3.org/2001/XMLSchema" xmlns="">
      <xsd:element nillable="true" name="eVV">
        <xsd:complexType>
          <xsd:sequence minOccurs="0">
            <xsd:element minOccurs="0" nillable="true" name="STAVBA" form="unqualified">
              <xsd:complexType>
                <xsd:sequence minOccurs="0">
                  <xsd:element minOccurs="0" maxOccurs="unbounded" nillable="true" name="SUBJEKT" form="unqualified">
                    <xsd:complexType>
                      <xsd:attribute name="Typ" form="unqualified" type="xsd:string"/>
                      <xsd:attribute name="ICO" form="unqualified" type="xsd:string"/>
                      <xsd:attribute name="DIC" form="unqualified" type="xsd:string"/>
                      <xsd:attribute name="Nazev" form="unqualified" type="xsd:string"/>
                      <xsd:attribute name="Adresa" form="unqualified" type="xsd:string"/>
                      <xsd:attribute name="Misto" form="unqualified" type="xsd:string"/>
                      <xsd:attribute name="PSC" form="unqualified" type="xsd:string"/>
                      <xsd:attribute name="Stat" form="unqualified" type="xsd:string"/>
                      <xsd:attribute name="Kontakt" form="unqualified" type="xsd:string"/>
                      <xsd:attribute name="Telefon" form="unqualified" type="xsd:string"/>
                      <xsd:attribute name="Email" form="unqualified" type="xsd:string"/>
                    </xsd:complexType>
                  </xsd:element>
                  <xsd:element minOccurs="0" nillable="true" type="xsd:string" name="SPOPIS" form="unqualified"/>
                  <xsd:element minOccurs="0" maxOccurs="unbounded" nillable="true" name="ONS" form="unqualified">
                    <xsd:complexType>
                      <xsd:attribute name="PoradoveCislo" form="unqualified" type="xsd:integer"/>
                      <xsd:attribute name="Nazev" form="unqualified" type="xsd:string"/>
                      <xsd:attribute name="Cena" form="unqualified" type="xsd:double"/>
                      <xsd:attribute name="SazbaDPH" form="unqualified" type="xsd:integer"/>
                    </xsd:complexType>
                  </xsd:element>
                  <xsd:element minOccurs="0" nillable="true" name="SOBJEKT" form="unqualified">
                    <xsd:complexType>
                      <xsd:sequence minOccurs="0">
                        <xsd:element minOccurs="0" nillable="true" name="OBJEKT" form="unqualified">
                          <xsd:complexType>
                            <xsd:sequence minOccurs="0">
                              <xsd:element minOccurs="0" nillable="true" name="PODOBJEKT" form="unqualified">
                                <xsd:complexType>
                                  <xsd:sequence minOccurs="0">
                                    <xsd:element minOccurs="0" nillable="true" name="ROZPOCET" form="unqualified">
                                      <xsd:complexType>
                                        <xsd:sequence minOccurs="0">
                                          <xsd:element minOccurs="0" maxOccurs="unbounded" nillable="true" name="TYPDILU" form="unqualified">
                                            <xsd:complexType>
                                              <xsd:sequence minOccurs="0">
                                                <xsd:element minOccurs="0" nillable="true" name="DIL" form="unqualified">
                                                  <xsd:complexType>
                                                    <xsd:sequence minOccurs="0">
                                                      <xsd:element minOccurs="0" nillable="true" name="KAPITOLA" form="unqualified">
                                                        <xsd:complexType>
                                                          <xsd:sequence minOccurs="0">
                                                            <xsd:element minOccurs="0" maxOccurs="unbounded" nillable="true" name="POLOZKA" form="unqualified">
                                                              <xsd:complexType>
                                                                <xsd:sequence minOccurs="0" maxOccurs="unbounded">
                                                                  <xsd:element minOccurs="0" nillable="true" type="xsd:string" name="PPOPIS" form="unqualified"/>
                                                                  <xsd:element minOccurs="0" maxOccurs="unbounded" nillable="true" type="xsd:string" name="VYMERA" form="unqualified"/>
                                                                  <xsd:element minOccurs="0" nillable="true" type="xsd:string" name="DPOPIS" form="unqualified"/>
                                                                </xsd:sequence>
                                                                <xsd:attribute name="UID" form="unqualified" type="xsd:string"/>
                                                                <xsd:attribute name="PoradoveCislo" form="unqualified" type="xsd:integer"/>
                                                                <xsd:attribute name="Cislo" form="unqualified" type="xsd:string"/>
                                                                <xsd:attribute name="Typ" form="unqualified" type="xsd:string"/>
                                                                <xsd:attribute name="Nazev" form="unqualified" type="xsd:string"/>
                                                                <xsd:attribute name="MJ" form="unqualified" type="xsd:string"/>
                                                                <xsd:attribute name="Mnozstvi" form="unqualified" type="xsd:double"/>
                                                                <xsd:attribute name="JHmotnost" form="unqualified" type="xsd:double"/>
                                                                <xsd:attribute name="JDemontazniHmotnost" form="unqualified" type="xsd:double"/>
                                                                <xsd:attribute name="DPH" form="unqualified" type="xsd:integer"/>
                                                                <xsd:attribute name="JCena" form="unqualified" type="xsd:double"/>
                                                                <xsd:attribute name="Cena" form="unqualified" type="xsd:double"/>
                                                              </xsd:complexType>
                                                            </xsd:element>
                                                          </xsd:sequence>
                                                          <xsd:attribute name="Cislo" form="unqualified" type="xsd:integer"/>
                                                          <xsd:attribute name="Nazev" form="unqualified" type="xsd:string"/>
                                                        </xsd:complexType>
                                                      </xsd:element>
                                                    </xsd:sequence>
                                                    <xsd:attribute name="Cislo" form="unqualified" type="xsd:string"/>
                                                    <xsd:attribute name="Nazev" form="unqualified" type="xsd:string"/>
                                                  </xsd:complexType>
                                                </xsd:element>
                                              </xsd:sequence>
                                              <xsd:attribute name="Cislo" form="unqualified" type="xsd:string"/>
                                              <xsd:attribute name="Nazev" form="unqualified" type="xsd:string"/>
                                            </xsd:complexType>
                                          </xsd:element>
                                        </xsd:sequence>
                                        <xsd:attribute name="Cislo" form="unqualified" type="xsd:string"/>
                                        <xsd:attribute name="Nazev" form="unqualified" type="xsd:string"/>
                                      </xsd:complexType>
                                    </xsd:element>
                                  </xsd:sequence>
                                  <xsd:attribute name="Cislo" form="unqualified" type="xsd:string"/>
                                  <xsd:attribute name="Nazev" form="unqualified" type="xsd:string"/>
                                </xsd:complexType>
                              </xsd:element>
                            </xsd:sequence>
                            <xsd:attribute name="Cislo" form="unqualified" type="xsd:string"/>
                            <xsd:attribute name="Nazev" form="unqualified" type="xsd:string"/>
                            <xsd:attribute name="Typ" form="unqualified" type="xsd:string"/>
                          </xsd:complexType>
                        </xsd:element>
                      </xsd:sequence>
                      <xsd:attribute name="Cislo" form="unqualified" type="xsd:string"/>
                      <xsd:attribute name="Nazev" form="unqualified" type="xsd:string"/>
                    </xsd:complexType>
                  </xsd:element>
                </xsd:sequence>
                <xsd:attribute name="CisloStavby" form="unqualified" type="xsd:integer"/>
                <xsd:attribute name="NazevStavby" form="unqualified" type="xsd:string"/>
                <xsd:attribute name="MistoStavby" form="unqualified" type="xsd:string"/>
              </xsd:complexType>
            </xsd:element>
          </xsd:sequence>
          <xsd:attribute name="Mena" form="unqualified" type="xsd:string"/>
          <xsd:attribute name="Verze" form="unqualified" type="xsd:double"/>
          <xsd:attribute name="Zdroj" form="unqualified" type="xsd:string"/>
          <xsd:attribute name="UID" form="unqualified" type="xsd:string"/>
        </xsd:complexType>
      </xsd:element>
    </xsd:schema>
  </Schema>
  <Map ID="1" Name="eVV_Mapování" RootElement="eVV"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xmlMaps" Target="xmlMap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onnections" Target="connections.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1469572</xdr:colOff>
      <xdr:row>1</xdr:row>
      <xdr:rowOff>2558143</xdr:rowOff>
    </xdr:from>
    <xdr:to>
      <xdr:col>3</xdr:col>
      <xdr:colOff>231974</xdr:colOff>
      <xdr:row>1</xdr:row>
      <xdr:rowOff>3425953</xdr:rowOff>
    </xdr:to>
    <xdr:pic>
      <xdr:nvPicPr>
        <xdr:cNvPr id="2" name="Obrázek 1">
          <a:extLst>
            <a:ext uri="{FF2B5EF4-FFF2-40B4-BE49-F238E27FC236}">
              <a16:creationId xmlns:a16="http://schemas.microsoft.com/office/drawing/2014/main" id="{77D245C9-D574-416B-9B0D-20F95D749573}"/>
            </a:ext>
          </a:extLst>
        </xdr:cNvPr>
        <xdr:cNvPicPr>
          <a:picLocks noChangeAspect="1"/>
        </xdr:cNvPicPr>
      </xdr:nvPicPr>
      <xdr:blipFill rotWithShape="1">
        <a:blip xmlns:r="http://schemas.openxmlformats.org/officeDocument/2006/relationships" r:embed="rId1">
          <a:duotone>
            <a:srgbClr val="E7E6E6">
              <a:shade val="45000"/>
              <a:satMod val="135000"/>
            </a:srgbClr>
            <a:prstClr val="white"/>
          </a:duotone>
          <a:extLst>
            <a:ext uri="{BEBA8EAE-BF5A-486C-A8C5-ECC9F3942E4B}">
              <a14:imgProps xmlns:a14="http://schemas.microsoft.com/office/drawing/2010/main">
                <a14:imgLayer r:embed="rId2">
                  <a14:imgEffect>
                    <a14:colorTemperature colorTemp="6400"/>
                  </a14:imgEffect>
                  <a14:imgEffect>
                    <a14:saturation sat="90000"/>
                  </a14:imgEffect>
                </a14:imgLayer>
              </a14:imgProps>
            </a:ext>
          </a:extLst>
        </a:blip>
        <a:srcRect l="2378" t="10415" r="4018" b="9238"/>
        <a:stretch/>
      </xdr:blipFill>
      <xdr:spPr>
        <a:xfrm>
          <a:off x="1469572" y="7749268"/>
          <a:ext cx="3903997" cy="864000"/>
        </a:xfrm>
        <a:prstGeom prst="rect">
          <a:avLst/>
        </a:prstGeom>
        <a:noFill/>
        <a:ln>
          <a:noFill/>
        </a:ln>
        <a:effectLst>
          <a:glow>
            <a:schemeClr val="bg1"/>
          </a:glow>
        </a:effectLst>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0" cy="0"/>
    <xdr:pic>
      <xdr:nvPicPr>
        <xdr:cNvPr id="2" name="Obrázek 1">
          <a:extLst>
            <a:ext uri="{FF2B5EF4-FFF2-40B4-BE49-F238E27FC236}">
              <a16:creationId xmlns:a16="http://schemas.microsoft.com/office/drawing/2014/main" id="{FC4C2301-067D-41DC-BD24-2BC6FC316E46}"/>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a:noFill/>
        <a:ln w="9525">
          <a:noFill/>
        </a:ln>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0" cy="0"/>
    <xdr:pic>
      <xdr:nvPicPr>
        <xdr:cNvPr id="2" name="Obrázek 1">
          <a:extLst>
            <a:ext uri="{FF2B5EF4-FFF2-40B4-BE49-F238E27FC236}">
              <a16:creationId xmlns:a16="http://schemas.microsoft.com/office/drawing/2014/main" id="{1690B822-630D-4363-A6EC-979D0B2F336A}"/>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a:noFill/>
        <a:ln w="9525">
          <a:noFill/>
        </a:ln>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0" cy="0"/>
    <xdr:pic>
      <xdr:nvPicPr>
        <xdr:cNvPr id="2" name="Obrázek 1">
          <a:extLst>
            <a:ext uri="{FF2B5EF4-FFF2-40B4-BE49-F238E27FC236}">
              <a16:creationId xmlns:a16="http://schemas.microsoft.com/office/drawing/2014/main" id="{9FE95A14-0D76-4652-9184-606C212B94FB}"/>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a:noFill/>
        <a:ln w="9525">
          <a:noFill/>
        </a:ln>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0" cy="0"/>
    <xdr:pic>
      <xdr:nvPicPr>
        <xdr:cNvPr id="2" name="Obrázek 1">
          <a:extLst>
            <a:ext uri="{FF2B5EF4-FFF2-40B4-BE49-F238E27FC236}">
              <a16:creationId xmlns:a16="http://schemas.microsoft.com/office/drawing/2014/main" id="{4A144CF6-471C-4E6A-94E4-973CA77BC90A}"/>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a:noFill/>
        <a:ln w="9525">
          <a:noFill/>
        </a:ln>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0" cy="0"/>
    <xdr:pic>
      <xdr:nvPicPr>
        <xdr:cNvPr id="2" name="Obrázek 1">
          <a:extLst>
            <a:ext uri="{FF2B5EF4-FFF2-40B4-BE49-F238E27FC236}">
              <a16:creationId xmlns:a16="http://schemas.microsoft.com/office/drawing/2014/main" id="{A29E813A-BF45-412D-86FE-7F32D425FD59}"/>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a:noFill/>
        <a:ln w="9525">
          <a:noFill/>
        </a:ln>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0" cy="0"/>
    <xdr:pic>
      <xdr:nvPicPr>
        <xdr:cNvPr id="2" name="Obrázek 1">
          <a:extLst>
            <a:ext uri="{FF2B5EF4-FFF2-40B4-BE49-F238E27FC236}">
              <a16:creationId xmlns:a16="http://schemas.microsoft.com/office/drawing/2014/main" id="{12803E37-A995-47D2-9DEA-CD34E48A58E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a:noFill/>
        <a:ln w="9525">
          <a:noFill/>
        </a:ln>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0" cy="0"/>
    <xdr:pic>
      <xdr:nvPicPr>
        <xdr:cNvPr id="2" name="Obrázek 1">
          <a:extLst>
            <a:ext uri="{FF2B5EF4-FFF2-40B4-BE49-F238E27FC236}">
              <a16:creationId xmlns:a16="http://schemas.microsoft.com/office/drawing/2014/main" id="{8329BAE9-0C94-480F-A861-7C91FD2A078C}"/>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a:noFill/>
        <a:ln w="9525">
          <a:noFill/>
        </a:ln>
      </xdr:spPr>
    </xdr:pic>
    <xdr:clientData/>
  </xdr:absolute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0</xdr:colOff>
      <xdr:row>0</xdr:row>
      <xdr:rowOff>0</xdr:rowOff>
    </xdr:to>
    <xdr:pic>
      <xdr:nvPicPr>
        <xdr:cNvPr id="2" name="Picture 2">
          <a:extLst>
            <a:ext uri="{FF2B5EF4-FFF2-40B4-BE49-F238E27FC236}">
              <a16:creationId xmlns:a16="http://schemas.microsoft.com/office/drawing/2014/main" id="{3169216B-C513-4BD6-9F2A-E73ED317A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prstDash val="solid"/>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absoluteAnchor>
    <xdr:pos x="0" y="0"/>
    <xdr:ext cx="0" cy="0"/>
    <xdr:pic>
      <xdr:nvPicPr>
        <xdr:cNvPr id="2" name="Obrázek 1">
          <a:extLst>
            <a:ext uri="{FF2B5EF4-FFF2-40B4-BE49-F238E27FC236}">
              <a16:creationId xmlns:a16="http://schemas.microsoft.com/office/drawing/2014/main" id="{3397F40D-A65C-41C9-8A7A-B308666A28F5}"/>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a:noFill/>
        <a:ln w="9525">
          <a:noFill/>
        </a:ln>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0" cy="0"/>
    <xdr:pic>
      <xdr:nvPicPr>
        <xdr:cNvPr id="2" name="Obrázek 1">
          <a:extLst>
            <a:ext uri="{FF2B5EF4-FFF2-40B4-BE49-F238E27FC236}">
              <a16:creationId xmlns:a16="http://schemas.microsoft.com/office/drawing/2014/main" id="{DA1DA10B-1AC8-47D5-8457-E648403FA71D}"/>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a:noFill/>
        <a:ln w="9525">
          <a:noFill/>
        </a:ln>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0" cy="0"/>
    <xdr:pic>
      <xdr:nvPicPr>
        <xdr:cNvPr id="2" name="Obrázek 1">
          <a:extLst>
            <a:ext uri="{FF2B5EF4-FFF2-40B4-BE49-F238E27FC236}">
              <a16:creationId xmlns:a16="http://schemas.microsoft.com/office/drawing/2014/main" id="{E6D7A8C5-0126-4345-9F87-838DCD3B689E}"/>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a:noFill/>
        <a:ln w="9525">
          <a:noFill/>
        </a:ln>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0" cy="0"/>
    <xdr:pic>
      <xdr:nvPicPr>
        <xdr:cNvPr id="2" name="Obrázek 1">
          <a:extLst>
            <a:ext uri="{FF2B5EF4-FFF2-40B4-BE49-F238E27FC236}">
              <a16:creationId xmlns:a16="http://schemas.microsoft.com/office/drawing/2014/main" id="{C082B9D4-45CA-460B-94F7-8F2A836E455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a:noFill/>
        <a:ln w="9525">
          <a:noFill/>
        </a:ln>
      </xdr:spPr>
    </xdr:pic>
    <xdr:clientData/>
  </xdr:absolute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0</xdr:colOff>
      <xdr:row>0</xdr:row>
      <xdr:rowOff>0</xdr:rowOff>
    </xdr:to>
    <xdr:pic>
      <xdr:nvPicPr>
        <xdr:cNvPr id="2" name="Picture 2">
          <a:extLst>
            <a:ext uri="{FF2B5EF4-FFF2-40B4-BE49-F238E27FC236}">
              <a16:creationId xmlns:a16="http://schemas.microsoft.com/office/drawing/2014/main" id="{9E701EB9-972A-49DF-A53F-909081F4E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prstDash val="solid"/>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0</xdr:colOff>
      <xdr:row>0</xdr:row>
      <xdr:rowOff>0</xdr:rowOff>
    </xdr:to>
    <xdr:pic>
      <xdr:nvPicPr>
        <xdr:cNvPr id="2" name="Picture 2">
          <a:extLst>
            <a:ext uri="{FF2B5EF4-FFF2-40B4-BE49-F238E27FC236}">
              <a16:creationId xmlns:a16="http://schemas.microsoft.com/office/drawing/2014/main" id="{BA9B499A-97A3-4D12-82A9-EC5C8CDC6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prstDash val="solid"/>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0" y="0"/>
    <xdr:ext cx="0" cy="0"/>
    <xdr:pic>
      <xdr:nvPicPr>
        <xdr:cNvPr id="2" name="Obrázek 1">
          <a:extLst>
            <a:ext uri="{FF2B5EF4-FFF2-40B4-BE49-F238E27FC236}">
              <a16:creationId xmlns:a16="http://schemas.microsoft.com/office/drawing/2014/main" id="{C213BB19-C96B-406E-881D-68FC2FAEE72A}"/>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a:noFill/>
        <a:ln w="9525">
          <a:noFill/>
        </a:ln>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0" cy="0"/>
    <xdr:pic>
      <xdr:nvPicPr>
        <xdr:cNvPr id="2" name="Obrázek 1">
          <a:extLst>
            <a:ext uri="{FF2B5EF4-FFF2-40B4-BE49-F238E27FC236}">
              <a16:creationId xmlns:a16="http://schemas.microsoft.com/office/drawing/2014/main" id="{EAA9A54E-7564-41ED-A16C-166C069AA38D}"/>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a:noFill/>
        <a:ln w="9525">
          <a:noFill/>
        </a:ln>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0" cy="0"/>
    <xdr:pic>
      <xdr:nvPicPr>
        <xdr:cNvPr id="2" name="Obrázek 1">
          <a:extLst>
            <a:ext uri="{FF2B5EF4-FFF2-40B4-BE49-F238E27FC236}">
              <a16:creationId xmlns:a16="http://schemas.microsoft.com/office/drawing/2014/main" id="{E293909C-2AC5-49ED-98C7-D236C8CFA88E}"/>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a:noFill/>
        <a:ln w="9525">
          <a:noFill/>
        </a:ln>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0" cy="0"/>
    <xdr:pic>
      <xdr:nvPicPr>
        <xdr:cNvPr id="2" name="Obrázek 1">
          <a:extLst>
            <a:ext uri="{FF2B5EF4-FFF2-40B4-BE49-F238E27FC236}">
              <a16:creationId xmlns:a16="http://schemas.microsoft.com/office/drawing/2014/main" id="{3275D29C-79C2-447D-82AB-B4341C388355}"/>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a:noFill/>
        <a:ln w="9525">
          <a:noFill/>
        </a:ln>
      </xdr:spPr>
    </xdr:pic>
    <xdr:clientData/>
  </xdr:absolute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3.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5.bin"/><Relationship Id="rId4" Type="http://schemas.openxmlformats.org/officeDocument/2006/relationships/comments" Target="../comments1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6.bin"/><Relationship Id="rId4"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7.bin"/><Relationship Id="rId4"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8.bin"/><Relationship Id="rId4"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9.bin"/><Relationship Id="rId4"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20.bin"/><Relationship Id="rId4" Type="http://schemas.openxmlformats.org/officeDocument/2006/relationships/comments" Target="../comments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21.bin"/><Relationship Id="rId4" Type="http://schemas.openxmlformats.org/officeDocument/2006/relationships/comments" Target="../comments17.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22.bin"/><Relationship Id="rId4" Type="http://schemas.openxmlformats.org/officeDocument/2006/relationships/comments" Target="../comments18.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8.xml"/><Relationship Id="rId1" Type="http://schemas.openxmlformats.org/officeDocument/2006/relationships/printerSettings" Target="../printerSettings/printerSettings24.bin"/><Relationship Id="rId4" Type="http://schemas.openxmlformats.org/officeDocument/2006/relationships/comments" Target="../comments20.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19.xml"/><Relationship Id="rId1" Type="http://schemas.openxmlformats.org/officeDocument/2006/relationships/printerSettings" Target="../printerSettings/printerSettings25.bin"/><Relationship Id="rId4" Type="http://schemas.openxmlformats.org/officeDocument/2006/relationships/comments" Target="../comments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klicka@projekceklicka.cz"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B0A99-25BC-425F-B50B-57FAF0713561}">
  <sheetPr>
    <tabColor theme="0" tint="-0.14999847407452621"/>
    <pageSetUpPr fitToPage="1"/>
  </sheetPr>
  <dimension ref="A1:E10"/>
  <sheetViews>
    <sheetView view="pageBreakPreview" topLeftCell="A4" zoomScale="70" zoomScaleNormal="70" zoomScaleSheetLayoutView="70" zoomScalePageLayoutView="55" workbookViewId="0">
      <selection activeCell="I17" sqref="I17"/>
    </sheetView>
  </sheetViews>
  <sheetFormatPr defaultColWidth="9.109375" defaultRowHeight="13.2" x14ac:dyDescent="0.25"/>
  <cols>
    <col min="1" max="3" width="25.6640625" style="312" customWidth="1"/>
    <col min="4" max="5" width="15.6640625" style="312" customWidth="1"/>
    <col min="6" max="6" width="2.6640625" style="312" customWidth="1"/>
    <col min="7" max="16384" width="9.109375" style="312"/>
  </cols>
  <sheetData>
    <row r="1" spans="1:5" ht="408.9" customHeight="1" x14ac:dyDescent="0.25">
      <c r="A1" s="388"/>
      <c r="B1" s="388"/>
      <c r="C1" s="388"/>
      <c r="D1" s="388"/>
      <c r="E1" s="388"/>
    </row>
    <row r="2" spans="1:5" ht="320.10000000000002" customHeight="1" thickBot="1" x14ac:dyDescent="0.3">
      <c r="A2" s="388"/>
      <c r="B2" s="388"/>
      <c r="C2" s="388"/>
      <c r="D2" s="388"/>
      <c r="E2" s="388"/>
    </row>
    <row r="3" spans="1:5" ht="13.5" customHeight="1" x14ac:dyDescent="0.25">
      <c r="A3" s="313" t="s">
        <v>2098</v>
      </c>
      <c r="B3" s="314" t="s">
        <v>2098</v>
      </c>
      <c r="C3" s="315" t="s">
        <v>2099</v>
      </c>
      <c r="D3" s="389" t="s">
        <v>2100</v>
      </c>
      <c r="E3" s="390"/>
    </row>
    <row r="4" spans="1:5" ht="18.75" customHeight="1" x14ac:dyDescent="0.25">
      <c r="A4" s="316" t="s">
        <v>2101</v>
      </c>
      <c r="B4" s="317" t="s">
        <v>2102</v>
      </c>
      <c r="C4" s="318" t="s">
        <v>2102</v>
      </c>
      <c r="D4" s="391"/>
      <c r="E4" s="392"/>
    </row>
    <row r="5" spans="1:5" ht="13.5" customHeight="1" x14ac:dyDescent="0.25">
      <c r="A5" s="395" t="s">
        <v>2103</v>
      </c>
      <c r="B5" s="396"/>
      <c r="C5" s="319" t="s">
        <v>2104</v>
      </c>
      <c r="D5" s="391"/>
      <c r="E5" s="392"/>
    </row>
    <row r="6" spans="1:5" ht="30" customHeight="1" thickBot="1" x14ac:dyDescent="0.3">
      <c r="A6" s="397" t="s">
        <v>2105</v>
      </c>
      <c r="B6" s="398"/>
      <c r="C6" s="320" t="s">
        <v>2106</v>
      </c>
      <c r="D6" s="393"/>
      <c r="E6" s="394"/>
    </row>
    <row r="7" spans="1:5" ht="35.1" customHeight="1" x14ac:dyDescent="0.25">
      <c r="A7" s="399" t="s">
        <v>2107</v>
      </c>
      <c r="B7" s="400"/>
      <c r="C7" s="401"/>
      <c r="D7" s="321" t="s">
        <v>2108</v>
      </c>
      <c r="E7" s="322" t="s">
        <v>2109</v>
      </c>
    </row>
    <row r="8" spans="1:5" ht="35.1" customHeight="1" x14ac:dyDescent="0.25">
      <c r="A8" s="402"/>
      <c r="B8" s="403"/>
      <c r="C8" s="404"/>
      <c r="D8" s="323" t="s">
        <v>2110</v>
      </c>
      <c r="E8" s="324" t="s">
        <v>2111</v>
      </c>
    </row>
    <row r="9" spans="1:5" ht="35.1" customHeight="1" thickBot="1" x14ac:dyDescent="0.3">
      <c r="A9" s="405"/>
      <c r="B9" s="406"/>
      <c r="C9" s="407"/>
      <c r="D9" s="325" t="s">
        <v>2112</v>
      </c>
      <c r="E9" s="326" t="s">
        <v>2113</v>
      </c>
    </row>
    <row r="10" spans="1:5" ht="61.2" customHeight="1" thickBot="1" x14ac:dyDescent="0.3">
      <c r="A10" s="385" t="s">
        <v>2444</v>
      </c>
      <c r="B10" s="386"/>
      <c r="C10" s="387"/>
      <c r="D10" s="327" t="s">
        <v>2114</v>
      </c>
      <c r="E10" s="328" t="s">
        <v>2115</v>
      </c>
    </row>
  </sheetData>
  <sheetProtection algorithmName="SHA-512" hashValue="0jPVA8s/JLc2GBqf9noJfhw9qXxcrOpzJbpaLYlTmc1ZHHa/Of9D5lwIOlgGDv+5dwy35rEyyOWazuM7vIGyyQ==" saltValue="byzUFn32T3NCVWo6LwR4BQ==" spinCount="100000" sheet="1" objects="1" scenarios="1"/>
  <mergeCells count="6">
    <mergeCell ref="A10:C10"/>
    <mergeCell ref="A1:E2"/>
    <mergeCell ref="D3:E6"/>
    <mergeCell ref="A5:B5"/>
    <mergeCell ref="A6:B6"/>
    <mergeCell ref="A7:C9"/>
  </mergeCells>
  <pageMargins left="0.78740157480314965" right="0.39370078740157483" top="0.39370078740157483" bottom="0.39370078740157483" header="0" footer="0.39370078740157483"/>
  <pageSetup paperSize="9" scale="85" fitToHeight="0"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A100A-FB53-416C-84E5-C5E6CCB7F2C7}">
  <sheetPr codeName="List19">
    <pageSetUpPr fitToPage="1"/>
  </sheetPr>
  <dimension ref="A1:BV45"/>
  <sheetViews>
    <sheetView view="pageBreakPreview" zoomScale="55" zoomScaleNormal="70" zoomScaleSheetLayoutView="55" workbookViewId="0">
      <pane ySplit="11" topLeftCell="A12" activePane="bottomLeft" state="frozen"/>
      <selection pane="bottomLeft" activeCell="G13" sqref="G13"/>
    </sheetView>
  </sheetViews>
  <sheetFormatPr defaultColWidth="12.109375" defaultRowHeight="15" customHeight="1" x14ac:dyDescent="0.3"/>
  <cols>
    <col min="1" max="1" width="5.6640625" style="221" customWidth="1"/>
    <col min="2" max="2" width="16.6640625" style="221" customWidth="1"/>
    <col min="3" max="3" width="81.33203125" style="221" customWidth="1"/>
    <col min="4" max="4" width="12.6640625" style="221" customWidth="1"/>
    <col min="5" max="5" width="8.6640625" style="221" customWidth="1"/>
    <col min="6" max="6" width="10.6640625" style="221" customWidth="1"/>
    <col min="7" max="11" width="14.6640625" style="221" customWidth="1"/>
    <col min="12" max="12" width="11.6640625" style="221" customWidth="1"/>
    <col min="13" max="13" width="13.44140625" style="221" customWidth="1"/>
    <col min="14" max="73" width="12.109375" style="221"/>
    <col min="74" max="74" width="59.88671875" style="221" hidden="1" customWidth="1"/>
    <col min="75" max="16384" width="12.109375" style="221"/>
  </cols>
  <sheetData>
    <row r="1" spans="1:74" ht="54.75" customHeight="1" thickBot="1" x14ac:dyDescent="0.35">
      <c r="A1" s="523" t="s">
        <v>2303</v>
      </c>
      <c r="B1" s="524"/>
      <c r="C1" s="524"/>
      <c r="D1" s="524"/>
      <c r="E1" s="524"/>
      <c r="F1" s="524"/>
      <c r="G1" s="524"/>
      <c r="H1" s="524"/>
      <c r="I1" s="524"/>
      <c r="J1" s="524"/>
      <c r="K1" s="524"/>
      <c r="L1" s="524"/>
      <c r="M1" s="525"/>
      <c r="AQ1" s="222">
        <f>SUM(AH1:AH2)</f>
        <v>0</v>
      </c>
      <c r="AR1" s="222">
        <f>SUM(AI1:AI2)</f>
        <v>0</v>
      </c>
      <c r="AS1" s="222">
        <f>SUM(AJ1:AJ2)</f>
        <v>0</v>
      </c>
    </row>
    <row r="2" spans="1:74" ht="15" customHeight="1" x14ac:dyDescent="0.3">
      <c r="A2" s="601" t="s">
        <v>112</v>
      </c>
      <c r="B2" s="602"/>
      <c r="C2" s="603" t="s">
        <v>68</v>
      </c>
      <c r="D2" s="555"/>
      <c r="E2" s="602" t="s">
        <v>113</v>
      </c>
      <c r="F2" s="602"/>
      <c r="G2" s="604" t="s">
        <v>1156</v>
      </c>
      <c r="H2" s="605" t="s">
        <v>457</v>
      </c>
      <c r="I2" s="605" t="s">
        <v>69</v>
      </c>
      <c r="J2" s="605"/>
      <c r="K2" s="605"/>
      <c r="L2" s="605"/>
      <c r="M2" s="606"/>
    </row>
    <row r="3" spans="1:74" ht="14.4" x14ac:dyDescent="0.3">
      <c r="A3" s="520"/>
      <c r="B3" s="519"/>
      <c r="C3" s="527"/>
      <c r="D3" s="527"/>
      <c r="E3" s="519"/>
      <c r="F3" s="519"/>
      <c r="G3" s="522"/>
      <c r="H3" s="551"/>
      <c r="I3" s="551"/>
      <c r="J3" s="551"/>
      <c r="K3" s="551"/>
      <c r="L3" s="551"/>
      <c r="M3" s="552"/>
    </row>
    <row r="4" spans="1:74" ht="15" customHeight="1" x14ac:dyDescent="0.3">
      <c r="A4" s="518" t="s">
        <v>115</v>
      </c>
      <c r="B4" s="519"/>
      <c r="C4" s="521" t="s">
        <v>111</v>
      </c>
      <c r="D4" s="519"/>
      <c r="E4" s="519" t="s">
        <v>116</v>
      </c>
      <c r="F4" s="519"/>
      <c r="G4" s="522" t="s">
        <v>1156</v>
      </c>
      <c r="H4" s="551" t="s">
        <v>458</v>
      </c>
      <c r="I4" s="551" t="s">
        <v>1157</v>
      </c>
      <c r="J4" s="551"/>
      <c r="K4" s="551"/>
      <c r="L4" s="551"/>
      <c r="M4" s="552"/>
    </row>
    <row r="5" spans="1:74" ht="14.4" x14ac:dyDescent="0.3">
      <c r="A5" s="520"/>
      <c r="B5" s="519"/>
      <c r="C5" s="519"/>
      <c r="D5" s="519"/>
      <c r="E5" s="519"/>
      <c r="F5" s="519"/>
      <c r="G5" s="522"/>
      <c r="H5" s="551"/>
      <c r="I5" s="551"/>
      <c r="J5" s="551"/>
      <c r="K5" s="551"/>
      <c r="L5" s="551"/>
      <c r="M5" s="552"/>
    </row>
    <row r="6" spans="1:74" ht="15" customHeight="1" x14ac:dyDescent="0.3">
      <c r="A6" s="518" t="s">
        <v>117</v>
      </c>
      <c r="B6" s="519"/>
      <c r="C6" s="521" t="s">
        <v>459</v>
      </c>
      <c r="D6" s="519"/>
      <c r="E6" s="519" t="s">
        <v>119</v>
      </c>
      <c r="F6" s="519"/>
      <c r="G6" s="522" t="s">
        <v>1156</v>
      </c>
      <c r="H6" s="551" t="s">
        <v>460</v>
      </c>
      <c r="I6" s="551" t="s">
        <v>461</v>
      </c>
      <c r="J6" s="551"/>
      <c r="K6" s="551"/>
      <c r="L6" s="551"/>
      <c r="M6" s="552"/>
    </row>
    <row r="7" spans="1:74" ht="14.4" x14ac:dyDescent="0.3">
      <c r="A7" s="520"/>
      <c r="B7" s="519"/>
      <c r="C7" s="519"/>
      <c r="D7" s="519"/>
      <c r="E7" s="519"/>
      <c r="F7" s="519"/>
      <c r="G7" s="522"/>
      <c r="H7" s="551"/>
      <c r="I7" s="551"/>
      <c r="J7" s="551"/>
      <c r="K7" s="551"/>
      <c r="L7" s="551"/>
      <c r="M7" s="552"/>
    </row>
    <row r="8" spans="1:74" ht="15" customHeight="1" x14ac:dyDescent="0.3">
      <c r="A8" s="518" t="s">
        <v>120</v>
      </c>
      <c r="B8" s="519"/>
      <c r="C8" s="521" t="s">
        <v>1368</v>
      </c>
      <c r="D8" s="519"/>
      <c r="E8" s="519" t="s">
        <v>122</v>
      </c>
      <c r="F8" s="519"/>
      <c r="G8" s="522" t="s">
        <v>1155</v>
      </c>
      <c r="H8" s="551" t="s">
        <v>462</v>
      </c>
      <c r="I8" s="551" t="s">
        <v>1158</v>
      </c>
      <c r="J8" s="551"/>
      <c r="K8" s="551"/>
      <c r="L8" s="551"/>
      <c r="M8" s="552"/>
    </row>
    <row r="9" spans="1:74" thickBot="1" x14ac:dyDescent="0.35">
      <c r="A9" s="607"/>
      <c r="B9" s="533"/>
      <c r="C9" s="533"/>
      <c r="D9" s="533"/>
      <c r="E9" s="533"/>
      <c r="F9" s="533"/>
      <c r="G9" s="534"/>
      <c r="H9" s="553"/>
      <c r="I9" s="553"/>
      <c r="J9" s="553"/>
      <c r="K9" s="553"/>
      <c r="L9" s="553"/>
      <c r="M9" s="554"/>
    </row>
    <row r="10" spans="1:74" ht="14.4" x14ac:dyDescent="0.3">
      <c r="A10" s="246" t="s">
        <v>123</v>
      </c>
      <c r="B10" s="247" t="s">
        <v>124</v>
      </c>
      <c r="C10" s="555" t="s">
        <v>125</v>
      </c>
      <c r="D10" s="556"/>
      <c r="E10" s="247" t="s">
        <v>126</v>
      </c>
      <c r="F10" s="248" t="s">
        <v>127</v>
      </c>
      <c r="G10" s="249" t="s">
        <v>128</v>
      </c>
      <c r="H10" s="557" t="s">
        <v>129</v>
      </c>
      <c r="I10" s="558"/>
      <c r="J10" s="559"/>
      <c r="K10" s="558" t="s">
        <v>130</v>
      </c>
      <c r="L10" s="558"/>
      <c r="M10" s="250" t="s">
        <v>131</v>
      </c>
      <c r="BI10" s="229" t="s">
        <v>132</v>
      </c>
      <c r="BJ10" s="230" t="s">
        <v>133</v>
      </c>
      <c r="BU10" s="230" t="s">
        <v>134</v>
      </c>
    </row>
    <row r="11" spans="1:74" thickBot="1" x14ac:dyDescent="0.35">
      <c r="A11" s="251" t="s">
        <v>114</v>
      </c>
      <c r="B11" s="252" t="s">
        <v>114</v>
      </c>
      <c r="C11" s="528" t="s">
        <v>135</v>
      </c>
      <c r="D11" s="529"/>
      <c r="E11" s="252" t="s">
        <v>114</v>
      </c>
      <c r="F11" s="252" t="s">
        <v>114</v>
      </c>
      <c r="G11" s="253" t="s">
        <v>136</v>
      </c>
      <c r="H11" s="254" t="s">
        <v>137</v>
      </c>
      <c r="I11" s="255" t="s">
        <v>138</v>
      </c>
      <c r="J11" s="256" t="s">
        <v>139</v>
      </c>
      <c r="K11" s="255" t="s">
        <v>140</v>
      </c>
      <c r="L11" s="253" t="s">
        <v>139</v>
      </c>
      <c r="M11" s="257" t="s">
        <v>141</v>
      </c>
      <c r="X11" s="229" t="s">
        <v>142</v>
      </c>
      <c r="Y11" s="229" t="s">
        <v>143</v>
      </c>
      <c r="Z11" s="229" t="s">
        <v>144</v>
      </c>
      <c r="AA11" s="229" t="s">
        <v>145</v>
      </c>
      <c r="AB11" s="229" t="s">
        <v>146</v>
      </c>
      <c r="AC11" s="229" t="s">
        <v>147</v>
      </c>
      <c r="AD11" s="229" t="s">
        <v>148</v>
      </c>
      <c r="AE11" s="229" t="s">
        <v>149</v>
      </c>
      <c r="AF11" s="229" t="s">
        <v>150</v>
      </c>
      <c r="BF11" s="229" t="s">
        <v>151</v>
      </c>
      <c r="BG11" s="229" t="s">
        <v>152</v>
      </c>
      <c r="BH11" s="229" t="s">
        <v>153</v>
      </c>
    </row>
    <row r="12" spans="1:74" ht="14.4" x14ac:dyDescent="0.3">
      <c r="A12" s="239" t="s">
        <v>154</v>
      </c>
      <c r="B12" s="224" t="s">
        <v>453</v>
      </c>
      <c r="C12" s="526" t="s">
        <v>463</v>
      </c>
      <c r="D12" s="527"/>
      <c r="E12" s="223" t="s">
        <v>114</v>
      </c>
      <c r="F12" s="223" t="s">
        <v>114</v>
      </c>
      <c r="G12" s="223" t="s">
        <v>114</v>
      </c>
      <c r="H12" s="235">
        <f>SUM(H13:H13)</f>
        <v>0</v>
      </c>
      <c r="I12" s="235">
        <f>SUM(I13:I13)</f>
        <v>0</v>
      </c>
      <c r="J12" s="235">
        <f>SUM(J13:J13)</f>
        <v>0</v>
      </c>
      <c r="K12" s="230" t="s">
        <v>154</v>
      </c>
      <c r="L12" s="235">
        <f>SUM(L13:L13)</f>
        <v>0</v>
      </c>
      <c r="M12" s="243" t="s">
        <v>154</v>
      </c>
      <c r="AG12" s="229" t="s">
        <v>154</v>
      </c>
      <c r="AQ12" s="222">
        <f>SUM(AH13:AH13)</f>
        <v>0</v>
      </c>
      <c r="AR12" s="222">
        <f>SUM(AI13:AI13)</f>
        <v>0</v>
      </c>
      <c r="AS12" s="222">
        <f>SUM(AJ13:AJ13)</f>
        <v>0</v>
      </c>
    </row>
    <row r="13" spans="1:74" ht="14.4" x14ac:dyDescent="0.3">
      <c r="A13" s="239" t="s">
        <v>157</v>
      </c>
      <c r="B13" s="223" t="s">
        <v>464</v>
      </c>
      <c r="C13" s="521" t="s">
        <v>465</v>
      </c>
      <c r="D13" s="519"/>
      <c r="E13" s="223" t="s">
        <v>466</v>
      </c>
      <c r="F13" s="233">
        <v>2</v>
      </c>
      <c r="G13" s="311">
        <v>0</v>
      </c>
      <c r="H13" s="233">
        <f>F13*AM13</f>
        <v>0</v>
      </c>
      <c r="I13" s="233">
        <f>F13*AN13</f>
        <v>0</v>
      </c>
      <c r="J13" s="233">
        <f>F13*G13</f>
        <v>0</v>
      </c>
      <c r="K13" s="233">
        <v>0</v>
      </c>
      <c r="L13" s="233">
        <f>F13*K13</f>
        <v>0</v>
      </c>
      <c r="M13" s="240" t="s">
        <v>154</v>
      </c>
      <c r="X13" s="233">
        <f>IF(AO13="5",BH13,0)</f>
        <v>0</v>
      </c>
      <c r="Z13" s="233">
        <f>IF(AO13="1",BF13,0)</f>
        <v>0</v>
      </c>
      <c r="AA13" s="233">
        <f>IF(AO13="1",BG13,0)</f>
        <v>0</v>
      </c>
      <c r="AB13" s="233">
        <f>IF(AO13="7",BF13,0)</f>
        <v>0</v>
      </c>
      <c r="AC13" s="233">
        <f>IF(AO13="7",BG13,0)</f>
        <v>0</v>
      </c>
      <c r="AD13" s="233">
        <f>IF(AO13="2",BF13,0)</f>
        <v>0</v>
      </c>
      <c r="AE13" s="233">
        <f>IF(AO13="2",BG13,0)</f>
        <v>0</v>
      </c>
      <c r="AF13" s="233">
        <f>IF(AO13="0",BH13,0)</f>
        <v>0</v>
      </c>
      <c r="AG13" s="229" t="s">
        <v>154</v>
      </c>
      <c r="AH13" s="233">
        <f>IF(AL13=0,J13,0)</f>
        <v>0</v>
      </c>
      <c r="AI13" s="233">
        <f>IF(AL13=15,J13,0)</f>
        <v>0</v>
      </c>
      <c r="AJ13" s="233">
        <f>IF(AL13=21,J13,0)</f>
        <v>0</v>
      </c>
      <c r="AL13" s="233">
        <v>21</v>
      </c>
      <c r="AM13" s="233">
        <f>G13*0.125865324</f>
        <v>0</v>
      </c>
      <c r="AN13" s="233">
        <f>G13*(1-0.125865324)</f>
        <v>0</v>
      </c>
      <c r="AO13" s="234" t="s">
        <v>157</v>
      </c>
      <c r="AT13" s="233">
        <f>AU13+AV13</f>
        <v>0</v>
      </c>
      <c r="AU13" s="233">
        <f>F13*AM13</f>
        <v>0</v>
      </c>
      <c r="AV13" s="233">
        <f>F13*AN13</f>
        <v>0</v>
      </c>
      <c r="AW13" s="234" t="s">
        <v>467</v>
      </c>
      <c r="AX13" s="234" t="s">
        <v>467</v>
      </c>
      <c r="AY13" s="229" t="s">
        <v>164</v>
      </c>
      <c r="BA13" s="233">
        <f>AU13+AV13</f>
        <v>0</v>
      </c>
      <c r="BB13" s="233">
        <f>G13/(100-BC13)*100</f>
        <v>0</v>
      </c>
      <c r="BC13" s="233">
        <v>0</v>
      </c>
      <c r="BD13" s="233">
        <f>L13</f>
        <v>0</v>
      </c>
      <c r="BF13" s="233">
        <f>F13*AM13</f>
        <v>0</v>
      </c>
      <c r="BG13" s="233">
        <f>F13*AN13</f>
        <v>0</v>
      </c>
      <c r="BH13" s="233">
        <f>F13*G13</f>
        <v>0</v>
      </c>
      <c r="BI13" s="233"/>
      <c r="BJ13" s="233">
        <v>0</v>
      </c>
      <c r="BU13" s="233" t="e">
        <f>#REF!</f>
        <v>#REF!</v>
      </c>
      <c r="BV13" s="225" t="s">
        <v>465</v>
      </c>
    </row>
    <row r="14" spans="1:74" ht="40.5" customHeight="1" x14ac:dyDescent="0.3">
      <c r="A14" s="241"/>
      <c r="B14" s="242" t="s">
        <v>165</v>
      </c>
      <c r="C14" s="530" t="s">
        <v>1369</v>
      </c>
      <c r="D14" s="531"/>
      <c r="E14" s="531"/>
      <c r="F14" s="531"/>
      <c r="G14" s="531"/>
      <c r="H14" s="531"/>
      <c r="I14" s="531"/>
      <c r="J14" s="531"/>
      <c r="K14" s="531"/>
      <c r="L14" s="531"/>
      <c r="M14" s="532"/>
    </row>
    <row r="15" spans="1:74" ht="14.4" x14ac:dyDescent="0.3">
      <c r="A15" s="239" t="s">
        <v>154</v>
      </c>
      <c r="B15" s="224" t="s">
        <v>155</v>
      </c>
      <c r="C15" s="526" t="s">
        <v>156</v>
      </c>
      <c r="D15" s="527"/>
      <c r="E15" s="223" t="s">
        <v>114</v>
      </c>
      <c r="F15" s="223" t="s">
        <v>114</v>
      </c>
      <c r="G15" s="223" t="s">
        <v>114</v>
      </c>
      <c r="H15" s="235">
        <f>SUM(H16:H16)</f>
        <v>0</v>
      </c>
      <c r="I15" s="235">
        <f>SUM(I16:I16)</f>
        <v>0</v>
      </c>
      <c r="J15" s="235">
        <f>SUM(J16:J16)</f>
        <v>0</v>
      </c>
      <c r="K15" s="230" t="s">
        <v>154</v>
      </c>
      <c r="L15" s="235">
        <f>SUM(L16:L16)</f>
        <v>282.93279999999999</v>
      </c>
      <c r="M15" s="243" t="s">
        <v>154</v>
      </c>
      <c r="AG15" s="229" t="s">
        <v>154</v>
      </c>
      <c r="AQ15" s="222">
        <f>SUM(AH16:AH16)</f>
        <v>0</v>
      </c>
      <c r="AR15" s="222">
        <f>SUM(AI16:AI16)</f>
        <v>0</v>
      </c>
      <c r="AS15" s="222">
        <f>SUM(AJ16:AJ16)</f>
        <v>0</v>
      </c>
    </row>
    <row r="16" spans="1:74" ht="14.4" x14ac:dyDescent="0.3">
      <c r="A16" s="239" t="s">
        <v>166</v>
      </c>
      <c r="B16" s="223" t="s">
        <v>1047</v>
      </c>
      <c r="C16" s="521" t="s">
        <v>1048</v>
      </c>
      <c r="D16" s="519"/>
      <c r="E16" s="223" t="s">
        <v>180</v>
      </c>
      <c r="F16" s="233">
        <v>454</v>
      </c>
      <c r="G16" s="311">
        <v>0</v>
      </c>
      <c r="H16" s="233">
        <f>F16*AM16</f>
        <v>0</v>
      </c>
      <c r="I16" s="233">
        <f>F16*AN16</f>
        <v>0</v>
      </c>
      <c r="J16" s="233">
        <f>F16*G16</f>
        <v>0</v>
      </c>
      <c r="K16" s="233">
        <v>0.62319999999999998</v>
      </c>
      <c r="L16" s="233">
        <f>F16*K16</f>
        <v>282.93279999999999</v>
      </c>
      <c r="M16" s="240" t="s">
        <v>472</v>
      </c>
      <c r="X16" s="233">
        <f>IF(AO16="5",BH16,0)</f>
        <v>0</v>
      </c>
      <c r="Z16" s="233">
        <f>IF(AO16="1",BF16,0)</f>
        <v>0</v>
      </c>
      <c r="AA16" s="233">
        <f>IF(AO16="1",BG16,0)</f>
        <v>0</v>
      </c>
      <c r="AB16" s="233">
        <f>IF(AO16="7",BF16,0)</f>
        <v>0</v>
      </c>
      <c r="AC16" s="233">
        <f>IF(AO16="7",BG16,0)</f>
        <v>0</v>
      </c>
      <c r="AD16" s="233">
        <f>IF(AO16="2",BF16,0)</f>
        <v>0</v>
      </c>
      <c r="AE16" s="233">
        <f>IF(AO16="2",BG16,0)</f>
        <v>0</v>
      </c>
      <c r="AF16" s="233">
        <f>IF(AO16="0",BH16,0)</f>
        <v>0</v>
      </c>
      <c r="AG16" s="229" t="s">
        <v>154</v>
      </c>
      <c r="AH16" s="233">
        <f>IF(AL16=0,J16,0)</f>
        <v>0</v>
      </c>
      <c r="AI16" s="233">
        <f>IF(AL16=15,J16,0)</f>
        <v>0</v>
      </c>
      <c r="AJ16" s="233">
        <f>IF(AL16=21,J16,0)</f>
        <v>0</v>
      </c>
      <c r="AL16" s="233">
        <v>21</v>
      </c>
      <c r="AM16" s="233">
        <f>G16*0.01046267</f>
        <v>0</v>
      </c>
      <c r="AN16" s="233">
        <f>G16*(1-0.01046267)</f>
        <v>0</v>
      </c>
      <c r="AO16" s="234" t="s">
        <v>157</v>
      </c>
      <c r="AT16" s="233">
        <f>AU16+AV16</f>
        <v>0</v>
      </c>
      <c r="AU16" s="233">
        <f>F16*AM16</f>
        <v>0</v>
      </c>
      <c r="AV16" s="233">
        <f>F16*AN16</f>
        <v>0</v>
      </c>
      <c r="AW16" s="234" t="s">
        <v>162</v>
      </c>
      <c r="AX16" s="234" t="s">
        <v>163</v>
      </c>
      <c r="AY16" s="229" t="s">
        <v>164</v>
      </c>
      <c r="BA16" s="233">
        <f>AU16+AV16</f>
        <v>0</v>
      </c>
      <c r="BB16" s="233">
        <f>G16/(100-BC16)*100</f>
        <v>0</v>
      </c>
      <c r="BC16" s="233">
        <v>0</v>
      </c>
      <c r="BD16" s="233">
        <f>L16</f>
        <v>282.93279999999999</v>
      </c>
      <c r="BF16" s="233">
        <f>F16*AM16</f>
        <v>0</v>
      </c>
      <c r="BG16" s="233">
        <f>F16*AN16</f>
        <v>0</v>
      </c>
      <c r="BH16" s="233">
        <f>F16*G16</f>
        <v>0</v>
      </c>
      <c r="BI16" s="233"/>
      <c r="BJ16" s="233">
        <v>11</v>
      </c>
      <c r="BU16" s="233" t="e">
        <f>#REF!</f>
        <v>#REF!</v>
      </c>
      <c r="BV16" s="225" t="s">
        <v>1048</v>
      </c>
    </row>
    <row r="17" spans="1:74" ht="135" customHeight="1" x14ac:dyDescent="0.3">
      <c r="A17" s="241"/>
      <c r="B17" s="242" t="s">
        <v>165</v>
      </c>
      <c r="C17" s="530" t="s">
        <v>1370</v>
      </c>
      <c r="D17" s="531"/>
      <c r="E17" s="531"/>
      <c r="F17" s="531"/>
      <c r="G17" s="531"/>
      <c r="H17" s="531"/>
      <c r="I17" s="531"/>
      <c r="J17" s="531"/>
      <c r="K17" s="531"/>
      <c r="L17" s="531"/>
      <c r="M17" s="532"/>
    </row>
    <row r="18" spans="1:74" ht="14.4" x14ac:dyDescent="0.3">
      <c r="A18" s="239" t="s">
        <v>154</v>
      </c>
      <c r="B18" s="224" t="s">
        <v>305</v>
      </c>
      <c r="C18" s="526" t="s">
        <v>306</v>
      </c>
      <c r="D18" s="527"/>
      <c r="E18" s="223" t="s">
        <v>114</v>
      </c>
      <c r="F18" s="223" t="s">
        <v>114</v>
      </c>
      <c r="G18" s="223" t="s">
        <v>114</v>
      </c>
      <c r="H18" s="235">
        <f>SUM(H19:H21)</f>
        <v>0</v>
      </c>
      <c r="I18" s="235">
        <f>SUM(I19:I21)</f>
        <v>0</v>
      </c>
      <c r="J18" s="235">
        <f>SUM(J19:J21)</f>
        <v>0</v>
      </c>
      <c r="K18" s="230" t="s">
        <v>154</v>
      </c>
      <c r="L18" s="235">
        <f>SUM(L19:L21)</f>
        <v>0</v>
      </c>
      <c r="M18" s="243" t="s">
        <v>154</v>
      </c>
      <c r="AG18" s="229" t="s">
        <v>154</v>
      </c>
      <c r="AQ18" s="222">
        <f>SUM(AH19:AH21)</f>
        <v>0</v>
      </c>
      <c r="AR18" s="222">
        <f>SUM(AI19:AI21)</f>
        <v>0</v>
      </c>
      <c r="AS18" s="222">
        <f>SUM(AJ19:AJ21)</f>
        <v>0</v>
      </c>
    </row>
    <row r="19" spans="1:74" ht="14.4" x14ac:dyDescent="0.3">
      <c r="A19" s="239" t="s">
        <v>169</v>
      </c>
      <c r="B19" s="223" t="s">
        <v>1371</v>
      </c>
      <c r="C19" s="521" t="s">
        <v>1372</v>
      </c>
      <c r="D19" s="519"/>
      <c r="E19" s="223" t="s">
        <v>180</v>
      </c>
      <c r="F19" s="233">
        <v>1945.92</v>
      </c>
      <c r="G19" s="311">
        <v>0</v>
      </c>
      <c r="H19" s="233">
        <f>F19*AM19</f>
        <v>0</v>
      </c>
      <c r="I19" s="233">
        <f>F19*AN19</f>
        <v>0</v>
      </c>
      <c r="J19" s="233">
        <f>F19*G19</f>
        <v>0</v>
      </c>
      <c r="K19" s="233">
        <v>0</v>
      </c>
      <c r="L19" s="233">
        <f>F19*K19</f>
        <v>0</v>
      </c>
      <c r="M19" s="240" t="s">
        <v>472</v>
      </c>
      <c r="X19" s="233">
        <f>IF(AO19="5",BH19,0)</f>
        <v>0</v>
      </c>
      <c r="Z19" s="233">
        <f>IF(AO19="1",BF19,0)</f>
        <v>0</v>
      </c>
      <c r="AA19" s="233">
        <f>IF(AO19="1",BG19,0)</f>
        <v>0</v>
      </c>
      <c r="AB19" s="233">
        <f>IF(AO19="7",BF19,0)</f>
        <v>0</v>
      </c>
      <c r="AC19" s="233">
        <f>IF(AO19="7",BG19,0)</f>
        <v>0</v>
      </c>
      <c r="AD19" s="233">
        <f>IF(AO19="2",BF19,0)</f>
        <v>0</v>
      </c>
      <c r="AE19" s="233">
        <f>IF(AO19="2",BG19,0)</f>
        <v>0</v>
      </c>
      <c r="AF19" s="233">
        <f>IF(AO19="0",BH19,0)</f>
        <v>0</v>
      </c>
      <c r="AG19" s="229" t="s">
        <v>154</v>
      </c>
      <c r="AH19" s="233">
        <f>IF(AL19=0,J19,0)</f>
        <v>0</v>
      </c>
      <c r="AI19" s="233">
        <f>IF(AL19=15,J19,0)</f>
        <v>0</v>
      </c>
      <c r="AJ19" s="233">
        <f>IF(AL19=21,J19,0)</f>
        <v>0</v>
      </c>
      <c r="AL19" s="233">
        <v>21</v>
      </c>
      <c r="AM19" s="233">
        <f>G19*0.011229947</f>
        <v>0</v>
      </c>
      <c r="AN19" s="233">
        <f>G19*(1-0.011229947)</f>
        <v>0</v>
      </c>
      <c r="AO19" s="234" t="s">
        <v>157</v>
      </c>
      <c r="AT19" s="233">
        <f>AU19+AV19</f>
        <v>0</v>
      </c>
      <c r="AU19" s="233">
        <f>F19*AM19</f>
        <v>0</v>
      </c>
      <c r="AV19" s="233">
        <f>F19*AN19</f>
        <v>0</v>
      </c>
      <c r="AW19" s="234" t="s">
        <v>310</v>
      </c>
      <c r="AX19" s="234" t="s">
        <v>311</v>
      </c>
      <c r="AY19" s="229" t="s">
        <v>164</v>
      </c>
      <c r="BA19" s="233">
        <f>AU19+AV19</f>
        <v>0</v>
      </c>
      <c r="BB19" s="233">
        <f>G19/(100-BC19)*100</f>
        <v>0</v>
      </c>
      <c r="BC19" s="233">
        <v>0</v>
      </c>
      <c r="BD19" s="233">
        <f>L19</f>
        <v>0</v>
      </c>
      <c r="BF19" s="233">
        <f>F19*AM19</f>
        <v>0</v>
      </c>
      <c r="BG19" s="233">
        <f>F19*AN19</f>
        <v>0</v>
      </c>
      <c r="BH19" s="233">
        <f>F19*G19</f>
        <v>0</v>
      </c>
      <c r="BI19" s="233"/>
      <c r="BJ19" s="233">
        <v>56</v>
      </c>
      <c r="BU19" s="233" t="e">
        <f>#REF!</f>
        <v>#REF!</v>
      </c>
      <c r="BV19" s="225" t="s">
        <v>1372</v>
      </c>
    </row>
    <row r="20" spans="1:74" ht="108" customHeight="1" x14ac:dyDescent="0.3">
      <c r="A20" s="241"/>
      <c r="B20" s="242" t="s">
        <v>165</v>
      </c>
      <c r="C20" s="530" t="s">
        <v>1373</v>
      </c>
      <c r="D20" s="531"/>
      <c r="E20" s="531"/>
      <c r="F20" s="531"/>
      <c r="G20" s="531"/>
      <c r="H20" s="531"/>
      <c r="I20" s="531"/>
      <c r="J20" s="531"/>
      <c r="K20" s="531"/>
      <c r="L20" s="531"/>
      <c r="M20" s="532"/>
    </row>
    <row r="21" spans="1:74" ht="14.4" x14ac:dyDescent="0.3">
      <c r="A21" s="239" t="s">
        <v>173</v>
      </c>
      <c r="B21" s="223" t="s">
        <v>1374</v>
      </c>
      <c r="C21" s="521" t="s">
        <v>1375</v>
      </c>
      <c r="D21" s="519"/>
      <c r="E21" s="223" t="s">
        <v>196</v>
      </c>
      <c r="F21" s="233">
        <v>10</v>
      </c>
      <c r="G21" s="311">
        <v>0</v>
      </c>
      <c r="H21" s="233">
        <f>F21*AM21</f>
        <v>0</v>
      </c>
      <c r="I21" s="233">
        <f>F21*AN21</f>
        <v>0</v>
      </c>
      <c r="J21" s="233">
        <f>F21*G21</f>
        <v>0</v>
      </c>
      <c r="K21" s="233">
        <v>0</v>
      </c>
      <c r="L21" s="233">
        <f>F21*K21</f>
        <v>0</v>
      </c>
      <c r="M21" s="240" t="s">
        <v>472</v>
      </c>
      <c r="X21" s="233">
        <f>IF(AO21="5",BH21,0)</f>
        <v>0</v>
      </c>
      <c r="Z21" s="233">
        <f>IF(AO21="1",BF21,0)</f>
        <v>0</v>
      </c>
      <c r="AA21" s="233">
        <f>IF(AO21="1",BG21,0)</f>
        <v>0</v>
      </c>
      <c r="AB21" s="233">
        <f>IF(AO21="7",BF21,0)</f>
        <v>0</v>
      </c>
      <c r="AC21" s="233">
        <f>IF(AO21="7",BG21,0)</f>
        <v>0</v>
      </c>
      <c r="AD21" s="233">
        <f>IF(AO21="2",BF21,0)</f>
        <v>0</v>
      </c>
      <c r="AE21" s="233">
        <f>IF(AO21="2",BG21,0)</f>
        <v>0</v>
      </c>
      <c r="AF21" s="233">
        <f>IF(AO21="0",BH21,0)</f>
        <v>0</v>
      </c>
      <c r="AG21" s="229" t="s">
        <v>154</v>
      </c>
      <c r="AH21" s="233">
        <f>IF(AL21=0,J21,0)</f>
        <v>0</v>
      </c>
      <c r="AI21" s="233">
        <f>IF(AL21=15,J21,0)</f>
        <v>0</v>
      </c>
      <c r="AJ21" s="233">
        <f>IF(AL21=21,J21,0)</f>
        <v>0</v>
      </c>
      <c r="AL21" s="233">
        <v>21</v>
      </c>
      <c r="AM21" s="233">
        <f>G21*0</f>
        <v>0</v>
      </c>
      <c r="AN21" s="233">
        <f>G21*(1-0)</f>
        <v>0</v>
      </c>
      <c r="AO21" s="234" t="s">
        <v>157</v>
      </c>
      <c r="AT21" s="233">
        <f>AU21+AV21</f>
        <v>0</v>
      </c>
      <c r="AU21" s="233">
        <f>F21*AM21</f>
        <v>0</v>
      </c>
      <c r="AV21" s="233">
        <f>F21*AN21</f>
        <v>0</v>
      </c>
      <c r="AW21" s="234" t="s">
        <v>310</v>
      </c>
      <c r="AX21" s="234" t="s">
        <v>311</v>
      </c>
      <c r="AY21" s="229" t="s">
        <v>164</v>
      </c>
      <c r="BA21" s="233">
        <f>AU21+AV21</f>
        <v>0</v>
      </c>
      <c r="BB21" s="233">
        <f>G21/(100-BC21)*100</f>
        <v>0</v>
      </c>
      <c r="BC21" s="233">
        <v>0</v>
      </c>
      <c r="BD21" s="233">
        <f>L21</f>
        <v>0</v>
      </c>
      <c r="BF21" s="233">
        <f>F21*AM21</f>
        <v>0</v>
      </c>
      <c r="BG21" s="233">
        <f>F21*AN21</f>
        <v>0</v>
      </c>
      <c r="BH21" s="233">
        <f>F21*G21</f>
        <v>0</v>
      </c>
      <c r="BI21" s="233"/>
      <c r="BJ21" s="233">
        <v>56</v>
      </c>
      <c r="BU21" s="233" t="e">
        <f>#REF!</f>
        <v>#REF!</v>
      </c>
      <c r="BV21" s="225" t="s">
        <v>1375</v>
      </c>
    </row>
    <row r="22" spans="1:74" ht="40.5" customHeight="1" x14ac:dyDescent="0.3">
      <c r="A22" s="241"/>
      <c r="B22" s="242" t="s">
        <v>165</v>
      </c>
      <c r="C22" s="530" t="s">
        <v>1376</v>
      </c>
      <c r="D22" s="531"/>
      <c r="E22" s="531"/>
      <c r="F22" s="531"/>
      <c r="G22" s="531"/>
      <c r="H22" s="531"/>
      <c r="I22" s="531"/>
      <c r="J22" s="531"/>
      <c r="K22" s="531"/>
      <c r="L22" s="531"/>
      <c r="M22" s="532"/>
    </row>
    <row r="23" spans="1:74" ht="14.4" x14ac:dyDescent="0.3">
      <c r="A23" s="239" t="s">
        <v>154</v>
      </c>
      <c r="B23" s="224" t="s">
        <v>335</v>
      </c>
      <c r="C23" s="526" t="s">
        <v>1049</v>
      </c>
      <c r="D23" s="527"/>
      <c r="E23" s="223" t="s">
        <v>114</v>
      </c>
      <c r="F23" s="223" t="s">
        <v>114</v>
      </c>
      <c r="G23" s="223" t="s">
        <v>114</v>
      </c>
      <c r="H23" s="235">
        <f>SUM(H24:H32)</f>
        <v>0</v>
      </c>
      <c r="I23" s="235">
        <f>SUM(I24:I32)</f>
        <v>0</v>
      </c>
      <c r="J23" s="235">
        <f>SUM(J24:J32)</f>
        <v>0</v>
      </c>
      <c r="K23" s="230" t="s">
        <v>154</v>
      </c>
      <c r="L23" s="235">
        <f>SUM(L24:L32)</f>
        <v>170.97662</v>
      </c>
      <c r="M23" s="243" t="s">
        <v>154</v>
      </c>
      <c r="AG23" s="229" t="s">
        <v>154</v>
      </c>
      <c r="AQ23" s="222">
        <f>SUM(AH24:AH32)</f>
        <v>0</v>
      </c>
      <c r="AR23" s="222">
        <f>SUM(AI24:AI32)</f>
        <v>0</v>
      </c>
      <c r="AS23" s="222">
        <f>SUM(AJ24:AJ32)</f>
        <v>0</v>
      </c>
    </row>
    <row r="24" spans="1:74" ht="14.4" x14ac:dyDescent="0.3">
      <c r="A24" s="239" t="s">
        <v>177</v>
      </c>
      <c r="B24" s="223" t="s">
        <v>342</v>
      </c>
      <c r="C24" s="521" t="s">
        <v>1050</v>
      </c>
      <c r="D24" s="519"/>
      <c r="E24" s="223" t="s">
        <v>180</v>
      </c>
      <c r="F24" s="233">
        <v>649</v>
      </c>
      <c r="G24" s="311">
        <v>0</v>
      </c>
      <c r="H24" s="233">
        <f>F24*AM24</f>
        <v>0</v>
      </c>
      <c r="I24" s="233">
        <f>F24*AN24</f>
        <v>0</v>
      </c>
      <c r="J24" s="233">
        <f>F24*G24</f>
        <v>0</v>
      </c>
      <c r="K24" s="233">
        <v>6.9999999999999999E-4</v>
      </c>
      <c r="L24" s="233">
        <f>F24*K24</f>
        <v>0.45429999999999998</v>
      </c>
      <c r="M24" s="240" t="s">
        <v>472</v>
      </c>
      <c r="X24" s="233">
        <f>IF(AO24="5",BH24,0)</f>
        <v>0</v>
      </c>
      <c r="Z24" s="233">
        <f>IF(AO24="1",BF24,0)</f>
        <v>0</v>
      </c>
      <c r="AA24" s="233">
        <f>IF(AO24="1",BG24,0)</f>
        <v>0</v>
      </c>
      <c r="AB24" s="233">
        <f>IF(AO24="7",BF24,0)</f>
        <v>0</v>
      </c>
      <c r="AC24" s="233">
        <f>IF(AO24="7",BG24,0)</f>
        <v>0</v>
      </c>
      <c r="AD24" s="233">
        <f>IF(AO24="2",BF24,0)</f>
        <v>0</v>
      </c>
      <c r="AE24" s="233">
        <f>IF(AO24="2",BG24,0)</f>
        <v>0</v>
      </c>
      <c r="AF24" s="233">
        <f>IF(AO24="0",BH24,0)</f>
        <v>0</v>
      </c>
      <c r="AG24" s="229" t="s">
        <v>154</v>
      </c>
      <c r="AH24" s="233">
        <f>IF(AL24=0,J24,0)</f>
        <v>0</v>
      </c>
      <c r="AI24" s="233">
        <f>IF(AL24=15,J24,0)</f>
        <v>0</v>
      </c>
      <c r="AJ24" s="233">
        <f>IF(AL24=21,J24,0)</f>
        <v>0</v>
      </c>
      <c r="AL24" s="233">
        <v>21</v>
      </c>
      <c r="AM24" s="233">
        <f>G24*0.92955665</f>
        <v>0</v>
      </c>
      <c r="AN24" s="233">
        <f>G24*(1-0.92955665)</f>
        <v>0</v>
      </c>
      <c r="AO24" s="234" t="s">
        <v>157</v>
      </c>
      <c r="AT24" s="233">
        <f>AU24+AV24</f>
        <v>0</v>
      </c>
      <c r="AU24" s="233">
        <f>F24*AM24</f>
        <v>0</v>
      </c>
      <c r="AV24" s="233">
        <f>F24*AN24</f>
        <v>0</v>
      </c>
      <c r="AW24" s="234" t="s">
        <v>340</v>
      </c>
      <c r="AX24" s="234" t="s">
        <v>311</v>
      </c>
      <c r="AY24" s="229" t="s">
        <v>164</v>
      </c>
      <c r="BA24" s="233">
        <f>AU24+AV24</f>
        <v>0</v>
      </c>
      <c r="BB24" s="233">
        <f>G24/(100-BC24)*100</f>
        <v>0</v>
      </c>
      <c r="BC24" s="233">
        <v>0</v>
      </c>
      <c r="BD24" s="233">
        <f>L24</f>
        <v>0.45429999999999998</v>
      </c>
      <c r="BF24" s="233">
        <f>F24*AM24</f>
        <v>0</v>
      </c>
      <c r="BG24" s="233">
        <f>F24*AN24</f>
        <v>0</v>
      </c>
      <c r="BH24" s="233">
        <f>F24*G24</f>
        <v>0</v>
      </c>
      <c r="BI24" s="233"/>
      <c r="BJ24" s="233">
        <v>57</v>
      </c>
      <c r="BU24" s="233" t="e">
        <f>#REF!</f>
        <v>#REF!</v>
      </c>
      <c r="BV24" s="225" t="s">
        <v>1050</v>
      </c>
    </row>
    <row r="25" spans="1:74" ht="67.5" customHeight="1" x14ac:dyDescent="0.3">
      <c r="A25" s="241"/>
      <c r="B25" s="242" t="s">
        <v>165</v>
      </c>
      <c r="C25" s="530" t="s">
        <v>1377</v>
      </c>
      <c r="D25" s="531"/>
      <c r="E25" s="531"/>
      <c r="F25" s="531"/>
      <c r="G25" s="531"/>
      <c r="H25" s="531"/>
      <c r="I25" s="531"/>
      <c r="J25" s="531"/>
      <c r="K25" s="531"/>
      <c r="L25" s="531"/>
      <c r="M25" s="532"/>
    </row>
    <row r="26" spans="1:74" ht="14.4" x14ac:dyDescent="0.3">
      <c r="A26" s="239" t="s">
        <v>181</v>
      </c>
      <c r="B26" s="223" t="s">
        <v>1051</v>
      </c>
      <c r="C26" s="521" t="s">
        <v>1052</v>
      </c>
      <c r="D26" s="519"/>
      <c r="E26" s="223" t="s">
        <v>180</v>
      </c>
      <c r="F26" s="233">
        <v>649</v>
      </c>
      <c r="G26" s="311">
        <v>0</v>
      </c>
      <c r="H26" s="233">
        <f>F26*AM26</f>
        <v>0</v>
      </c>
      <c r="I26" s="233">
        <f>F26*AN26</f>
        <v>0</v>
      </c>
      <c r="J26" s="233">
        <f>F26*G26</f>
        <v>0</v>
      </c>
      <c r="K26" s="233">
        <v>5.9999999999999995E-4</v>
      </c>
      <c r="L26" s="233">
        <f>F26*K26</f>
        <v>0.38939999999999997</v>
      </c>
      <c r="M26" s="240" t="s">
        <v>472</v>
      </c>
      <c r="X26" s="233">
        <f>IF(AO26="5",BH26,0)</f>
        <v>0</v>
      </c>
      <c r="Z26" s="233">
        <f>IF(AO26="1",BF26,0)</f>
        <v>0</v>
      </c>
      <c r="AA26" s="233">
        <f>IF(AO26="1",BG26,0)</f>
        <v>0</v>
      </c>
      <c r="AB26" s="233">
        <f>IF(AO26="7",BF26,0)</f>
        <v>0</v>
      </c>
      <c r="AC26" s="233">
        <f>IF(AO26="7",BG26,0)</f>
        <v>0</v>
      </c>
      <c r="AD26" s="233">
        <f>IF(AO26="2",BF26,0)</f>
        <v>0</v>
      </c>
      <c r="AE26" s="233">
        <f>IF(AO26="2",BG26,0)</f>
        <v>0</v>
      </c>
      <c r="AF26" s="233">
        <f>IF(AO26="0",BH26,0)</f>
        <v>0</v>
      </c>
      <c r="AG26" s="229" t="s">
        <v>154</v>
      </c>
      <c r="AH26" s="233">
        <f>IF(AL26=0,J26,0)</f>
        <v>0</v>
      </c>
      <c r="AI26" s="233">
        <f>IF(AL26=15,J26,0)</f>
        <v>0</v>
      </c>
      <c r="AJ26" s="233">
        <f>IF(AL26=21,J26,0)</f>
        <v>0</v>
      </c>
      <c r="AL26" s="233">
        <v>21</v>
      </c>
      <c r="AM26" s="233">
        <f>G26*0.91875</f>
        <v>0</v>
      </c>
      <c r="AN26" s="233">
        <f>G26*(1-0.91875)</f>
        <v>0</v>
      </c>
      <c r="AO26" s="234" t="s">
        <v>157</v>
      </c>
      <c r="AT26" s="233">
        <f>AU26+AV26</f>
        <v>0</v>
      </c>
      <c r="AU26" s="233">
        <f>F26*AM26</f>
        <v>0</v>
      </c>
      <c r="AV26" s="233">
        <f>F26*AN26</f>
        <v>0</v>
      </c>
      <c r="AW26" s="234" t="s">
        <v>340</v>
      </c>
      <c r="AX26" s="234" t="s">
        <v>311</v>
      </c>
      <c r="AY26" s="229" t="s">
        <v>164</v>
      </c>
      <c r="BA26" s="233">
        <f>AU26+AV26</f>
        <v>0</v>
      </c>
      <c r="BB26" s="233">
        <f>G26/(100-BC26)*100</f>
        <v>0</v>
      </c>
      <c r="BC26" s="233">
        <v>0</v>
      </c>
      <c r="BD26" s="233">
        <f>L26</f>
        <v>0.38939999999999997</v>
      </c>
      <c r="BF26" s="233">
        <f>F26*AM26</f>
        <v>0</v>
      </c>
      <c r="BG26" s="233">
        <f>F26*AN26</f>
        <v>0</v>
      </c>
      <c r="BH26" s="233">
        <f>F26*G26</f>
        <v>0</v>
      </c>
      <c r="BI26" s="233"/>
      <c r="BJ26" s="233">
        <v>57</v>
      </c>
      <c r="BU26" s="233" t="e">
        <f>#REF!</f>
        <v>#REF!</v>
      </c>
      <c r="BV26" s="225" t="s">
        <v>1052</v>
      </c>
    </row>
    <row r="27" spans="1:74" ht="67.5" customHeight="1" x14ac:dyDescent="0.3">
      <c r="A27" s="244"/>
      <c r="B27" s="245" t="s">
        <v>165</v>
      </c>
      <c r="C27" s="540" t="s">
        <v>1378</v>
      </c>
      <c r="D27" s="541"/>
      <c r="E27" s="541"/>
      <c r="F27" s="541"/>
      <c r="G27" s="541"/>
      <c r="H27" s="541"/>
      <c r="I27" s="541"/>
      <c r="J27" s="541"/>
      <c r="K27" s="541"/>
      <c r="L27" s="541"/>
      <c r="M27" s="542"/>
    </row>
    <row r="28" spans="1:74" ht="14.4" x14ac:dyDescent="0.3">
      <c r="A28" s="237" t="s">
        <v>184</v>
      </c>
      <c r="B28" s="238" t="s">
        <v>1053</v>
      </c>
      <c r="C28" s="543" t="s">
        <v>1054</v>
      </c>
      <c r="D28" s="544"/>
      <c r="E28" s="238" t="s">
        <v>180</v>
      </c>
      <c r="F28" s="258">
        <v>540</v>
      </c>
      <c r="G28" s="311">
        <v>0</v>
      </c>
      <c r="H28" s="258">
        <f>F28*AM28</f>
        <v>0</v>
      </c>
      <c r="I28" s="258">
        <f>F28*AN28</f>
        <v>0</v>
      </c>
      <c r="J28" s="258">
        <f>F28*G28</f>
        <v>0</v>
      </c>
      <c r="K28" s="258">
        <v>0.12817999999999999</v>
      </c>
      <c r="L28" s="258">
        <f>F28*K28</f>
        <v>69.217199999999991</v>
      </c>
      <c r="M28" s="259" t="s">
        <v>472</v>
      </c>
      <c r="X28" s="233">
        <f>IF(AO28="5",BH28,0)</f>
        <v>0</v>
      </c>
      <c r="Z28" s="233">
        <f>IF(AO28="1",BF28,0)</f>
        <v>0</v>
      </c>
      <c r="AA28" s="233">
        <f>IF(AO28="1",BG28,0)</f>
        <v>0</v>
      </c>
      <c r="AB28" s="233">
        <f>IF(AO28="7",BF28,0)</f>
        <v>0</v>
      </c>
      <c r="AC28" s="233">
        <f>IF(AO28="7",BG28,0)</f>
        <v>0</v>
      </c>
      <c r="AD28" s="233">
        <f>IF(AO28="2",BF28,0)</f>
        <v>0</v>
      </c>
      <c r="AE28" s="233">
        <f>IF(AO28="2",BG28,0)</f>
        <v>0</v>
      </c>
      <c r="AF28" s="233">
        <f>IF(AO28="0",BH28,0)</f>
        <v>0</v>
      </c>
      <c r="AG28" s="229" t="s">
        <v>154</v>
      </c>
      <c r="AH28" s="233">
        <f>IF(AL28=0,J28,0)</f>
        <v>0</v>
      </c>
      <c r="AI28" s="233">
        <f>IF(AL28=15,J28,0)</f>
        <v>0</v>
      </c>
      <c r="AJ28" s="233">
        <f>IF(AL28=21,J28,0)</f>
        <v>0</v>
      </c>
      <c r="AL28" s="233">
        <v>21</v>
      </c>
      <c r="AM28" s="233">
        <f>G28*0.655240041</f>
        <v>0</v>
      </c>
      <c r="AN28" s="233">
        <f>G28*(1-0.655240041)</f>
        <v>0</v>
      </c>
      <c r="AO28" s="234" t="s">
        <v>157</v>
      </c>
      <c r="AT28" s="233">
        <f>AU28+AV28</f>
        <v>0</v>
      </c>
      <c r="AU28" s="233">
        <f>F28*AM28</f>
        <v>0</v>
      </c>
      <c r="AV28" s="233">
        <f>F28*AN28</f>
        <v>0</v>
      </c>
      <c r="AW28" s="234" t="s">
        <v>340</v>
      </c>
      <c r="AX28" s="234" t="s">
        <v>311</v>
      </c>
      <c r="AY28" s="229" t="s">
        <v>164</v>
      </c>
      <c r="BA28" s="233">
        <f>AU28+AV28</f>
        <v>0</v>
      </c>
      <c r="BB28" s="233">
        <f>G28/(100-BC28)*100</f>
        <v>0</v>
      </c>
      <c r="BC28" s="233">
        <v>0</v>
      </c>
      <c r="BD28" s="233">
        <f>L28</f>
        <v>69.217199999999991</v>
      </c>
      <c r="BF28" s="233">
        <f>F28*AM28</f>
        <v>0</v>
      </c>
      <c r="BG28" s="233">
        <f>F28*AN28</f>
        <v>0</v>
      </c>
      <c r="BH28" s="233">
        <f>F28*G28</f>
        <v>0</v>
      </c>
      <c r="BI28" s="233"/>
      <c r="BJ28" s="233">
        <v>57</v>
      </c>
      <c r="BU28" s="233" t="e">
        <f>#REF!</f>
        <v>#REF!</v>
      </c>
      <c r="BV28" s="225" t="s">
        <v>1054</v>
      </c>
    </row>
    <row r="29" spans="1:74" ht="54" customHeight="1" x14ac:dyDescent="0.3">
      <c r="A29" s="241"/>
      <c r="B29" s="242" t="s">
        <v>165</v>
      </c>
      <c r="C29" s="530" t="s">
        <v>1379</v>
      </c>
      <c r="D29" s="531"/>
      <c r="E29" s="531"/>
      <c r="F29" s="531"/>
      <c r="G29" s="531"/>
      <c r="H29" s="531"/>
      <c r="I29" s="531"/>
      <c r="J29" s="531"/>
      <c r="K29" s="531"/>
      <c r="L29" s="531"/>
      <c r="M29" s="532"/>
    </row>
    <row r="30" spans="1:74" ht="14.4" x14ac:dyDescent="0.3">
      <c r="A30" s="239" t="s">
        <v>187</v>
      </c>
      <c r="B30" s="223" t="s">
        <v>1055</v>
      </c>
      <c r="C30" s="521" t="s">
        <v>1056</v>
      </c>
      <c r="D30" s="519"/>
      <c r="E30" s="223" t="s">
        <v>180</v>
      </c>
      <c r="F30" s="233">
        <v>649</v>
      </c>
      <c r="G30" s="311">
        <v>0</v>
      </c>
      <c r="H30" s="233">
        <f>F30*AM30</f>
        <v>0</v>
      </c>
      <c r="I30" s="233">
        <f>F30*AN30</f>
        <v>0</v>
      </c>
      <c r="J30" s="233">
        <f>F30*G30</f>
        <v>0</v>
      </c>
      <c r="K30" s="233">
        <v>0.12966</v>
      </c>
      <c r="L30" s="233">
        <f>F30*K30</f>
        <v>84.149339999999995</v>
      </c>
      <c r="M30" s="240" t="s">
        <v>472</v>
      </c>
      <c r="X30" s="233">
        <f>IF(AO30="5",BH30,0)</f>
        <v>0</v>
      </c>
      <c r="Z30" s="233">
        <f>IF(AO30="1",BF30,0)</f>
        <v>0</v>
      </c>
      <c r="AA30" s="233">
        <f>IF(AO30="1",BG30,0)</f>
        <v>0</v>
      </c>
      <c r="AB30" s="233">
        <f>IF(AO30="7",BF30,0)</f>
        <v>0</v>
      </c>
      <c r="AC30" s="233">
        <f>IF(AO30="7",BG30,0)</f>
        <v>0</v>
      </c>
      <c r="AD30" s="233">
        <f>IF(AO30="2",BF30,0)</f>
        <v>0</v>
      </c>
      <c r="AE30" s="233">
        <f>IF(AO30="2",BG30,0)</f>
        <v>0</v>
      </c>
      <c r="AF30" s="233">
        <f>IF(AO30="0",BH30,0)</f>
        <v>0</v>
      </c>
      <c r="AG30" s="229" t="s">
        <v>154</v>
      </c>
      <c r="AH30" s="233">
        <f>IF(AL30=0,J30,0)</f>
        <v>0</v>
      </c>
      <c r="AI30" s="233">
        <f>IF(AL30=15,J30,0)</f>
        <v>0</v>
      </c>
      <c r="AJ30" s="233">
        <f>IF(AL30=21,J30,0)</f>
        <v>0</v>
      </c>
      <c r="AL30" s="233">
        <v>21</v>
      </c>
      <c r="AM30" s="233">
        <f>G30*0.687377622</f>
        <v>0</v>
      </c>
      <c r="AN30" s="233">
        <f>G30*(1-0.687377622)</f>
        <v>0</v>
      </c>
      <c r="AO30" s="234" t="s">
        <v>157</v>
      </c>
      <c r="AT30" s="233">
        <f>AU30+AV30</f>
        <v>0</v>
      </c>
      <c r="AU30" s="233">
        <f>F30*AM30</f>
        <v>0</v>
      </c>
      <c r="AV30" s="233">
        <f>F30*AN30</f>
        <v>0</v>
      </c>
      <c r="AW30" s="234" t="s">
        <v>340</v>
      </c>
      <c r="AX30" s="234" t="s">
        <v>311</v>
      </c>
      <c r="AY30" s="229" t="s">
        <v>164</v>
      </c>
      <c r="BA30" s="233">
        <f>AU30+AV30</f>
        <v>0</v>
      </c>
      <c r="BB30" s="233">
        <f>G30/(100-BC30)*100</f>
        <v>0</v>
      </c>
      <c r="BC30" s="233">
        <v>0</v>
      </c>
      <c r="BD30" s="233">
        <f>L30</f>
        <v>84.149339999999995</v>
      </c>
      <c r="BF30" s="233">
        <f>F30*AM30</f>
        <v>0</v>
      </c>
      <c r="BG30" s="233">
        <f>F30*AN30</f>
        <v>0</v>
      </c>
      <c r="BH30" s="233">
        <f>F30*G30</f>
        <v>0</v>
      </c>
      <c r="BI30" s="233"/>
      <c r="BJ30" s="233">
        <v>57</v>
      </c>
      <c r="BU30" s="233" t="e">
        <f>#REF!</f>
        <v>#REF!</v>
      </c>
      <c r="BV30" s="225" t="s">
        <v>1056</v>
      </c>
    </row>
    <row r="31" spans="1:74" ht="67.5" customHeight="1" x14ac:dyDescent="0.3">
      <c r="A31" s="241"/>
      <c r="B31" s="242" t="s">
        <v>165</v>
      </c>
      <c r="C31" s="530" t="s">
        <v>1380</v>
      </c>
      <c r="D31" s="531"/>
      <c r="E31" s="531"/>
      <c r="F31" s="531"/>
      <c r="G31" s="531"/>
      <c r="H31" s="531"/>
      <c r="I31" s="531"/>
      <c r="J31" s="531"/>
      <c r="K31" s="531"/>
      <c r="L31" s="531"/>
      <c r="M31" s="532"/>
    </row>
    <row r="32" spans="1:74" ht="14.4" x14ac:dyDescent="0.3">
      <c r="A32" s="239" t="s">
        <v>193</v>
      </c>
      <c r="B32" s="223" t="s">
        <v>1057</v>
      </c>
      <c r="C32" s="521" t="s">
        <v>1058</v>
      </c>
      <c r="D32" s="519"/>
      <c r="E32" s="223" t="s">
        <v>180</v>
      </c>
      <c r="F32" s="233">
        <v>109</v>
      </c>
      <c r="G32" s="311">
        <v>0</v>
      </c>
      <c r="H32" s="233">
        <f>F32*AM32</f>
        <v>0</v>
      </c>
      <c r="I32" s="233">
        <f>F32*AN32</f>
        <v>0</v>
      </c>
      <c r="J32" s="233">
        <f>F32*G32</f>
        <v>0</v>
      </c>
      <c r="K32" s="233">
        <v>0.15382000000000001</v>
      </c>
      <c r="L32" s="233">
        <f>F32*K32</f>
        <v>16.766380000000002</v>
      </c>
      <c r="M32" s="240" t="s">
        <v>472</v>
      </c>
      <c r="X32" s="233">
        <f>IF(AO32="5",BH32,0)</f>
        <v>0</v>
      </c>
      <c r="Z32" s="233">
        <f>IF(AO32="1",BF32,0)</f>
        <v>0</v>
      </c>
      <c r="AA32" s="233">
        <f>IF(AO32="1",BG32,0)</f>
        <v>0</v>
      </c>
      <c r="AB32" s="233">
        <f>IF(AO32="7",BF32,0)</f>
        <v>0</v>
      </c>
      <c r="AC32" s="233">
        <f>IF(AO32="7",BG32,0)</f>
        <v>0</v>
      </c>
      <c r="AD32" s="233">
        <f>IF(AO32="2",BF32,0)</f>
        <v>0</v>
      </c>
      <c r="AE32" s="233">
        <f>IF(AO32="2",BG32,0)</f>
        <v>0</v>
      </c>
      <c r="AF32" s="233">
        <f>IF(AO32="0",BH32,0)</f>
        <v>0</v>
      </c>
      <c r="AG32" s="229" t="s">
        <v>154</v>
      </c>
      <c r="AH32" s="233">
        <f>IF(AL32=0,J32,0)</f>
        <v>0</v>
      </c>
      <c r="AI32" s="233">
        <f>IF(AL32=15,J32,0)</f>
        <v>0</v>
      </c>
      <c r="AJ32" s="233">
        <f>IF(AL32=21,J32,0)</f>
        <v>0</v>
      </c>
      <c r="AL32" s="233">
        <v>21</v>
      </c>
      <c r="AM32" s="233">
        <f>G32*0.658458904</f>
        <v>0</v>
      </c>
      <c r="AN32" s="233">
        <f>G32*(1-0.658458904)</f>
        <v>0</v>
      </c>
      <c r="AO32" s="234" t="s">
        <v>157</v>
      </c>
      <c r="AT32" s="233">
        <f>AU32+AV32</f>
        <v>0</v>
      </c>
      <c r="AU32" s="233">
        <f>F32*AM32</f>
        <v>0</v>
      </c>
      <c r="AV32" s="233">
        <f>F32*AN32</f>
        <v>0</v>
      </c>
      <c r="AW32" s="234" t="s">
        <v>340</v>
      </c>
      <c r="AX32" s="234" t="s">
        <v>311</v>
      </c>
      <c r="AY32" s="229" t="s">
        <v>164</v>
      </c>
      <c r="BA32" s="233">
        <f>AU32+AV32</f>
        <v>0</v>
      </c>
      <c r="BB32" s="233">
        <f>G32/(100-BC32)*100</f>
        <v>0</v>
      </c>
      <c r="BC32" s="233">
        <v>0</v>
      </c>
      <c r="BD32" s="233">
        <f>L32</f>
        <v>16.766380000000002</v>
      </c>
      <c r="BF32" s="233">
        <f>F32*AM32</f>
        <v>0</v>
      </c>
      <c r="BG32" s="233">
        <f>F32*AN32</f>
        <v>0</v>
      </c>
      <c r="BH32" s="233">
        <f>F32*G32</f>
        <v>0</v>
      </c>
      <c r="BI32" s="233"/>
      <c r="BJ32" s="233">
        <v>57</v>
      </c>
      <c r="BU32" s="233" t="e">
        <f>#REF!</f>
        <v>#REF!</v>
      </c>
      <c r="BV32" s="225" t="s">
        <v>1058</v>
      </c>
    </row>
    <row r="33" spans="1:74" ht="40.5" customHeight="1" x14ac:dyDescent="0.3">
      <c r="A33" s="241"/>
      <c r="B33" s="242" t="s">
        <v>165</v>
      </c>
      <c r="C33" s="530" t="s">
        <v>1381</v>
      </c>
      <c r="D33" s="531"/>
      <c r="E33" s="531"/>
      <c r="F33" s="531"/>
      <c r="G33" s="531"/>
      <c r="H33" s="531"/>
      <c r="I33" s="531"/>
      <c r="J33" s="531"/>
      <c r="K33" s="531"/>
      <c r="L33" s="531"/>
      <c r="M33" s="532"/>
    </row>
    <row r="34" spans="1:74" ht="14.4" x14ac:dyDescent="0.3">
      <c r="A34" s="239" t="s">
        <v>154</v>
      </c>
      <c r="B34" s="224" t="s">
        <v>382</v>
      </c>
      <c r="C34" s="526" t="s">
        <v>383</v>
      </c>
      <c r="D34" s="527"/>
      <c r="E34" s="223" t="s">
        <v>114</v>
      </c>
      <c r="F34" s="223" t="s">
        <v>114</v>
      </c>
      <c r="G34" s="223" t="s">
        <v>114</v>
      </c>
      <c r="H34" s="235">
        <f>SUM(H35:H37)</f>
        <v>0</v>
      </c>
      <c r="I34" s="235">
        <f>SUM(I35:I37)</f>
        <v>0</v>
      </c>
      <c r="J34" s="235">
        <f>SUM(J35:J37)</f>
        <v>0</v>
      </c>
      <c r="K34" s="230" t="s">
        <v>154</v>
      </c>
      <c r="L34" s="235">
        <f>SUM(L35:L37)</f>
        <v>0</v>
      </c>
      <c r="M34" s="243" t="s">
        <v>154</v>
      </c>
      <c r="AG34" s="229" t="s">
        <v>154</v>
      </c>
      <c r="AQ34" s="222">
        <f>SUM(AH35:AH37)</f>
        <v>0</v>
      </c>
      <c r="AR34" s="222">
        <f>SUM(AI35:AI37)</f>
        <v>0</v>
      </c>
      <c r="AS34" s="222">
        <f>SUM(AJ35:AJ37)</f>
        <v>0</v>
      </c>
    </row>
    <row r="35" spans="1:74" ht="14.4" x14ac:dyDescent="0.3">
      <c r="A35" s="239" t="s">
        <v>198</v>
      </c>
      <c r="B35" s="223" t="s">
        <v>391</v>
      </c>
      <c r="C35" s="521" t="s">
        <v>1059</v>
      </c>
      <c r="D35" s="519"/>
      <c r="E35" s="223" t="s">
        <v>380</v>
      </c>
      <c r="F35" s="233">
        <v>170.98</v>
      </c>
      <c r="G35" s="311">
        <v>0</v>
      </c>
      <c r="H35" s="233">
        <f>F35*AM35</f>
        <v>0</v>
      </c>
      <c r="I35" s="233">
        <f>F35*AN35</f>
        <v>0</v>
      </c>
      <c r="J35" s="233">
        <f>F35*G35</f>
        <v>0</v>
      </c>
      <c r="K35" s="233">
        <v>0</v>
      </c>
      <c r="L35" s="233">
        <f>F35*K35</f>
        <v>0</v>
      </c>
      <c r="M35" s="240" t="s">
        <v>472</v>
      </c>
      <c r="X35" s="233">
        <f>IF(AO35="5",BH35,0)</f>
        <v>0</v>
      </c>
      <c r="Z35" s="233">
        <f>IF(AO35="1",BF35,0)</f>
        <v>0</v>
      </c>
      <c r="AA35" s="233">
        <f>IF(AO35="1",BG35,0)</f>
        <v>0</v>
      </c>
      <c r="AB35" s="233">
        <f>IF(AO35="7",BF35,0)</f>
        <v>0</v>
      </c>
      <c r="AC35" s="233">
        <f>IF(AO35="7",BG35,0)</f>
        <v>0</v>
      </c>
      <c r="AD35" s="233">
        <f>IF(AO35="2",BF35,0)</f>
        <v>0</v>
      </c>
      <c r="AE35" s="233">
        <f>IF(AO35="2",BG35,0)</f>
        <v>0</v>
      </c>
      <c r="AF35" s="233">
        <f>IF(AO35="0",BH35,0)</f>
        <v>0</v>
      </c>
      <c r="AG35" s="229" t="s">
        <v>154</v>
      </c>
      <c r="AH35" s="233">
        <f>IF(AL35=0,J35,0)</f>
        <v>0</v>
      </c>
      <c r="AI35" s="233">
        <f>IF(AL35=15,J35,0)</f>
        <v>0</v>
      </c>
      <c r="AJ35" s="233">
        <f>IF(AL35=21,J35,0)</f>
        <v>0</v>
      </c>
      <c r="AL35" s="233">
        <v>21</v>
      </c>
      <c r="AM35" s="233">
        <f>G35*0</f>
        <v>0</v>
      </c>
      <c r="AN35" s="233">
        <f>G35*(1-0)</f>
        <v>0</v>
      </c>
      <c r="AO35" s="234" t="s">
        <v>177</v>
      </c>
      <c r="AT35" s="233">
        <f>AU35+AV35</f>
        <v>0</v>
      </c>
      <c r="AU35" s="233">
        <f>F35*AM35</f>
        <v>0</v>
      </c>
      <c r="AV35" s="233">
        <f>F35*AN35</f>
        <v>0</v>
      </c>
      <c r="AW35" s="234" t="s">
        <v>387</v>
      </c>
      <c r="AX35" s="234" t="s">
        <v>375</v>
      </c>
      <c r="AY35" s="229" t="s">
        <v>164</v>
      </c>
      <c r="BA35" s="233">
        <f>AU35+AV35</f>
        <v>0</v>
      </c>
      <c r="BB35" s="233">
        <f>G35/(100-BC35)*100</f>
        <v>0</v>
      </c>
      <c r="BC35" s="233">
        <v>0</v>
      </c>
      <c r="BD35" s="233">
        <f>L35</f>
        <v>0</v>
      </c>
      <c r="BF35" s="233">
        <f>F35*AM35</f>
        <v>0</v>
      </c>
      <c r="BG35" s="233">
        <f>F35*AN35</f>
        <v>0</v>
      </c>
      <c r="BH35" s="233">
        <f>F35*G35</f>
        <v>0</v>
      </c>
      <c r="BI35" s="233"/>
      <c r="BJ35" s="233"/>
      <c r="BU35" s="233" t="e">
        <f>#REF!</f>
        <v>#REF!</v>
      </c>
      <c r="BV35" s="225" t="s">
        <v>1059</v>
      </c>
    </row>
    <row r="36" spans="1:74" ht="13.5" customHeight="1" x14ac:dyDescent="0.3">
      <c r="A36" s="241"/>
      <c r="B36" s="242" t="s">
        <v>165</v>
      </c>
      <c r="C36" s="530" t="s">
        <v>1060</v>
      </c>
      <c r="D36" s="531"/>
      <c r="E36" s="531"/>
      <c r="F36" s="531"/>
      <c r="G36" s="531"/>
      <c r="H36" s="531"/>
      <c r="I36" s="531"/>
      <c r="J36" s="531"/>
      <c r="K36" s="531"/>
      <c r="L36" s="531"/>
      <c r="M36" s="532"/>
    </row>
    <row r="37" spans="1:74" ht="14.4" x14ac:dyDescent="0.3">
      <c r="A37" s="239" t="s">
        <v>155</v>
      </c>
      <c r="B37" s="223" t="s">
        <v>391</v>
      </c>
      <c r="C37" s="521" t="s">
        <v>392</v>
      </c>
      <c r="D37" s="519"/>
      <c r="E37" s="223" t="s">
        <v>380</v>
      </c>
      <c r="F37" s="233">
        <v>282.93</v>
      </c>
      <c r="G37" s="311">
        <v>0</v>
      </c>
      <c r="H37" s="233">
        <f>F37*AM37</f>
        <v>0</v>
      </c>
      <c r="I37" s="233">
        <f>F37*AN37</f>
        <v>0</v>
      </c>
      <c r="J37" s="233">
        <f>F37*G37</f>
        <v>0</v>
      </c>
      <c r="K37" s="233">
        <v>0</v>
      </c>
      <c r="L37" s="233">
        <f>F37*K37</f>
        <v>0</v>
      </c>
      <c r="M37" s="240" t="s">
        <v>472</v>
      </c>
      <c r="X37" s="233">
        <f>IF(AO37="5",BH37,0)</f>
        <v>0</v>
      </c>
      <c r="Z37" s="233">
        <f>IF(AO37="1",BF37,0)</f>
        <v>0</v>
      </c>
      <c r="AA37" s="233">
        <f>IF(AO37="1",BG37,0)</f>
        <v>0</v>
      </c>
      <c r="AB37" s="233">
        <f>IF(AO37="7",BF37,0)</f>
        <v>0</v>
      </c>
      <c r="AC37" s="233">
        <f>IF(AO37="7",BG37,0)</f>
        <v>0</v>
      </c>
      <c r="AD37" s="233">
        <f>IF(AO37="2",BF37,0)</f>
        <v>0</v>
      </c>
      <c r="AE37" s="233">
        <f>IF(AO37="2",BG37,0)</f>
        <v>0</v>
      </c>
      <c r="AF37" s="233">
        <f>IF(AO37="0",BH37,0)</f>
        <v>0</v>
      </c>
      <c r="AG37" s="229" t="s">
        <v>154</v>
      </c>
      <c r="AH37" s="233">
        <f>IF(AL37=0,J37,0)</f>
        <v>0</v>
      </c>
      <c r="AI37" s="233">
        <f>IF(AL37=15,J37,0)</f>
        <v>0</v>
      </c>
      <c r="AJ37" s="233">
        <f>IF(AL37=21,J37,0)</f>
        <v>0</v>
      </c>
      <c r="AL37" s="233">
        <v>21</v>
      </c>
      <c r="AM37" s="233">
        <f>G37*0</f>
        <v>0</v>
      </c>
      <c r="AN37" s="233">
        <f>G37*(1-0)</f>
        <v>0</v>
      </c>
      <c r="AO37" s="234" t="s">
        <v>177</v>
      </c>
      <c r="AT37" s="233">
        <f>AU37+AV37</f>
        <v>0</v>
      </c>
      <c r="AU37" s="233">
        <f>F37*AM37</f>
        <v>0</v>
      </c>
      <c r="AV37" s="233">
        <f>F37*AN37</f>
        <v>0</v>
      </c>
      <c r="AW37" s="234" t="s">
        <v>387</v>
      </c>
      <c r="AX37" s="234" t="s">
        <v>375</v>
      </c>
      <c r="AY37" s="229" t="s">
        <v>164</v>
      </c>
      <c r="BA37" s="233">
        <f>AU37+AV37</f>
        <v>0</v>
      </c>
      <c r="BB37" s="233">
        <f>G37/(100-BC37)*100</f>
        <v>0</v>
      </c>
      <c r="BC37" s="233">
        <v>0</v>
      </c>
      <c r="BD37" s="233">
        <f>L37</f>
        <v>0</v>
      </c>
      <c r="BF37" s="233">
        <f>F37*AM37</f>
        <v>0</v>
      </c>
      <c r="BG37" s="233">
        <f>F37*AN37</f>
        <v>0</v>
      </c>
      <c r="BH37" s="233">
        <f>F37*G37</f>
        <v>0</v>
      </c>
      <c r="BI37" s="233"/>
      <c r="BJ37" s="233"/>
      <c r="BU37" s="233" t="e">
        <f>#REF!</f>
        <v>#REF!</v>
      </c>
      <c r="BV37" s="225" t="s">
        <v>392</v>
      </c>
    </row>
    <row r="38" spans="1:74" ht="40.5" customHeight="1" x14ac:dyDescent="0.3">
      <c r="A38" s="241"/>
      <c r="B38" s="242" t="s">
        <v>165</v>
      </c>
      <c r="C38" s="530" t="s">
        <v>1382</v>
      </c>
      <c r="D38" s="531"/>
      <c r="E38" s="531"/>
      <c r="F38" s="531"/>
      <c r="G38" s="531"/>
      <c r="H38" s="531"/>
      <c r="I38" s="531"/>
      <c r="J38" s="531"/>
      <c r="K38" s="531"/>
      <c r="L38" s="531"/>
      <c r="M38" s="532"/>
    </row>
    <row r="39" spans="1:74" ht="14.4" x14ac:dyDescent="0.3">
      <c r="A39" s="239" t="s">
        <v>154</v>
      </c>
      <c r="B39" s="224" t="s">
        <v>1383</v>
      </c>
      <c r="C39" s="526" t="s">
        <v>449</v>
      </c>
      <c r="D39" s="527"/>
      <c r="E39" s="223" t="s">
        <v>114</v>
      </c>
      <c r="F39" s="223" t="s">
        <v>114</v>
      </c>
      <c r="G39" s="223" t="s">
        <v>114</v>
      </c>
      <c r="H39" s="235">
        <f>SUM(H40:H40)</f>
        <v>0</v>
      </c>
      <c r="I39" s="235">
        <f>SUM(I40:I40)</f>
        <v>0</v>
      </c>
      <c r="J39" s="235">
        <f>SUM(J40:J40)</f>
        <v>0</v>
      </c>
      <c r="K39" s="230" t="s">
        <v>154</v>
      </c>
      <c r="L39" s="235">
        <f>SUM(L40:L40)</f>
        <v>0.58377599999999996</v>
      </c>
      <c r="M39" s="243" t="s">
        <v>154</v>
      </c>
      <c r="AG39" s="229" t="s">
        <v>154</v>
      </c>
      <c r="AQ39" s="222">
        <f>SUM(AH40:AH40)</f>
        <v>0</v>
      </c>
      <c r="AR39" s="222">
        <f>SUM(AI40:AI40)</f>
        <v>0</v>
      </c>
      <c r="AS39" s="222">
        <f>SUM(AJ40:AJ40)</f>
        <v>0</v>
      </c>
    </row>
    <row r="40" spans="1:74" ht="26.4" x14ac:dyDescent="0.3">
      <c r="A40" s="239" t="s">
        <v>191</v>
      </c>
      <c r="B40" s="223" t="s">
        <v>1384</v>
      </c>
      <c r="C40" s="521" t="s">
        <v>1385</v>
      </c>
      <c r="D40" s="519"/>
      <c r="E40" s="223" t="s">
        <v>180</v>
      </c>
      <c r="F40" s="233">
        <v>1945.92</v>
      </c>
      <c r="G40" s="311">
        <v>0</v>
      </c>
      <c r="H40" s="233">
        <f>F40*AM40</f>
        <v>0</v>
      </c>
      <c r="I40" s="233">
        <f>F40*AN40</f>
        <v>0</v>
      </c>
      <c r="J40" s="233">
        <f>F40*G40</f>
        <v>0</v>
      </c>
      <c r="K40" s="233">
        <v>2.9999999999999997E-4</v>
      </c>
      <c r="L40" s="233">
        <f>F40*K40</f>
        <v>0.58377599999999996</v>
      </c>
      <c r="M40" s="240" t="s">
        <v>472</v>
      </c>
      <c r="X40" s="233">
        <f>IF(AO40="5",BH40,0)</f>
        <v>0</v>
      </c>
      <c r="Z40" s="233">
        <f>IF(AO40="1",BF40,0)</f>
        <v>0</v>
      </c>
      <c r="AA40" s="233">
        <f>IF(AO40="1",BG40,0)</f>
        <v>0</v>
      </c>
      <c r="AB40" s="233">
        <f>IF(AO40="7",BF40,0)</f>
        <v>0</v>
      </c>
      <c r="AC40" s="233">
        <f>IF(AO40="7",BG40,0)</f>
        <v>0</v>
      </c>
      <c r="AD40" s="233">
        <f>IF(AO40="2",BF40,0)</f>
        <v>0</v>
      </c>
      <c r="AE40" s="233">
        <f>IF(AO40="2",BG40,0)</f>
        <v>0</v>
      </c>
      <c r="AF40" s="233">
        <f>IF(AO40="0",BH40,0)</f>
        <v>0</v>
      </c>
      <c r="AG40" s="229" t="s">
        <v>154</v>
      </c>
      <c r="AH40" s="233">
        <f>IF(AL40=0,J40,0)</f>
        <v>0</v>
      </c>
      <c r="AI40" s="233">
        <f>IF(AL40=15,J40,0)</f>
        <v>0</v>
      </c>
      <c r="AJ40" s="233">
        <f>IF(AL40=21,J40,0)</f>
        <v>0</v>
      </c>
      <c r="AL40" s="233">
        <v>21</v>
      </c>
      <c r="AM40" s="233">
        <f>G40*1</f>
        <v>0</v>
      </c>
      <c r="AN40" s="233">
        <f>G40*(1-1)</f>
        <v>0</v>
      </c>
      <c r="AO40" s="234" t="s">
        <v>453</v>
      </c>
      <c r="AT40" s="233">
        <f>AU40+AV40</f>
        <v>0</v>
      </c>
      <c r="AU40" s="233">
        <f>F40*AM40</f>
        <v>0</v>
      </c>
      <c r="AV40" s="233">
        <f>F40*AN40</f>
        <v>0</v>
      </c>
      <c r="AW40" s="234" t="s">
        <v>454</v>
      </c>
      <c r="AX40" s="234" t="s">
        <v>455</v>
      </c>
      <c r="AY40" s="229" t="s">
        <v>164</v>
      </c>
      <c r="BA40" s="233">
        <f>AU40+AV40</f>
        <v>0</v>
      </c>
      <c r="BB40" s="233">
        <f>G40/(100-BC40)*100</f>
        <v>0</v>
      </c>
      <c r="BC40" s="233">
        <v>0</v>
      </c>
      <c r="BD40" s="233">
        <f>L40</f>
        <v>0.58377599999999996</v>
      </c>
      <c r="BF40" s="233">
        <f>F40*AM40</f>
        <v>0</v>
      </c>
      <c r="BG40" s="233">
        <f>F40*AN40</f>
        <v>0</v>
      </c>
      <c r="BH40" s="233">
        <f>F40*G40</f>
        <v>0</v>
      </c>
      <c r="BI40" s="233"/>
      <c r="BJ40" s="233"/>
      <c r="BU40" s="233" t="e">
        <f>#REF!</f>
        <v>#REF!</v>
      </c>
      <c r="BV40" s="225" t="s">
        <v>1385</v>
      </c>
    </row>
    <row r="41" spans="1:74" ht="135" customHeight="1" x14ac:dyDescent="0.3">
      <c r="A41" s="244"/>
      <c r="B41" s="245" t="s">
        <v>165</v>
      </c>
      <c r="C41" s="540" t="s">
        <v>1386</v>
      </c>
      <c r="D41" s="541"/>
      <c r="E41" s="541"/>
      <c r="F41" s="541"/>
      <c r="G41" s="541"/>
      <c r="H41" s="541"/>
      <c r="I41" s="541"/>
      <c r="J41" s="541"/>
      <c r="K41" s="541"/>
      <c r="L41" s="541"/>
      <c r="M41" s="542"/>
    </row>
    <row r="42" spans="1:74" ht="14.4" x14ac:dyDescent="0.3">
      <c r="H42" s="527" t="s">
        <v>423</v>
      </c>
      <c r="I42" s="527"/>
      <c r="J42" s="235">
        <f>J12+J15+J18+J23+J34+J39</f>
        <v>0</v>
      </c>
    </row>
    <row r="43" spans="1:74" ht="14.4" x14ac:dyDescent="0.3">
      <c r="A43" s="236" t="s">
        <v>165</v>
      </c>
    </row>
    <row r="44" spans="1:74" ht="13.5" customHeight="1" x14ac:dyDescent="0.3">
      <c r="A44" s="521" t="s">
        <v>1387</v>
      </c>
      <c r="B44" s="519"/>
      <c r="C44" s="519"/>
      <c r="D44" s="519"/>
      <c r="E44" s="519"/>
      <c r="F44" s="519"/>
      <c r="G44" s="519"/>
      <c r="H44" s="519"/>
      <c r="I44" s="519"/>
      <c r="J44" s="519"/>
      <c r="K44" s="519"/>
      <c r="L44" s="519"/>
      <c r="M44" s="519"/>
    </row>
    <row r="45" spans="1:74" ht="15" customHeight="1" x14ac:dyDescent="0.3">
      <c r="A45" s="549" t="s">
        <v>1159</v>
      </c>
      <c r="B45" s="550"/>
      <c r="C45" s="550"/>
      <c r="D45" s="550"/>
      <c r="E45" s="550"/>
      <c r="F45" s="550"/>
      <c r="G45" s="550"/>
      <c r="H45" s="550"/>
      <c r="I45" s="550"/>
      <c r="J45" s="550"/>
      <c r="K45" s="550"/>
      <c r="L45" s="550"/>
      <c r="M45" s="550"/>
    </row>
  </sheetData>
  <sheetProtection algorithmName="SHA-512" hashValue="MB0S3IjSm03Eax6SLe/jN4a4DejYI2vFf/KMY6ogrRZN2TxBiuwccHy7bpu5jOuJow2u54QjvOoQJgM/53LMow==" saltValue="JTUhopJ0ZeX1ua4vKXAH3Q==" spinCount="100000" sheet="1" objects="1" scenarios="1" formatCells="0" formatColumns="0" formatRows="0" insertColumns="0" insertRows="0" insertHyperlinks="0"/>
  <mergeCells count="62">
    <mergeCell ref="A45:M45"/>
    <mergeCell ref="C38:M38"/>
    <mergeCell ref="C39:D39"/>
    <mergeCell ref="C40:D40"/>
    <mergeCell ref="C41:M41"/>
    <mergeCell ref="H42:I42"/>
    <mergeCell ref="A44:M44"/>
    <mergeCell ref="C37:D37"/>
    <mergeCell ref="C26:D26"/>
    <mergeCell ref="C27:M27"/>
    <mergeCell ref="C28:D28"/>
    <mergeCell ref="C29:M29"/>
    <mergeCell ref="C30:D30"/>
    <mergeCell ref="C31:M31"/>
    <mergeCell ref="C32:D32"/>
    <mergeCell ref="C33:M33"/>
    <mergeCell ref="C34:D34"/>
    <mergeCell ref="C35:D35"/>
    <mergeCell ref="C36:M36"/>
    <mergeCell ref="H10:J10"/>
    <mergeCell ref="K10:L10"/>
    <mergeCell ref="C11:D11"/>
    <mergeCell ref="C12:D12"/>
    <mergeCell ref="C25:M25"/>
    <mergeCell ref="C14:M14"/>
    <mergeCell ref="C15:D15"/>
    <mergeCell ref="C16:D16"/>
    <mergeCell ref="C17:M17"/>
    <mergeCell ref="C18:D18"/>
    <mergeCell ref="C19:D19"/>
    <mergeCell ref="C20:M20"/>
    <mergeCell ref="C21:D21"/>
    <mergeCell ref="C22:M22"/>
    <mergeCell ref="C23:D23"/>
    <mergeCell ref="C24:D24"/>
    <mergeCell ref="C13:D13"/>
    <mergeCell ref="A8:B9"/>
    <mergeCell ref="C8:D9"/>
    <mergeCell ref="E8:F9"/>
    <mergeCell ref="G8:G9"/>
    <mergeCell ref="C10:D10"/>
    <mergeCell ref="H8:H9"/>
    <mergeCell ref="I8:M9"/>
    <mergeCell ref="A6:B7"/>
    <mergeCell ref="C6:D7"/>
    <mergeCell ref="E6:F7"/>
    <mergeCell ref="G6:G7"/>
    <mergeCell ref="H6:H7"/>
    <mergeCell ref="I6:M7"/>
    <mergeCell ref="I4:M5"/>
    <mergeCell ref="A1:M1"/>
    <mergeCell ref="A2:B3"/>
    <mergeCell ref="C2:D3"/>
    <mergeCell ref="E2:F3"/>
    <mergeCell ref="G2:G3"/>
    <mergeCell ref="H2:H3"/>
    <mergeCell ref="I2:M3"/>
    <mergeCell ref="A4:B5"/>
    <mergeCell ref="C4:D5"/>
    <mergeCell ref="E4:F5"/>
    <mergeCell ref="G4:G5"/>
    <mergeCell ref="H4:H5"/>
  </mergeCells>
  <printOptions verticalCentered="1"/>
  <pageMargins left="0.78740157480314965" right="0.39370078740157483" top="0.39370078740157483" bottom="0.39370078740157483" header="0" footer="0.39370078740157483"/>
  <pageSetup paperSize="9" scale="58" fitToHeight="0" orientation="landscape" r:id="rId1"/>
  <headerFooter>
    <oddFooter>&amp;L&amp;A&amp;C&amp;F&amp;Rstran &amp;N / strana &amp;P</oddFooter>
  </headerFooter>
  <rowBreaks count="1" manualBreakCount="1">
    <brk id="27" max="12"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55C8E-AADF-41D6-ADA5-9632389AAA87}">
  <sheetPr codeName="List6">
    <pageSetUpPr fitToPage="1"/>
  </sheetPr>
  <dimension ref="A1:BV167"/>
  <sheetViews>
    <sheetView view="pageBreakPreview" zoomScale="55" zoomScaleNormal="55" zoomScaleSheetLayoutView="55" workbookViewId="0">
      <pane ySplit="11" topLeftCell="A12" activePane="bottomLeft" state="frozen"/>
      <selection pane="bottomLeft" activeCell="G13" sqref="G13"/>
    </sheetView>
  </sheetViews>
  <sheetFormatPr defaultColWidth="12.109375" defaultRowHeight="15" customHeight="1" x14ac:dyDescent="0.3"/>
  <cols>
    <col min="1" max="1" width="4" style="221" customWidth="1"/>
    <col min="2" max="2" width="17.88671875" style="221" customWidth="1"/>
    <col min="3" max="3" width="42.88671875" style="221" customWidth="1"/>
    <col min="4" max="4" width="35.6640625" style="221" customWidth="1"/>
    <col min="5" max="5" width="6.44140625" style="221" customWidth="1"/>
    <col min="6" max="6" width="12.88671875" style="221" customWidth="1"/>
    <col min="7" max="7" width="12" style="221" customWidth="1"/>
    <col min="8" max="10" width="15.6640625" style="221" customWidth="1"/>
    <col min="11" max="12" width="11.6640625" style="221" customWidth="1"/>
    <col min="13" max="13" width="13.44140625" style="221" customWidth="1"/>
    <col min="14" max="73" width="12.109375" style="221"/>
    <col min="74" max="74" width="78.5546875" style="221" hidden="1" customWidth="1"/>
    <col min="75" max="16384" width="12.109375" style="221"/>
  </cols>
  <sheetData>
    <row r="1" spans="1:74" ht="54.75" customHeight="1" thickBot="1" x14ac:dyDescent="0.35">
      <c r="A1" s="523" t="s">
        <v>2303</v>
      </c>
      <c r="B1" s="524"/>
      <c r="C1" s="524"/>
      <c r="D1" s="524"/>
      <c r="E1" s="524"/>
      <c r="F1" s="524"/>
      <c r="G1" s="524"/>
      <c r="H1" s="524"/>
      <c r="I1" s="524"/>
      <c r="J1" s="524"/>
      <c r="K1" s="524"/>
      <c r="L1" s="524"/>
      <c r="M1" s="525"/>
      <c r="AQ1" s="222">
        <f>SUM(AH1:AH2)</f>
        <v>0</v>
      </c>
      <c r="AR1" s="222">
        <f>SUM(AI1:AI2)</f>
        <v>0</v>
      </c>
      <c r="AS1" s="222">
        <f>SUM(AJ1:AJ2)</f>
        <v>0</v>
      </c>
    </row>
    <row r="2" spans="1:74" ht="15" customHeight="1" x14ac:dyDescent="0.3">
      <c r="A2" s="518" t="s">
        <v>112</v>
      </c>
      <c r="B2" s="519"/>
      <c r="C2" s="526" t="s">
        <v>68</v>
      </c>
      <c r="D2" s="527"/>
      <c r="E2" s="519" t="s">
        <v>113</v>
      </c>
      <c r="F2" s="519"/>
      <c r="G2" s="522" t="s">
        <v>1156</v>
      </c>
      <c r="H2" s="551" t="s">
        <v>457</v>
      </c>
      <c r="I2" s="551" t="s">
        <v>69</v>
      </c>
      <c r="J2" s="551"/>
      <c r="K2" s="551"/>
      <c r="L2" s="551"/>
      <c r="M2" s="552"/>
    </row>
    <row r="3" spans="1:74" ht="14.4" x14ac:dyDescent="0.3">
      <c r="A3" s="520"/>
      <c r="B3" s="519"/>
      <c r="C3" s="527"/>
      <c r="D3" s="527"/>
      <c r="E3" s="519"/>
      <c r="F3" s="519"/>
      <c r="G3" s="522"/>
      <c r="H3" s="551"/>
      <c r="I3" s="551"/>
      <c r="J3" s="551"/>
      <c r="K3" s="551"/>
      <c r="L3" s="551"/>
      <c r="M3" s="552"/>
    </row>
    <row r="4" spans="1:74" ht="15" customHeight="1" x14ac:dyDescent="0.3">
      <c r="A4" s="518" t="s">
        <v>115</v>
      </c>
      <c r="B4" s="519"/>
      <c r="C4" s="521" t="s">
        <v>424</v>
      </c>
      <c r="D4" s="519"/>
      <c r="E4" s="519" t="s">
        <v>116</v>
      </c>
      <c r="F4" s="519"/>
      <c r="G4" s="522" t="s">
        <v>1156</v>
      </c>
      <c r="H4" s="551" t="s">
        <v>458</v>
      </c>
      <c r="I4" s="551" t="s">
        <v>1157</v>
      </c>
      <c r="J4" s="551"/>
      <c r="K4" s="551"/>
      <c r="L4" s="551"/>
      <c r="M4" s="552"/>
    </row>
    <row r="5" spans="1:74" ht="14.4" x14ac:dyDescent="0.3">
      <c r="A5" s="520"/>
      <c r="B5" s="519"/>
      <c r="C5" s="519"/>
      <c r="D5" s="519"/>
      <c r="E5" s="519"/>
      <c r="F5" s="519"/>
      <c r="G5" s="522"/>
      <c r="H5" s="551"/>
      <c r="I5" s="551"/>
      <c r="J5" s="551"/>
      <c r="K5" s="551"/>
      <c r="L5" s="551"/>
      <c r="M5" s="552"/>
    </row>
    <row r="6" spans="1:74" ht="15" customHeight="1" x14ac:dyDescent="0.3">
      <c r="A6" s="518" t="s">
        <v>117</v>
      </c>
      <c r="B6" s="519"/>
      <c r="C6" s="521" t="s">
        <v>118</v>
      </c>
      <c r="D6" s="519"/>
      <c r="E6" s="519" t="s">
        <v>119</v>
      </c>
      <c r="F6" s="519"/>
      <c r="G6" s="522" t="s">
        <v>1156</v>
      </c>
      <c r="H6" s="551" t="s">
        <v>460</v>
      </c>
      <c r="I6" s="551" t="s">
        <v>461</v>
      </c>
      <c r="J6" s="551"/>
      <c r="K6" s="551"/>
      <c r="L6" s="551"/>
      <c r="M6" s="552"/>
    </row>
    <row r="7" spans="1:74" ht="14.4" x14ac:dyDescent="0.3">
      <c r="A7" s="520"/>
      <c r="B7" s="519"/>
      <c r="C7" s="519"/>
      <c r="D7" s="519"/>
      <c r="E7" s="519"/>
      <c r="F7" s="519"/>
      <c r="G7" s="522"/>
      <c r="H7" s="551"/>
      <c r="I7" s="551"/>
      <c r="J7" s="551"/>
      <c r="K7" s="551"/>
      <c r="L7" s="551"/>
      <c r="M7" s="552"/>
    </row>
    <row r="8" spans="1:74" ht="14.4" x14ac:dyDescent="0.3">
      <c r="A8" s="518" t="s">
        <v>120</v>
      </c>
      <c r="B8" s="519"/>
      <c r="C8" s="521" t="s">
        <v>425</v>
      </c>
      <c r="D8" s="519"/>
      <c r="E8" s="519" t="s">
        <v>122</v>
      </c>
      <c r="F8" s="519"/>
      <c r="G8" s="522" t="s">
        <v>1155</v>
      </c>
      <c r="H8" s="551" t="s">
        <v>462</v>
      </c>
      <c r="I8" s="551" t="s">
        <v>1158</v>
      </c>
      <c r="J8" s="551"/>
      <c r="K8" s="551"/>
      <c r="L8" s="551"/>
      <c r="M8" s="552"/>
    </row>
    <row r="9" spans="1:74" thickBot="1" x14ac:dyDescent="0.35">
      <c r="A9" s="607"/>
      <c r="B9" s="533"/>
      <c r="C9" s="533"/>
      <c r="D9" s="533"/>
      <c r="E9" s="533"/>
      <c r="F9" s="533"/>
      <c r="G9" s="534"/>
      <c r="H9" s="553"/>
      <c r="I9" s="553"/>
      <c r="J9" s="553"/>
      <c r="K9" s="553"/>
      <c r="L9" s="553"/>
      <c r="M9" s="554"/>
    </row>
    <row r="10" spans="1:74" ht="14.4" x14ac:dyDescent="0.3">
      <c r="A10" s="272" t="s">
        <v>123</v>
      </c>
      <c r="B10" s="231" t="s">
        <v>124</v>
      </c>
      <c r="C10" s="527" t="s">
        <v>125</v>
      </c>
      <c r="D10" s="608"/>
      <c r="E10" s="231" t="s">
        <v>126</v>
      </c>
      <c r="F10" s="232" t="s">
        <v>127</v>
      </c>
      <c r="G10" s="270" t="s">
        <v>128</v>
      </c>
      <c r="H10" s="609" t="s">
        <v>129</v>
      </c>
      <c r="I10" s="610"/>
      <c r="J10" s="611"/>
      <c r="K10" s="610" t="s">
        <v>130</v>
      </c>
      <c r="L10" s="610"/>
      <c r="M10" s="271" t="s">
        <v>131</v>
      </c>
      <c r="BI10" s="229" t="s">
        <v>132</v>
      </c>
      <c r="BJ10" s="230" t="s">
        <v>133</v>
      </c>
      <c r="BU10" s="230" t="s">
        <v>134</v>
      </c>
    </row>
    <row r="11" spans="1:74" thickBot="1" x14ac:dyDescent="0.35">
      <c r="A11" s="251" t="s">
        <v>114</v>
      </c>
      <c r="B11" s="252" t="s">
        <v>114</v>
      </c>
      <c r="C11" s="528" t="s">
        <v>135</v>
      </c>
      <c r="D11" s="529"/>
      <c r="E11" s="252" t="s">
        <v>114</v>
      </c>
      <c r="F11" s="252" t="s">
        <v>114</v>
      </c>
      <c r="G11" s="253" t="s">
        <v>136</v>
      </c>
      <c r="H11" s="254" t="s">
        <v>137</v>
      </c>
      <c r="I11" s="255" t="s">
        <v>138</v>
      </c>
      <c r="J11" s="256" t="s">
        <v>139</v>
      </c>
      <c r="K11" s="255" t="s">
        <v>140</v>
      </c>
      <c r="L11" s="253" t="s">
        <v>139</v>
      </c>
      <c r="M11" s="257" t="s">
        <v>141</v>
      </c>
      <c r="X11" s="229" t="s">
        <v>142</v>
      </c>
      <c r="Y11" s="229" t="s">
        <v>143</v>
      </c>
      <c r="Z11" s="229" t="s">
        <v>144</v>
      </c>
      <c r="AA11" s="229" t="s">
        <v>145</v>
      </c>
      <c r="AB11" s="229" t="s">
        <v>146</v>
      </c>
      <c r="AC11" s="229" t="s">
        <v>147</v>
      </c>
      <c r="AD11" s="229" t="s">
        <v>148</v>
      </c>
      <c r="AE11" s="229" t="s">
        <v>149</v>
      </c>
      <c r="AF11" s="229" t="s">
        <v>150</v>
      </c>
      <c r="BF11" s="229" t="s">
        <v>151</v>
      </c>
      <c r="BG11" s="229" t="s">
        <v>152</v>
      </c>
      <c r="BH11" s="229" t="s">
        <v>153</v>
      </c>
    </row>
    <row r="12" spans="1:74" ht="14.4" x14ac:dyDescent="0.3">
      <c r="A12" s="239" t="s">
        <v>154</v>
      </c>
      <c r="B12" s="224" t="s">
        <v>155</v>
      </c>
      <c r="C12" s="526" t="s">
        <v>156</v>
      </c>
      <c r="D12" s="527"/>
      <c r="E12" s="223" t="s">
        <v>114</v>
      </c>
      <c r="F12" s="223" t="s">
        <v>114</v>
      </c>
      <c r="G12" s="223" t="s">
        <v>114</v>
      </c>
      <c r="H12" s="235">
        <f>SUM(H13:H27)</f>
        <v>0</v>
      </c>
      <c r="I12" s="235">
        <f>SUM(I13:I27)</f>
        <v>0</v>
      </c>
      <c r="J12" s="235">
        <f>SUM(J13:J27)</f>
        <v>0</v>
      </c>
      <c r="K12" s="230" t="s">
        <v>154</v>
      </c>
      <c r="L12" s="235">
        <f>SUM(L13:L27)</f>
        <v>81.887937499999992</v>
      </c>
      <c r="M12" s="243" t="s">
        <v>154</v>
      </c>
      <c r="AG12" s="229" t="s">
        <v>154</v>
      </c>
      <c r="AQ12" s="222">
        <f>SUM(AH13:AH27)</f>
        <v>0</v>
      </c>
      <c r="AR12" s="222">
        <f>SUM(AI13:AI27)</f>
        <v>0</v>
      </c>
      <c r="AS12" s="222">
        <f>SUM(AJ13:AJ27)</f>
        <v>0</v>
      </c>
    </row>
    <row r="13" spans="1:74" ht="14.4" x14ac:dyDescent="0.3">
      <c r="A13" s="239" t="s">
        <v>157</v>
      </c>
      <c r="B13" s="223" t="s">
        <v>158</v>
      </c>
      <c r="C13" s="521" t="s">
        <v>159</v>
      </c>
      <c r="D13" s="519"/>
      <c r="E13" s="223" t="s">
        <v>160</v>
      </c>
      <c r="F13" s="233">
        <v>23.4</v>
      </c>
      <c r="G13" s="311">
        <v>0</v>
      </c>
      <c r="H13" s="233">
        <f>F13*AM13</f>
        <v>0</v>
      </c>
      <c r="I13" s="233">
        <f>F13*AN13</f>
        <v>0</v>
      </c>
      <c r="J13" s="233">
        <f>F13*G13</f>
        <v>0</v>
      </c>
      <c r="K13" s="233">
        <v>2.478E-2</v>
      </c>
      <c r="L13" s="233">
        <f>F13*K13</f>
        <v>0.57985199999999992</v>
      </c>
      <c r="M13" s="240" t="s">
        <v>472</v>
      </c>
      <c r="X13" s="233">
        <f>IF(AO13="5",BH13,0)</f>
        <v>0</v>
      </c>
      <c r="Z13" s="233">
        <f>IF(AO13="1",BF13,0)</f>
        <v>0</v>
      </c>
      <c r="AA13" s="233">
        <f>IF(AO13="1",BG13,0)</f>
        <v>0</v>
      </c>
      <c r="AB13" s="233">
        <f>IF(AO13="7",BF13,0)</f>
        <v>0</v>
      </c>
      <c r="AC13" s="233">
        <f>IF(AO13="7",BG13,0)</f>
        <v>0</v>
      </c>
      <c r="AD13" s="233">
        <f>IF(AO13="2",BF13,0)</f>
        <v>0</v>
      </c>
      <c r="AE13" s="233">
        <f>IF(AO13="2",BG13,0)</f>
        <v>0</v>
      </c>
      <c r="AF13" s="233">
        <f>IF(AO13="0",BH13,0)</f>
        <v>0</v>
      </c>
      <c r="AG13" s="229" t="s">
        <v>154</v>
      </c>
      <c r="AH13" s="233">
        <f>IF(AL13=0,J13,0)</f>
        <v>0</v>
      </c>
      <c r="AI13" s="233">
        <f>IF(AL13=15,J13,0)</f>
        <v>0</v>
      </c>
      <c r="AJ13" s="233">
        <f>IF(AL13=21,J13,0)</f>
        <v>0</v>
      </c>
      <c r="AL13" s="233">
        <v>15</v>
      </c>
      <c r="AM13" s="233">
        <f>G13*0.071410378</f>
        <v>0</v>
      </c>
      <c r="AN13" s="233">
        <f>G13*(1-0.071410378)</f>
        <v>0</v>
      </c>
      <c r="AO13" s="234" t="s">
        <v>157</v>
      </c>
      <c r="AT13" s="233">
        <f>AU13+AV13</f>
        <v>0</v>
      </c>
      <c r="AU13" s="233">
        <f>F13*AM13</f>
        <v>0</v>
      </c>
      <c r="AV13" s="233">
        <f>F13*AN13</f>
        <v>0</v>
      </c>
      <c r="AW13" s="234" t="s">
        <v>162</v>
      </c>
      <c r="AX13" s="234" t="s">
        <v>163</v>
      </c>
      <c r="AY13" s="229" t="s">
        <v>164</v>
      </c>
      <c r="BA13" s="233">
        <f>AU13+AV13</f>
        <v>0</v>
      </c>
      <c r="BB13" s="233">
        <f>G13/(100-BC13)*100</f>
        <v>0</v>
      </c>
      <c r="BC13" s="233">
        <v>0</v>
      </c>
      <c r="BD13" s="233">
        <f>L13</f>
        <v>0.57985199999999992</v>
      </c>
      <c r="BF13" s="233">
        <f>F13*AM13</f>
        <v>0</v>
      </c>
      <c r="BG13" s="233">
        <f>F13*AN13</f>
        <v>0</v>
      </c>
      <c r="BH13" s="233">
        <f>F13*G13</f>
        <v>0</v>
      </c>
      <c r="BI13" s="233"/>
      <c r="BJ13" s="233">
        <v>11</v>
      </c>
      <c r="BU13" s="233" t="e">
        <f>#REF!</f>
        <v>#REF!</v>
      </c>
      <c r="BV13" s="225" t="s">
        <v>159</v>
      </c>
    </row>
    <row r="14" spans="1:74" ht="40.5" customHeight="1" x14ac:dyDescent="0.3">
      <c r="A14" s="241"/>
      <c r="B14" s="242" t="s">
        <v>165</v>
      </c>
      <c r="C14" s="530" t="s">
        <v>1536</v>
      </c>
      <c r="D14" s="531"/>
      <c r="E14" s="531"/>
      <c r="F14" s="531"/>
      <c r="G14" s="531"/>
      <c r="H14" s="531"/>
      <c r="I14" s="531"/>
      <c r="J14" s="531"/>
      <c r="K14" s="531"/>
      <c r="L14" s="531"/>
      <c r="M14" s="532"/>
    </row>
    <row r="15" spans="1:74" ht="14.4" x14ac:dyDescent="0.3">
      <c r="A15" s="239" t="s">
        <v>166</v>
      </c>
      <c r="B15" s="223" t="s">
        <v>167</v>
      </c>
      <c r="C15" s="521" t="s">
        <v>168</v>
      </c>
      <c r="D15" s="519"/>
      <c r="E15" s="223" t="s">
        <v>160</v>
      </c>
      <c r="F15" s="233">
        <v>5.46</v>
      </c>
      <c r="G15" s="311">
        <v>0</v>
      </c>
      <c r="H15" s="233">
        <f>F15*AM15</f>
        <v>0</v>
      </c>
      <c r="I15" s="233">
        <f>F15*AN15</f>
        <v>0</v>
      </c>
      <c r="J15" s="233">
        <f>F15*G15</f>
        <v>0</v>
      </c>
      <c r="K15" s="233">
        <v>8.6899999999999998E-3</v>
      </c>
      <c r="L15" s="233">
        <f>F15*K15</f>
        <v>4.7447400000000001E-2</v>
      </c>
      <c r="M15" s="240" t="s">
        <v>472</v>
      </c>
      <c r="X15" s="233">
        <f>IF(AO15="5",BH15,0)</f>
        <v>0</v>
      </c>
      <c r="Z15" s="233">
        <f>IF(AO15="1",BF15,0)</f>
        <v>0</v>
      </c>
      <c r="AA15" s="233">
        <f>IF(AO15="1",BG15,0)</f>
        <v>0</v>
      </c>
      <c r="AB15" s="233">
        <f>IF(AO15="7",BF15,0)</f>
        <v>0</v>
      </c>
      <c r="AC15" s="233">
        <f>IF(AO15="7",BG15,0)</f>
        <v>0</v>
      </c>
      <c r="AD15" s="233">
        <f>IF(AO15="2",BF15,0)</f>
        <v>0</v>
      </c>
      <c r="AE15" s="233">
        <f>IF(AO15="2",BG15,0)</f>
        <v>0</v>
      </c>
      <c r="AF15" s="233">
        <f>IF(AO15="0",BH15,0)</f>
        <v>0</v>
      </c>
      <c r="AG15" s="229" t="s">
        <v>154</v>
      </c>
      <c r="AH15" s="233">
        <f>IF(AL15=0,J15,0)</f>
        <v>0</v>
      </c>
      <c r="AI15" s="233">
        <f>IF(AL15=15,J15,0)</f>
        <v>0</v>
      </c>
      <c r="AJ15" s="233">
        <f>IF(AL15=21,J15,0)</f>
        <v>0</v>
      </c>
      <c r="AL15" s="233">
        <v>15</v>
      </c>
      <c r="AM15" s="233">
        <f>G15*0.063874063</f>
        <v>0</v>
      </c>
      <c r="AN15" s="233">
        <f>G15*(1-0.063874063)</f>
        <v>0</v>
      </c>
      <c r="AO15" s="234" t="s">
        <v>157</v>
      </c>
      <c r="AT15" s="233">
        <f>AU15+AV15</f>
        <v>0</v>
      </c>
      <c r="AU15" s="233">
        <f>F15*AM15</f>
        <v>0</v>
      </c>
      <c r="AV15" s="233">
        <f>F15*AN15</f>
        <v>0</v>
      </c>
      <c r="AW15" s="234" t="s">
        <v>162</v>
      </c>
      <c r="AX15" s="234" t="s">
        <v>163</v>
      </c>
      <c r="AY15" s="229" t="s">
        <v>164</v>
      </c>
      <c r="BA15" s="233">
        <f>AU15+AV15</f>
        <v>0</v>
      </c>
      <c r="BB15" s="233">
        <f>G15/(100-BC15)*100</f>
        <v>0</v>
      </c>
      <c r="BC15" s="233">
        <v>0</v>
      </c>
      <c r="BD15" s="233">
        <f>L15</f>
        <v>4.7447400000000001E-2</v>
      </c>
      <c r="BF15" s="233">
        <f>F15*AM15</f>
        <v>0</v>
      </c>
      <c r="BG15" s="233">
        <f>F15*AN15</f>
        <v>0</v>
      </c>
      <c r="BH15" s="233">
        <f>F15*G15</f>
        <v>0</v>
      </c>
      <c r="BI15" s="233"/>
      <c r="BJ15" s="233">
        <v>11</v>
      </c>
      <c r="BU15" s="233" t="e">
        <f>#REF!</f>
        <v>#REF!</v>
      </c>
      <c r="BV15" s="225" t="s">
        <v>168</v>
      </c>
    </row>
    <row r="16" spans="1:74" ht="40.5" customHeight="1" x14ac:dyDescent="0.3">
      <c r="A16" s="241"/>
      <c r="B16" s="242" t="s">
        <v>165</v>
      </c>
      <c r="C16" s="530" t="s">
        <v>1537</v>
      </c>
      <c r="D16" s="531"/>
      <c r="E16" s="531"/>
      <c r="F16" s="531"/>
      <c r="G16" s="531"/>
      <c r="H16" s="531"/>
      <c r="I16" s="531"/>
      <c r="J16" s="531"/>
      <c r="K16" s="531"/>
      <c r="L16" s="531"/>
      <c r="M16" s="532"/>
    </row>
    <row r="17" spans="1:74" ht="14.4" x14ac:dyDescent="0.3">
      <c r="A17" s="239" t="s">
        <v>169</v>
      </c>
      <c r="B17" s="223" t="s">
        <v>170</v>
      </c>
      <c r="C17" s="521" t="s">
        <v>171</v>
      </c>
      <c r="D17" s="519"/>
      <c r="E17" s="223" t="s">
        <v>172</v>
      </c>
      <c r="F17" s="233">
        <v>24</v>
      </c>
      <c r="G17" s="311">
        <v>0</v>
      </c>
      <c r="H17" s="233">
        <f>F17*AM17</f>
        <v>0</v>
      </c>
      <c r="I17" s="233">
        <f>F17*AN17</f>
        <v>0</v>
      </c>
      <c r="J17" s="233">
        <f>F17*G17</f>
        <v>0</v>
      </c>
      <c r="K17" s="233">
        <v>0</v>
      </c>
      <c r="L17" s="233">
        <f>F17*K17</f>
        <v>0</v>
      </c>
      <c r="M17" s="240" t="s">
        <v>472</v>
      </c>
      <c r="X17" s="233">
        <f>IF(AO17="5",BH17,0)</f>
        <v>0</v>
      </c>
      <c r="Z17" s="233">
        <f>IF(AO17="1",BF17,0)</f>
        <v>0</v>
      </c>
      <c r="AA17" s="233">
        <f>IF(AO17="1",BG17,0)</f>
        <v>0</v>
      </c>
      <c r="AB17" s="233">
        <f>IF(AO17="7",BF17,0)</f>
        <v>0</v>
      </c>
      <c r="AC17" s="233">
        <f>IF(AO17="7",BG17,0)</f>
        <v>0</v>
      </c>
      <c r="AD17" s="233">
        <f>IF(AO17="2",BF17,0)</f>
        <v>0</v>
      </c>
      <c r="AE17" s="233">
        <f>IF(AO17="2",BG17,0)</f>
        <v>0</v>
      </c>
      <c r="AF17" s="233">
        <f>IF(AO17="0",BH17,0)</f>
        <v>0</v>
      </c>
      <c r="AG17" s="229" t="s">
        <v>154</v>
      </c>
      <c r="AH17" s="233">
        <f>IF(AL17=0,J17,0)</f>
        <v>0</v>
      </c>
      <c r="AI17" s="233">
        <f>IF(AL17=15,J17,0)</f>
        <v>0</v>
      </c>
      <c r="AJ17" s="233">
        <f>IF(AL17=21,J17,0)</f>
        <v>0</v>
      </c>
      <c r="AL17" s="233">
        <v>15</v>
      </c>
      <c r="AM17" s="233">
        <f>G17*0</f>
        <v>0</v>
      </c>
      <c r="AN17" s="233">
        <f>G17*(1-0)</f>
        <v>0</v>
      </c>
      <c r="AO17" s="234" t="s">
        <v>157</v>
      </c>
      <c r="AT17" s="233">
        <f>AU17+AV17</f>
        <v>0</v>
      </c>
      <c r="AU17" s="233">
        <f>F17*AM17</f>
        <v>0</v>
      </c>
      <c r="AV17" s="233">
        <f>F17*AN17</f>
        <v>0</v>
      </c>
      <c r="AW17" s="234" t="s">
        <v>162</v>
      </c>
      <c r="AX17" s="234" t="s">
        <v>163</v>
      </c>
      <c r="AY17" s="229" t="s">
        <v>164</v>
      </c>
      <c r="BA17" s="233">
        <f>AU17+AV17</f>
        <v>0</v>
      </c>
      <c r="BB17" s="233">
        <f>G17/(100-BC17)*100</f>
        <v>0</v>
      </c>
      <c r="BC17" s="233">
        <v>0</v>
      </c>
      <c r="BD17" s="233">
        <f>L17</f>
        <v>0</v>
      </c>
      <c r="BF17" s="233">
        <f>F17*AM17</f>
        <v>0</v>
      </c>
      <c r="BG17" s="233">
        <f>F17*AN17</f>
        <v>0</v>
      </c>
      <c r="BH17" s="233">
        <f>F17*G17</f>
        <v>0</v>
      </c>
      <c r="BI17" s="233"/>
      <c r="BJ17" s="233">
        <v>11</v>
      </c>
      <c r="BU17" s="233" t="e">
        <f>#REF!</f>
        <v>#REF!</v>
      </c>
      <c r="BV17" s="225" t="s">
        <v>171</v>
      </c>
    </row>
    <row r="18" spans="1:74" ht="40.5" customHeight="1" x14ac:dyDescent="0.3">
      <c r="A18" s="241"/>
      <c r="B18" s="242" t="s">
        <v>165</v>
      </c>
      <c r="C18" s="530" t="s">
        <v>1538</v>
      </c>
      <c r="D18" s="531"/>
      <c r="E18" s="531"/>
      <c r="F18" s="531"/>
      <c r="G18" s="531"/>
      <c r="H18" s="531"/>
      <c r="I18" s="531"/>
      <c r="J18" s="531"/>
      <c r="K18" s="531"/>
      <c r="L18" s="531"/>
      <c r="M18" s="532"/>
    </row>
    <row r="19" spans="1:74" ht="14.4" x14ac:dyDescent="0.3">
      <c r="A19" s="239" t="s">
        <v>173</v>
      </c>
      <c r="B19" s="223" t="s">
        <v>174</v>
      </c>
      <c r="C19" s="521" t="s">
        <v>175</v>
      </c>
      <c r="D19" s="519"/>
      <c r="E19" s="223" t="s">
        <v>176</v>
      </c>
      <c r="F19" s="233">
        <v>3</v>
      </c>
      <c r="G19" s="311">
        <v>0</v>
      </c>
      <c r="H19" s="233">
        <f>F19*AM19</f>
        <v>0</v>
      </c>
      <c r="I19" s="233">
        <f>F19*AN19</f>
        <v>0</v>
      </c>
      <c r="J19" s="233">
        <f>F19*G19</f>
        <v>0</v>
      </c>
      <c r="K19" s="233">
        <v>0</v>
      </c>
      <c r="L19" s="233">
        <f>F19*K19</f>
        <v>0</v>
      </c>
      <c r="M19" s="240" t="s">
        <v>472</v>
      </c>
      <c r="X19" s="233">
        <f>IF(AO19="5",BH19,0)</f>
        <v>0</v>
      </c>
      <c r="Z19" s="233">
        <f>IF(AO19="1",BF19,0)</f>
        <v>0</v>
      </c>
      <c r="AA19" s="233">
        <f>IF(AO19="1",BG19,0)</f>
        <v>0</v>
      </c>
      <c r="AB19" s="233">
        <f>IF(AO19="7",BF19,0)</f>
        <v>0</v>
      </c>
      <c r="AC19" s="233">
        <f>IF(AO19="7",BG19,0)</f>
        <v>0</v>
      </c>
      <c r="AD19" s="233">
        <f>IF(AO19="2",BF19,0)</f>
        <v>0</v>
      </c>
      <c r="AE19" s="233">
        <f>IF(AO19="2",BG19,0)</f>
        <v>0</v>
      </c>
      <c r="AF19" s="233">
        <f>IF(AO19="0",BH19,0)</f>
        <v>0</v>
      </c>
      <c r="AG19" s="229" t="s">
        <v>154</v>
      </c>
      <c r="AH19" s="233">
        <f>IF(AL19=0,J19,0)</f>
        <v>0</v>
      </c>
      <c r="AI19" s="233">
        <f>IF(AL19=15,J19,0)</f>
        <v>0</v>
      </c>
      <c r="AJ19" s="233">
        <f>IF(AL19=21,J19,0)</f>
        <v>0</v>
      </c>
      <c r="AL19" s="233">
        <v>15</v>
      </c>
      <c r="AM19" s="233">
        <f>G19*0</f>
        <v>0</v>
      </c>
      <c r="AN19" s="233">
        <f>G19*(1-0)</f>
        <v>0</v>
      </c>
      <c r="AO19" s="234" t="s">
        <v>157</v>
      </c>
      <c r="AT19" s="233">
        <f>AU19+AV19</f>
        <v>0</v>
      </c>
      <c r="AU19" s="233">
        <f>F19*AM19</f>
        <v>0</v>
      </c>
      <c r="AV19" s="233">
        <f>F19*AN19</f>
        <v>0</v>
      </c>
      <c r="AW19" s="234" t="s">
        <v>162</v>
      </c>
      <c r="AX19" s="234" t="s">
        <v>163</v>
      </c>
      <c r="AY19" s="229" t="s">
        <v>164</v>
      </c>
      <c r="BA19" s="233">
        <f>AU19+AV19</f>
        <v>0</v>
      </c>
      <c r="BB19" s="233">
        <f>G19/(100-BC19)*100</f>
        <v>0</v>
      </c>
      <c r="BC19" s="233">
        <v>0</v>
      </c>
      <c r="BD19" s="233">
        <f>L19</f>
        <v>0</v>
      </c>
      <c r="BF19" s="233">
        <f>F19*AM19</f>
        <v>0</v>
      </c>
      <c r="BG19" s="233">
        <f>F19*AN19</f>
        <v>0</v>
      </c>
      <c r="BH19" s="233">
        <f>F19*G19</f>
        <v>0</v>
      </c>
      <c r="BI19" s="233"/>
      <c r="BJ19" s="233">
        <v>11</v>
      </c>
      <c r="BU19" s="233" t="e">
        <f>#REF!</f>
        <v>#REF!</v>
      </c>
      <c r="BV19" s="225" t="s">
        <v>175</v>
      </c>
    </row>
    <row r="20" spans="1:74" ht="40.5" customHeight="1" x14ac:dyDescent="0.3">
      <c r="A20" s="241"/>
      <c r="B20" s="242" t="s">
        <v>165</v>
      </c>
      <c r="C20" s="530" t="s">
        <v>1539</v>
      </c>
      <c r="D20" s="531"/>
      <c r="E20" s="531"/>
      <c r="F20" s="531"/>
      <c r="G20" s="531"/>
      <c r="H20" s="531"/>
      <c r="I20" s="531"/>
      <c r="J20" s="531"/>
      <c r="K20" s="531"/>
      <c r="L20" s="531"/>
      <c r="M20" s="532"/>
    </row>
    <row r="21" spans="1:74" ht="14.4" x14ac:dyDescent="0.3">
      <c r="A21" s="239" t="s">
        <v>177</v>
      </c>
      <c r="B21" s="223" t="s">
        <v>178</v>
      </c>
      <c r="C21" s="521" t="s">
        <v>179</v>
      </c>
      <c r="D21" s="519"/>
      <c r="E21" s="223" t="s">
        <v>180</v>
      </c>
      <c r="F21" s="233">
        <v>46.41</v>
      </c>
      <c r="G21" s="311">
        <v>0</v>
      </c>
      <c r="H21" s="233">
        <f>F21*AM21</f>
        <v>0</v>
      </c>
      <c r="I21" s="233">
        <f>F21*AN21</f>
        <v>0</v>
      </c>
      <c r="J21" s="233">
        <f>F21*G21</f>
        <v>0</v>
      </c>
      <c r="K21" s="233">
        <v>0.90051000000000003</v>
      </c>
      <c r="L21" s="233">
        <f>F21*K21</f>
        <v>41.792669099999998</v>
      </c>
      <c r="M21" s="240" t="s">
        <v>472</v>
      </c>
      <c r="X21" s="233">
        <f>IF(AO21="5",BH21,0)</f>
        <v>0</v>
      </c>
      <c r="Z21" s="233">
        <f>IF(AO21="1",BF21,0)</f>
        <v>0</v>
      </c>
      <c r="AA21" s="233">
        <f>IF(AO21="1",BG21,0)</f>
        <v>0</v>
      </c>
      <c r="AB21" s="233">
        <f>IF(AO21="7",BF21,0)</f>
        <v>0</v>
      </c>
      <c r="AC21" s="233">
        <f>IF(AO21="7",BG21,0)</f>
        <v>0</v>
      </c>
      <c r="AD21" s="233">
        <f>IF(AO21="2",BF21,0)</f>
        <v>0</v>
      </c>
      <c r="AE21" s="233">
        <f>IF(AO21="2",BG21,0)</f>
        <v>0</v>
      </c>
      <c r="AF21" s="233">
        <f>IF(AO21="0",BH21,0)</f>
        <v>0</v>
      </c>
      <c r="AG21" s="229" t="s">
        <v>154</v>
      </c>
      <c r="AH21" s="233">
        <f>IF(AL21=0,J21,0)</f>
        <v>0</v>
      </c>
      <c r="AI21" s="233">
        <f>IF(AL21=15,J21,0)</f>
        <v>0</v>
      </c>
      <c r="AJ21" s="233">
        <f>IF(AL21=21,J21,0)</f>
        <v>0</v>
      </c>
      <c r="AL21" s="233">
        <v>15</v>
      </c>
      <c r="AM21" s="233">
        <f>G21*0.022141002</f>
        <v>0</v>
      </c>
      <c r="AN21" s="233">
        <f>G21*(1-0.022141002)</f>
        <v>0</v>
      </c>
      <c r="AO21" s="234" t="s">
        <v>157</v>
      </c>
      <c r="AT21" s="233">
        <f>AU21+AV21</f>
        <v>0</v>
      </c>
      <c r="AU21" s="233">
        <f>F21*AM21</f>
        <v>0</v>
      </c>
      <c r="AV21" s="233">
        <f>F21*AN21</f>
        <v>0</v>
      </c>
      <c r="AW21" s="234" t="s">
        <v>162</v>
      </c>
      <c r="AX21" s="234" t="s">
        <v>163</v>
      </c>
      <c r="AY21" s="229" t="s">
        <v>164</v>
      </c>
      <c r="BA21" s="233">
        <f>AU21+AV21</f>
        <v>0</v>
      </c>
      <c r="BB21" s="233">
        <f>G21/(100-BC21)*100</f>
        <v>0</v>
      </c>
      <c r="BC21" s="233">
        <v>0</v>
      </c>
      <c r="BD21" s="233">
        <f>L21</f>
        <v>41.792669099999998</v>
      </c>
      <c r="BF21" s="233">
        <f>F21*AM21</f>
        <v>0</v>
      </c>
      <c r="BG21" s="233">
        <f>F21*AN21</f>
        <v>0</v>
      </c>
      <c r="BH21" s="233">
        <f>F21*G21</f>
        <v>0</v>
      </c>
      <c r="BI21" s="233"/>
      <c r="BJ21" s="233">
        <v>11</v>
      </c>
      <c r="BU21" s="233" t="e">
        <f>#REF!</f>
        <v>#REF!</v>
      </c>
      <c r="BV21" s="225" t="s">
        <v>179</v>
      </c>
    </row>
    <row r="22" spans="1:74" ht="162" customHeight="1" x14ac:dyDescent="0.3">
      <c r="A22" s="241"/>
      <c r="B22" s="242" t="s">
        <v>165</v>
      </c>
      <c r="C22" s="530" t="s">
        <v>1540</v>
      </c>
      <c r="D22" s="531"/>
      <c r="E22" s="531"/>
      <c r="F22" s="531"/>
      <c r="G22" s="531"/>
      <c r="H22" s="531"/>
      <c r="I22" s="531"/>
      <c r="J22" s="531"/>
      <c r="K22" s="531"/>
      <c r="L22" s="531"/>
      <c r="M22" s="532"/>
    </row>
    <row r="23" spans="1:74" ht="14.4" x14ac:dyDescent="0.3">
      <c r="A23" s="239" t="s">
        <v>181</v>
      </c>
      <c r="B23" s="223" t="s">
        <v>182</v>
      </c>
      <c r="C23" s="521" t="s">
        <v>183</v>
      </c>
      <c r="D23" s="519"/>
      <c r="E23" s="223" t="s">
        <v>180</v>
      </c>
      <c r="F23" s="233">
        <v>5.19</v>
      </c>
      <c r="G23" s="311">
        <v>0</v>
      </c>
      <c r="H23" s="233">
        <f>F23*AM23</f>
        <v>0</v>
      </c>
      <c r="I23" s="233">
        <f>F23*AN23</f>
        <v>0</v>
      </c>
      <c r="J23" s="233">
        <f>F23*G23</f>
        <v>0</v>
      </c>
      <c r="K23" s="233">
        <v>0.90010000000000001</v>
      </c>
      <c r="L23" s="233">
        <f>F23*K23</f>
        <v>4.671519</v>
      </c>
      <c r="M23" s="240" t="s">
        <v>472</v>
      </c>
      <c r="X23" s="233">
        <f>IF(AO23="5",BH23,0)</f>
        <v>0</v>
      </c>
      <c r="Z23" s="233">
        <f>IF(AO23="1",BF23,0)</f>
        <v>0</v>
      </c>
      <c r="AA23" s="233">
        <f>IF(AO23="1",BG23,0)</f>
        <v>0</v>
      </c>
      <c r="AB23" s="233">
        <f>IF(AO23="7",BF23,0)</f>
        <v>0</v>
      </c>
      <c r="AC23" s="233">
        <f>IF(AO23="7",BG23,0)</f>
        <v>0</v>
      </c>
      <c r="AD23" s="233">
        <f>IF(AO23="2",BF23,0)</f>
        <v>0</v>
      </c>
      <c r="AE23" s="233">
        <f>IF(AO23="2",BG23,0)</f>
        <v>0</v>
      </c>
      <c r="AF23" s="233">
        <f>IF(AO23="0",BH23,0)</f>
        <v>0</v>
      </c>
      <c r="AG23" s="229" t="s">
        <v>154</v>
      </c>
      <c r="AH23" s="233">
        <f>IF(AL23=0,J23,0)</f>
        <v>0</v>
      </c>
      <c r="AI23" s="233">
        <f>IF(AL23=15,J23,0)</f>
        <v>0</v>
      </c>
      <c r="AJ23" s="233">
        <f>IF(AL23=21,J23,0)</f>
        <v>0</v>
      </c>
      <c r="AL23" s="233">
        <v>15</v>
      </c>
      <c r="AM23" s="233">
        <f>G23*0.006693285</f>
        <v>0</v>
      </c>
      <c r="AN23" s="233">
        <f>G23*(1-0.006693285)</f>
        <v>0</v>
      </c>
      <c r="AO23" s="234" t="s">
        <v>157</v>
      </c>
      <c r="AT23" s="233">
        <f>AU23+AV23</f>
        <v>0</v>
      </c>
      <c r="AU23" s="233">
        <f>F23*AM23</f>
        <v>0</v>
      </c>
      <c r="AV23" s="233">
        <f>F23*AN23</f>
        <v>0</v>
      </c>
      <c r="AW23" s="234" t="s">
        <v>162</v>
      </c>
      <c r="AX23" s="234" t="s">
        <v>163</v>
      </c>
      <c r="AY23" s="229" t="s">
        <v>164</v>
      </c>
      <c r="BA23" s="233">
        <f>AU23+AV23</f>
        <v>0</v>
      </c>
      <c r="BB23" s="233">
        <f>G23/(100-BC23)*100</f>
        <v>0</v>
      </c>
      <c r="BC23" s="233">
        <v>0</v>
      </c>
      <c r="BD23" s="233">
        <f>L23</f>
        <v>4.671519</v>
      </c>
      <c r="BF23" s="233">
        <f>F23*AM23</f>
        <v>0</v>
      </c>
      <c r="BG23" s="233">
        <f>F23*AN23</f>
        <v>0</v>
      </c>
      <c r="BH23" s="233">
        <f>F23*G23</f>
        <v>0</v>
      </c>
      <c r="BI23" s="233"/>
      <c r="BJ23" s="233">
        <v>11</v>
      </c>
      <c r="BU23" s="233" t="e">
        <f>#REF!</f>
        <v>#REF!</v>
      </c>
      <c r="BV23" s="225" t="s">
        <v>183</v>
      </c>
    </row>
    <row r="24" spans="1:74" ht="162" customHeight="1" x14ac:dyDescent="0.3">
      <c r="A24" s="244"/>
      <c r="B24" s="245" t="s">
        <v>165</v>
      </c>
      <c r="C24" s="540" t="s">
        <v>1541</v>
      </c>
      <c r="D24" s="541"/>
      <c r="E24" s="541"/>
      <c r="F24" s="541"/>
      <c r="G24" s="541"/>
      <c r="H24" s="541"/>
      <c r="I24" s="541"/>
      <c r="J24" s="541"/>
      <c r="K24" s="541"/>
      <c r="L24" s="541"/>
      <c r="M24" s="542"/>
    </row>
    <row r="25" spans="1:74" ht="26.4" x14ac:dyDescent="0.3">
      <c r="A25" s="237" t="s">
        <v>184</v>
      </c>
      <c r="B25" s="238" t="s">
        <v>185</v>
      </c>
      <c r="C25" s="543" t="s">
        <v>186</v>
      </c>
      <c r="D25" s="544"/>
      <c r="E25" s="238" t="s">
        <v>180</v>
      </c>
      <c r="F25" s="258">
        <v>31.49</v>
      </c>
      <c r="G25" s="311">
        <v>0</v>
      </c>
      <c r="H25" s="258">
        <f>F25*AM25</f>
        <v>0</v>
      </c>
      <c r="I25" s="258">
        <f>F25*AN25</f>
        <v>0</v>
      </c>
      <c r="J25" s="258">
        <f>F25*G25</f>
        <v>0</v>
      </c>
      <c r="K25" s="258">
        <v>1.105</v>
      </c>
      <c r="L25" s="258">
        <f>F25*K25</f>
        <v>34.79645</v>
      </c>
      <c r="M25" s="259" t="s">
        <v>472</v>
      </c>
      <c r="X25" s="233">
        <f>IF(AO25="5",BH25,0)</f>
        <v>0</v>
      </c>
      <c r="Z25" s="233">
        <f>IF(AO25="1",BF25,0)</f>
        <v>0</v>
      </c>
      <c r="AA25" s="233">
        <f>IF(AO25="1",BG25,0)</f>
        <v>0</v>
      </c>
      <c r="AB25" s="233">
        <f>IF(AO25="7",BF25,0)</f>
        <v>0</v>
      </c>
      <c r="AC25" s="233">
        <f>IF(AO25="7",BG25,0)</f>
        <v>0</v>
      </c>
      <c r="AD25" s="233">
        <f>IF(AO25="2",BF25,0)</f>
        <v>0</v>
      </c>
      <c r="AE25" s="233">
        <f>IF(AO25="2",BG25,0)</f>
        <v>0</v>
      </c>
      <c r="AF25" s="233">
        <f>IF(AO25="0",BH25,0)</f>
        <v>0</v>
      </c>
      <c r="AG25" s="229" t="s">
        <v>154</v>
      </c>
      <c r="AH25" s="233">
        <f>IF(AL25=0,J25,0)</f>
        <v>0</v>
      </c>
      <c r="AI25" s="233">
        <f>IF(AL25=15,J25,0)</f>
        <v>0</v>
      </c>
      <c r="AJ25" s="233">
        <f>IF(AL25=21,J25,0)</f>
        <v>0</v>
      </c>
      <c r="AL25" s="233">
        <v>15</v>
      </c>
      <c r="AM25" s="233">
        <f>G25*0</f>
        <v>0</v>
      </c>
      <c r="AN25" s="233">
        <f>G25*(1-0)</f>
        <v>0</v>
      </c>
      <c r="AO25" s="234" t="s">
        <v>157</v>
      </c>
      <c r="AT25" s="233">
        <f>AU25+AV25</f>
        <v>0</v>
      </c>
      <c r="AU25" s="233">
        <f>F25*AM25</f>
        <v>0</v>
      </c>
      <c r="AV25" s="233">
        <f>F25*AN25</f>
        <v>0</v>
      </c>
      <c r="AW25" s="234" t="s">
        <v>162</v>
      </c>
      <c r="AX25" s="234" t="s">
        <v>163</v>
      </c>
      <c r="AY25" s="229" t="s">
        <v>164</v>
      </c>
      <c r="BA25" s="233">
        <f>AU25+AV25</f>
        <v>0</v>
      </c>
      <c r="BB25" s="233">
        <f>G25/(100-BC25)*100</f>
        <v>0</v>
      </c>
      <c r="BC25" s="233">
        <v>0</v>
      </c>
      <c r="BD25" s="233">
        <f>L25</f>
        <v>34.79645</v>
      </c>
      <c r="BF25" s="233">
        <f>F25*AM25</f>
        <v>0</v>
      </c>
      <c r="BG25" s="233">
        <f>F25*AN25</f>
        <v>0</v>
      </c>
      <c r="BH25" s="233">
        <f>F25*G25</f>
        <v>0</v>
      </c>
      <c r="BI25" s="233"/>
      <c r="BJ25" s="233">
        <v>11</v>
      </c>
      <c r="BU25" s="233" t="e">
        <f>#REF!</f>
        <v>#REF!</v>
      </c>
      <c r="BV25" s="225" t="s">
        <v>186</v>
      </c>
    </row>
    <row r="26" spans="1:74" ht="121.5" customHeight="1" x14ac:dyDescent="0.3">
      <c r="A26" s="241"/>
      <c r="B26" s="242" t="s">
        <v>165</v>
      </c>
      <c r="C26" s="530" t="s">
        <v>1542</v>
      </c>
      <c r="D26" s="531"/>
      <c r="E26" s="531"/>
      <c r="F26" s="531"/>
      <c r="G26" s="531"/>
      <c r="H26" s="531"/>
      <c r="I26" s="531"/>
      <c r="J26" s="531"/>
      <c r="K26" s="531"/>
      <c r="L26" s="531"/>
      <c r="M26" s="532"/>
    </row>
    <row r="27" spans="1:74" ht="14.4" x14ac:dyDescent="0.3">
      <c r="A27" s="239" t="s">
        <v>187</v>
      </c>
      <c r="B27" s="223" t="s">
        <v>188</v>
      </c>
      <c r="C27" s="521" t="s">
        <v>189</v>
      </c>
      <c r="D27" s="519"/>
      <c r="E27" s="223" t="s">
        <v>190</v>
      </c>
      <c r="F27" s="233">
        <v>5</v>
      </c>
      <c r="G27" s="311">
        <v>0</v>
      </c>
      <c r="H27" s="233">
        <f>F27*AM27</f>
        <v>0</v>
      </c>
      <c r="I27" s="233">
        <f>F27*AN27</f>
        <v>0</v>
      </c>
      <c r="J27" s="233">
        <f>F27*G27</f>
        <v>0</v>
      </c>
      <c r="K27" s="233">
        <v>0</v>
      </c>
      <c r="L27" s="233">
        <f>F27*K27</f>
        <v>0</v>
      </c>
      <c r="M27" s="240" t="s">
        <v>472</v>
      </c>
      <c r="X27" s="233">
        <f>IF(AO27="5",BH27,0)</f>
        <v>0</v>
      </c>
      <c r="Z27" s="233">
        <f>IF(AO27="1",BF27,0)</f>
        <v>0</v>
      </c>
      <c r="AA27" s="233">
        <f>IF(AO27="1",BG27,0)</f>
        <v>0</v>
      </c>
      <c r="AB27" s="233">
        <f>IF(AO27="7",BF27,0)</f>
        <v>0</v>
      </c>
      <c r="AC27" s="233">
        <f>IF(AO27="7",BG27,0)</f>
        <v>0</v>
      </c>
      <c r="AD27" s="233">
        <f>IF(AO27="2",BF27,0)</f>
        <v>0</v>
      </c>
      <c r="AE27" s="233">
        <f>IF(AO27="2",BG27,0)</f>
        <v>0</v>
      </c>
      <c r="AF27" s="233">
        <f>IF(AO27="0",BH27,0)</f>
        <v>0</v>
      </c>
      <c r="AG27" s="229" t="s">
        <v>154</v>
      </c>
      <c r="AH27" s="233">
        <f>IF(AL27=0,J27,0)</f>
        <v>0</v>
      </c>
      <c r="AI27" s="233">
        <f>IF(AL27=15,J27,0)</f>
        <v>0</v>
      </c>
      <c r="AJ27" s="233">
        <f>IF(AL27=21,J27,0)</f>
        <v>0</v>
      </c>
      <c r="AL27" s="233">
        <v>15</v>
      </c>
      <c r="AM27" s="233">
        <f>G27*0.13699785</f>
        <v>0</v>
      </c>
      <c r="AN27" s="233">
        <f>G27*(1-0.13699785)</f>
        <v>0</v>
      </c>
      <c r="AO27" s="234" t="s">
        <v>157</v>
      </c>
      <c r="AT27" s="233">
        <f>AU27+AV27</f>
        <v>0</v>
      </c>
      <c r="AU27" s="233">
        <f>F27*AM27</f>
        <v>0</v>
      </c>
      <c r="AV27" s="233">
        <f>F27*AN27</f>
        <v>0</v>
      </c>
      <c r="AW27" s="234" t="s">
        <v>162</v>
      </c>
      <c r="AX27" s="234" t="s">
        <v>163</v>
      </c>
      <c r="AY27" s="229" t="s">
        <v>164</v>
      </c>
      <c r="BA27" s="233">
        <f>AU27+AV27</f>
        <v>0</v>
      </c>
      <c r="BB27" s="233">
        <f>G27/(100-BC27)*100</f>
        <v>0</v>
      </c>
      <c r="BC27" s="233">
        <v>0</v>
      </c>
      <c r="BD27" s="233">
        <f>L27</f>
        <v>0</v>
      </c>
      <c r="BF27" s="233">
        <f>F27*AM27</f>
        <v>0</v>
      </c>
      <c r="BG27" s="233">
        <f>F27*AN27</f>
        <v>0</v>
      </c>
      <c r="BH27" s="233">
        <f>F27*G27</f>
        <v>0</v>
      </c>
      <c r="BI27" s="233"/>
      <c r="BJ27" s="233">
        <v>11</v>
      </c>
      <c r="BU27" s="233" t="e">
        <f>#REF!</f>
        <v>#REF!</v>
      </c>
      <c r="BV27" s="225" t="s">
        <v>189</v>
      </c>
    </row>
    <row r="28" spans="1:74" ht="67.5" customHeight="1" x14ac:dyDescent="0.3">
      <c r="A28" s="241"/>
      <c r="B28" s="242" t="s">
        <v>165</v>
      </c>
      <c r="C28" s="530" t="s">
        <v>1543</v>
      </c>
      <c r="D28" s="531"/>
      <c r="E28" s="531"/>
      <c r="F28" s="531"/>
      <c r="G28" s="531"/>
      <c r="H28" s="531"/>
      <c r="I28" s="531"/>
      <c r="J28" s="531"/>
      <c r="K28" s="531"/>
      <c r="L28" s="531"/>
      <c r="M28" s="532"/>
    </row>
    <row r="29" spans="1:74" ht="14.4" x14ac:dyDescent="0.3">
      <c r="A29" s="239" t="s">
        <v>154</v>
      </c>
      <c r="B29" s="224" t="s">
        <v>191</v>
      </c>
      <c r="C29" s="526" t="s">
        <v>192</v>
      </c>
      <c r="D29" s="527"/>
      <c r="E29" s="223" t="s">
        <v>114</v>
      </c>
      <c r="F29" s="223" t="s">
        <v>114</v>
      </c>
      <c r="G29" s="223" t="s">
        <v>114</v>
      </c>
      <c r="H29" s="235">
        <f>SUM(H30:H32)</f>
        <v>0</v>
      </c>
      <c r="I29" s="235">
        <f>SUM(I30:I32)</f>
        <v>0</v>
      </c>
      <c r="J29" s="235">
        <f>SUM(J30:J32)</f>
        <v>0</v>
      </c>
      <c r="K29" s="230" t="s">
        <v>154</v>
      </c>
      <c r="L29" s="235">
        <f>SUM(L30:L32)</f>
        <v>0</v>
      </c>
      <c r="M29" s="243" t="s">
        <v>154</v>
      </c>
      <c r="AG29" s="229" t="s">
        <v>154</v>
      </c>
      <c r="AQ29" s="222">
        <f>SUM(AH30:AH32)</f>
        <v>0</v>
      </c>
      <c r="AR29" s="222">
        <f>SUM(AI30:AI32)</f>
        <v>0</v>
      </c>
      <c r="AS29" s="222">
        <f>SUM(AJ30:AJ32)</f>
        <v>0</v>
      </c>
    </row>
    <row r="30" spans="1:74" ht="14.4" x14ac:dyDescent="0.3">
      <c r="A30" s="239" t="s">
        <v>193</v>
      </c>
      <c r="B30" s="223" t="s">
        <v>194</v>
      </c>
      <c r="C30" s="521" t="s">
        <v>195</v>
      </c>
      <c r="D30" s="519"/>
      <c r="E30" s="223" t="s">
        <v>196</v>
      </c>
      <c r="F30" s="233">
        <v>12.08</v>
      </c>
      <c r="G30" s="311">
        <v>0</v>
      </c>
      <c r="H30" s="233">
        <f>F30*AM30</f>
        <v>0</v>
      </c>
      <c r="I30" s="233">
        <f>F30*AN30</f>
        <v>0</v>
      </c>
      <c r="J30" s="233">
        <f>F30*G30</f>
        <v>0</v>
      </c>
      <c r="K30" s="233">
        <v>0</v>
      </c>
      <c r="L30" s="233">
        <f>F30*K30</f>
        <v>0</v>
      </c>
      <c r="M30" s="240" t="s">
        <v>472</v>
      </c>
      <c r="X30" s="233">
        <f>IF(AO30="5",BH30,0)</f>
        <v>0</v>
      </c>
      <c r="Z30" s="233">
        <f>IF(AO30="1",BF30,0)</f>
        <v>0</v>
      </c>
      <c r="AA30" s="233">
        <f>IF(AO30="1",BG30,0)</f>
        <v>0</v>
      </c>
      <c r="AB30" s="233">
        <f>IF(AO30="7",BF30,0)</f>
        <v>0</v>
      </c>
      <c r="AC30" s="233">
        <f>IF(AO30="7",BG30,0)</f>
        <v>0</v>
      </c>
      <c r="AD30" s="233">
        <f>IF(AO30="2",BF30,0)</f>
        <v>0</v>
      </c>
      <c r="AE30" s="233">
        <f>IF(AO30="2",BG30,0)</f>
        <v>0</v>
      </c>
      <c r="AF30" s="233">
        <f>IF(AO30="0",BH30,0)</f>
        <v>0</v>
      </c>
      <c r="AG30" s="229" t="s">
        <v>154</v>
      </c>
      <c r="AH30" s="233">
        <f>IF(AL30=0,J30,0)</f>
        <v>0</v>
      </c>
      <c r="AI30" s="233">
        <f>IF(AL30=15,J30,0)</f>
        <v>0</v>
      </c>
      <c r="AJ30" s="233">
        <f>IF(AL30=21,J30,0)</f>
        <v>0</v>
      </c>
      <c r="AL30" s="233">
        <v>15</v>
      </c>
      <c r="AM30" s="233">
        <f>G30*0</f>
        <v>0</v>
      </c>
      <c r="AN30" s="233">
        <f>G30*(1-0)</f>
        <v>0</v>
      </c>
      <c r="AO30" s="234" t="s">
        <v>157</v>
      </c>
      <c r="AT30" s="233">
        <f>AU30+AV30</f>
        <v>0</v>
      </c>
      <c r="AU30" s="233">
        <f>F30*AM30</f>
        <v>0</v>
      </c>
      <c r="AV30" s="233">
        <f>F30*AN30</f>
        <v>0</v>
      </c>
      <c r="AW30" s="234" t="s">
        <v>197</v>
      </c>
      <c r="AX30" s="234" t="s">
        <v>163</v>
      </c>
      <c r="AY30" s="229" t="s">
        <v>164</v>
      </c>
      <c r="BA30" s="233">
        <f>AU30+AV30</f>
        <v>0</v>
      </c>
      <c r="BB30" s="233">
        <f>G30/(100-BC30)*100</f>
        <v>0</v>
      </c>
      <c r="BC30" s="233">
        <v>0</v>
      </c>
      <c r="BD30" s="233">
        <f>L30</f>
        <v>0</v>
      </c>
      <c r="BF30" s="233">
        <f>F30*AM30</f>
        <v>0</v>
      </c>
      <c r="BG30" s="233">
        <f>F30*AN30</f>
        <v>0</v>
      </c>
      <c r="BH30" s="233">
        <f>F30*G30</f>
        <v>0</v>
      </c>
      <c r="BI30" s="233"/>
      <c r="BJ30" s="233">
        <v>12</v>
      </c>
      <c r="BU30" s="233" t="e">
        <f>#REF!</f>
        <v>#REF!</v>
      </c>
      <c r="BV30" s="225" t="s">
        <v>195</v>
      </c>
    </row>
    <row r="31" spans="1:74" ht="40.5" customHeight="1" x14ac:dyDescent="0.3">
      <c r="A31" s="241"/>
      <c r="B31" s="242" t="s">
        <v>165</v>
      </c>
      <c r="C31" s="530" t="s">
        <v>1544</v>
      </c>
      <c r="D31" s="531"/>
      <c r="E31" s="531"/>
      <c r="F31" s="531"/>
      <c r="G31" s="531"/>
      <c r="H31" s="531"/>
      <c r="I31" s="531"/>
      <c r="J31" s="531"/>
      <c r="K31" s="531"/>
      <c r="L31" s="531"/>
      <c r="M31" s="532"/>
    </row>
    <row r="32" spans="1:74" ht="14.4" x14ac:dyDescent="0.3">
      <c r="A32" s="239" t="s">
        <v>198</v>
      </c>
      <c r="B32" s="223" t="s">
        <v>199</v>
      </c>
      <c r="C32" s="521" t="s">
        <v>200</v>
      </c>
      <c r="D32" s="519"/>
      <c r="E32" s="223" t="s">
        <v>196</v>
      </c>
      <c r="F32" s="233">
        <v>9.25</v>
      </c>
      <c r="G32" s="311">
        <v>0</v>
      </c>
      <c r="H32" s="233">
        <f>F32*AM32</f>
        <v>0</v>
      </c>
      <c r="I32" s="233">
        <f>F32*AN32</f>
        <v>0</v>
      </c>
      <c r="J32" s="233">
        <f>F32*G32</f>
        <v>0</v>
      </c>
      <c r="K32" s="233">
        <v>0</v>
      </c>
      <c r="L32" s="233">
        <f>F32*K32</f>
        <v>0</v>
      </c>
      <c r="M32" s="240" t="s">
        <v>472</v>
      </c>
      <c r="X32" s="233">
        <f>IF(AO32="5",BH32,0)</f>
        <v>0</v>
      </c>
      <c r="Z32" s="233">
        <f>IF(AO32="1",BF32,0)</f>
        <v>0</v>
      </c>
      <c r="AA32" s="233">
        <f>IF(AO32="1",BG32,0)</f>
        <v>0</v>
      </c>
      <c r="AB32" s="233">
        <f>IF(AO32="7",BF32,0)</f>
        <v>0</v>
      </c>
      <c r="AC32" s="233">
        <f>IF(AO32="7",BG32,0)</f>
        <v>0</v>
      </c>
      <c r="AD32" s="233">
        <f>IF(AO32="2",BF32,0)</f>
        <v>0</v>
      </c>
      <c r="AE32" s="233">
        <f>IF(AO32="2",BG32,0)</f>
        <v>0</v>
      </c>
      <c r="AF32" s="233">
        <f>IF(AO32="0",BH32,0)</f>
        <v>0</v>
      </c>
      <c r="AG32" s="229" t="s">
        <v>154</v>
      </c>
      <c r="AH32" s="233">
        <f>IF(AL32=0,J32,0)</f>
        <v>0</v>
      </c>
      <c r="AI32" s="233">
        <f>IF(AL32=15,J32,0)</f>
        <v>0</v>
      </c>
      <c r="AJ32" s="233">
        <f>IF(AL32=21,J32,0)</f>
        <v>0</v>
      </c>
      <c r="AL32" s="233">
        <v>15</v>
      </c>
      <c r="AM32" s="233">
        <f>G32*0</f>
        <v>0</v>
      </c>
      <c r="AN32" s="233">
        <f>G32*(1-0)</f>
        <v>0</v>
      </c>
      <c r="AO32" s="234" t="s">
        <v>157</v>
      </c>
      <c r="AT32" s="233">
        <f>AU32+AV32</f>
        <v>0</v>
      </c>
      <c r="AU32" s="233">
        <f>F32*AM32</f>
        <v>0</v>
      </c>
      <c r="AV32" s="233">
        <f>F32*AN32</f>
        <v>0</v>
      </c>
      <c r="AW32" s="234" t="s">
        <v>197</v>
      </c>
      <c r="AX32" s="234" t="s">
        <v>163</v>
      </c>
      <c r="AY32" s="229" t="s">
        <v>164</v>
      </c>
      <c r="BA32" s="233">
        <f>AU32+AV32</f>
        <v>0</v>
      </c>
      <c r="BB32" s="233">
        <f>G32/(100-BC32)*100</f>
        <v>0</v>
      </c>
      <c r="BC32" s="233">
        <v>0</v>
      </c>
      <c r="BD32" s="233">
        <f>L32</f>
        <v>0</v>
      </c>
      <c r="BF32" s="233">
        <f>F32*AM32</f>
        <v>0</v>
      </c>
      <c r="BG32" s="233">
        <f>F32*AN32</f>
        <v>0</v>
      </c>
      <c r="BH32" s="233">
        <f>F32*G32</f>
        <v>0</v>
      </c>
      <c r="BI32" s="233"/>
      <c r="BJ32" s="233">
        <v>12</v>
      </c>
      <c r="BU32" s="233" t="e">
        <f>#REF!</f>
        <v>#REF!</v>
      </c>
      <c r="BV32" s="225" t="s">
        <v>200</v>
      </c>
    </row>
    <row r="33" spans="1:74" ht="40.5" customHeight="1" x14ac:dyDescent="0.3">
      <c r="A33" s="241"/>
      <c r="B33" s="242" t="s">
        <v>165</v>
      </c>
      <c r="C33" s="530" t="s">
        <v>1545</v>
      </c>
      <c r="D33" s="531"/>
      <c r="E33" s="531"/>
      <c r="F33" s="531"/>
      <c r="G33" s="531"/>
      <c r="H33" s="531"/>
      <c r="I33" s="531"/>
      <c r="J33" s="531"/>
      <c r="K33" s="531"/>
      <c r="L33" s="531"/>
      <c r="M33" s="532"/>
    </row>
    <row r="34" spans="1:74" ht="14.4" x14ac:dyDescent="0.3">
      <c r="A34" s="239" t="s">
        <v>154</v>
      </c>
      <c r="B34" s="224" t="s">
        <v>201</v>
      </c>
      <c r="C34" s="526" t="s">
        <v>202</v>
      </c>
      <c r="D34" s="527"/>
      <c r="E34" s="223" t="s">
        <v>114</v>
      </c>
      <c r="F34" s="223" t="s">
        <v>114</v>
      </c>
      <c r="G34" s="223" t="s">
        <v>114</v>
      </c>
      <c r="H34" s="235">
        <f>SUM(H35:H43)</f>
        <v>0</v>
      </c>
      <c r="I34" s="235">
        <f>SUM(I35:I43)</f>
        <v>0</v>
      </c>
      <c r="J34" s="235">
        <f>SUM(J35:J43)</f>
        <v>0</v>
      </c>
      <c r="K34" s="230" t="s">
        <v>154</v>
      </c>
      <c r="L34" s="235">
        <f>SUM(L35:L43)</f>
        <v>0</v>
      </c>
      <c r="M34" s="243" t="s">
        <v>154</v>
      </c>
      <c r="AG34" s="229" t="s">
        <v>154</v>
      </c>
      <c r="AQ34" s="222">
        <f>SUM(AH35:AH43)</f>
        <v>0</v>
      </c>
      <c r="AR34" s="222">
        <f>SUM(AI35:AI43)</f>
        <v>0</v>
      </c>
      <c r="AS34" s="222">
        <f>SUM(AJ35:AJ43)</f>
        <v>0</v>
      </c>
    </row>
    <row r="35" spans="1:74" ht="14.4" x14ac:dyDescent="0.3">
      <c r="A35" s="239" t="s">
        <v>155</v>
      </c>
      <c r="B35" s="223" t="s">
        <v>203</v>
      </c>
      <c r="C35" s="521" t="s">
        <v>204</v>
      </c>
      <c r="D35" s="519"/>
      <c r="E35" s="223" t="s">
        <v>196</v>
      </c>
      <c r="F35" s="233">
        <v>60.17</v>
      </c>
      <c r="G35" s="311">
        <v>0</v>
      </c>
      <c r="H35" s="233">
        <f>F35*AM35</f>
        <v>0</v>
      </c>
      <c r="I35" s="233">
        <f>F35*AN35</f>
        <v>0</v>
      </c>
      <c r="J35" s="233">
        <f>F35*G35</f>
        <v>0</v>
      </c>
      <c r="K35" s="233">
        <v>0</v>
      </c>
      <c r="L35" s="233">
        <f>F35*K35</f>
        <v>0</v>
      </c>
      <c r="M35" s="240" t="s">
        <v>472</v>
      </c>
      <c r="X35" s="233">
        <f>IF(AO35="5",BH35,0)</f>
        <v>0</v>
      </c>
      <c r="Z35" s="233">
        <f>IF(AO35="1",BF35,0)</f>
        <v>0</v>
      </c>
      <c r="AA35" s="233">
        <f>IF(AO35="1",BG35,0)</f>
        <v>0</v>
      </c>
      <c r="AB35" s="233">
        <f>IF(AO35="7",BF35,0)</f>
        <v>0</v>
      </c>
      <c r="AC35" s="233">
        <f>IF(AO35="7",BG35,0)</f>
        <v>0</v>
      </c>
      <c r="AD35" s="233">
        <f>IF(AO35="2",BF35,0)</f>
        <v>0</v>
      </c>
      <c r="AE35" s="233">
        <f>IF(AO35="2",BG35,0)</f>
        <v>0</v>
      </c>
      <c r="AF35" s="233">
        <f>IF(AO35="0",BH35,0)</f>
        <v>0</v>
      </c>
      <c r="AG35" s="229" t="s">
        <v>154</v>
      </c>
      <c r="AH35" s="233">
        <f>IF(AL35=0,J35,0)</f>
        <v>0</v>
      </c>
      <c r="AI35" s="233">
        <f>IF(AL35=15,J35,0)</f>
        <v>0</v>
      </c>
      <c r="AJ35" s="233">
        <f>IF(AL35=21,J35,0)</f>
        <v>0</v>
      </c>
      <c r="AL35" s="233">
        <v>15</v>
      </c>
      <c r="AM35" s="233">
        <f>G35*0</f>
        <v>0</v>
      </c>
      <c r="AN35" s="233">
        <f>G35*(1-0)</f>
        <v>0</v>
      </c>
      <c r="AO35" s="234" t="s">
        <v>157</v>
      </c>
      <c r="AT35" s="233">
        <f>AU35+AV35</f>
        <v>0</v>
      </c>
      <c r="AU35" s="233">
        <f>F35*AM35</f>
        <v>0</v>
      </c>
      <c r="AV35" s="233">
        <f>F35*AN35</f>
        <v>0</v>
      </c>
      <c r="AW35" s="234" t="s">
        <v>205</v>
      </c>
      <c r="AX35" s="234" t="s">
        <v>163</v>
      </c>
      <c r="AY35" s="229" t="s">
        <v>164</v>
      </c>
      <c r="BA35" s="233">
        <f>AU35+AV35</f>
        <v>0</v>
      </c>
      <c r="BB35" s="233">
        <f>G35/(100-BC35)*100</f>
        <v>0</v>
      </c>
      <c r="BC35" s="233">
        <v>0</v>
      </c>
      <c r="BD35" s="233">
        <f>L35</f>
        <v>0</v>
      </c>
      <c r="BF35" s="233">
        <f>F35*AM35</f>
        <v>0</v>
      </c>
      <c r="BG35" s="233">
        <f>F35*AN35</f>
        <v>0</v>
      </c>
      <c r="BH35" s="233">
        <f>F35*G35</f>
        <v>0</v>
      </c>
      <c r="BI35" s="233"/>
      <c r="BJ35" s="233">
        <v>13</v>
      </c>
      <c r="BU35" s="233" t="e">
        <f>#REF!</f>
        <v>#REF!</v>
      </c>
      <c r="BV35" s="225" t="s">
        <v>204</v>
      </c>
    </row>
    <row r="36" spans="1:74" ht="108" customHeight="1" x14ac:dyDescent="0.3">
      <c r="A36" s="241"/>
      <c r="B36" s="242" t="s">
        <v>165</v>
      </c>
      <c r="C36" s="530" t="s">
        <v>1546</v>
      </c>
      <c r="D36" s="531"/>
      <c r="E36" s="531"/>
      <c r="F36" s="531"/>
      <c r="G36" s="531"/>
      <c r="H36" s="531"/>
      <c r="I36" s="531"/>
      <c r="J36" s="531"/>
      <c r="K36" s="531"/>
      <c r="L36" s="531"/>
      <c r="M36" s="532"/>
    </row>
    <row r="37" spans="1:74" ht="14.4" x14ac:dyDescent="0.3">
      <c r="A37" s="239" t="s">
        <v>191</v>
      </c>
      <c r="B37" s="223" t="s">
        <v>206</v>
      </c>
      <c r="C37" s="521" t="s">
        <v>207</v>
      </c>
      <c r="D37" s="519"/>
      <c r="E37" s="223" t="s">
        <v>196</v>
      </c>
      <c r="F37" s="233">
        <v>30.09</v>
      </c>
      <c r="G37" s="311">
        <v>0</v>
      </c>
      <c r="H37" s="233">
        <f>F37*AM37</f>
        <v>0</v>
      </c>
      <c r="I37" s="233">
        <f>F37*AN37</f>
        <v>0</v>
      </c>
      <c r="J37" s="233">
        <f>F37*G37</f>
        <v>0</v>
      </c>
      <c r="K37" s="233">
        <v>0</v>
      </c>
      <c r="L37" s="233">
        <f>F37*K37</f>
        <v>0</v>
      </c>
      <c r="M37" s="240" t="s">
        <v>472</v>
      </c>
      <c r="X37" s="233">
        <f>IF(AO37="5",BH37,0)</f>
        <v>0</v>
      </c>
      <c r="Z37" s="233">
        <f>IF(AO37="1",BF37,0)</f>
        <v>0</v>
      </c>
      <c r="AA37" s="233">
        <f>IF(AO37="1",BG37,0)</f>
        <v>0</v>
      </c>
      <c r="AB37" s="233">
        <f>IF(AO37="7",BF37,0)</f>
        <v>0</v>
      </c>
      <c r="AC37" s="233">
        <f>IF(AO37="7",BG37,0)</f>
        <v>0</v>
      </c>
      <c r="AD37" s="233">
        <f>IF(AO37="2",BF37,0)</f>
        <v>0</v>
      </c>
      <c r="AE37" s="233">
        <f>IF(AO37="2",BG37,0)</f>
        <v>0</v>
      </c>
      <c r="AF37" s="233">
        <f>IF(AO37="0",BH37,0)</f>
        <v>0</v>
      </c>
      <c r="AG37" s="229" t="s">
        <v>154</v>
      </c>
      <c r="AH37" s="233">
        <f>IF(AL37=0,J37,0)</f>
        <v>0</v>
      </c>
      <c r="AI37" s="233">
        <f>IF(AL37=15,J37,0)</f>
        <v>0</v>
      </c>
      <c r="AJ37" s="233">
        <f>IF(AL37=21,J37,0)</f>
        <v>0</v>
      </c>
      <c r="AL37" s="233">
        <v>15</v>
      </c>
      <c r="AM37" s="233">
        <f>G37*0</f>
        <v>0</v>
      </c>
      <c r="AN37" s="233">
        <f>G37*(1-0)</f>
        <v>0</v>
      </c>
      <c r="AO37" s="234" t="s">
        <v>157</v>
      </c>
      <c r="AT37" s="233">
        <f>AU37+AV37</f>
        <v>0</v>
      </c>
      <c r="AU37" s="233">
        <f>F37*AM37</f>
        <v>0</v>
      </c>
      <c r="AV37" s="233">
        <f>F37*AN37</f>
        <v>0</v>
      </c>
      <c r="AW37" s="234" t="s">
        <v>205</v>
      </c>
      <c r="AX37" s="234" t="s">
        <v>163</v>
      </c>
      <c r="AY37" s="229" t="s">
        <v>164</v>
      </c>
      <c r="BA37" s="233">
        <f>AU37+AV37</f>
        <v>0</v>
      </c>
      <c r="BB37" s="233">
        <f>G37/(100-BC37)*100</f>
        <v>0</v>
      </c>
      <c r="BC37" s="233">
        <v>0</v>
      </c>
      <c r="BD37" s="233">
        <f>L37</f>
        <v>0</v>
      </c>
      <c r="BF37" s="233">
        <f>F37*AM37</f>
        <v>0</v>
      </c>
      <c r="BG37" s="233">
        <f>F37*AN37</f>
        <v>0</v>
      </c>
      <c r="BH37" s="233">
        <f>F37*G37</f>
        <v>0</v>
      </c>
      <c r="BI37" s="233"/>
      <c r="BJ37" s="233">
        <v>13</v>
      </c>
      <c r="BU37" s="233" t="e">
        <f>#REF!</f>
        <v>#REF!</v>
      </c>
      <c r="BV37" s="225" t="s">
        <v>207</v>
      </c>
    </row>
    <row r="38" spans="1:74" ht="40.5" customHeight="1" x14ac:dyDescent="0.3">
      <c r="A38" s="241"/>
      <c r="B38" s="242" t="s">
        <v>165</v>
      </c>
      <c r="C38" s="530" t="s">
        <v>1547</v>
      </c>
      <c r="D38" s="531"/>
      <c r="E38" s="531"/>
      <c r="F38" s="531"/>
      <c r="G38" s="531"/>
      <c r="H38" s="531"/>
      <c r="I38" s="531"/>
      <c r="J38" s="531"/>
      <c r="K38" s="531"/>
      <c r="L38" s="531"/>
      <c r="M38" s="532"/>
    </row>
    <row r="39" spans="1:74" ht="14.4" x14ac:dyDescent="0.3">
      <c r="A39" s="239" t="s">
        <v>201</v>
      </c>
      <c r="B39" s="223" t="s">
        <v>208</v>
      </c>
      <c r="C39" s="521" t="s">
        <v>209</v>
      </c>
      <c r="D39" s="519"/>
      <c r="E39" s="223" t="s">
        <v>196</v>
      </c>
      <c r="F39" s="233">
        <v>60.17</v>
      </c>
      <c r="G39" s="311">
        <v>0</v>
      </c>
      <c r="H39" s="233">
        <f>F39*AM39</f>
        <v>0</v>
      </c>
      <c r="I39" s="233">
        <f>F39*AN39</f>
        <v>0</v>
      </c>
      <c r="J39" s="233">
        <f>F39*G39</f>
        <v>0</v>
      </c>
      <c r="K39" s="233">
        <v>0</v>
      </c>
      <c r="L39" s="233">
        <f>F39*K39</f>
        <v>0</v>
      </c>
      <c r="M39" s="240" t="s">
        <v>472</v>
      </c>
      <c r="X39" s="233">
        <f>IF(AO39="5",BH39,0)</f>
        <v>0</v>
      </c>
      <c r="Z39" s="233">
        <f>IF(AO39="1",BF39,0)</f>
        <v>0</v>
      </c>
      <c r="AA39" s="233">
        <f>IF(AO39="1",BG39,0)</f>
        <v>0</v>
      </c>
      <c r="AB39" s="233">
        <f>IF(AO39="7",BF39,0)</f>
        <v>0</v>
      </c>
      <c r="AC39" s="233">
        <f>IF(AO39="7",BG39,0)</f>
        <v>0</v>
      </c>
      <c r="AD39" s="233">
        <f>IF(AO39="2",BF39,0)</f>
        <v>0</v>
      </c>
      <c r="AE39" s="233">
        <f>IF(AO39="2",BG39,0)</f>
        <v>0</v>
      </c>
      <c r="AF39" s="233">
        <f>IF(AO39="0",BH39,0)</f>
        <v>0</v>
      </c>
      <c r="AG39" s="229" t="s">
        <v>154</v>
      </c>
      <c r="AH39" s="233">
        <f>IF(AL39=0,J39,0)</f>
        <v>0</v>
      </c>
      <c r="AI39" s="233">
        <f>IF(AL39=15,J39,0)</f>
        <v>0</v>
      </c>
      <c r="AJ39" s="233">
        <f>IF(AL39=21,J39,0)</f>
        <v>0</v>
      </c>
      <c r="AL39" s="233">
        <v>15</v>
      </c>
      <c r="AM39" s="233">
        <f>G39*0</f>
        <v>0</v>
      </c>
      <c r="AN39" s="233">
        <f>G39*(1-0)</f>
        <v>0</v>
      </c>
      <c r="AO39" s="234" t="s">
        <v>157</v>
      </c>
      <c r="AT39" s="233">
        <f>AU39+AV39</f>
        <v>0</v>
      </c>
      <c r="AU39" s="233">
        <f>F39*AM39</f>
        <v>0</v>
      </c>
      <c r="AV39" s="233">
        <f>F39*AN39</f>
        <v>0</v>
      </c>
      <c r="AW39" s="234" t="s">
        <v>205</v>
      </c>
      <c r="AX39" s="234" t="s">
        <v>163</v>
      </c>
      <c r="AY39" s="229" t="s">
        <v>164</v>
      </c>
      <c r="BA39" s="233">
        <f>AU39+AV39</f>
        <v>0</v>
      </c>
      <c r="BB39" s="233">
        <f>G39/(100-BC39)*100</f>
        <v>0</v>
      </c>
      <c r="BC39" s="233">
        <v>0</v>
      </c>
      <c r="BD39" s="233">
        <f>L39</f>
        <v>0</v>
      </c>
      <c r="BF39" s="233">
        <f>F39*AM39</f>
        <v>0</v>
      </c>
      <c r="BG39" s="233">
        <f>F39*AN39</f>
        <v>0</v>
      </c>
      <c r="BH39" s="233">
        <f>F39*G39</f>
        <v>0</v>
      </c>
      <c r="BI39" s="233"/>
      <c r="BJ39" s="233">
        <v>13</v>
      </c>
      <c r="BU39" s="233" t="e">
        <f>#REF!</f>
        <v>#REF!</v>
      </c>
      <c r="BV39" s="225" t="s">
        <v>209</v>
      </c>
    </row>
    <row r="40" spans="1:74" ht="108" customHeight="1" x14ac:dyDescent="0.3">
      <c r="A40" s="241"/>
      <c r="B40" s="242" t="s">
        <v>165</v>
      </c>
      <c r="C40" s="530" t="s">
        <v>1548</v>
      </c>
      <c r="D40" s="531"/>
      <c r="E40" s="531"/>
      <c r="F40" s="531"/>
      <c r="G40" s="531"/>
      <c r="H40" s="531"/>
      <c r="I40" s="531"/>
      <c r="J40" s="531"/>
      <c r="K40" s="531"/>
      <c r="L40" s="531"/>
      <c r="M40" s="532"/>
    </row>
    <row r="41" spans="1:74" ht="14.4" x14ac:dyDescent="0.3">
      <c r="A41" s="239" t="s">
        <v>210</v>
      </c>
      <c r="B41" s="223" t="s">
        <v>211</v>
      </c>
      <c r="C41" s="521" t="s">
        <v>212</v>
      </c>
      <c r="D41" s="519"/>
      <c r="E41" s="223" t="s">
        <v>196</v>
      </c>
      <c r="F41" s="233">
        <v>15.04</v>
      </c>
      <c r="G41" s="311">
        <v>0</v>
      </c>
      <c r="H41" s="233">
        <f>F41*AM41</f>
        <v>0</v>
      </c>
      <c r="I41" s="233">
        <f>F41*AN41</f>
        <v>0</v>
      </c>
      <c r="J41" s="233">
        <f>F41*G41</f>
        <v>0</v>
      </c>
      <c r="K41" s="233">
        <v>0</v>
      </c>
      <c r="L41" s="233">
        <f>F41*K41</f>
        <v>0</v>
      </c>
      <c r="M41" s="240" t="s">
        <v>472</v>
      </c>
      <c r="X41" s="233">
        <f>IF(AO41="5",BH41,0)</f>
        <v>0</v>
      </c>
      <c r="Z41" s="233">
        <f>IF(AO41="1",BF41,0)</f>
        <v>0</v>
      </c>
      <c r="AA41" s="233">
        <f>IF(AO41="1",BG41,0)</f>
        <v>0</v>
      </c>
      <c r="AB41" s="233">
        <f>IF(AO41="7",BF41,0)</f>
        <v>0</v>
      </c>
      <c r="AC41" s="233">
        <f>IF(AO41="7",BG41,0)</f>
        <v>0</v>
      </c>
      <c r="AD41" s="233">
        <f>IF(AO41="2",BF41,0)</f>
        <v>0</v>
      </c>
      <c r="AE41" s="233">
        <f>IF(AO41="2",BG41,0)</f>
        <v>0</v>
      </c>
      <c r="AF41" s="233">
        <f>IF(AO41="0",BH41,0)</f>
        <v>0</v>
      </c>
      <c r="AG41" s="229" t="s">
        <v>154</v>
      </c>
      <c r="AH41" s="233">
        <f>IF(AL41=0,J41,0)</f>
        <v>0</v>
      </c>
      <c r="AI41" s="233">
        <f>IF(AL41=15,J41,0)</f>
        <v>0</v>
      </c>
      <c r="AJ41" s="233">
        <f>IF(AL41=21,J41,0)</f>
        <v>0</v>
      </c>
      <c r="AL41" s="233">
        <v>15</v>
      </c>
      <c r="AM41" s="233">
        <f>G41*0</f>
        <v>0</v>
      </c>
      <c r="AN41" s="233">
        <f>G41*(1-0)</f>
        <v>0</v>
      </c>
      <c r="AO41" s="234" t="s">
        <v>157</v>
      </c>
      <c r="AT41" s="233">
        <f>AU41+AV41</f>
        <v>0</v>
      </c>
      <c r="AU41" s="233">
        <f>F41*AM41</f>
        <v>0</v>
      </c>
      <c r="AV41" s="233">
        <f>F41*AN41</f>
        <v>0</v>
      </c>
      <c r="AW41" s="234" t="s">
        <v>205</v>
      </c>
      <c r="AX41" s="234" t="s">
        <v>163</v>
      </c>
      <c r="AY41" s="229" t="s">
        <v>164</v>
      </c>
      <c r="BA41" s="233">
        <f>AU41+AV41</f>
        <v>0</v>
      </c>
      <c r="BB41" s="233">
        <f>G41/(100-BC41)*100</f>
        <v>0</v>
      </c>
      <c r="BC41" s="233">
        <v>0</v>
      </c>
      <c r="BD41" s="233">
        <f>L41</f>
        <v>0</v>
      </c>
      <c r="BF41" s="233">
        <f>F41*AM41</f>
        <v>0</v>
      </c>
      <c r="BG41" s="233">
        <f>F41*AN41</f>
        <v>0</v>
      </c>
      <c r="BH41" s="233">
        <f>F41*G41</f>
        <v>0</v>
      </c>
      <c r="BI41" s="233"/>
      <c r="BJ41" s="233">
        <v>13</v>
      </c>
      <c r="BU41" s="233" t="e">
        <f>#REF!</f>
        <v>#REF!</v>
      </c>
      <c r="BV41" s="225" t="s">
        <v>212</v>
      </c>
    </row>
    <row r="42" spans="1:74" ht="40.5" customHeight="1" x14ac:dyDescent="0.3">
      <c r="A42" s="241"/>
      <c r="B42" s="242" t="s">
        <v>165</v>
      </c>
      <c r="C42" s="530" t="s">
        <v>1549</v>
      </c>
      <c r="D42" s="531"/>
      <c r="E42" s="531"/>
      <c r="F42" s="531"/>
      <c r="G42" s="531"/>
      <c r="H42" s="531"/>
      <c r="I42" s="531"/>
      <c r="J42" s="531"/>
      <c r="K42" s="531"/>
      <c r="L42" s="531"/>
      <c r="M42" s="532"/>
    </row>
    <row r="43" spans="1:74" ht="14.4" x14ac:dyDescent="0.3">
      <c r="A43" s="239" t="s">
        <v>161</v>
      </c>
      <c r="B43" s="223" t="s">
        <v>213</v>
      </c>
      <c r="C43" s="521" t="s">
        <v>214</v>
      </c>
      <c r="D43" s="519"/>
      <c r="E43" s="223" t="s">
        <v>196</v>
      </c>
      <c r="F43" s="233">
        <v>5</v>
      </c>
      <c r="G43" s="311">
        <v>0</v>
      </c>
      <c r="H43" s="233">
        <f>F43*AM43</f>
        <v>0</v>
      </c>
      <c r="I43" s="233">
        <f>F43*AN43</f>
        <v>0</v>
      </c>
      <c r="J43" s="233">
        <f>F43*G43</f>
        <v>0</v>
      </c>
      <c r="K43" s="233">
        <v>0</v>
      </c>
      <c r="L43" s="233">
        <f>F43*K43</f>
        <v>0</v>
      </c>
      <c r="M43" s="240" t="s">
        <v>472</v>
      </c>
      <c r="X43" s="233">
        <f>IF(AO43="5",BH43,0)</f>
        <v>0</v>
      </c>
      <c r="Z43" s="233">
        <f>IF(AO43="1",BF43,0)</f>
        <v>0</v>
      </c>
      <c r="AA43" s="233">
        <f>IF(AO43="1",BG43,0)</f>
        <v>0</v>
      </c>
      <c r="AB43" s="233">
        <f>IF(AO43="7",BF43,0)</f>
        <v>0</v>
      </c>
      <c r="AC43" s="233">
        <f>IF(AO43="7",BG43,0)</f>
        <v>0</v>
      </c>
      <c r="AD43" s="233">
        <f>IF(AO43="2",BF43,0)</f>
        <v>0</v>
      </c>
      <c r="AE43" s="233">
        <f>IF(AO43="2",BG43,0)</f>
        <v>0</v>
      </c>
      <c r="AF43" s="233">
        <f>IF(AO43="0",BH43,0)</f>
        <v>0</v>
      </c>
      <c r="AG43" s="229" t="s">
        <v>154</v>
      </c>
      <c r="AH43" s="233">
        <f>IF(AL43=0,J43,0)</f>
        <v>0</v>
      </c>
      <c r="AI43" s="233">
        <f>IF(AL43=15,J43,0)</f>
        <v>0</v>
      </c>
      <c r="AJ43" s="233">
        <f>IF(AL43=21,J43,0)</f>
        <v>0</v>
      </c>
      <c r="AL43" s="233">
        <v>15</v>
      </c>
      <c r="AM43" s="233">
        <f>G43*0</f>
        <v>0</v>
      </c>
      <c r="AN43" s="233">
        <f>G43*(1-0)</f>
        <v>0</v>
      </c>
      <c r="AO43" s="234" t="s">
        <v>157</v>
      </c>
      <c r="AT43" s="233">
        <f>AU43+AV43</f>
        <v>0</v>
      </c>
      <c r="AU43" s="233">
        <f>F43*AM43</f>
        <v>0</v>
      </c>
      <c r="AV43" s="233">
        <f>F43*AN43</f>
        <v>0</v>
      </c>
      <c r="AW43" s="234" t="s">
        <v>205</v>
      </c>
      <c r="AX43" s="234" t="s">
        <v>163</v>
      </c>
      <c r="AY43" s="229" t="s">
        <v>164</v>
      </c>
      <c r="BA43" s="233">
        <f>AU43+AV43</f>
        <v>0</v>
      </c>
      <c r="BB43" s="233">
        <f>G43/(100-BC43)*100</f>
        <v>0</v>
      </c>
      <c r="BC43" s="233">
        <v>0</v>
      </c>
      <c r="BD43" s="233">
        <f>L43</f>
        <v>0</v>
      </c>
      <c r="BF43" s="233">
        <f>F43*AM43</f>
        <v>0</v>
      </c>
      <c r="BG43" s="233">
        <f>F43*AN43</f>
        <v>0</v>
      </c>
      <c r="BH43" s="233">
        <f>F43*G43</f>
        <v>0</v>
      </c>
      <c r="BI43" s="233"/>
      <c r="BJ43" s="233">
        <v>13</v>
      </c>
      <c r="BU43" s="233" t="e">
        <f>#REF!</f>
        <v>#REF!</v>
      </c>
      <c r="BV43" s="225" t="s">
        <v>214</v>
      </c>
    </row>
    <row r="44" spans="1:74" ht="13.5" customHeight="1" x14ac:dyDescent="0.3">
      <c r="A44" s="244"/>
      <c r="B44" s="245" t="s">
        <v>165</v>
      </c>
      <c r="C44" s="540" t="s">
        <v>426</v>
      </c>
      <c r="D44" s="541"/>
      <c r="E44" s="541"/>
      <c r="F44" s="541"/>
      <c r="G44" s="541"/>
      <c r="H44" s="541"/>
      <c r="I44" s="541"/>
      <c r="J44" s="541"/>
      <c r="K44" s="541"/>
      <c r="L44" s="541"/>
      <c r="M44" s="542"/>
    </row>
    <row r="45" spans="1:74" ht="14.4" x14ac:dyDescent="0.3">
      <c r="A45" s="237" t="s">
        <v>154</v>
      </c>
      <c r="B45" s="260" t="s">
        <v>161</v>
      </c>
      <c r="C45" s="545" t="s">
        <v>219</v>
      </c>
      <c r="D45" s="546"/>
      <c r="E45" s="238" t="s">
        <v>114</v>
      </c>
      <c r="F45" s="238" t="s">
        <v>114</v>
      </c>
      <c r="G45" s="238" t="s">
        <v>114</v>
      </c>
      <c r="H45" s="261">
        <f>SUM(H46:H48)</f>
        <v>0</v>
      </c>
      <c r="I45" s="261">
        <f>SUM(I46:I48)</f>
        <v>0</v>
      </c>
      <c r="J45" s="261">
        <f>SUM(J46:J48)</f>
        <v>0</v>
      </c>
      <c r="K45" s="262" t="s">
        <v>154</v>
      </c>
      <c r="L45" s="261">
        <f>SUM(L46:L48)</f>
        <v>7.1491799999999994E-2</v>
      </c>
      <c r="M45" s="263" t="s">
        <v>154</v>
      </c>
      <c r="AG45" s="229" t="s">
        <v>154</v>
      </c>
      <c r="AQ45" s="222">
        <f>SUM(AH46:AH48)</f>
        <v>0</v>
      </c>
      <c r="AR45" s="222">
        <f>SUM(AI46:AI48)</f>
        <v>0</v>
      </c>
      <c r="AS45" s="222">
        <f>SUM(AJ46:AJ48)</f>
        <v>0</v>
      </c>
    </row>
    <row r="46" spans="1:74" ht="14.4" x14ac:dyDescent="0.3">
      <c r="A46" s="239" t="s">
        <v>215</v>
      </c>
      <c r="B46" s="223" t="s">
        <v>221</v>
      </c>
      <c r="C46" s="521" t="s">
        <v>222</v>
      </c>
      <c r="D46" s="519"/>
      <c r="E46" s="223" t="s">
        <v>180</v>
      </c>
      <c r="F46" s="233">
        <v>83.13</v>
      </c>
      <c r="G46" s="311">
        <v>0</v>
      </c>
      <c r="H46" s="233">
        <f>F46*AM46</f>
        <v>0</v>
      </c>
      <c r="I46" s="233">
        <f>F46*AN46</f>
        <v>0</v>
      </c>
      <c r="J46" s="233">
        <f>F46*G46</f>
        <v>0</v>
      </c>
      <c r="K46" s="233">
        <v>8.5999999999999998E-4</v>
      </c>
      <c r="L46" s="233">
        <f>F46*K46</f>
        <v>7.1491799999999994E-2</v>
      </c>
      <c r="M46" s="240" t="s">
        <v>472</v>
      </c>
      <c r="X46" s="233">
        <f>IF(AO46="5",BH46,0)</f>
        <v>0</v>
      </c>
      <c r="Z46" s="233">
        <f>IF(AO46="1",BF46,0)</f>
        <v>0</v>
      </c>
      <c r="AA46" s="233">
        <f>IF(AO46="1",BG46,0)</f>
        <v>0</v>
      </c>
      <c r="AB46" s="233">
        <f>IF(AO46="7",BF46,0)</f>
        <v>0</v>
      </c>
      <c r="AC46" s="233">
        <f>IF(AO46="7",BG46,0)</f>
        <v>0</v>
      </c>
      <c r="AD46" s="233">
        <f>IF(AO46="2",BF46,0)</f>
        <v>0</v>
      </c>
      <c r="AE46" s="233">
        <f>IF(AO46="2",BG46,0)</f>
        <v>0</v>
      </c>
      <c r="AF46" s="233">
        <f>IF(AO46="0",BH46,0)</f>
        <v>0</v>
      </c>
      <c r="AG46" s="229" t="s">
        <v>154</v>
      </c>
      <c r="AH46" s="233">
        <f>IF(AL46=0,J46,0)</f>
        <v>0</v>
      </c>
      <c r="AI46" s="233">
        <f>IF(AL46=15,J46,0)</f>
        <v>0</v>
      </c>
      <c r="AJ46" s="233">
        <f>IF(AL46=21,J46,0)</f>
        <v>0</v>
      </c>
      <c r="AL46" s="233">
        <v>15</v>
      </c>
      <c r="AM46" s="233">
        <f>G46*0.08352726</f>
        <v>0</v>
      </c>
      <c r="AN46" s="233">
        <f>G46*(1-0.08352726)</f>
        <v>0</v>
      </c>
      <c r="AO46" s="234" t="s">
        <v>157</v>
      </c>
      <c r="AT46" s="233">
        <f>AU46+AV46</f>
        <v>0</v>
      </c>
      <c r="AU46" s="233">
        <f>F46*AM46</f>
        <v>0</v>
      </c>
      <c r="AV46" s="233">
        <f>F46*AN46</f>
        <v>0</v>
      </c>
      <c r="AW46" s="234" t="s">
        <v>223</v>
      </c>
      <c r="AX46" s="234" t="s">
        <v>163</v>
      </c>
      <c r="AY46" s="229" t="s">
        <v>164</v>
      </c>
      <c r="BA46" s="233">
        <f>AU46+AV46</f>
        <v>0</v>
      </c>
      <c r="BB46" s="233">
        <f>G46/(100-BC46)*100</f>
        <v>0</v>
      </c>
      <c r="BC46" s="233">
        <v>0</v>
      </c>
      <c r="BD46" s="233">
        <f>L46</f>
        <v>7.1491799999999994E-2</v>
      </c>
      <c r="BF46" s="233">
        <f>F46*AM46</f>
        <v>0</v>
      </c>
      <c r="BG46" s="233">
        <f>F46*AN46</f>
        <v>0</v>
      </c>
      <c r="BH46" s="233">
        <f>F46*G46</f>
        <v>0</v>
      </c>
      <c r="BI46" s="233"/>
      <c r="BJ46" s="233">
        <v>15</v>
      </c>
      <c r="BU46" s="233" t="e">
        <f>#REF!</f>
        <v>#REF!</v>
      </c>
      <c r="BV46" s="225" t="s">
        <v>222</v>
      </c>
    </row>
    <row r="47" spans="1:74" ht="40.5" customHeight="1" x14ac:dyDescent="0.3">
      <c r="A47" s="241"/>
      <c r="B47" s="242" t="s">
        <v>165</v>
      </c>
      <c r="C47" s="530" t="s">
        <v>1550</v>
      </c>
      <c r="D47" s="531"/>
      <c r="E47" s="531"/>
      <c r="F47" s="531"/>
      <c r="G47" s="531"/>
      <c r="H47" s="531"/>
      <c r="I47" s="531"/>
      <c r="J47" s="531"/>
      <c r="K47" s="531"/>
      <c r="L47" s="531"/>
      <c r="M47" s="532"/>
    </row>
    <row r="48" spans="1:74" ht="14.4" x14ac:dyDescent="0.3">
      <c r="A48" s="239" t="s">
        <v>220</v>
      </c>
      <c r="B48" s="223" t="s">
        <v>225</v>
      </c>
      <c r="C48" s="521" t="s">
        <v>226</v>
      </c>
      <c r="D48" s="519"/>
      <c r="E48" s="223" t="s">
        <v>180</v>
      </c>
      <c r="F48" s="233">
        <v>83.13</v>
      </c>
      <c r="G48" s="311">
        <v>0</v>
      </c>
      <c r="H48" s="233">
        <f>F48*AM48</f>
        <v>0</v>
      </c>
      <c r="I48" s="233">
        <f>F48*AN48</f>
        <v>0</v>
      </c>
      <c r="J48" s="233">
        <f>F48*G48</f>
        <v>0</v>
      </c>
      <c r="K48" s="233">
        <v>0</v>
      </c>
      <c r="L48" s="233">
        <f>F48*K48</f>
        <v>0</v>
      </c>
      <c r="M48" s="240" t="s">
        <v>472</v>
      </c>
      <c r="X48" s="233">
        <f>IF(AO48="5",BH48,0)</f>
        <v>0</v>
      </c>
      <c r="Z48" s="233">
        <f>IF(AO48="1",BF48,0)</f>
        <v>0</v>
      </c>
      <c r="AA48" s="233">
        <f>IF(AO48="1",BG48,0)</f>
        <v>0</v>
      </c>
      <c r="AB48" s="233">
        <f>IF(AO48="7",BF48,0)</f>
        <v>0</v>
      </c>
      <c r="AC48" s="233">
        <f>IF(AO48="7",BG48,0)</f>
        <v>0</v>
      </c>
      <c r="AD48" s="233">
        <f>IF(AO48="2",BF48,0)</f>
        <v>0</v>
      </c>
      <c r="AE48" s="233">
        <f>IF(AO48="2",BG48,0)</f>
        <v>0</v>
      </c>
      <c r="AF48" s="233">
        <f>IF(AO48="0",BH48,0)</f>
        <v>0</v>
      </c>
      <c r="AG48" s="229" t="s">
        <v>154</v>
      </c>
      <c r="AH48" s="233">
        <f>IF(AL48=0,J48,0)</f>
        <v>0</v>
      </c>
      <c r="AI48" s="233">
        <f>IF(AL48=15,J48,0)</f>
        <v>0</v>
      </c>
      <c r="AJ48" s="233">
        <f>IF(AL48=21,J48,0)</f>
        <v>0</v>
      </c>
      <c r="AL48" s="233">
        <v>15</v>
      </c>
      <c r="AM48" s="233">
        <f>G48*0</f>
        <v>0</v>
      </c>
      <c r="AN48" s="233">
        <f>G48*(1-0)</f>
        <v>0</v>
      </c>
      <c r="AO48" s="234" t="s">
        <v>157</v>
      </c>
      <c r="AT48" s="233">
        <f>AU48+AV48</f>
        <v>0</v>
      </c>
      <c r="AU48" s="233">
        <f>F48*AM48</f>
        <v>0</v>
      </c>
      <c r="AV48" s="233">
        <f>F48*AN48</f>
        <v>0</v>
      </c>
      <c r="AW48" s="234" t="s">
        <v>223</v>
      </c>
      <c r="AX48" s="234" t="s">
        <v>163</v>
      </c>
      <c r="AY48" s="229" t="s">
        <v>164</v>
      </c>
      <c r="BA48" s="233">
        <f>AU48+AV48</f>
        <v>0</v>
      </c>
      <c r="BB48" s="233">
        <f>G48/(100-BC48)*100</f>
        <v>0</v>
      </c>
      <c r="BC48" s="233">
        <v>0</v>
      </c>
      <c r="BD48" s="233">
        <f>L48</f>
        <v>0</v>
      </c>
      <c r="BF48" s="233">
        <f>F48*AM48</f>
        <v>0</v>
      </c>
      <c r="BG48" s="233">
        <f>F48*AN48</f>
        <v>0</v>
      </c>
      <c r="BH48" s="233">
        <f>F48*G48</f>
        <v>0</v>
      </c>
      <c r="BI48" s="233"/>
      <c r="BJ48" s="233">
        <v>15</v>
      </c>
      <c r="BU48" s="233" t="e">
        <f>#REF!</f>
        <v>#REF!</v>
      </c>
      <c r="BV48" s="225" t="s">
        <v>226</v>
      </c>
    </row>
    <row r="49" spans="1:74" ht="40.5" customHeight="1" x14ac:dyDescent="0.3">
      <c r="A49" s="241"/>
      <c r="B49" s="242" t="s">
        <v>165</v>
      </c>
      <c r="C49" s="530" t="s">
        <v>1551</v>
      </c>
      <c r="D49" s="531"/>
      <c r="E49" s="531"/>
      <c r="F49" s="531"/>
      <c r="G49" s="531"/>
      <c r="H49" s="531"/>
      <c r="I49" s="531"/>
      <c r="J49" s="531"/>
      <c r="K49" s="531"/>
      <c r="L49" s="531"/>
      <c r="M49" s="532"/>
    </row>
    <row r="50" spans="1:74" ht="14.4" x14ac:dyDescent="0.3">
      <c r="A50" s="239" t="s">
        <v>154</v>
      </c>
      <c r="B50" s="224" t="s">
        <v>215</v>
      </c>
      <c r="C50" s="526" t="s">
        <v>227</v>
      </c>
      <c r="D50" s="527"/>
      <c r="E50" s="223" t="s">
        <v>114</v>
      </c>
      <c r="F50" s="223" t="s">
        <v>114</v>
      </c>
      <c r="G50" s="223" t="s">
        <v>114</v>
      </c>
      <c r="H50" s="235">
        <f>SUM(H51:H69)</f>
        <v>0</v>
      </c>
      <c r="I50" s="235">
        <f>SUM(I51:I69)</f>
        <v>0</v>
      </c>
      <c r="J50" s="235">
        <f>SUM(J51:J69)</f>
        <v>0</v>
      </c>
      <c r="K50" s="230" t="s">
        <v>154</v>
      </c>
      <c r="L50" s="235">
        <f>SUM(L51:L69)</f>
        <v>0</v>
      </c>
      <c r="M50" s="243" t="s">
        <v>154</v>
      </c>
      <c r="AG50" s="229" t="s">
        <v>154</v>
      </c>
      <c r="AQ50" s="222">
        <f>SUM(AH51:AH69)</f>
        <v>0</v>
      </c>
      <c r="AR50" s="222">
        <f>SUM(AI51:AI69)</f>
        <v>0</v>
      </c>
      <c r="AS50" s="222">
        <f>SUM(AJ51:AJ69)</f>
        <v>0</v>
      </c>
    </row>
    <row r="51" spans="1:74" ht="14.4" x14ac:dyDescent="0.3">
      <c r="A51" s="239" t="s">
        <v>224</v>
      </c>
      <c r="B51" s="223" t="s">
        <v>229</v>
      </c>
      <c r="C51" s="521" t="s">
        <v>230</v>
      </c>
      <c r="D51" s="519"/>
      <c r="E51" s="223" t="s">
        <v>196</v>
      </c>
      <c r="F51" s="233">
        <v>3.61</v>
      </c>
      <c r="G51" s="311">
        <v>0</v>
      </c>
      <c r="H51" s="233">
        <f>F51*AM51</f>
        <v>0</v>
      </c>
      <c r="I51" s="233">
        <f>F51*AN51</f>
        <v>0</v>
      </c>
      <c r="J51" s="233">
        <f>F51*G51</f>
        <v>0</v>
      </c>
      <c r="K51" s="233">
        <v>0</v>
      </c>
      <c r="L51" s="233">
        <f>F51*K51</f>
        <v>0</v>
      </c>
      <c r="M51" s="240" t="s">
        <v>472</v>
      </c>
      <c r="X51" s="233">
        <f>IF(AO51="5",BH51,0)</f>
        <v>0</v>
      </c>
      <c r="Z51" s="233">
        <f>IF(AO51="1",BF51,0)</f>
        <v>0</v>
      </c>
      <c r="AA51" s="233">
        <f>IF(AO51="1",BG51,0)</f>
        <v>0</v>
      </c>
      <c r="AB51" s="233">
        <f>IF(AO51="7",BF51,0)</f>
        <v>0</v>
      </c>
      <c r="AC51" s="233">
        <f>IF(AO51="7",BG51,0)</f>
        <v>0</v>
      </c>
      <c r="AD51" s="233">
        <f>IF(AO51="2",BF51,0)</f>
        <v>0</v>
      </c>
      <c r="AE51" s="233">
        <f>IF(AO51="2",BG51,0)</f>
        <v>0</v>
      </c>
      <c r="AF51" s="233">
        <f>IF(AO51="0",BH51,0)</f>
        <v>0</v>
      </c>
      <c r="AG51" s="229" t="s">
        <v>154</v>
      </c>
      <c r="AH51" s="233">
        <f>IF(AL51=0,J51,0)</f>
        <v>0</v>
      </c>
      <c r="AI51" s="233">
        <f>IF(AL51=15,J51,0)</f>
        <v>0</v>
      </c>
      <c r="AJ51" s="233">
        <f>IF(AL51=21,J51,0)</f>
        <v>0</v>
      </c>
      <c r="AL51" s="233">
        <v>15</v>
      </c>
      <c r="AM51" s="233">
        <f>G51*0</f>
        <v>0</v>
      </c>
      <c r="AN51" s="233">
        <f>G51*(1-0)</f>
        <v>0</v>
      </c>
      <c r="AO51" s="234" t="s">
        <v>157</v>
      </c>
      <c r="AT51" s="233">
        <f>AU51+AV51</f>
        <v>0</v>
      </c>
      <c r="AU51" s="233">
        <f>F51*AM51</f>
        <v>0</v>
      </c>
      <c r="AV51" s="233">
        <f>F51*AN51</f>
        <v>0</v>
      </c>
      <c r="AW51" s="234" t="s">
        <v>231</v>
      </c>
      <c r="AX51" s="234" t="s">
        <v>163</v>
      </c>
      <c r="AY51" s="229" t="s">
        <v>164</v>
      </c>
      <c r="BA51" s="233">
        <f>AU51+AV51</f>
        <v>0</v>
      </c>
      <c r="BB51" s="233">
        <f>G51/(100-BC51)*100</f>
        <v>0</v>
      </c>
      <c r="BC51" s="233">
        <v>0</v>
      </c>
      <c r="BD51" s="233">
        <f>L51</f>
        <v>0</v>
      </c>
      <c r="BF51" s="233">
        <f>F51*AM51</f>
        <v>0</v>
      </c>
      <c r="BG51" s="233">
        <f>F51*AN51</f>
        <v>0</v>
      </c>
      <c r="BH51" s="233">
        <f>F51*G51</f>
        <v>0</v>
      </c>
      <c r="BI51" s="233"/>
      <c r="BJ51" s="233">
        <v>16</v>
      </c>
      <c r="BU51" s="233" t="e">
        <f>#REF!</f>
        <v>#REF!</v>
      </c>
      <c r="BV51" s="225" t="s">
        <v>230</v>
      </c>
    </row>
    <row r="52" spans="1:74" ht="67.5" customHeight="1" x14ac:dyDescent="0.3">
      <c r="A52" s="241"/>
      <c r="B52" s="242" t="s">
        <v>165</v>
      </c>
      <c r="C52" s="530" t="s">
        <v>1552</v>
      </c>
      <c r="D52" s="531"/>
      <c r="E52" s="531"/>
      <c r="F52" s="531"/>
      <c r="G52" s="531"/>
      <c r="H52" s="531"/>
      <c r="I52" s="531"/>
      <c r="J52" s="531"/>
      <c r="K52" s="531"/>
      <c r="L52" s="531"/>
      <c r="M52" s="532"/>
    </row>
    <row r="53" spans="1:74" ht="14.4" x14ac:dyDescent="0.3">
      <c r="A53" s="239" t="s">
        <v>228</v>
      </c>
      <c r="B53" s="223" t="s">
        <v>233</v>
      </c>
      <c r="C53" s="521" t="s">
        <v>234</v>
      </c>
      <c r="D53" s="519"/>
      <c r="E53" s="223" t="s">
        <v>196</v>
      </c>
      <c r="F53" s="233">
        <v>0.15</v>
      </c>
      <c r="G53" s="311">
        <v>0</v>
      </c>
      <c r="H53" s="233">
        <f>F53*AM53</f>
        <v>0</v>
      </c>
      <c r="I53" s="233">
        <f>F53*AN53</f>
        <v>0</v>
      </c>
      <c r="J53" s="233">
        <f>F53*G53</f>
        <v>0</v>
      </c>
      <c r="K53" s="233">
        <v>0</v>
      </c>
      <c r="L53" s="233">
        <f>F53*K53</f>
        <v>0</v>
      </c>
      <c r="M53" s="240" t="s">
        <v>472</v>
      </c>
      <c r="X53" s="233">
        <f>IF(AO53="5",BH53,0)</f>
        <v>0</v>
      </c>
      <c r="Z53" s="233">
        <f>IF(AO53="1",BF53,0)</f>
        <v>0</v>
      </c>
      <c r="AA53" s="233">
        <f>IF(AO53="1",BG53,0)</f>
        <v>0</v>
      </c>
      <c r="AB53" s="233">
        <f>IF(AO53="7",BF53,0)</f>
        <v>0</v>
      </c>
      <c r="AC53" s="233">
        <f>IF(AO53="7",BG53,0)</f>
        <v>0</v>
      </c>
      <c r="AD53" s="233">
        <f>IF(AO53="2",BF53,0)</f>
        <v>0</v>
      </c>
      <c r="AE53" s="233">
        <f>IF(AO53="2",BG53,0)</f>
        <v>0</v>
      </c>
      <c r="AF53" s="233">
        <f>IF(AO53="0",BH53,0)</f>
        <v>0</v>
      </c>
      <c r="AG53" s="229" t="s">
        <v>154</v>
      </c>
      <c r="AH53" s="233">
        <f>IF(AL53=0,J53,0)</f>
        <v>0</v>
      </c>
      <c r="AI53" s="233">
        <f>IF(AL53=15,J53,0)</f>
        <v>0</v>
      </c>
      <c r="AJ53" s="233">
        <f>IF(AL53=21,J53,0)</f>
        <v>0</v>
      </c>
      <c r="AL53" s="233">
        <v>15</v>
      </c>
      <c r="AM53" s="233">
        <f>G53*0</f>
        <v>0</v>
      </c>
      <c r="AN53" s="233">
        <f>G53*(1-0)</f>
        <v>0</v>
      </c>
      <c r="AO53" s="234" t="s">
        <v>157</v>
      </c>
      <c r="AT53" s="233">
        <f>AU53+AV53</f>
        <v>0</v>
      </c>
      <c r="AU53" s="233">
        <f>F53*AM53</f>
        <v>0</v>
      </c>
      <c r="AV53" s="233">
        <f>F53*AN53</f>
        <v>0</v>
      </c>
      <c r="AW53" s="234" t="s">
        <v>231</v>
      </c>
      <c r="AX53" s="234" t="s">
        <v>163</v>
      </c>
      <c r="AY53" s="229" t="s">
        <v>164</v>
      </c>
      <c r="BA53" s="233">
        <f>AU53+AV53</f>
        <v>0</v>
      </c>
      <c r="BB53" s="233">
        <f>G53/(100-BC53)*100</f>
        <v>0</v>
      </c>
      <c r="BC53" s="233">
        <v>0</v>
      </c>
      <c r="BD53" s="233">
        <f>L53</f>
        <v>0</v>
      </c>
      <c r="BF53" s="233">
        <f>F53*AM53</f>
        <v>0</v>
      </c>
      <c r="BG53" s="233">
        <f>F53*AN53</f>
        <v>0</v>
      </c>
      <c r="BH53" s="233">
        <f>F53*G53</f>
        <v>0</v>
      </c>
      <c r="BI53" s="233"/>
      <c r="BJ53" s="233">
        <v>16</v>
      </c>
      <c r="BU53" s="233" t="e">
        <f>#REF!</f>
        <v>#REF!</v>
      </c>
      <c r="BV53" s="225" t="s">
        <v>234</v>
      </c>
    </row>
    <row r="54" spans="1:74" ht="67.5" customHeight="1" x14ac:dyDescent="0.3">
      <c r="A54" s="241"/>
      <c r="B54" s="242" t="s">
        <v>165</v>
      </c>
      <c r="C54" s="530" t="s">
        <v>1553</v>
      </c>
      <c r="D54" s="531"/>
      <c r="E54" s="531"/>
      <c r="F54" s="531"/>
      <c r="G54" s="531"/>
      <c r="H54" s="531"/>
      <c r="I54" s="531"/>
      <c r="J54" s="531"/>
      <c r="K54" s="531"/>
      <c r="L54" s="531"/>
      <c r="M54" s="532"/>
    </row>
    <row r="55" spans="1:74" ht="14.4" x14ac:dyDescent="0.3">
      <c r="A55" s="239" t="s">
        <v>232</v>
      </c>
      <c r="B55" s="223" t="s">
        <v>236</v>
      </c>
      <c r="C55" s="521" t="s">
        <v>237</v>
      </c>
      <c r="D55" s="519"/>
      <c r="E55" s="223" t="s">
        <v>196</v>
      </c>
      <c r="F55" s="233">
        <v>47.92</v>
      </c>
      <c r="G55" s="311">
        <v>0</v>
      </c>
      <c r="H55" s="233">
        <f>F55*AM55</f>
        <v>0</v>
      </c>
      <c r="I55" s="233">
        <f>F55*AN55</f>
        <v>0</v>
      </c>
      <c r="J55" s="233">
        <f>F55*G55</f>
        <v>0</v>
      </c>
      <c r="K55" s="233">
        <v>0</v>
      </c>
      <c r="L55" s="233">
        <f>F55*K55</f>
        <v>0</v>
      </c>
      <c r="M55" s="240" t="s">
        <v>472</v>
      </c>
      <c r="X55" s="233">
        <f>IF(AO55="5",BH55,0)</f>
        <v>0</v>
      </c>
      <c r="Z55" s="233">
        <f>IF(AO55="1",BF55,0)</f>
        <v>0</v>
      </c>
      <c r="AA55" s="233">
        <f>IF(AO55="1",BG55,0)</f>
        <v>0</v>
      </c>
      <c r="AB55" s="233">
        <f>IF(AO55="7",BF55,0)</f>
        <v>0</v>
      </c>
      <c r="AC55" s="233">
        <f>IF(AO55="7",BG55,0)</f>
        <v>0</v>
      </c>
      <c r="AD55" s="233">
        <f>IF(AO55="2",BF55,0)</f>
        <v>0</v>
      </c>
      <c r="AE55" s="233">
        <f>IF(AO55="2",BG55,0)</f>
        <v>0</v>
      </c>
      <c r="AF55" s="233">
        <f>IF(AO55="0",BH55,0)</f>
        <v>0</v>
      </c>
      <c r="AG55" s="229" t="s">
        <v>154</v>
      </c>
      <c r="AH55" s="233">
        <f>IF(AL55=0,J55,0)</f>
        <v>0</v>
      </c>
      <c r="AI55" s="233">
        <f>IF(AL55=15,J55,0)</f>
        <v>0</v>
      </c>
      <c r="AJ55" s="233">
        <f>IF(AL55=21,J55,0)</f>
        <v>0</v>
      </c>
      <c r="AL55" s="233">
        <v>15</v>
      </c>
      <c r="AM55" s="233">
        <f>G55*0</f>
        <v>0</v>
      </c>
      <c r="AN55" s="233">
        <f>G55*(1-0)</f>
        <v>0</v>
      </c>
      <c r="AO55" s="234" t="s">
        <v>157</v>
      </c>
      <c r="AT55" s="233">
        <f>AU55+AV55</f>
        <v>0</v>
      </c>
      <c r="AU55" s="233">
        <f>F55*AM55</f>
        <v>0</v>
      </c>
      <c r="AV55" s="233">
        <f>F55*AN55</f>
        <v>0</v>
      </c>
      <c r="AW55" s="234" t="s">
        <v>231</v>
      </c>
      <c r="AX55" s="234" t="s">
        <v>163</v>
      </c>
      <c r="AY55" s="229" t="s">
        <v>164</v>
      </c>
      <c r="BA55" s="233">
        <f>AU55+AV55</f>
        <v>0</v>
      </c>
      <c r="BB55" s="233">
        <f>G55/(100-BC55)*100</f>
        <v>0</v>
      </c>
      <c r="BC55" s="233">
        <v>0</v>
      </c>
      <c r="BD55" s="233">
        <f>L55</f>
        <v>0</v>
      </c>
      <c r="BF55" s="233">
        <f>F55*AM55</f>
        <v>0</v>
      </c>
      <c r="BG55" s="233">
        <f>F55*AN55</f>
        <v>0</v>
      </c>
      <c r="BH55" s="233">
        <f>F55*G55</f>
        <v>0</v>
      </c>
      <c r="BI55" s="233"/>
      <c r="BJ55" s="233">
        <v>16</v>
      </c>
      <c r="BU55" s="233" t="e">
        <f>#REF!</f>
        <v>#REF!</v>
      </c>
      <c r="BV55" s="225" t="s">
        <v>237</v>
      </c>
    </row>
    <row r="56" spans="1:74" ht="67.5" customHeight="1" x14ac:dyDescent="0.3">
      <c r="A56" s="241"/>
      <c r="B56" s="242" t="s">
        <v>165</v>
      </c>
      <c r="C56" s="530" t="s">
        <v>1554</v>
      </c>
      <c r="D56" s="531"/>
      <c r="E56" s="531"/>
      <c r="F56" s="531"/>
      <c r="G56" s="531"/>
      <c r="H56" s="531"/>
      <c r="I56" s="531"/>
      <c r="J56" s="531"/>
      <c r="K56" s="531"/>
      <c r="L56" s="531"/>
      <c r="M56" s="532"/>
    </row>
    <row r="57" spans="1:74" ht="14.4" x14ac:dyDescent="0.3">
      <c r="A57" s="239" t="s">
        <v>235</v>
      </c>
      <c r="B57" s="223" t="s">
        <v>239</v>
      </c>
      <c r="C57" s="521" t="s">
        <v>240</v>
      </c>
      <c r="D57" s="519"/>
      <c r="E57" s="223" t="s">
        <v>196</v>
      </c>
      <c r="F57" s="233">
        <v>670.88</v>
      </c>
      <c r="G57" s="311">
        <v>0</v>
      </c>
      <c r="H57" s="233">
        <f>F57*AM57</f>
        <v>0</v>
      </c>
      <c r="I57" s="233">
        <f>F57*AN57</f>
        <v>0</v>
      </c>
      <c r="J57" s="233">
        <f>F57*G57</f>
        <v>0</v>
      </c>
      <c r="K57" s="233">
        <v>0</v>
      </c>
      <c r="L57" s="233">
        <f>F57*K57</f>
        <v>0</v>
      </c>
      <c r="M57" s="240" t="s">
        <v>472</v>
      </c>
      <c r="X57" s="233">
        <f>IF(AO57="5",BH57,0)</f>
        <v>0</v>
      </c>
      <c r="Z57" s="233">
        <f>IF(AO57="1",BF57,0)</f>
        <v>0</v>
      </c>
      <c r="AA57" s="233">
        <f>IF(AO57="1",BG57,0)</f>
        <v>0</v>
      </c>
      <c r="AB57" s="233">
        <f>IF(AO57="7",BF57,0)</f>
        <v>0</v>
      </c>
      <c r="AC57" s="233">
        <f>IF(AO57="7",BG57,0)</f>
        <v>0</v>
      </c>
      <c r="AD57" s="233">
        <f>IF(AO57="2",BF57,0)</f>
        <v>0</v>
      </c>
      <c r="AE57" s="233">
        <f>IF(AO57="2",BG57,0)</f>
        <v>0</v>
      </c>
      <c r="AF57" s="233">
        <f>IF(AO57="0",BH57,0)</f>
        <v>0</v>
      </c>
      <c r="AG57" s="229" t="s">
        <v>154</v>
      </c>
      <c r="AH57" s="233">
        <f>IF(AL57=0,J57,0)</f>
        <v>0</v>
      </c>
      <c r="AI57" s="233">
        <f>IF(AL57=15,J57,0)</f>
        <v>0</v>
      </c>
      <c r="AJ57" s="233">
        <f>IF(AL57=21,J57,0)</f>
        <v>0</v>
      </c>
      <c r="AL57" s="233">
        <v>15</v>
      </c>
      <c r="AM57" s="233">
        <f>G57*0</f>
        <v>0</v>
      </c>
      <c r="AN57" s="233">
        <f>G57*(1-0)</f>
        <v>0</v>
      </c>
      <c r="AO57" s="234" t="s">
        <v>157</v>
      </c>
      <c r="AT57" s="233">
        <f>AU57+AV57</f>
        <v>0</v>
      </c>
      <c r="AU57" s="233">
        <f>F57*AM57</f>
        <v>0</v>
      </c>
      <c r="AV57" s="233">
        <f>F57*AN57</f>
        <v>0</v>
      </c>
      <c r="AW57" s="234" t="s">
        <v>231</v>
      </c>
      <c r="AX57" s="234" t="s">
        <v>163</v>
      </c>
      <c r="AY57" s="229" t="s">
        <v>164</v>
      </c>
      <c r="BA57" s="233">
        <f>AU57+AV57</f>
        <v>0</v>
      </c>
      <c r="BB57" s="233">
        <f>G57/(100-BC57)*100</f>
        <v>0</v>
      </c>
      <c r="BC57" s="233">
        <v>0</v>
      </c>
      <c r="BD57" s="233">
        <f>L57</f>
        <v>0</v>
      </c>
      <c r="BF57" s="233">
        <f>F57*AM57</f>
        <v>0</v>
      </c>
      <c r="BG57" s="233">
        <f>F57*AN57</f>
        <v>0</v>
      </c>
      <c r="BH57" s="233">
        <f>F57*G57</f>
        <v>0</v>
      </c>
      <c r="BI57" s="233"/>
      <c r="BJ57" s="233">
        <v>16</v>
      </c>
      <c r="BU57" s="233" t="e">
        <f>#REF!</f>
        <v>#REF!</v>
      </c>
      <c r="BV57" s="225" t="s">
        <v>240</v>
      </c>
    </row>
    <row r="58" spans="1:74" ht="54" customHeight="1" x14ac:dyDescent="0.3">
      <c r="A58" s="241"/>
      <c r="B58" s="242" t="s">
        <v>165</v>
      </c>
      <c r="C58" s="530" t="s">
        <v>1555</v>
      </c>
      <c r="D58" s="531"/>
      <c r="E58" s="531"/>
      <c r="F58" s="531"/>
      <c r="G58" s="531"/>
      <c r="H58" s="531"/>
      <c r="I58" s="531"/>
      <c r="J58" s="531"/>
      <c r="K58" s="531"/>
      <c r="L58" s="531"/>
      <c r="M58" s="532"/>
    </row>
    <row r="59" spans="1:74" ht="14.4" x14ac:dyDescent="0.3">
      <c r="A59" s="239" t="s">
        <v>238</v>
      </c>
      <c r="B59" s="223" t="s">
        <v>242</v>
      </c>
      <c r="C59" s="521" t="s">
        <v>243</v>
      </c>
      <c r="D59" s="519"/>
      <c r="E59" s="223" t="s">
        <v>196</v>
      </c>
      <c r="F59" s="233">
        <v>5</v>
      </c>
      <c r="G59" s="311">
        <v>0</v>
      </c>
      <c r="H59" s="233">
        <f>F59*AM59</f>
        <v>0</v>
      </c>
      <c r="I59" s="233">
        <f>F59*AN59</f>
        <v>0</v>
      </c>
      <c r="J59" s="233">
        <f>F59*G59</f>
        <v>0</v>
      </c>
      <c r="K59" s="233">
        <v>0</v>
      </c>
      <c r="L59" s="233">
        <f>F59*K59</f>
        <v>0</v>
      </c>
      <c r="M59" s="240" t="s">
        <v>472</v>
      </c>
      <c r="X59" s="233">
        <f>IF(AO59="5",BH59,0)</f>
        <v>0</v>
      </c>
      <c r="Z59" s="233">
        <f>IF(AO59="1",BF59,0)</f>
        <v>0</v>
      </c>
      <c r="AA59" s="233">
        <f>IF(AO59="1",BG59,0)</f>
        <v>0</v>
      </c>
      <c r="AB59" s="233">
        <f>IF(AO59="7",BF59,0)</f>
        <v>0</v>
      </c>
      <c r="AC59" s="233">
        <f>IF(AO59="7",BG59,0)</f>
        <v>0</v>
      </c>
      <c r="AD59" s="233">
        <f>IF(AO59="2",BF59,0)</f>
        <v>0</v>
      </c>
      <c r="AE59" s="233">
        <f>IF(AO59="2",BG59,0)</f>
        <v>0</v>
      </c>
      <c r="AF59" s="233">
        <f>IF(AO59="0",BH59,0)</f>
        <v>0</v>
      </c>
      <c r="AG59" s="229" t="s">
        <v>154</v>
      </c>
      <c r="AH59" s="233">
        <f>IF(AL59=0,J59,0)</f>
        <v>0</v>
      </c>
      <c r="AI59" s="233">
        <f>IF(AL59=15,J59,0)</f>
        <v>0</v>
      </c>
      <c r="AJ59" s="233">
        <f>IF(AL59=21,J59,0)</f>
        <v>0</v>
      </c>
      <c r="AL59" s="233">
        <v>15</v>
      </c>
      <c r="AM59" s="233">
        <f>G59*0</f>
        <v>0</v>
      </c>
      <c r="AN59" s="233">
        <f>G59*(1-0)</f>
        <v>0</v>
      </c>
      <c r="AO59" s="234" t="s">
        <v>157</v>
      </c>
      <c r="AT59" s="233">
        <f>AU59+AV59</f>
        <v>0</v>
      </c>
      <c r="AU59" s="233">
        <f>F59*AM59</f>
        <v>0</v>
      </c>
      <c r="AV59" s="233">
        <f>F59*AN59</f>
        <v>0</v>
      </c>
      <c r="AW59" s="234" t="s">
        <v>231</v>
      </c>
      <c r="AX59" s="234" t="s">
        <v>163</v>
      </c>
      <c r="AY59" s="229" t="s">
        <v>164</v>
      </c>
      <c r="BA59" s="233">
        <f>AU59+AV59</f>
        <v>0</v>
      </c>
      <c r="BB59" s="233">
        <f>G59/(100-BC59)*100</f>
        <v>0</v>
      </c>
      <c r="BC59" s="233">
        <v>0</v>
      </c>
      <c r="BD59" s="233">
        <f>L59</f>
        <v>0</v>
      </c>
      <c r="BF59" s="233">
        <f>F59*AM59</f>
        <v>0</v>
      </c>
      <c r="BG59" s="233">
        <f>F59*AN59</f>
        <v>0</v>
      </c>
      <c r="BH59" s="233">
        <f>F59*G59</f>
        <v>0</v>
      </c>
      <c r="BI59" s="233"/>
      <c r="BJ59" s="233">
        <v>16</v>
      </c>
      <c r="BU59" s="233" t="e">
        <f>#REF!</f>
        <v>#REF!</v>
      </c>
      <c r="BV59" s="225" t="s">
        <v>243</v>
      </c>
    </row>
    <row r="60" spans="1:74" ht="54" customHeight="1" x14ac:dyDescent="0.3">
      <c r="A60" s="241"/>
      <c r="B60" s="242" t="s">
        <v>165</v>
      </c>
      <c r="C60" s="530" t="s">
        <v>1556</v>
      </c>
      <c r="D60" s="531"/>
      <c r="E60" s="531"/>
      <c r="F60" s="531"/>
      <c r="G60" s="531"/>
      <c r="H60" s="531"/>
      <c r="I60" s="531"/>
      <c r="J60" s="531"/>
      <c r="K60" s="531"/>
      <c r="L60" s="531"/>
      <c r="M60" s="532"/>
    </row>
    <row r="61" spans="1:74" ht="14.4" x14ac:dyDescent="0.3">
      <c r="A61" s="239" t="s">
        <v>241</v>
      </c>
      <c r="B61" s="223" t="s">
        <v>245</v>
      </c>
      <c r="C61" s="521" t="s">
        <v>246</v>
      </c>
      <c r="D61" s="519"/>
      <c r="E61" s="223" t="s">
        <v>196</v>
      </c>
      <c r="F61" s="233">
        <v>70</v>
      </c>
      <c r="G61" s="311">
        <v>0</v>
      </c>
      <c r="H61" s="233">
        <f>F61*AM61</f>
        <v>0</v>
      </c>
      <c r="I61" s="233">
        <f>F61*AN61</f>
        <v>0</v>
      </c>
      <c r="J61" s="233">
        <f>F61*G61</f>
        <v>0</v>
      </c>
      <c r="K61" s="233">
        <v>0</v>
      </c>
      <c r="L61" s="233">
        <f>F61*K61</f>
        <v>0</v>
      </c>
      <c r="M61" s="240" t="s">
        <v>472</v>
      </c>
      <c r="X61" s="233">
        <f>IF(AO61="5",BH61,0)</f>
        <v>0</v>
      </c>
      <c r="Z61" s="233">
        <f>IF(AO61="1",BF61,0)</f>
        <v>0</v>
      </c>
      <c r="AA61" s="233">
        <f>IF(AO61="1",BG61,0)</f>
        <v>0</v>
      </c>
      <c r="AB61" s="233">
        <f>IF(AO61="7",BF61,0)</f>
        <v>0</v>
      </c>
      <c r="AC61" s="233">
        <f>IF(AO61="7",BG61,0)</f>
        <v>0</v>
      </c>
      <c r="AD61" s="233">
        <f>IF(AO61="2",BF61,0)</f>
        <v>0</v>
      </c>
      <c r="AE61" s="233">
        <f>IF(AO61="2",BG61,0)</f>
        <v>0</v>
      </c>
      <c r="AF61" s="233">
        <f>IF(AO61="0",BH61,0)</f>
        <v>0</v>
      </c>
      <c r="AG61" s="229" t="s">
        <v>154</v>
      </c>
      <c r="AH61" s="233">
        <f>IF(AL61=0,J61,0)</f>
        <v>0</v>
      </c>
      <c r="AI61" s="233">
        <f>IF(AL61=15,J61,0)</f>
        <v>0</v>
      </c>
      <c r="AJ61" s="233">
        <f>IF(AL61=21,J61,0)</f>
        <v>0</v>
      </c>
      <c r="AL61" s="233">
        <v>15</v>
      </c>
      <c r="AM61" s="233">
        <f>G61*0</f>
        <v>0</v>
      </c>
      <c r="AN61" s="233">
        <f>G61*(1-0)</f>
        <v>0</v>
      </c>
      <c r="AO61" s="234" t="s">
        <v>157</v>
      </c>
      <c r="AT61" s="233">
        <f>AU61+AV61</f>
        <v>0</v>
      </c>
      <c r="AU61" s="233">
        <f>F61*AM61</f>
        <v>0</v>
      </c>
      <c r="AV61" s="233">
        <f>F61*AN61</f>
        <v>0</v>
      </c>
      <c r="AW61" s="234" t="s">
        <v>231</v>
      </c>
      <c r="AX61" s="234" t="s">
        <v>163</v>
      </c>
      <c r="AY61" s="229" t="s">
        <v>164</v>
      </c>
      <c r="BA61" s="233">
        <f>AU61+AV61</f>
        <v>0</v>
      </c>
      <c r="BB61" s="233">
        <f>G61/(100-BC61)*100</f>
        <v>0</v>
      </c>
      <c r="BC61" s="233">
        <v>0</v>
      </c>
      <c r="BD61" s="233">
        <f>L61</f>
        <v>0</v>
      </c>
      <c r="BF61" s="233">
        <f>F61*AM61</f>
        <v>0</v>
      </c>
      <c r="BG61" s="233">
        <f>F61*AN61</f>
        <v>0</v>
      </c>
      <c r="BH61" s="233">
        <f>F61*G61</f>
        <v>0</v>
      </c>
      <c r="BI61" s="233"/>
      <c r="BJ61" s="233">
        <v>16</v>
      </c>
      <c r="BU61" s="233" t="e">
        <f>#REF!</f>
        <v>#REF!</v>
      </c>
      <c r="BV61" s="225" t="s">
        <v>246</v>
      </c>
    </row>
    <row r="62" spans="1:74" ht="54" customHeight="1" x14ac:dyDescent="0.3">
      <c r="A62" s="241"/>
      <c r="B62" s="242" t="s">
        <v>165</v>
      </c>
      <c r="C62" s="530" t="s">
        <v>1557</v>
      </c>
      <c r="D62" s="531"/>
      <c r="E62" s="531"/>
      <c r="F62" s="531"/>
      <c r="G62" s="531"/>
      <c r="H62" s="531"/>
      <c r="I62" s="531"/>
      <c r="J62" s="531"/>
      <c r="K62" s="531"/>
      <c r="L62" s="531"/>
      <c r="M62" s="532"/>
    </row>
    <row r="63" spans="1:74" ht="14.4" x14ac:dyDescent="0.3">
      <c r="A63" s="239" t="s">
        <v>244</v>
      </c>
      <c r="B63" s="223" t="s">
        <v>248</v>
      </c>
      <c r="C63" s="521" t="s">
        <v>249</v>
      </c>
      <c r="D63" s="519"/>
      <c r="E63" s="223" t="s">
        <v>196</v>
      </c>
      <c r="F63" s="233">
        <v>144.84</v>
      </c>
      <c r="G63" s="311">
        <v>0</v>
      </c>
      <c r="H63" s="233">
        <f>F63*AM63</f>
        <v>0</v>
      </c>
      <c r="I63" s="233">
        <f>F63*AN63</f>
        <v>0</v>
      </c>
      <c r="J63" s="233">
        <f>F63*G63</f>
        <v>0</v>
      </c>
      <c r="K63" s="233">
        <v>0</v>
      </c>
      <c r="L63" s="233">
        <f>F63*K63</f>
        <v>0</v>
      </c>
      <c r="M63" s="240" t="s">
        <v>472</v>
      </c>
      <c r="X63" s="233">
        <f>IF(AO63="5",BH63,0)</f>
        <v>0</v>
      </c>
      <c r="Z63" s="233">
        <f>IF(AO63="1",BF63,0)</f>
        <v>0</v>
      </c>
      <c r="AA63" s="233">
        <f>IF(AO63="1",BG63,0)</f>
        <v>0</v>
      </c>
      <c r="AB63" s="233">
        <f>IF(AO63="7",BF63,0)</f>
        <v>0</v>
      </c>
      <c r="AC63" s="233">
        <f>IF(AO63="7",BG63,0)</f>
        <v>0</v>
      </c>
      <c r="AD63" s="233">
        <f>IF(AO63="2",BF63,0)</f>
        <v>0</v>
      </c>
      <c r="AE63" s="233">
        <f>IF(AO63="2",BG63,0)</f>
        <v>0</v>
      </c>
      <c r="AF63" s="233">
        <f>IF(AO63="0",BH63,0)</f>
        <v>0</v>
      </c>
      <c r="AG63" s="229" t="s">
        <v>154</v>
      </c>
      <c r="AH63" s="233">
        <f>IF(AL63=0,J63,0)</f>
        <v>0</v>
      </c>
      <c r="AI63" s="233">
        <f>IF(AL63=15,J63,0)</f>
        <v>0</v>
      </c>
      <c r="AJ63" s="233">
        <f>IF(AL63=21,J63,0)</f>
        <v>0</v>
      </c>
      <c r="AL63" s="233">
        <v>15</v>
      </c>
      <c r="AM63" s="233">
        <f>G63*0</f>
        <v>0</v>
      </c>
      <c r="AN63" s="233">
        <f>G63*(1-0)</f>
        <v>0</v>
      </c>
      <c r="AO63" s="234" t="s">
        <v>157</v>
      </c>
      <c r="AT63" s="233">
        <f>AU63+AV63</f>
        <v>0</v>
      </c>
      <c r="AU63" s="233">
        <f>F63*AM63</f>
        <v>0</v>
      </c>
      <c r="AV63" s="233">
        <f>F63*AN63</f>
        <v>0</v>
      </c>
      <c r="AW63" s="234" t="s">
        <v>231</v>
      </c>
      <c r="AX63" s="234" t="s">
        <v>163</v>
      </c>
      <c r="AY63" s="229" t="s">
        <v>164</v>
      </c>
      <c r="BA63" s="233">
        <f>AU63+AV63</f>
        <v>0</v>
      </c>
      <c r="BB63" s="233">
        <f>G63/(100-BC63)*100</f>
        <v>0</v>
      </c>
      <c r="BC63" s="233">
        <v>0</v>
      </c>
      <c r="BD63" s="233">
        <f>L63</f>
        <v>0</v>
      </c>
      <c r="BF63" s="233">
        <f>F63*AM63</f>
        <v>0</v>
      </c>
      <c r="BG63" s="233">
        <f>F63*AN63</f>
        <v>0</v>
      </c>
      <c r="BH63" s="233">
        <f>F63*G63</f>
        <v>0</v>
      </c>
      <c r="BI63" s="233"/>
      <c r="BJ63" s="233">
        <v>16</v>
      </c>
      <c r="BU63" s="233" t="e">
        <f>#REF!</f>
        <v>#REF!</v>
      </c>
      <c r="BV63" s="225" t="s">
        <v>249</v>
      </c>
    </row>
    <row r="64" spans="1:74" ht="40.5" customHeight="1" x14ac:dyDescent="0.3">
      <c r="A64" s="241"/>
      <c r="B64" s="242" t="s">
        <v>165</v>
      </c>
      <c r="C64" s="530" t="s">
        <v>1558</v>
      </c>
      <c r="D64" s="531"/>
      <c r="E64" s="531"/>
      <c r="F64" s="531"/>
      <c r="G64" s="531"/>
      <c r="H64" s="531"/>
      <c r="I64" s="531"/>
      <c r="J64" s="531"/>
      <c r="K64" s="531"/>
      <c r="L64" s="531"/>
      <c r="M64" s="532"/>
    </row>
    <row r="65" spans="1:74" ht="14.4" x14ac:dyDescent="0.3">
      <c r="A65" s="239" t="s">
        <v>247</v>
      </c>
      <c r="B65" s="223" t="s">
        <v>251</v>
      </c>
      <c r="C65" s="521" t="s">
        <v>252</v>
      </c>
      <c r="D65" s="519"/>
      <c r="E65" s="223" t="s">
        <v>196</v>
      </c>
      <c r="F65" s="233">
        <v>144.84</v>
      </c>
      <c r="G65" s="311">
        <v>0</v>
      </c>
      <c r="H65" s="233">
        <f>F65*AM65</f>
        <v>0</v>
      </c>
      <c r="I65" s="233">
        <f>F65*AN65</f>
        <v>0</v>
      </c>
      <c r="J65" s="233">
        <f>F65*G65</f>
        <v>0</v>
      </c>
      <c r="K65" s="233">
        <v>0</v>
      </c>
      <c r="L65" s="233">
        <f>F65*K65</f>
        <v>0</v>
      </c>
      <c r="M65" s="240" t="s">
        <v>472</v>
      </c>
      <c r="X65" s="233">
        <f>IF(AO65="5",BH65,0)</f>
        <v>0</v>
      </c>
      <c r="Z65" s="233">
        <f>IF(AO65="1",BF65,0)</f>
        <v>0</v>
      </c>
      <c r="AA65" s="233">
        <f>IF(AO65="1",BG65,0)</f>
        <v>0</v>
      </c>
      <c r="AB65" s="233">
        <f>IF(AO65="7",BF65,0)</f>
        <v>0</v>
      </c>
      <c r="AC65" s="233">
        <f>IF(AO65="7",BG65,0)</f>
        <v>0</v>
      </c>
      <c r="AD65" s="233">
        <f>IF(AO65="2",BF65,0)</f>
        <v>0</v>
      </c>
      <c r="AE65" s="233">
        <f>IF(AO65="2",BG65,0)</f>
        <v>0</v>
      </c>
      <c r="AF65" s="233">
        <f>IF(AO65="0",BH65,0)</f>
        <v>0</v>
      </c>
      <c r="AG65" s="229" t="s">
        <v>154</v>
      </c>
      <c r="AH65" s="233">
        <f>IF(AL65=0,J65,0)</f>
        <v>0</v>
      </c>
      <c r="AI65" s="233">
        <f>IF(AL65=15,J65,0)</f>
        <v>0</v>
      </c>
      <c r="AJ65" s="233">
        <f>IF(AL65=21,J65,0)</f>
        <v>0</v>
      </c>
      <c r="AL65" s="233">
        <v>15</v>
      </c>
      <c r="AM65" s="233">
        <f>G65*0</f>
        <v>0</v>
      </c>
      <c r="AN65" s="233">
        <f>G65*(1-0)</f>
        <v>0</v>
      </c>
      <c r="AO65" s="234" t="s">
        <v>157</v>
      </c>
      <c r="AT65" s="233">
        <f>AU65+AV65</f>
        <v>0</v>
      </c>
      <c r="AU65" s="233">
        <f>F65*AM65</f>
        <v>0</v>
      </c>
      <c r="AV65" s="233">
        <f>F65*AN65</f>
        <v>0</v>
      </c>
      <c r="AW65" s="234" t="s">
        <v>231</v>
      </c>
      <c r="AX65" s="234" t="s">
        <v>163</v>
      </c>
      <c r="AY65" s="229" t="s">
        <v>164</v>
      </c>
      <c r="BA65" s="233">
        <f>AU65+AV65</f>
        <v>0</v>
      </c>
      <c r="BB65" s="233">
        <f>G65/(100-BC65)*100</f>
        <v>0</v>
      </c>
      <c r="BC65" s="233">
        <v>0</v>
      </c>
      <c r="BD65" s="233">
        <f>L65</f>
        <v>0</v>
      </c>
      <c r="BF65" s="233">
        <f>F65*AM65</f>
        <v>0</v>
      </c>
      <c r="BG65" s="233">
        <f>F65*AN65</f>
        <v>0</v>
      </c>
      <c r="BH65" s="233">
        <f>F65*G65</f>
        <v>0</v>
      </c>
      <c r="BI65" s="233"/>
      <c r="BJ65" s="233">
        <v>16</v>
      </c>
      <c r="BU65" s="233" t="e">
        <f>#REF!</f>
        <v>#REF!</v>
      </c>
      <c r="BV65" s="225" t="s">
        <v>252</v>
      </c>
    </row>
    <row r="66" spans="1:74" ht="40.5" customHeight="1" x14ac:dyDescent="0.3">
      <c r="A66" s="241"/>
      <c r="B66" s="242" t="s">
        <v>165</v>
      </c>
      <c r="C66" s="530" t="s">
        <v>1559</v>
      </c>
      <c r="D66" s="531"/>
      <c r="E66" s="531"/>
      <c r="F66" s="531"/>
      <c r="G66" s="531"/>
      <c r="H66" s="531"/>
      <c r="I66" s="531"/>
      <c r="J66" s="531"/>
      <c r="K66" s="531"/>
      <c r="L66" s="531"/>
      <c r="M66" s="532"/>
    </row>
    <row r="67" spans="1:74" ht="14.4" x14ac:dyDescent="0.3">
      <c r="A67" s="239" t="s">
        <v>250</v>
      </c>
      <c r="B67" s="223" t="s">
        <v>254</v>
      </c>
      <c r="C67" s="521" t="s">
        <v>255</v>
      </c>
      <c r="D67" s="519"/>
      <c r="E67" s="223" t="s">
        <v>196</v>
      </c>
      <c r="F67" s="233">
        <v>24.16</v>
      </c>
      <c r="G67" s="311">
        <v>0</v>
      </c>
      <c r="H67" s="233">
        <f>F67*AM67</f>
        <v>0</v>
      </c>
      <c r="I67" s="233">
        <f>F67*AN67</f>
        <v>0</v>
      </c>
      <c r="J67" s="233">
        <f>F67*G67</f>
        <v>0</v>
      </c>
      <c r="K67" s="233">
        <v>0</v>
      </c>
      <c r="L67" s="233">
        <f>F67*K67</f>
        <v>0</v>
      </c>
      <c r="M67" s="240" t="s">
        <v>472</v>
      </c>
      <c r="X67" s="233">
        <f>IF(AO67="5",BH67,0)</f>
        <v>0</v>
      </c>
      <c r="Z67" s="233">
        <f>IF(AO67="1",BF67,0)</f>
        <v>0</v>
      </c>
      <c r="AA67" s="233">
        <f>IF(AO67="1",BG67,0)</f>
        <v>0</v>
      </c>
      <c r="AB67" s="233">
        <f>IF(AO67="7",BF67,0)</f>
        <v>0</v>
      </c>
      <c r="AC67" s="233">
        <f>IF(AO67="7",BG67,0)</f>
        <v>0</v>
      </c>
      <c r="AD67" s="233">
        <f>IF(AO67="2",BF67,0)</f>
        <v>0</v>
      </c>
      <c r="AE67" s="233">
        <f>IF(AO67="2",BG67,0)</f>
        <v>0</v>
      </c>
      <c r="AF67" s="233">
        <f>IF(AO67="0",BH67,0)</f>
        <v>0</v>
      </c>
      <c r="AG67" s="229" t="s">
        <v>154</v>
      </c>
      <c r="AH67" s="233">
        <f>IF(AL67=0,J67,0)</f>
        <v>0</v>
      </c>
      <c r="AI67" s="233">
        <f>IF(AL67=15,J67,0)</f>
        <v>0</v>
      </c>
      <c r="AJ67" s="233">
        <f>IF(AL67=21,J67,0)</f>
        <v>0</v>
      </c>
      <c r="AL67" s="233">
        <v>15</v>
      </c>
      <c r="AM67" s="233">
        <f>G67*0</f>
        <v>0</v>
      </c>
      <c r="AN67" s="233">
        <f>G67*(1-0)</f>
        <v>0</v>
      </c>
      <c r="AO67" s="234" t="s">
        <v>157</v>
      </c>
      <c r="AT67" s="233">
        <f>AU67+AV67</f>
        <v>0</v>
      </c>
      <c r="AU67" s="233">
        <f>F67*AM67</f>
        <v>0</v>
      </c>
      <c r="AV67" s="233">
        <f>F67*AN67</f>
        <v>0</v>
      </c>
      <c r="AW67" s="234" t="s">
        <v>231</v>
      </c>
      <c r="AX67" s="234" t="s">
        <v>163</v>
      </c>
      <c r="AY67" s="229" t="s">
        <v>164</v>
      </c>
      <c r="BA67" s="233">
        <f>AU67+AV67</f>
        <v>0</v>
      </c>
      <c r="BB67" s="233">
        <f>G67/(100-BC67)*100</f>
        <v>0</v>
      </c>
      <c r="BC67" s="233">
        <v>0</v>
      </c>
      <c r="BD67" s="233">
        <f>L67</f>
        <v>0</v>
      </c>
      <c r="BF67" s="233">
        <f>F67*AM67</f>
        <v>0</v>
      </c>
      <c r="BG67" s="233">
        <f>F67*AN67</f>
        <v>0</v>
      </c>
      <c r="BH67" s="233">
        <f>F67*G67</f>
        <v>0</v>
      </c>
      <c r="BI67" s="233"/>
      <c r="BJ67" s="233">
        <v>16</v>
      </c>
      <c r="BU67" s="233" t="e">
        <f>#REF!</f>
        <v>#REF!</v>
      </c>
      <c r="BV67" s="225" t="s">
        <v>255</v>
      </c>
    </row>
    <row r="68" spans="1:74" ht="40.5" customHeight="1" x14ac:dyDescent="0.3">
      <c r="A68" s="241"/>
      <c r="B68" s="242" t="s">
        <v>165</v>
      </c>
      <c r="C68" s="530" t="s">
        <v>1560</v>
      </c>
      <c r="D68" s="531"/>
      <c r="E68" s="531"/>
      <c r="F68" s="531"/>
      <c r="G68" s="531"/>
      <c r="H68" s="531"/>
      <c r="I68" s="531"/>
      <c r="J68" s="531"/>
      <c r="K68" s="531"/>
      <c r="L68" s="531"/>
      <c r="M68" s="532"/>
    </row>
    <row r="69" spans="1:74" ht="14.4" x14ac:dyDescent="0.3">
      <c r="A69" s="239" t="s">
        <v>253</v>
      </c>
      <c r="B69" s="223" t="s">
        <v>257</v>
      </c>
      <c r="C69" s="521" t="s">
        <v>258</v>
      </c>
      <c r="D69" s="519"/>
      <c r="E69" s="223" t="s">
        <v>196</v>
      </c>
      <c r="F69" s="233">
        <v>24.16</v>
      </c>
      <c r="G69" s="311">
        <v>0</v>
      </c>
      <c r="H69" s="233">
        <f>F69*AM69</f>
        <v>0</v>
      </c>
      <c r="I69" s="233">
        <f>F69*AN69</f>
        <v>0</v>
      </c>
      <c r="J69" s="233">
        <f>F69*G69</f>
        <v>0</v>
      </c>
      <c r="K69" s="233">
        <v>0</v>
      </c>
      <c r="L69" s="233">
        <f>F69*K69</f>
        <v>0</v>
      </c>
      <c r="M69" s="240" t="s">
        <v>472</v>
      </c>
      <c r="X69" s="233">
        <f>IF(AO69="5",BH69,0)</f>
        <v>0</v>
      </c>
      <c r="Z69" s="233">
        <f>IF(AO69="1",BF69,0)</f>
        <v>0</v>
      </c>
      <c r="AA69" s="233">
        <f>IF(AO69="1",BG69,0)</f>
        <v>0</v>
      </c>
      <c r="AB69" s="233">
        <f>IF(AO69="7",BF69,0)</f>
        <v>0</v>
      </c>
      <c r="AC69" s="233">
        <f>IF(AO69="7",BG69,0)</f>
        <v>0</v>
      </c>
      <c r="AD69" s="233">
        <f>IF(AO69="2",BF69,0)</f>
        <v>0</v>
      </c>
      <c r="AE69" s="233">
        <f>IF(AO69="2",BG69,0)</f>
        <v>0</v>
      </c>
      <c r="AF69" s="233">
        <f>IF(AO69="0",BH69,0)</f>
        <v>0</v>
      </c>
      <c r="AG69" s="229" t="s">
        <v>154</v>
      </c>
      <c r="AH69" s="233">
        <f>IF(AL69=0,J69,0)</f>
        <v>0</v>
      </c>
      <c r="AI69" s="233">
        <f>IF(AL69=15,J69,0)</f>
        <v>0</v>
      </c>
      <c r="AJ69" s="233">
        <f>IF(AL69=21,J69,0)</f>
        <v>0</v>
      </c>
      <c r="AL69" s="233">
        <v>15</v>
      </c>
      <c r="AM69" s="233">
        <f>G69*0</f>
        <v>0</v>
      </c>
      <c r="AN69" s="233">
        <f>G69*(1-0)</f>
        <v>0</v>
      </c>
      <c r="AO69" s="234" t="s">
        <v>157</v>
      </c>
      <c r="AT69" s="233">
        <f>AU69+AV69</f>
        <v>0</v>
      </c>
      <c r="AU69" s="233">
        <f>F69*AM69</f>
        <v>0</v>
      </c>
      <c r="AV69" s="233">
        <f>F69*AN69</f>
        <v>0</v>
      </c>
      <c r="AW69" s="234" t="s">
        <v>231</v>
      </c>
      <c r="AX69" s="234" t="s">
        <v>163</v>
      </c>
      <c r="AY69" s="229" t="s">
        <v>164</v>
      </c>
      <c r="BA69" s="233">
        <f>AU69+AV69</f>
        <v>0</v>
      </c>
      <c r="BB69" s="233">
        <f>G69/(100-BC69)*100</f>
        <v>0</v>
      </c>
      <c r="BC69" s="233">
        <v>0</v>
      </c>
      <c r="BD69" s="233">
        <f>L69</f>
        <v>0</v>
      </c>
      <c r="BF69" s="233">
        <f>F69*AM69</f>
        <v>0</v>
      </c>
      <c r="BG69" s="233">
        <f>F69*AN69</f>
        <v>0</v>
      </c>
      <c r="BH69" s="233">
        <f>F69*G69</f>
        <v>0</v>
      </c>
      <c r="BI69" s="233"/>
      <c r="BJ69" s="233">
        <v>16</v>
      </c>
      <c r="BU69" s="233" t="e">
        <f>#REF!</f>
        <v>#REF!</v>
      </c>
      <c r="BV69" s="225" t="s">
        <v>258</v>
      </c>
    </row>
    <row r="70" spans="1:74" ht="40.5" customHeight="1" x14ac:dyDescent="0.3">
      <c r="A70" s="244"/>
      <c r="B70" s="245" t="s">
        <v>165</v>
      </c>
      <c r="C70" s="540" t="s">
        <v>1561</v>
      </c>
      <c r="D70" s="541"/>
      <c r="E70" s="541"/>
      <c r="F70" s="541"/>
      <c r="G70" s="541"/>
      <c r="H70" s="541"/>
      <c r="I70" s="541"/>
      <c r="J70" s="541"/>
      <c r="K70" s="541"/>
      <c r="L70" s="541"/>
      <c r="M70" s="542"/>
    </row>
    <row r="71" spans="1:74" ht="14.4" x14ac:dyDescent="0.3">
      <c r="A71" s="237" t="s">
        <v>154</v>
      </c>
      <c r="B71" s="260" t="s">
        <v>220</v>
      </c>
      <c r="C71" s="545" t="s">
        <v>259</v>
      </c>
      <c r="D71" s="546"/>
      <c r="E71" s="238" t="s">
        <v>114</v>
      </c>
      <c r="F71" s="238" t="s">
        <v>114</v>
      </c>
      <c r="G71" s="238" t="s">
        <v>114</v>
      </c>
      <c r="H71" s="261">
        <f>SUM(H72:H76)</f>
        <v>0</v>
      </c>
      <c r="I71" s="261">
        <f>SUM(I72:I76)</f>
        <v>0</v>
      </c>
      <c r="J71" s="261">
        <f>SUM(J72:J76)</f>
        <v>0</v>
      </c>
      <c r="K71" s="262" t="s">
        <v>154</v>
      </c>
      <c r="L71" s="261">
        <f>SUM(L72:L76)</f>
        <v>50.745000000000005</v>
      </c>
      <c r="M71" s="263" t="s">
        <v>154</v>
      </c>
      <c r="AG71" s="229" t="s">
        <v>154</v>
      </c>
      <c r="AQ71" s="222">
        <f>SUM(AH72:AH76)</f>
        <v>0</v>
      </c>
      <c r="AR71" s="222">
        <f>SUM(AI72:AI76)</f>
        <v>0</v>
      </c>
      <c r="AS71" s="222">
        <f>SUM(AJ72:AJ76)</f>
        <v>0</v>
      </c>
    </row>
    <row r="72" spans="1:74" ht="14.4" x14ac:dyDescent="0.3">
      <c r="A72" s="239" t="s">
        <v>256</v>
      </c>
      <c r="B72" s="223" t="s">
        <v>261</v>
      </c>
      <c r="C72" s="521" t="s">
        <v>262</v>
      </c>
      <c r="D72" s="519"/>
      <c r="E72" s="223" t="s">
        <v>196</v>
      </c>
      <c r="F72" s="233">
        <v>29.85</v>
      </c>
      <c r="G72" s="311">
        <v>0</v>
      </c>
      <c r="H72" s="233">
        <f>F72*AM72</f>
        <v>0</v>
      </c>
      <c r="I72" s="233">
        <f>F72*AN72</f>
        <v>0</v>
      </c>
      <c r="J72" s="233">
        <f>F72*G72</f>
        <v>0</v>
      </c>
      <c r="K72" s="233">
        <v>1.7</v>
      </c>
      <c r="L72" s="233">
        <f>F72*K72</f>
        <v>50.745000000000005</v>
      </c>
      <c r="M72" s="240" t="s">
        <v>472</v>
      </c>
      <c r="X72" s="233">
        <f>IF(AO72="5",BH72,0)</f>
        <v>0</v>
      </c>
      <c r="Z72" s="233">
        <f>IF(AO72="1",BF72,0)</f>
        <v>0</v>
      </c>
      <c r="AA72" s="233">
        <f>IF(AO72="1",BG72,0)</f>
        <v>0</v>
      </c>
      <c r="AB72" s="233">
        <f>IF(AO72="7",BF72,0)</f>
        <v>0</v>
      </c>
      <c r="AC72" s="233">
        <f>IF(AO72="7",BG72,0)</f>
        <v>0</v>
      </c>
      <c r="AD72" s="233">
        <f>IF(AO72="2",BF72,0)</f>
        <v>0</v>
      </c>
      <c r="AE72" s="233">
        <f>IF(AO72="2",BG72,0)</f>
        <v>0</v>
      </c>
      <c r="AF72" s="233">
        <f>IF(AO72="0",BH72,0)</f>
        <v>0</v>
      </c>
      <c r="AG72" s="229" t="s">
        <v>154</v>
      </c>
      <c r="AH72" s="233">
        <f>IF(AL72=0,J72,0)</f>
        <v>0</v>
      </c>
      <c r="AI72" s="233">
        <f>IF(AL72=15,J72,0)</f>
        <v>0</v>
      </c>
      <c r="AJ72" s="233">
        <f>IF(AL72=21,J72,0)</f>
        <v>0</v>
      </c>
      <c r="AL72" s="233">
        <v>15</v>
      </c>
      <c r="AM72" s="233">
        <f>G72*0.517504534</f>
        <v>0</v>
      </c>
      <c r="AN72" s="233">
        <f>G72*(1-0.517504534)</f>
        <v>0</v>
      </c>
      <c r="AO72" s="234" t="s">
        <v>157</v>
      </c>
      <c r="AT72" s="233">
        <f>AU72+AV72</f>
        <v>0</v>
      </c>
      <c r="AU72" s="233">
        <f>F72*AM72</f>
        <v>0</v>
      </c>
      <c r="AV72" s="233">
        <f>F72*AN72</f>
        <v>0</v>
      </c>
      <c r="AW72" s="234" t="s">
        <v>263</v>
      </c>
      <c r="AX72" s="234" t="s">
        <v>163</v>
      </c>
      <c r="AY72" s="229" t="s">
        <v>164</v>
      </c>
      <c r="BA72" s="233">
        <f>AU72+AV72</f>
        <v>0</v>
      </c>
      <c r="BB72" s="233">
        <f>G72/(100-BC72)*100</f>
        <v>0</v>
      </c>
      <c r="BC72" s="233">
        <v>0</v>
      </c>
      <c r="BD72" s="233">
        <f>L72</f>
        <v>50.745000000000005</v>
      </c>
      <c r="BF72" s="233">
        <f>F72*AM72</f>
        <v>0</v>
      </c>
      <c r="BG72" s="233">
        <f>F72*AN72</f>
        <v>0</v>
      </c>
      <c r="BH72" s="233">
        <f>F72*G72</f>
        <v>0</v>
      </c>
      <c r="BI72" s="233"/>
      <c r="BJ72" s="233">
        <v>17</v>
      </c>
      <c r="BU72" s="233" t="e">
        <f>#REF!</f>
        <v>#REF!</v>
      </c>
      <c r="BV72" s="225" t="s">
        <v>262</v>
      </c>
    </row>
    <row r="73" spans="1:74" ht="54" customHeight="1" x14ac:dyDescent="0.3">
      <c r="A73" s="241"/>
      <c r="B73" s="242" t="s">
        <v>165</v>
      </c>
      <c r="C73" s="530" t="s">
        <v>1562</v>
      </c>
      <c r="D73" s="531"/>
      <c r="E73" s="531"/>
      <c r="F73" s="531"/>
      <c r="G73" s="531"/>
      <c r="H73" s="531"/>
      <c r="I73" s="531"/>
      <c r="J73" s="531"/>
      <c r="K73" s="531"/>
      <c r="L73" s="531"/>
      <c r="M73" s="532"/>
    </row>
    <row r="74" spans="1:74" ht="14.4" x14ac:dyDescent="0.3">
      <c r="A74" s="239" t="s">
        <v>260</v>
      </c>
      <c r="B74" s="223" t="s">
        <v>265</v>
      </c>
      <c r="C74" s="521" t="s">
        <v>266</v>
      </c>
      <c r="D74" s="519"/>
      <c r="E74" s="223" t="s">
        <v>196</v>
      </c>
      <c r="F74" s="233">
        <v>29.85</v>
      </c>
      <c r="G74" s="311">
        <v>0</v>
      </c>
      <c r="H74" s="233">
        <f>F74*AM74</f>
        <v>0</v>
      </c>
      <c r="I74" s="233">
        <f>F74*AN74</f>
        <v>0</v>
      </c>
      <c r="J74" s="233">
        <f>F74*G74</f>
        <v>0</v>
      </c>
      <c r="K74" s="233">
        <v>0</v>
      </c>
      <c r="L74" s="233">
        <f>F74*K74</f>
        <v>0</v>
      </c>
      <c r="M74" s="240" t="s">
        <v>472</v>
      </c>
      <c r="X74" s="233">
        <f>IF(AO74="5",BH74,0)</f>
        <v>0</v>
      </c>
      <c r="Z74" s="233">
        <f>IF(AO74="1",BF74,0)</f>
        <v>0</v>
      </c>
      <c r="AA74" s="233">
        <f>IF(AO74="1",BG74,0)</f>
        <v>0</v>
      </c>
      <c r="AB74" s="233">
        <f>IF(AO74="7",BF74,0)</f>
        <v>0</v>
      </c>
      <c r="AC74" s="233">
        <f>IF(AO74="7",BG74,0)</f>
        <v>0</v>
      </c>
      <c r="AD74" s="233">
        <f>IF(AO74="2",BF74,0)</f>
        <v>0</v>
      </c>
      <c r="AE74" s="233">
        <f>IF(AO74="2",BG74,0)</f>
        <v>0</v>
      </c>
      <c r="AF74" s="233">
        <f>IF(AO74="0",BH74,0)</f>
        <v>0</v>
      </c>
      <c r="AG74" s="229" t="s">
        <v>154</v>
      </c>
      <c r="AH74" s="233">
        <f>IF(AL74=0,J74,0)</f>
        <v>0</v>
      </c>
      <c r="AI74" s="233">
        <f>IF(AL74=15,J74,0)</f>
        <v>0</v>
      </c>
      <c r="AJ74" s="233">
        <f>IF(AL74=21,J74,0)</f>
        <v>0</v>
      </c>
      <c r="AL74" s="233">
        <v>15</v>
      </c>
      <c r="AM74" s="233">
        <f>G74*0</f>
        <v>0</v>
      </c>
      <c r="AN74" s="233">
        <f>G74*(1-0)</f>
        <v>0</v>
      </c>
      <c r="AO74" s="234" t="s">
        <v>157</v>
      </c>
      <c r="AT74" s="233">
        <f>AU74+AV74</f>
        <v>0</v>
      </c>
      <c r="AU74" s="233">
        <f>F74*AM74</f>
        <v>0</v>
      </c>
      <c r="AV74" s="233">
        <f>F74*AN74</f>
        <v>0</v>
      </c>
      <c r="AW74" s="234" t="s">
        <v>263</v>
      </c>
      <c r="AX74" s="234" t="s">
        <v>163</v>
      </c>
      <c r="AY74" s="229" t="s">
        <v>164</v>
      </c>
      <c r="BA74" s="233">
        <f>AU74+AV74</f>
        <v>0</v>
      </c>
      <c r="BB74" s="233">
        <f>G74/(100-BC74)*100</f>
        <v>0</v>
      </c>
      <c r="BC74" s="233">
        <v>0</v>
      </c>
      <c r="BD74" s="233">
        <f>L74</f>
        <v>0</v>
      </c>
      <c r="BF74" s="233">
        <f>F74*AM74</f>
        <v>0</v>
      </c>
      <c r="BG74" s="233">
        <f>F74*AN74</f>
        <v>0</v>
      </c>
      <c r="BH74" s="233">
        <f>F74*G74</f>
        <v>0</v>
      </c>
      <c r="BI74" s="233"/>
      <c r="BJ74" s="233">
        <v>17</v>
      </c>
      <c r="BU74" s="233" t="e">
        <f>#REF!</f>
        <v>#REF!</v>
      </c>
      <c r="BV74" s="225" t="s">
        <v>266</v>
      </c>
    </row>
    <row r="75" spans="1:74" ht="40.5" customHeight="1" x14ac:dyDescent="0.3">
      <c r="A75" s="241"/>
      <c r="B75" s="242" t="s">
        <v>165</v>
      </c>
      <c r="C75" s="530" t="s">
        <v>1563</v>
      </c>
      <c r="D75" s="531"/>
      <c r="E75" s="531"/>
      <c r="F75" s="531"/>
      <c r="G75" s="531"/>
      <c r="H75" s="531"/>
      <c r="I75" s="531"/>
      <c r="J75" s="531"/>
      <c r="K75" s="531"/>
      <c r="L75" s="531"/>
      <c r="M75" s="532"/>
    </row>
    <row r="76" spans="1:74" ht="14.4" x14ac:dyDescent="0.3">
      <c r="A76" s="239" t="s">
        <v>264</v>
      </c>
      <c r="B76" s="223" t="s">
        <v>268</v>
      </c>
      <c r="C76" s="521" t="s">
        <v>269</v>
      </c>
      <c r="D76" s="519"/>
      <c r="E76" s="223" t="s">
        <v>196</v>
      </c>
      <c r="F76" s="233">
        <v>72.42</v>
      </c>
      <c r="G76" s="311">
        <v>0</v>
      </c>
      <c r="H76" s="233">
        <f>F76*AM76</f>
        <v>0</v>
      </c>
      <c r="I76" s="233">
        <f>F76*AN76</f>
        <v>0</v>
      </c>
      <c r="J76" s="233">
        <f>F76*G76</f>
        <v>0</v>
      </c>
      <c r="K76" s="233">
        <v>0</v>
      </c>
      <c r="L76" s="233">
        <f>F76*K76</f>
        <v>0</v>
      </c>
      <c r="M76" s="240" t="s">
        <v>472</v>
      </c>
      <c r="X76" s="233">
        <f>IF(AO76="5",BH76,0)</f>
        <v>0</v>
      </c>
      <c r="Z76" s="233">
        <f>IF(AO76="1",BF76,0)</f>
        <v>0</v>
      </c>
      <c r="AA76" s="233">
        <f>IF(AO76="1",BG76,0)</f>
        <v>0</v>
      </c>
      <c r="AB76" s="233">
        <f>IF(AO76="7",BF76,0)</f>
        <v>0</v>
      </c>
      <c r="AC76" s="233">
        <f>IF(AO76="7",BG76,0)</f>
        <v>0</v>
      </c>
      <c r="AD76" s="233">
        <f>IF(AO76="2",BF76,0)</f>
        <v>0</v>
      </c>
      <c r="AE76" s="233">
        <f>IF(AO76="2",BG76,0)</f>
        <v>0</v>
      </c>
      <c r="AF76" s="233">
        <f>IF(AO76="0",BH76,0)</f>
        <v>0</v>
      </c>
      <c r="AG76" s="229" t="s">
        <v>154</v>
      </c>
      <c r="AH76" s="233">
        <f>IF(AL76=0,J76,0)</f>
        <v>0</v>
      </c>
      <c r="AI76" s="233">
        <f>IF(AL76=15,J76,0)</f>
        <v>0</v>
      </c>
      <c r="AJ76" s="233">
        <f>IF(AL76=21,J76,0)</f>
        <v>0</v>
      </c>
      <c r="AL76" s="233">
        <v>15</v>
      </c>
      <c r="AM76" s="233">
        <f>G76*0</f>
        <v>0</v>
      </c>
      <c r="AN76" s="233">
        <f>G76*(1-0)</f>
        <v>0</v>
      </c>
      <c r="AO76" s="234" t="s">
        <v>157</v>
      </c>
      <c r="AT76" s="233">
        <f>AU76+AV76</f>
        <v>0</v>
      </c>
      <c r="AU76" s="233">
        <f>F76*AM76</f>
        <v>0</v>
      </c>
      <c r="AV76" s="233">
        <f>F76*AN76</f>
        <v>0</v>
      </c>
      <c r="AW76" s="234" t="s">
        <v>263</v>
      </c>
      <c r="AX76" s="234" t="s">
        <v>163</v>
      </c>
      <c r="AY76" s="229" t="s">
        <v>164</v>
      </c>
      <c r="BA76" s="233">
        <f>AU76+AV76</f>
        <v>0</v>
      </c>
      <c r="BB76" s="233">
        <f>G76/(100-BC76)*100</f>
        <v>0</v>
      </c>
      <c r="BC76" s="233">
        <v>0</v>
      </c>
      <c r="BD76" s="233">
        <f>L76</f>
        <v>0</v>
      </c>
      <c r="BF76" s="233">
        <f>F76*AM76</f>
        <v>0</v>
      </c>
      <c r="BG76" s="233">
        <f>F76*AN76</f>
        <v>0</v>
      </c>
      <c r="BH76" s="233">
        <f>F76*G76</f>
        <v>0</v>
      </c>
      <c r="BI76" s="233"/>
      <c r="BJ76" s="233">
        <v>17</v>
      </c>
      <c r="BU76" s="233" t="e">
        <f>#REF!</f>
        <v>#REF!</v>
      </c>
      <c r="BV76" s="225" t="s">
        <v>269</v>
      </c>
    </row>
    <row r="77" spans="1:74" ht="81" customHeight="1" x14ac:dyDescent="0.3">
      <c r="A77" s="241"/>
      <c r="B77" s="242" t="s">
        <v>165</v>
      </c>
      <c r="C77" s="530" t="s">
        <v>1564</v>
      </c>
      <c r="D77" s="531"/>
      <c r="E77" s="531"/>
      <c r="F77" s="531"/>
      <c r="G77" s="531"/>
      <c r="H77" s="531"/>
      <c r="I77" s="531"/>
      <c r="J77" s="531"/>
      <c r="K77" s="531"/>
      <c r="L77" s="531"/>
      <c r="M77" s="532"/>
    </row>
    <row r="78" spans="1:74" ht="14.4" x14ac:dyDescent="0.3">
      <c r="A78" s="239" t="s">
        <v>154</v>
      </c>
      <c r="B78" s="224" t="s">
        <v>224</v>
      </c>
      <c r="C78" s="526" t="s">
        <v>270</v>
      </c>
      <c r="D78" s="527"/>
      <c r="E78" s="223" t="s">
        <v>114</v>
      </c>
      <c r="F78" s="223" t="s">
        <v>114</v>
      </c>
      <c r="G78" s="223" t="s">
        <v>114</v>
      </c>
      <c r="H78" s="235">
        <f>SUM(H79:H79)</f>
        <v>0</v>
      </c>
      <c r="I78" s="235">
        <f>SUM(I79:I79)</f>
        <v>0</v>
      </c>
      <c r="J78" s="235">
        <f>SUM(J79:J79)</f>
        <v>0</v>
      </c>
      <c r="K78" s="230" t="s">
        <v>154</v>
      </c>
      <c r="L78" s="235">
        <f>SUM(L79:L79)</f>
        <v>1.5396000000000001E-3</v>
      </c>
      <c r="M78" s="243" t="s">
        <v>154</v>
      </c>
      <c r="AG78" s="229" t="s">
        <v>154</v>
      </c>
      <c r="AQ78" s="222">
        <f>SUM(AH79:AH79)</f>
        <v>0</v>
      </c>
      <c r="AR78" s="222">
        <f>SUM(AI79:AI79)</f>
        <v>0</v>
      </c>
      <c r="AS78" s="222">
        <f>SUM(AJ79:AJ79)</f>
        <v>0</v>
      </c>
    </row>
    <row r="79" spans="1:74" ht="14.4" x14ac:dyDescent="0.3">
      <c r="A79" s="239" t="s">
        <v>267</v>
      </c>
      <c r="B79" s="223" t="s">
        <v>272</v>
      </c>
      <c r="C79" s="521" t="s">
        <v>273</v>
      </c>
      <c r="D79" s="519"/>
      <c r="E79" s="223" t="s">
        <v>180</v>
      </c>
      <c r="F79" s="233">
        <v>51.32</v>
      </c>
      <c r="G79" s="311">
        <v>0</v>
      </c>
      <c r="H79" s="233">
        <f>F79*AM79</f>
        <v>0</v>
      </c>
      <c r="I79" s="233">
        <f>F79*AN79</f>
        <v>0</v>
      </c>
      <c r="J79" s="233">
        <f>F79*G79</f>
        <v>0</v>
      </c>
      <c r="K79" s="233">
        <v>3.0000000000000001E-5</v>
      </c>
      <c r="L79" s="233">
        <f>F79*K79</f>
        <v>1.5396000000000001E-3</v>
      </c>
      <c r="M79" s="240" t="s">
        <v>472</v>
      </c>
      <c r="X79" s="233">
        <f>IF(AO79="5",BH79,0)</f>
        <v>0</v>
      </c>
      <c r="Z79" s="233">
        <f>IF(AO79="1",BF79,0)</f>
        <v>0</v>
      </c>
      <c r="AA79" s="233">
        <f>IF(AO79="1",BG79,0)</f>
        <v>0</v>
      </c>
      <c r="AB79" s="233">
        <f>IF(AO79="7",BF79,0)</f>
        <v>0</v>
      </c>
      <c r="AC79" s="233">
        <f>IF(AO79="7",BG79,0)</f>
        <v>0</v>
      </c>
      <c r="AD79" s="233">
        <f>IF(AO79="2",BF79,0)</f>
        <v>0</v>
      </c>
      <c r="AE79" s="233">
        <f>IF(AO79="2",BG79,0)</f>
        <v>0</v>
      </c>
      <c r="AF79" s="233">
        <f>IF(AO79="0",BH79,0)</f>
        <v>0</v>
      </c>
      <c r="AG79" s="229" t="s">
        <v>154</v>
      </c>
      <c r="AH79" s="233">
        <f>IF(AL79=0,J79,0)</f>
        <v>0</v>
      </c>
      <c r="AI79" s="233">
        <f>IF(AL79=15,J79,0)</f>
        <v>0</v>
      </c>
      <c r="AJ79" s="233">
        <f>IF(AL79=21,J79,0)</f>
        <v>0</v>
      </c>
      <c r="AL79" s="233">
        <v>15</v>
      </c>
      <c r="AM79" s="233">
        <f>G79*0.041716147</f>
        <v>0</v>
      </c>
      <c r="AN79" s="233">
        <f>G79*(1-0.041716147)</f>
        <v>0</v>
      </c>
      <c r="AO79" s="234" t="s">
        <v>157</v>
      </c>
      <c r="AT79" s="233">
        <f>AU79+AV79</f>
        <v>0</v>
      </c>
      <c r="AU79" s="233">
        <f>F79*AM79</f>
        <v>0</v>
      </c>
      <c r="AV79" s="233">
        <f>F79*AN79</f>
        <v>0</v>
      </c>
      <c r="AW79" s="234" t="s">
        <v>274</v>
      </c>
      <c r="AX79" s="234" t="s">
        <v>163</v>
      </c>
      <c r="AY79" s="229" t="s">
        <v>164</v>
      </c>
      <c r="BA79" s="233">
        <f>AU79+AV79</f>
        <v>0</v>
      </c>
      <c r="BB79" s="233">
        <f>G79/(100-BC79)*100</f>
        <v>0</v>
      </c>
      <c r="BC79" s="233">
        <v>0</v>
      </c>
      <c r="BD79" s="233">
        <f>L79</f>
        <v>1.5396000000000001E-3</v>
      </c>
      <c r="BF79" s="233">
        <f>F79*AM79</f>
        <v>0</v>
      </c>
      <c r="BG79" s="233">
        <f>F79*AN79</f>
        <v>0</v>
      </c>
      <c r="BH79" s="233">
        <f>F79*G79</f>
        <v>0</v>
      </c>
      <c r="BI79" s="233"/>
      <c r="BJ79" s="233">
        <v>18</v>
      </c>
      <c r="BU79" s="233" t="e">
        <f>#REF!</f>
        <v>#REF!</v>
      </c>
      <c r="BV79" s="225" t="s">
        <v>273</v>
      </c>
    </row>
    <row r="80" spans="1:74" ht="40.5" customHeight="1" x14ac:dyDescent="0.3">
      <c r="A80" s="241"/>
      <c r="B80" s="242" t="s">
        <v>165</v>
      </c>
      <c r="C80" s="530" t="s">
        <v>1565</v>
      </c>
      <c r="D80" s="531"/>
      <c r="E80" s="531"/>
      <c r="F80" s="531"/>
      <c r="G80" s="531"/>
      <c r="H80" s="531"/>
      <c r="I80" s="531"/>
      <c r="J80" s="531"/>
      <c r="K80" s="531"/>
      <c r="L80" s="531"/>
      <c r="M80" s="532"/>
    </row>
    <row r="81" spans="1:74" ht="14.4" x14ac:dyDescent="0.3">
      <c r="A81" s="239" t="s">
        <v>154</v>
      </c>
      <c r="B81" s="224" t="s">
        <v>228</v>
      </c>
      <c r="C81" s="526" t="s">
        <v>275</v>
      </c>
      <c r="D81" s="527"/>
      <c r="E81" s="223" t="s">
        <v>114</v>
      </c>
      <c r="F81" s="223" t="s">
        <v>114</v>
      </c>
      <c r="G81" s="223" t="s">
        <v>114</v>
      </c>
      <c r="H81" s="235">
        <f>SUM(H82:H84)</f>
        <v>0</v>
      </c>
      <c r="I81" s="235">
        <f>SUM(I82:I84)</f>
        <v>0</v>
      </c>
      <c r="J81" s="235">
        <f>SUM(J82:J84)</f>
        <v>0</v>
      </c>
      <c r="K81" s="230" t="s">
        <v>154</v>
      </c>
      <c r="L81" s="235">
        <f>SUM(L82:L84)</f>
        <v>0</v>
      </c>
      <c r="M81" s="243" t="s">
        <v>154</v>
      </c>
      <c r="AG81" s="229" t="s">
        <v>154</v>
      </c>
      <c r="AQ81" s="222">
        <f>SUM(AH82:AH84)</f>
        <v>0</v>
      </c>
      <c r="AR81" s="222">
        <f>SUM(AI82:AI84)</f>
        <v>0</v>
      </c>
      <c r="AS81" s="222">
        <f>SUM(AJ82:AJ84)</f>
        <v>0</v>
      </c>
    </row>
    <row r="82" spans="1:74" ht="14.4" x14ac:dyDescent="0.3">
      <c r="A82" s="239" t="s">
        <v>271</v>
      </c>
      <c r="B82" s="223" t="s">
        <v>277</v>
      </c>
      <c r="C82" s="521" t="s">
        <v>278</v>
      </c>
      <c r="D82" s="519"/>
      <c r="E82" s="223" t="s">
        <v>196</v>
      </c>
      <c r="F82" s="233">
        <v>47.92</v>
      </c>
      <c r="G82" s="311">
        <v>0</v>
      </c>
      <c r="H82" s="233">
        <f>F82*AM82</f>
        <v>0</v>
      </c>
      <c r="I82" s="233">
        <f>F82*AN82</f>
        <v>0</v>
      </c>
      <c r="J82" s="233">
        <f>F82*G82</f>
        <v>0</v>
      </c>
      <c r="K82" s="233">
        <v>0</v>
      </c>
      <c r="L82" s="233">
        <f>F82*K82</f>
        <v>0</v>
      </c>
      <c r="M82" s="240" t="s">
        <v>472</v>
      </c>
      <c r="X82" s="233">
        <f>IF(AO82="5",BH82,0)</f>
        <v>0</v>
      </c>
      <c r="Z82" s="233">
        <f>IF(AO82="1",BF82,0)</f>
        <v>0</v>
      </c>
      <c r="AA82" s="233">
        <f>IF(AO82="1",BG82,0)</f>
        <v>0</v>
      </c>
      <c r="AB82" s="233">
        <f>IF(AO82="7",BF82,0)</f>
        <v>0</v>
      </c>
      <c r="AC82" s="233">
        <f>IF(AO82="7",BG82,0)</f>
        <v>0</v>
      </c>
      <c r="AD82" s="233">
        <f>IF(AO82="2",BF82,0)</f>
        <v>0</v>
      </c>
      <c r="AE82" s="233">
        <f>IF(AO82="2",BG82,0)</f>
        <v>0</v>
      </c>
      <c r="AF82" s="233">
        <f>IF(AO82="0",BH82,0)</f>
        <v>0</v>
      </c>
      <c r="AG82" s="229" t="s">
        <v>154</v>
      </c>
      <c r="AH82" s="233">
        <f>IF(AL82=0,J82,0)</f>
        <v>0</v>
      </c>
      <c r="AI82" s="233">
        <f>IF(AL82=15,J82,0)</f>
        <v>0</v>
      </c>
      <c r="AJ82" s="233">
        <f>IF(AL82=21,J82,0)</f>
        <v>0</v>
      </c>
      <c r="AL82" s="233">
        <v>15</v>
      </c>
      <c r="AM82" s="233">
        <f>G82*0</f>
        <v>0</v>
      </c>
      <c r="AN82" s="233">
        <f>G82*(1-0)</f>
        <v>0</v>
      </c>
      <c r="AO82" s="234" t="s">
        <v>157</v>
      </c>
      <c r="AT82" s="233">
        <f>AU82+AV82</f>
        <v>0</v>
      </c>
      <c r="AU82" s="233">
        <f>F82*AM82</f>
        <v>0</v>
      </c>
      <c r="AV82" s="233">
        <f>F82*AN82</f>
        <v>0</v>
      </c>
      <c r="AW82" s="234" t="s">
        <v>279</v>
      </c>
      <c r="AX82" s="234" t="s">
        <v>163</v>
      </c>
      <c r="AY82" s="229" t="s">
        <v>164</v>
      </c>
      <c r="BA82" s="233">
        <f>AU82+AV82</f>
        <v>0</v>
      </c>
      <c r="BB82" s="233">
        <f>G82/(100-BC82)*100</f>
        <v>0</v>
      </c>
      <c r="BC82" s="233">
        <v>0</v>
      </c>
      <c r="BD82" s="233">
        <f>L82</f>
        <v>0</v>
      </c>
      <c r="BF82" s="233">
        <f>F82*AM82</f>
        <v>0</v>
      </c>
      <c r="BG82" s="233">
        <f>F82*AN82</f>
        <v>0</v>
      </c>
      <c r="BH82" s="233">
        <f>F82*G82</f>
        <v>0</v>
      </c>
      <c r="BI82" s="233"/>
      <c r="BJ82" s="233">
        <v>19</v>
      </c>
      <c r="BU82" s="233" t="e">
        <f>#REF!</f>
        <v>#REF!</v>
      </c>
      <c r="BV82" s="225" t="s">
        <v>278</v>
      </c>
    </row>
    <row r="83" spans="1:74" ht="13.5" customHeight="1" x14ac:dyDescent="0.3">
      <c r="A83" s="241"/>
      <c r="B83" s="242" t="s">
        <v>165</v>
      </c>
      <c r="C83" s="530" t="s">
        <v>280</v>
      </c>
      <c r="D83" s="531"/>
      <c r="E83" s="531"/>
      <c r="F83" s="531"/>
      <c r="G83" s="531"/>
      <c r="H83" s="531"/>
      <c r="I83" s="531"/>
      <c r="J83" s="531"/>
      <c r="K83" s="531"/>
      <c r="L83" s="531"/>
      <c r="M83" s="532"/>
    </row>
    <row r="84" spans="1:74" ht="14.4" x14ac:dyDescent="0.3">
      <c r="A84" s="239" t="s">
        <v>276</v>
      </c>
      <c r="B84" s="223" t="s">
        <v>282</v>
      </c>
      <c r="C84" s="521" t="s">
        <v>283</v>
      </c>
      <c r="D84" s="519"/>
      <c r="E84" s="223" t="s">
        <v>196</v>
      </c>
      <c r="F84" s="233">
        <v>5</v>
      </c>
      <c r="G84" s="311">
        <v>0</v>
      </c>
      <c r="H84" s="233">
        <f>F84*AM84</f>
        <v>0</v>
      </c>
      <c r="I84" s="233">
        <f>F84*AN84</f>
        <v>0</v>
      </c>
      <c r="J84" s="233">
        <f>F84*G84</f>
        <v>0</v>
      </c>
      <c r="K84" s="233">
        <v>0</v>
      </c>
      <c r="L84" s="233">
        <f>F84*K84</f>
        <v>0</v>
      </c>
      <c r="M84" s="240" t="s">
        <v>472</v>
      </c>
      <c r="X84" s="233">
        <f>IF(AO84="5",BH84,0)</f>
        <v>0</v>
      </c>
      <c r="Z84" s="233">
        <f>IF(AO84="1",BF84,0)</f>
        <v>0</v>
      </c>
      <c r="AA84" s="233">
        <f>IF(AO84="1",BG84,0)</f>
        <v>0</v>
      </c>
      <c r="AB84" s="233">
        <f>IF(AO84="7",BF84,0)</f>
        <v>0</v>
      </c>
      <c r="AC84" s="233">
        <f>IF(AO84="7",BG84,0)</f>
        <v>0</v>
      </c>
      <c r="AD84" s="233">
        <f>IF(AO84="2",BF84,0)</f>
        <v>0</v>
      </c>
      <c r="AE84" s="233">
        <f>IF(AO84="2",BG84,0)</f>
        <v>0</v>
      </c>
      <c r="AF84" s="233">
        <f>IF(AO84="0",BH84,0)</f>
        <v>0</v>
      </c>
      <c r="AG84" s="229" t="s">
        <v>154</v>
      </c>
      <c r="AH84" s="233">
        <f>IF(AL84=0,J84,0)</f>
        <v>0</v>
      </c>
      <c r="AI84" s="233">
        <f>IF(AL84=15,J84,0)</f>
        <v>0</v>
      </c>
      <c r="AJ84" s="233">
        <f>IF(AL84=21,J84,0)</f>
        <v>0</v>
      </c>
      <c r="AL84" s="233">
        <v>15</v>
      </c>
      <c r="AM84" s="233">
        <f>G84*0</f>
        <v>0</v>
      </c>
      <c r="AN84" s="233">
        <f>G84*(1-0)</f>
        <v>0</v>
      </c>
      <c r="AO84" s="234" t="s">
        <v>157</v>
      </c>
      <c r="AT84" s="233">
        <f>AU84+AV84</f>
        <v>0</v>
      </c>
      <c r="AU84" s="233">
        <f>F84*AM84</f>
        <v>0</v>
      </c>
      <c r="AV84" s="233">
        <f>F84*AN84</f>
        <v>0</v>
      </c>
      <c r="AW84" s="234" t="s">
        <v>279</v>
      </c>
      <c r="AX84" s="234" t="s">
        <v>163</v>
      </c>
      <c r="AY84" s="229" t="s">
        <v>164</v>
      </c>
      <c r="BA84" s="233">
        <f>AU84+AV84</f>
        <v>0</v>
      </c>
      <c r="BB84" s="233">
        <f>G84/(100-BC84)*100</f>
        <v>0</v>
      </c>
      <c r="BC84" s="233">
        <v>0</v>
      </c>
      <c r="BD84" s="233">
        <f>L84</f>
        <v>0</v>
      </c>
      <c r="BF84" s="233">
        <f>F84*AM84</f>
        <v>0</v>
      </c>
      <c r="BG84" s="233">
        <f>F84*AN84</f>
        <v>0</v>
      </c>
      <c r="BH84" s="233">
        <f>F84*G84</f>
        <v>0</v>
      </c>
      <c r="BI84" s="233"/>
      <c r="BJ84" s="233">
        <v>19</v>
      </c>
      <c r="BU84" s="233" t="e">
        <f>#REF!</f>
        <v>#REF!</v>
      </c>
      <c r="BV84" s="225" t="s">
        <v>283</v>
      </c>
    </row>
    <row r="85" spans="1:74" ht="13.5" customHeight="1" x14ac:dyDescent="0.3">
      <c r="A85" s="241"/>
      <c r="B85" s="242" t="s">
        <v>165</v>
      </c>
      <c r="C85" s="530" t="s">
        <v>280</v>
      </c>
      <c r="D85" s="531"/>
      <c r="E85" s="531"/>
      <c r="F85" s="531"/>
      <c r="G85" s="531"/>
      <c r="H85" s="531"/>
      <c r="I85" s="531"/>
      <c r="J85" s="531"/>
      <c r="K85" s="531"/>
      <c r="L85" s="531"/>
      <c r="M85" s="532"/>
    </row>
    <row r="86" spans="1:74" ht="14.4" x14ac:dyDescent="0.3">
      <c r="A86" s="239" t="s">
        <v>154</v>
      </c>
      <c r="B86" s="224" t="s">
        <v>235</v>
      </c>
      <c r="C86" s="526" t="s">
        <v>284</v>
      </c>
      <c r="D86" s="527"/>
      <c r="E86" s="223" t="s">
        <v>114</v>
      </c>
      <c r="F86" s="223" t="s">
        <v>114</v>
      </c>
      <c r="G86" s="223" t="s">
        <v>114</v>
      </c>
      <c r="H86" s="235">
        <f>SUM(H87:H89)</f>
        <v>0</v>
      </c>
      <c r="I86" s="235">
        <f>SUM(I87:I89)</f>
        <v>0</v>
      </c>
      <c r="J86" s="235">
        <f>SUM(J87:J89)</f>
        <v>0</v>
      </c>
      <c r="K86" s="230" t="s">
        <v>154</v>
      </c>
      <c r="L86" s="235">
        <f>SUM(L87:L89)</f>
        <v>4.3625000000000007</v>
      </c>
      <c r="M86" s="243" t="s">
        <v>154</v>
      </c>
      <c r="AG86" s="229" t="s">
        <v>154</v>
      </c>
      <c r="AQ86" s="222">
        <f>SUM(AH87:AH89)</f>
        <v>0</v>
      </c>
      <c r="AR86" s="222">
        <f>SUM(AI87:AI89)</f>
        <v>0</v>
      </c>
      <c r="AS86" s="222">
        <f>SUM(AJ87:AJ89)</f>
        <v>0</v>
      </c>
    </row>
    <row r="87" spans="1:74" ht="14.4" x14ac:dyDescent="0.3">
      <c r="A87" s="239" t="s">
        <v>281</v>
      </c>
      <c r="B87" s="223" t="s">
        <v>286</v>
      </c>
      <c r="C87" s="521" t="s">
        <v>287</v>
      </c>
      <c r="D87" s="519"/>
      <c r="E87" s="223" t="s">
        <v>180</v>
      </c>
      <c r="F87" s="233">
        <v>83.6</v>
      </c>
      <c r="G87" s="311">
        <v>0</v>
      </c>
      <c r="H87" s="233">
        <f>F87*AM87</f>
        <v>0</v>
      </c>
      <c r="I87" s="233">
        <f>F87*AN87</f>
        <v>0</v>
      </c>
      <c r="J87" s="233">
        <f>F87*G87</f>
        <v>0</v>
      </c>
      <c r="K87" s="233">
        <v>0</v>
      </c>
      <c r="L87" s="233">
        <f>F87*K87</f>
        <v>0</v>
      </c>
      <c r="M87" s="240" t="s">
        <v>472</v>
      </c>
      <c r="X87" s="233">
        <f>IF(AO87="5",BH87,0)</f>
        <v>0</v>
      </c>
      <c r="Z87" s="233">
        <f>IF(AO87="1",BF87,0)</f>
        <v>0</v>
      </c>
      <c r="AA87" s="233">
        <f>IF(AO87="1",BG87,0)</f>
        <v>0</v>
      </c>
      <c r="AB87" s="233">
        <f>IF(AO87="7",BF87,0)</f>
        <v>0</v>
      </c>
      <c r="AC87" s="233">
        <f>IF(AO87="7",BG87,0)</f>
        <v>0</v>
      </c>
      <c r="AD87" s="233">
        <f>IF(AO87="2",BF87,0)</f>
        <v>0</v>
      </c>
      <c r="AE87" s="233">
        <f>IF(AO87="2",BG87,0)</f>
        <v>0</v>
      </c>
      <c r="AF87" s="233">
        <f>IF(AO87="0",BH87,0)</f>
        <v>0</v>
      </c>
      <c r="AG87" s="229" t="s">
        <v>154</v>
      </c>
      <c r="AH87" s="233">
        <f>IF(AL87=0,J87,0)</f>
        <v>0</v>
      </c>
      <c r="AI87" s="233">
        <f>IF(AL87=15,J87,0)</f>
        <v>0</v>
      </c>
      <c r="AJ87" s="233">
        <f>IF(AL87=21,J87,0)</f>
        <v>0</v>
      </c>
      <c r="AL87" s="233">
        <v>15</v>
      </c>
      <c r="AM87" s="233">
        <f>G87*0</f>
        <v>0</v>
      </c>
      <c r="AN87" s="233">
        <f>G87*(1-0)</f>
        <v>0</v>
      </c>
      <c r="AO87" s="234" t="s">
        <v>157</v>
      </c>
      <c r="AT87" s="233">
        <f>AU87+AV87</f>
        <v>0</v>
      </c>
      <c r="AU87" s="233">
        <f>F87*AM87</f>
        <v>0</v>
      </c>
      <c r="AV87" s="233">
        <f>F87*AN87</f>
        <v>0</v>
      </c>
      <c r="AW87" s="234" t="s">
        <v>288</v>
      </c>
      <c r="AX87" s="234" t="s">
        <v>289</v>
      </c>
      <c r="AY87" s="229" t="s">
        <v>164</v>
      </c>
      <c r="BA87" s="233">
        <f>AU87+AV87</f>
        <v>0</v>
      </c>
      <c r="BB87" s="233">
        <f>G87/(100-BC87)*100</f>
        <v>0</v>
      </c>
      <c r="BC87" s="233">
        <v>0</v>
      </c>
      <c r="BD87" s="233">
        <f>L87</f>
        <v>0</v>
      </c>
      <c r="BF87" s="233">
        <f>F87*AM87</f>
        <v>0</v>
      </c>
      <c r="BG87" s="233">
        <f>F87*AN87</f>
        <v>0</v>
      </c>
      <c r="BH87" s="233">
        <f>F87*G87</f>
        <v>0</v>
      </c>
      <c r="BI87" s="233"/>
      <c r="BJ87" s="233">
        <v>21</v>
      </c>
      <c r="BU87" s="233" t="e">
        <f>#REF!</f>
        <v>#REF!</v>
      </c>
      <c r="BV87" s="225" t="s">
        <v>287</v>
      </c>
    </row>
    <row r="88" spans="1:74" ht="40.5" customHeight="1" x14ac:dyDescent="0.3">
      <c r="A88" s="241"/>
      <c r="B88" s="242" t="s">
        <v>165</v>
      </c>
      <c r="C88" s="530" t="s">
        <v>1566</v>
      </c>
      <c r="D88" s="531"/>
      <c r="E88" s="531"/>
      <c r="F88" s="531"/>
      <c r="G88" s="531"/>
      <c r="H88" s="531"/>
      <c r="I88" s="531"/>
      <c r="J88" s="531"/>
      <c r="K88" s="531"/>
      <c r="L88" s="531"/>
      <c r="M88" s="532"/>
    </row>
    <row r="89" spans="1:74" ht="14.4" x14ac:dyDescent="0.3">
      <c r="A89" s="239" t="s">
        <v>285</v>
      </c>
      <c r="B89" s="223" t="s">
        <v>291</v>
      </c>
      <c r="C89" s="521" t="s">
        <v>292</v>
      </c>
      <c r="D89" s="519"/>
      <c r="E89" s="223" t="s">
        <v>160</v>
      </c>
      <c r="F89" s="233">
        <v>10</v>
      </c>
      <c r="G89" s="311">
        <v>0</v>
      </c>
      <c r="H89" s="233">
        <f>F89*AM89</f>
        <v>0</v>
      </c>
      <c r="I89" s="233">
        <f>F89*AN89</f>
        <v>0</v>
      </c>
      <c r="J89" s="233">
        <f>F89*G89</f>
        <v>0</v>
      </c>
      <c r="K89" s="233">
        <v>0.43625000000000003</v>
      </c>
      <c r="L89" s="233">
        <f>F89*K89</f>
        <v>4.3625000000000007</v>
      </c>
      <c r="M89" s="240" t="s">
        <v>472</v>
      </c>
      <c r="X89" s="233">
        <f>IF(AO89="5",BH89,0)</f>
        <v>0</v>
      </c>
      <c r="Z89" s="233">
        <f>IF(AO89="1",BF89,0)</f>
        <v>0</v>
      </c>
      <c r="AA89" s="233">
        <f>IF(AO89="1",BG89,0)</f>
        <v>0</v>
      </c>
      <c r="AB89" s="233">
        <f>IF(AO89="7",BF89,0)</f>
        <v>0</v>
      </c>
      <c r="AC89" s="233">
        <f>IF(AO89="7",BG89,0)</f>
        <v>0</v>
      </c>
      <c r="AD89" s="233">
        <f>IF(AO89="2",BF89,0)</f>
        <v>0</v>
      </c>
      <c r="AE89" s="233">
        <f>IF(AO89="2",BG89,0)</f>
        <v>0</v>
      </c>
      <c r="AF89" s="233">
        <f>IF(AO89="0",BH89,0)</f>
        <v>0</v>
      </c>
      <c r="AG89" s="229" t="s">
        <v>154</v>
      </c>
      <c r="AH89" s="233">
        <f>IF(AL89=0,J89,0)</f>
        <v>0</v>
      </c>
      <c r="AI89" s="233">
        <f>IF(AL89=15,J89,0)</f>
        <v>0</v>
      </c>
      <c r="AJ89" s="233">
        <f>IF(AL89=21,J89,0)</f>
        <v>0</v>
      </c>
      <c r="AL89" s="233">
        <v>15</v>
      </c>
      <c r="AM89" s="233">
        <f>G89*0.447203746</f>
        <v>0</v>
      </c>
      <c r="AN89" s="233">
        <f>G89*(1-0.447203746)</f>
        <v>0</v>
      </c>
      <c r="AO89" s="234" t="s">
        <v>157</v>
      </c>
      <c r="AT89" s="233">
        <f>AU89+AV89</f>
        <v>0</v>
      </c>
      <c r="AU89" s="233">
        <f>F89*AM89</f>
        <v>0</v>
      </c>
      <c r="AV89" s="233">
        <f>F89*AN89</f>
        <v>0</v>
      </c>
      <c r="AW89" s="234" t="s">
        <v>288</v>
      </c>
      <c r="AX89" s="234" t="s">
        <v>289</v>
      </c>
      <c r="AY89" s="229" t="s">
        <v>164</v>
      </c>
      <c r="BA89" s="233">
        <f>AU89+AV89</f>
        <v>0</v>
      </c>
      <c r="BB89" s="233">
        <f>G89/(100-BC89)*100</f>
        <v>0</v>
      </c>
      <c r="BC89" s="233">
        <v>0</v>
      </c>
      <c r="BD89" s="233">
        <f>L89</f>
        <v>4.3625000000000007</v>
      </c>
      <c r="BF89" s="233">
        <f>F89*AM89</f>
        <v>0</v>
      </c>
      <c r="BG89" s="233">
        <f>F89*AN89</f>
        <v>0</v>
      </c>
      <c r="BH89" s="233">
        <f>F89*G89</f>
        <v>0</v>
      </c>
      <c r="BI89" s="233"/>
      <c r="BJ89" s="233">
        <v>21</v>
      </c>
      <c r="BU89" s="233" t="e">
        <f>#REF!</f>
        <v>#REF!</v>
      </c>
      <c r="BV89" s="225" t="s">
        <v>292</v>
      </c>
    </row>
    <row r="90" spans="1:74" ht="27" customHeight="1" x14ac:dyDescent="0.3">
      <c r="A90" s="241"/>
      <c r="B90" s="242" t="s">
        <v>165</v>
      </c>
      <c r="C90" s="530" t="s">
        <v>1567</v>
      </c>
      <c r="D90" s="531"/>
      <c r="E90" s="531"/>
      <c r="F90" s="531"/>
      <c r="G90" s="531"/>
      <c r="H90" s="531"/>
      <c r="I90" s="531"/>
      <c r="J90" s="531"/>
      <c r="K90" s="531"/>
      <c r="L90" s="531"/>
      <c r="M90" s="532"/>
    </row>
    <row r="91" spans="1:74" ht="14.4" x14ac:dyDescent="0.3">
      <c r="A91" s="239" t="s">
        <v>154</v>
      </c>
      <c r="B91" s="224" t="s">
        <v>298</v>
      </c>
      <c r="C91" s="526" t="s">
        <v>299</v>
      </c>
      <c r="D91" s="527"/>
      <c r="E91" s="223" t="s">
        <v>114</v>
      </c>
      <c r="F91" s="223" t="s">
        <v>114</v>
      </c>
      <c r="G91" s="223" t="s">
        <v>114</v>
      </c>
      <c r="H91" s="235">
        <f>SUM(H92:H92)</f>
        <v>0</v>
      </c>
      <c r="I91" s="235">
        <f>SUM(I92:I92)</f>
        <v>0</v>
      </c>
      <c r="J91" s="235">
        <f>SUM(J92:J92)</f>
        <v>0</v>
      </c>
      <c r="K91" s="230" t="s">
        <v>154</v>
      </c>
      <c r="L91" s="235">
        <f>SUM(L92:L92)</f>
        <v>23.710255799999999</v>
      </c>
      <c r="M91" s="243" t="s">
        <v>154</v>
      </c>
      <c r="AG91" s="229" t="s">
        <v>154</v>
      </c>
      <c r="AQ91" s="222">
        <f>SUM(AH92:AH92)</f>
        <v>0</v>
      </c>
      <c r="AR91" s="222">
        <f>SUM(AI92:AI92)</f>
        <v>0</v>
      </c>
      <c r="AS91" s="222">
        <f>SUM(AJ92:AJ92)</f>
        <v>0</v>
      </c>
    </row>
    <row r="92" spans="1:74" ht="14.4" x14ac:dyDescent="0.3">
      <c r="A92" s="239" t="s">
        <v>290</v>
      </c>
      <c r="B92" s="223" t="s">
        <v>301</v>
      </c>
      <c r="C92" s="521" t="s">
        <v>302</v>
      </c>
      <c r="D92" s="519"/>
      <c r="E92" s="223" t="s">
        <v>196</v>
      </c>
      <c r="F92" s="233">
        <v>12.54</v>
      </c>
      <c r="G92" s="311">
        <v>0</v>
      </c>
      <c r="H92" s="233">
        <f>F92*AM92</f>
        <v>0</v>
      </c>
      <c r="I92" s="233">
        <f>F92*AN92</f>
        <v>0</v>
      </c>
      <c r="J92" s="233">
        <f>F92*G92</f>
        <v>0</v>
      </c>
      <c r="K92" s="233">
        <v>1.8907700000000001</v>
      </c>
      <c r="L92" s="233">
        <f>F92*K92</f>
        <v>23.710255799999999</v>
      </c>
      <c r="M92" s="240" t="s">
        <v>472</v>
      </c>
      <c r="X92" s="233">
        <f>IF(AO92="5",BH92,0)</f>
        <v>0</v>
      </c>
      <c r="Z92" s="233">
        <f>IF(AO92="1",BF92,0)</f>
        <v>0</v>
      </c>
      <c r="AA92" s="233">
        <f>IF(AO92="1",BG92,0)</f>
        <v>0</v>
      </c>
      <c r="AB92" s="233">
        <f>IF(AO92="7",BF92,0)</f>
        <v>0</v>
      </c>
      <c r="AC92" s="233">
        <f>IF(AO92="7",BG92,0)</f>
        <v>0</v>
      </c>
      <c r="AD92" s="233">
        <f>IF(AO92="2",BF92,0)</f>
        <v>0</v>
      </c>
      <c r="AE92" s="233">
        <f>IF(AO92="2",BG92,0)</f>
        <v>0</v>
      </c>
      <c r="AF92" s="233">
        <f>IF(AO92="0",BH92,0)</f>
        <v>0</v>
      </c>
      <c r="AG92" s="229" t="s">
        <v>154</v>
      </c>
      <c r="AH92" s="233">
        <f>IF(AL92=0,J92,0)</f>
        <v>0</v>
      </c>
      <c r="AI92" s="233">
        <f>IF(AL92=15,J92,0)</f>
        <v>0</v>
      </c>
      <c r="AJ92" s="233">
        <f>IF(AL92=21,J92,0)</f>
        <v>0</v>
      </c>
      <c r="AL92" s="233">
        <v>15</v>
      </c>
      <c r="AM92" s="233">
        <f>G92*0.492381655</f>
        <v>0</v>
      </c>
      <c r="AN92" s="233">
        <f>G92*(1-0.492381655)</f>
        <v>0</v>
      </c>
      <c r="AO92" s="234" t="s">
        <v>157</v>
      </c>
      <c r="AT92" s="233">
        <f>AU92+AV92</f>
        <v>0</v>
      </c>
      <c r="AU92" s="233">
        <f>F92*AM92</f>
        <v>0</v>
      </c>
      <c r="AV92" s="233">
        <f>F92*AN92</f>
        <v>0</v>
      </c>
      <c r="AW92" s="234" t="s">
        <v>303</v>
      </c>
      <c r="AX92" s="234" t="s">
        <v>304</v>
      </c>
      <c r="AY92" s="229" t="s">
        <v>164</v>
      </c>
      <c r="BA92" s="233">
        <f>AU92+AV92</f>
        <v>0</v>
      </c>
      <c r="BB92" s="233">
        <f>G92/(100-BC92)*100</f>
        <v>0</v>
      </c>
      <c r="BC92" s="233">
        <v>0</v>
      </c>
      <c r="BD92" s="233">
        <f>L92</f>
        <v>23.710255799999999</v>
      </c>
      <c r="BF92" s="233">
        <f>F92*AM92</f>
        <v>0</v>
      </c>
      <c r="BG92" s="233">
        <f>F92*AN92</f>
        <v>0</v>
      </c>
      <c r="BH92" s="233">
        <f>F92*G92</f>
        <v>0</v>
      </c>
      <c r="BI92" s="233"/>
      <c r="BJ92" s="233">
        <v>45</v>
      </c>
      <c r="BU92" s="233" t="e">
        <f>#REF!</f>
        <v>#REF!</v>
      </c>
      <c r="BV92" s="225" t="s">
        <v>302</v>
      </c>
    </row>
    <row r="93" spans="1:74" ht="67.5" customHeight="1" x14ac:dyDescent="0.3">
      <c r="A93" s="241"/>
      <c r="B93" s="242" t="s">
        <v>165</v>
      </c>
      <c r="C93" s="530" t="s">
        <v>1568</v>
      </c>
      <c r="D93" s="531"/>
      <c r="E93" s="531"/>
      <c r="F93" s="531"/>
      <c r="G93" s="531"/>
      <c r="H93" s="531"/>
      <c r="I93" s="531"/>
      <c r="J93" s="531"/>
      <c r="K93" s="531"/>
      <c r="L93" s="531"/>
      <c r="M93" s="532"/>
    </row>
    <row r="94" spans="1:74" ht="14.4" x14ac:dyDescent="0.3">
      <c r="A94" s="239" t="s">
        <v>154</v>
      </c>
      <c r="B94" s="224" t="s">
        <v>305</v>
      </c>
      <c r="C94" s="526" t="s">
        <v>306</v>
      </c>
      <c r="D94" s="527"/>
      <c r="E94" s="223" t="s">
        <v>114</v>
      </c>
      <c r="F94" s="223" t="s">
        <v>114</v>
      </c>
      <c r="G94" s="223" t="s">
        <v>114</v>
      </c>
      <c r="H94" s="235">
        <f>SUM(H95:H115)</f>
        <v>0</v>
      </c>
      <c r="I94" s="235">
        <f>SUM(I95:I115)</f>
        <v>0</v>
      </c>
      <c r="J94" s="235">
        <f>SUM(J95:J115)</f>
        <v>0</v>
      </c>
      <c r="K94" s="230" t="s">
        <v>154</v>
      </c>
      <c r="L94" s="235">
        <f>SUM(L95:L115)</f>
        <v>119.97837810000001</v>
      </c>
      <c r="M94" s="243" t="s">
        <v>154</v>
      </c>
      <c r="AG94" s="229" t="s">
        <v>154</v>
      </c>
      <c r="AQ94" s="222">
        <f>SUM(AH95:AH115)</f>
        <v>0</v>
      </c>
      <c r="AR94" s="222">
        <f>SUM(AI95:AI115)</f>
        <v>0</v>
      </c>
      <c r="AS94" s="222">
        <f>SUM(AJ95:AJ115)</f>
        <v>0</v>
      </c>
    </row>
    <row r="95" spans="1:74" ht="14.4" x14ac:dyDescent="0.3">
      <c r="A95" s="239" t="s">
        <v>294</v>
      </c>
      <c r="B95" s="223" t="s">
        <v>308</v>
      </c>
      <c r="C95" s="521" t="s">
        <v>309</v>
      </c>
      <c r="D95" s="519"/>
      <c r="E95" s="223" t="s">
        <v>180</v>
      </c>
      <c r="F95" s="233">
        <v>37.840000000000003</v>
      </c>
      <c r="G95" s="311">
        <v>0</v>
      </c>
      <c r="H95" s="233">
        <f>F95*AM95</f>
        <v>0</v>
      </c>
      <c r="I95" s="233">
        <f>F95*AN95</f>
        <v>0</v>
      </c>
      <c r="J95" s="233">
        <f>F95*G95</f>
        <v>0</v>
      </c>
      <c r="K95" s="233">
        <v>0.4284</v>
      </c>
      <c r="L95" s="233">
        <f>F95*K95</f>
        <v>16.210656</v>
      </c>
      <c r="M95" s="240" t="s">
        <v>472</v>
      </c>
      <c r="X95" s="233">
        <f>IF(AO95="5",BH95,0)</f>
        <v>0</v>
      </c>
      <c r="Z95" s="233">
        <f>IF(AO95="1",BF95,0)</f>
        <v>0</v>
      </c>
      <c r="AA95" s="233">
        <f>IF(AO95="1",BG95,0)</f>
        <v>0</v>
      </c>
      <c r="AB95" s="233">
        <f>IF(AO95="7",BF95,0)</f>
        <v>0</v>
      </c>
      <c r="AC95" s="233">
        <f>IF(AO95="7",BG95,0)</f>
        <v>0</v>
      </c>
      <c r="AD95" s="233">
        <f>IF(AO95="2",BF95,0)</f>
        <v>0</v>
      </c>
      <c r="AE95" s="233">
        <f>IF(AO95="2",BG95,0)</f>
        <v>0</v>
      </c>
      <c r="AF95" s="233">
        <f>IF(AO95="0",BH95,0)</f>
        <v>0</v>
      </c>
      <c r="AG95" s="229" t="s">
        <v>154</v>
      </c>
      <c r="AH95" s="233">
        <f>IF(AL95=0,J95,0)</f>
        <v>0</v>
      </c>
      <c r="AI95" s="233">
        <f>IF(AL95=15,J95,0)</f>
        <v>0</v>
      </c>
      <c r="AJ95" s="233">
        <f>IF(AL95=21,J95,0)</f>
        <v>0</v>
      </c>
      <c r="AL95" s="233">
        <v>15</v>
      </c>
      <c r="AM95" s="233">
        <f>G95*0.847968469</f>
        <v>0</v>
      </c>
      <c r="AN95" s="233">
        <f>G95*(1-0.847968469)</f>
        <v>0</v>
      </c>
      <c r="AO95" s="234" t="s">
        <v>157</v>
      </c>
      <c r="AT95" s="233">
        <f>AU95+AV95</f>
        <v>0</v>
      </c>
      <c r="AU95" s="233">
        <f>F95*AM95</f>
        <v>0</v>
      </c>
      <c r="AV95" s="233">
        <f>F95*AN95</f>
        <v>0</v>
      </c>
      <c r="AW95" s="234" t="s">
        <v>310</v>
      </c>
      <c r="AX95" s="234" t="s">
        <v>311</v>
      </c>
      <c r="AY95" s="229" t="s">
        <v>164</v>
      </c>
      <c r="BA95" s="233">
        <f>AU95+AV95</f>
        <v>0</v>
      </c>
      <c r="BB95" s="233">
        <f>G95/(100-BC95)*100</f>
        <v>0</v>
      </c>
      <c r="BC95" s="233">
        <v>0</v>
      </c>
      <c r="BD95" s="233">
        <f>L95</f>
        <v>16.210656</v>
      </c>
      <c r="BF95" s="233">
        <f>F95*AM95</f>
        <v>0</v>
      </c>
      <c r="BG95" s="233">
        <f>F95*AN95</f>
        <v>0</v>
      </c>
      <c r="BH95" s="233">
        <f>F95*G95</f>
        <v>0</v>
      </c>
      <c r="BI95" s="233"/>
      <c r="BJ95" s="233">
        <v>56</v>
      </c>
      <c r="BU95" s="233" t="e">
        <f>#REF!</f>
        <v>#REF!</v>
      </c>
      <c r="BV95" s="225" t="s">
        <v>309</v>
      </c>
    </row>
    <row r="96" spans="1:74" ht="40.5" customHeight="1" x14ac:dyDescent="0.3">
      <c r="A96" s="241"/>
      <c r="B96" s="242" t="s">
        <v>165</v>
      </c>
      <c r="C96" s="530" t="s">
        <v>1569</v>
      </c>
      <c r="D96" s="531"/>
      <c r="E96" s="531"/>
      <c r="F96" s="531"/>
      <c r="G96" s="531"/>
      <c r="H96" s="531"/>
      <c r="I96" s="531"/>
      <c r="J96" s="531"/>
      <c r="K96" s="531"/>
      <c r="L96" s="531"/>
      <c r="M96" s="532"/>
    </row>
    <row r="97" spans="1:74" ht="14.4" x14ac:dyDescent="0.3">
      <c r="A97" s="239" t="s">
        <v>300</v>
      </c>
      <c r="B97" s="223" t="s">
        <v>313</v>
      </c>
      <c r="C97" s="521" t="s">
        <v>314</v>
      </c>
      <c r="D97" s="519"/>
      <c r="E97" s="223" t="s">
        <v>180</v>
      </c>
      <c r="F97" s="233">
        <v>40.340000000000003</v>
      </c>
      <c r="G97" s="311">
        <v>0</v>
      </c>
      <c r="H97" s="233">
        <f>F97*AM97</f>
        <v>0</v>
      </c>
      <c r="I97" s="233">
        <f>F97*AN97</f>
        <v>0</v>
      </c>
      <c r="J97" s="233">
        <f>F97*G97</f>
        <v>0</v>
      </c>
      <c r="K97" s="233">
        <v>0.60104000000000002</v>
      </c>
      <c r="L97" s="233">
        <f>F97*K97</f>
        <v>24.245953600000004</v>
      </c>
      <c r="M97" s="240" t="s">
        <v>472</v>
      </c>
      <c r="X97" s="233">
        <f>IF(AO97="5",BH97,0)</f>
        <v>0</v>
      </c>
      <c r="Z97" s="233">
        <f>IF(AO97="1",BF97,0)</f>
        <v>0</v>
      </c>
      <c r="AA97" s="233">
        <f>IF(AO97="1",BG97,0)</f>
        <v>0</v>
      </c>
      <c r="AB97" s="233">
        <f>IF(AO97="7",BF97,0)</f>
        <v>0</v>
      </c>
      <c r="AC97" s="233">
        <f>IF(AO97="7",BG97,0)</f>
        <v>0</v>
      </c>
      <c r="AD97" s="233">
        <f>IF(AO97="2",BF97,0)</f>
        <v>0</v>
      </c>
      <c r="AE97" s="233">
        <f>IF(AO97="2",BG97,0)</f>
        <v>0</v>
      </c>
      <c r="AF97" s="233">
        <f>IF(AO97="0",BH97,0)</f>
        <v>0</v>
      </c>
      <c r="AG97" s="229" t="s">
        <v>154</v>
      </c>
      <c r="AH97" s="233">
        <f>IF(AL97=0,J97,0)</f>
        <v>0</v>
      </c>
      <c r="AI97" s="233">
        <f>IF(AL97=15,J97,0)</f>
        <v>0</v>
      </c>
      <c r="AJ97" s="233">
        <f>IF(AL97=21,J97,0)</f>
        <v>0</v>
      </c>
      <c r="AL97" s="233">
        <v>15</v>
      </c>
      <c r="AM97" s="233">
        <f>G97*0.832422796</f>
        <v>0</v>
      </c>
      <c r="AN97" s="233">
        <f>G97*(1-0.832422796)</f>
        <v>0</v>
      </c>
      <c r="AO97" s="234" t="s">
        <v>157</v>
      </c>
      <c r="AT97" s="233">
        <f>AU97+AV97</f>
        <v>0</v>
      </c>
      <c r="AU97" s="233">
        <f>F97*AM97</f>
        <v>0</v>
      </c>
      <c r="AV97" s="233">
        <f>F97*AN97</f>
        <v>0</v>
      </c>
      <c r="AW97" s="234" t="s">
        <v>310</v>
      </c>
      <c r="AX97" s="234" t="s">
        <v>311</v>
      </c>
      <c r="AY97" s="229" t="s">
        <v>164</v>
      </c>
      <c r="BA97" s="233">
        <f>AU97+AV97</f>
        <v>0</v>
      </c>
      <c r="BB97" s="233">
        <f>G97/(100-BC97)*100</f>
        <v>0</v>
      </c>
      <c r="BC97" s="233">
        <v>0</v>
      </c>
      <c r="BD97" s="233">
        <f>L97</f>
        <v>24.245953600000004</v>
      </c>
      <c r="BF97" s="233">
        <f>F97*AM97</f>
        <v>0</v>
      </c>
      <c r="BG97" s="233">
        <f>F97*AN97</f>
        <v>0</v>
      </c>
      <c r="BH97" s="233">
        <f>F97*G97</f>
        <v>0</v>
      </c>
      <c r="BI97" s="233"/>
      <c r="BJ97" s="233">
        <v>56</v>
      </c>
      <c r="BU97" s="233" t="e">
        <f>#REF!</f>
        <v>#REF!</v>
      </c>
      <c r="BV97" s="225" t="s">
        <v>314</v>
      </c>
    </row>
    <row r="98" spans="1:74" ht="40.5" customHeight="1" x14ac:dyDescent="0.3">
      <c r="A98" s="241"/>
      <c r="B98" s="242" t="s">
        <v>165</v>
      </c>
      <c r="C98" s="530" t="s">
        <v>1570</v>
      </c>
      <c r="D98" s="531"/>
      <c r="E98" s="531"/>
      <c r="F98" s="531"/>
      <c r="G98" s="531"/>
      <c r="H98" s="531"/>
      <c r="I98" s="531"/>
      <c r="J98" s="531"/>
      <c r="K98" s="531"/>
      <c r="L98" s="531"/>
      <c r="M98" s="532"/>
    </row>
    <row r="99" spans="1:74" ht="14.4" x14ac:dyDescent="0.3">
      <c r="A99" s="239" t="s">
        <v>307</v>
      </c>
      <c r="B99" s="223" t="s">
        <v>316</v>
      </c>
      <c r="C99" s="521" t="s">
        <v>317</v>
      </c>
      <c r="D99" s="519"/>
      <c r="E99" s="223" t="s">
        <v>180</v>
      </c>
      <c r="F99" s="233">
        <v>42.48</v>
      </c>
      <c r="G99" s="311">
        <v>0</v>
      </c>
      <c r="H99" s="233">
        <f>F99*AM99</f>
        <v>0</v>
      </c>
      <c r="I99" s="233">
        <f>F99*AN99</f>
        <v>0</v>
      </c>
      <c r="J99" s="233">
        <f>F99*G99</f>
        <v>0</v>
      </c>
      <c r="K99" s="233">
        <v>0.48574000000000001</v>
      </c>
      <c r="L99" s="233">
        <f>F99*K99</f>
        <v>20.634235199999999</v>
      </c>
      <c r="M99" s="240" t="s">
        <v>472</v>
      </c>
      <c r="X99" s="233">
        <f>IF(AO99="5",BH99,0)</f>
        <v>0</v>
      </c>
      <c r="Z99" s="233">
        <f>IF(AO99="1",BF99,0)</f>
        <v>0</v>
      </c>
      <c r="AA99" s="233">
        <f>IF(AO99="1",BG99,0)</f>
        <v>0</v>
      </c>
      <c r="AB99" s="233">
        <f>IF(AO99="7",BF99,0)</f>
        <v>0</v>
      </c>
      <c r="AC99" s="233">
        <f>IF(AO99="7",BG99,0)</f>
        <v>0</v>
      </c>
      <c r="AD99" s="233">
        <f>IF(AO99="2",BF99,0)</f>
        <v>0</v>
      </c>
      <c r="AE99" s="233">
        <f>IF(AO99="2",BG99,0)</f>
        <v>0</v>
      </c>
      <c r="AF99" s="233">
        <f>IF(AO99="0",BH99,0)</f>
        <v>0</v>
      </c>
      <c r="AG99" s="229" t="s">
        <v>154</v>
      </c>
      <c r="AH99" s="233">
        <f>IF(AL99=0,J99,0)</f>
        <v>0</v>
      </c>
      <c r="AI99" s="233">
        <f>IF(AL99=15,J99,0)</f>
        <v>0</v>
      </c>
      <c r="AJ99" s="233">
        <f>IF(AL99=21,J99,0)</f>
        <v>0</v>
      </c>
      <c r="AL99" s="233">
        <v>15</v>
      </c>
      <c r="AM99" s="233">
        <f>G99*0.812877665</f>
        <v>0</v>
      </c>
      <c r="AN99" s="233">
        <f>G99*(1-0.812877665)</f>
        <v>0</v>
      </c>
      <c r="AO99" s="234" t="s">
        <v>157</v>
      </c>
      <c r="AT99" s="233">
        <f>AU99+AV99</f>
        <v>0</v>
      </c>
      <c r="AU99" s="233">
        <f>F99*AM99</f>
        <v>0</v>
      </c>
      <c r="AV99" s="233">
        <f>F99*AN99</f>
        <v>0</v>
      </c>
      <c r="AW99" s="234" t="s">
        <v>310</v>
      </c>
      <c r="AX99" s="234" t="s">
        <v>311</v>
      </c>
      <c r="AY99" s="229" t="s">
        <v>164</v>
      </c>
      <c r="BA99" s="233">
        <f>AU99+AV99</f>
        <v>0</v>
      </c>
      <c r="BB99" s="233">
        <f>G99/(100-BC99)*100</f>
        <v>0</v>
      </c>
      <c r="BC99" s="233">
        <v>0</v>
      </c>
      <c r="BD99" s="233">
        <f>L99</f>
        <v>20.634235199999999</v>
      </c>
      <c r="BF99" s="233">
        <f>F99*AM99</f>
        <v>0</v>
      </c>
      <c r="BG99" s="233">
        <f>F99*AN99</f>
        <v>0</v>
      </c>
      <c r="BH99" s="233">
        <f>F99*G99</f>
        <v>0</v>
      </c>
      <c r="BI99" s="233"/>
      <c r="BJ99" s="233">
        <v>56</v>
      </c>
      <c r="BU99" s="233" t="e">
        <f>#REF!</f>
        <v>#REF!</v>
      </c>
      <c r="BV99" s="225" t="s">
        <v>317</v>
      </c>
    </row>
    <row r="100" spans="1:74" ht="40.5" customHeight="1" x14ac:dyDescent="0.3">
      <c r="A100" s="241"/>
      <c r="B100" s="242" t="s">
        <v>165</v>
      </c>
      <c r="C100" s="530" t="s">
        <v>1571</v>
      </c>
      <c r="D100" s="531"/>
      <c r="E100" s="531"/>
      <c r="F100" s="531"/>
      <c r="G100" s="531"/>
      <c r="H100" s="531"/>
      <c r="I100" s="531"/>
      <c r="J100" s="531"/>
      <c r="K100" s="531"/>
      <c r="L100" s="531"/>
      <c r="M100" s="532"/>
    </row>
    <row r="101" spans="1:74" ht="14.4" x14ac:dyDescent="0.3">
      <c r="A101" s="239" t="s">
        <v>312</v>
      </c>
      <c r="B101" s="223" t="s">
        <v>316</v>
      </c>
      <c r="C101" s="521" t="s">
        <v>317</v>
      </c>
      <c r="D101" s="519"/>
      <c r="E101" s="223" t="s">
        <v>180</v>
      </c>
      <c r="F101" s="233">
        <v>44.63</v>
      </c>
      <c r="G101" s="311">
        <v>0</v>
      </c>
      <c r="H101" s="233">
        <f>F101*AM101</f>
        <v>0</v>
      </c>
      <c r="I101" s="233">
        <f>F101*AN101</f>
        <v>0</v>
      </c>
      <c r="J101" s="233">
        <f>F101*G101</f>
        <v>0</v>
      </c>
      <c r="K101" s="233">
        <v>0.48574000000000001</v>
      </c>
      <c r="L101" s="233">
        <f>F101*K101</f>
        <v>21.678576200000002</v>
      </c>
      <c r="M101" s="240" t="s">
        <v>472</v>
      </c>
      <c r="X101" s="233">
        <f>IF(AO101="5",BH101,0)</f>
        <v>0</v>
      </c>
      <c r="Z101" s="233">
        <f>IF(AO101="1",BF101,0)</f>
        <v>0</v>
      </c>
      <c r="AA101" s="233">
        <f>IF(AO101="1",BG101,0)</f>
        <v>0</v>
      </c>
      <c r="AB101" s="233">
        <f>IF(AO101="7",BF101,0)</f>
        <v>0</v>
      </c>
      <c r="AC101" s="233">
        <f>IF(AO101="7",BG101,0)</f>
        <v>0</v>
      </c>
      <c r="AD101" s="233">
        <f>IF(AO101="2",BF101,0)</f>
        <v>0</v>
      </c>
      <c r="AE101" s="233">
        <f>IF(AO101="2",BG101,0)</f>
        <v>0</v>
      </c>
      <c r="AF101" s="233">
        <f>IF(AO101="0",BH101,0)</f>
        <v>0</v>
      </c>
      <c r="AG101" s="229" t="s">
        <v>154</v>
      </c>
      <c r="AH101" s="233">
        <f>IF(AL101=0,J101,0)</f>
        <v>0</v>
      </c>
      <c r="AI101" s="233">
        <f>IF(AL101=15,J101,0)</f>
        <v>0</v>
      </c>
      <c r="AJ101" s="233">
        <f>IF(AL101=21,J101,0)</f>
        <v>0</v>
      </c>
      <c r="AL101" s="233">
        <v>15</v>
      </c>
      <c r="AM101" s="233">
        <f>G101*0.812874955</f>
        <v>0</v>
      </c>
      <c r="AN101" s="233">
        <f>G101*(1-0.812874955)</f>
        <v>0</v>
      </c>
      <c r="AO101" s="234" t="s">
        <v>157</v>
      </c>
      <c r="AT101" s="233">
        <f>AU101+AV101</f>
        <v>0</v>
      </c>
      <c r="AU101" s="233">
        <f>F101*AM101</f>
        <v>0</v>
      </c>
      <c r="AV101" s="233">
        <f>F101*AN101</f>
        <v>0</v>
      </c>
      <c r="AW101" s="234" t="s">
        <v>310</v>
      </c>
      <c r="AX101" s="234" t="s">
        <v>311</v>
      </c>
      <c r="AY101" s="229" t="s">
        <v>164</v>
      </c>
      <c r="BA101" s="233">
        <f>AU101+AV101</f>
        <v>0</v>
      </c>
      <c r="BB101" s="233">
        <f>G101/(100-BC101)*100</f>
        <v>0</v>
      </c>
      <c r="BC101" s="233">
        <v>0</v>
      </c>
      <c r="BD101" s="233">
        <f>L101</f>
        <v>21.678576200000002</v>
      </c>
      <c r="BF101" s="233">
        <f>F101*AM101</f>
        <v>0</v>
      </c>
      <c r="BG101" s="233">
        <f>F101*AN101</f>
        <v>0</v>
      </c>
      <c r="BH101" s="233">
        <f>F101*G101</f>
        <v>0</v>
      </c>
      <c r="BI101" s="233"/>
      <c r="BJ101" s="233">
        <v>56</v>
      </c>
      <c r="BU101" s="233" t="e">
        <f>#REF!</f>
        <v>#REF!</v>
      </c>
      <c r="BV101" s="225" t="s">
        <v>317</v>
      </c>
    </row>
    <row r="102" spans="1:74" ht="40.5" customHeight="1" x14ac:dyDescent="0.3">
      <c r="A102" s="244"/>
      <c r="B102" s="245" t="s">
        <v>165</v>
      </c>
      <c r="C102" s="540" t="s">
        <v>1572</v>
      </c>
      <c r="D102" s="541"/>
      <c r="E102" s="541"/>
      <c r="F102" s="541"/>
      <c r="G102" s="541"/>
      <c r="H102" s="541"/>
      <c r="I102" s="541"/>
      <c r="J102" s="541"/>
      <c r="K102" s="541"/>
      <c r="L102" s="541"/>
      <c r="M102" s="542"/>
    </row>
    <row r="103" spans="1:74" ht="14.4" x14ac:dyDescent="0.3">
      <c r="A103" s="237" t="s">
        <v>315</v>
      </c>
      <c r="B103" s="238" t="s">
        <v>320</v>
      </c>
      <c r="C103" s="543" t="s">
        <v>321</v>
      </c>
      <c r="D103" s="544"/>
      <c r="E103" s="238" t="s">
        <v>180</v>
      </c>
      <c r="F103" s="258">
        <v>44.2</v>
      </c>
      <c r="G103" s="311">
        <v>0</v>
      </c>
      <c r="H103" s="258">
        <f>F103*AM103</f>
        <v>0</v>
      </c>
      <c r="I103" s="258">
        <f>F103*AN103</f>
        <v>0</v>
      </c>
      <c r="J103" s="258">
        <f>F103*G103</f>
        <v>0</v>
      </c>
      <c r="K103" s="258">
        <v>0.4536</v>
      </c>
      <c r="L103" s="258">
        <f>F103*K103</f>
        <v>20.049120000000002</v>
      </c>
      <c r="M103" s="259" t="s">
        <v>472</v>
      </c>
      <c r="X103" s="233">
        <f>IF(AO103="5",BH103,0)</f>
        <v>0</v>
      </c>
      <c r="Z103" s="233">
        <f>IF(AO103="1",BF103,0)</f>
        <v>0</v>
      </c>
      <c r="AA103" s="233">
        <f>IF(AO103="1",BG103,0)</f>
        <v>0</v>
      </c>
      <c r="AB103" s="233">
        <f>IF(AO103="7",BF103,0)</f>
        <v>0</v>
      </c>
      <c r="AC103" s="233">
        <f>IF(AO103="7",BG103,0)</f>
        <v>0</v>
      </c>
      <c r="AD103" s="233">
        <f>IF(AO103="2",BF103,0)</f>
        <v>0</v>
      </c>
      <c r="AE103" s="233">
        <f>IF(AO103="2",BG103,0)</f>
        <v>0</v>
      </c>
      <c r="AF103" s="233">
        <f>IF(AO103="0",BH103,0)</f>
        <v>0</v>
      </c>
      <c r="AG103" s="229" t="s">
        <v>154</v>
      </c>
      <c r="AH103" s="233">
        <f>IF(AL103=0,J103,0)</f>
        <v>0</v>
      </c>
      <c r="AI103" s="233">
        <f>IF(AL103=15,J103,0)</f>
        <v>0</v>
      </c>
      <c r="AJ103" s="233">
        <f>IF(AL103=21,J103,0)</f>
        <v>0</v>
      </c>
      <c r="AL103" s="233">
        <v>15</v>
      </c>
      <c r="AM103" s="233">
        <f>G103*0.842955665</f>
        <v>0</v>
      </c>
      <c r="AN103" s="233">
        <f>G103*(1-0.842955665)</f>
        <v>0</v>
      </c>
      <c r="AO103" s="234" t="s">
        <v>157</v>
      </c>
      <c r="AT103" s="233">
        <f>AU103+AV103</f>
        <v>0</v>
      </c>
      <c r="AU103" s="233">
        <f>F103*AM103</f>
        <v>0</v>
      </c>
      <c r="AV103" s="233">
        <f>F103*AN103</f>
        <v>0</v>
      </c>
      <c r="AW103" s="234" t="s">
        <v>310</v>
      </c>
      <c r="AX103" s="234" t="s">
        <v>311</v>
      </c>
      <c r="AY103" s="229" t="s">
        <v>164</v>
      </c>
      <c r="BA103" s="233">
        <f>AU103+AV103</f>
        <v>0</v>
      </c>
      <c r="BB103" s="233">
        <f>G103/(100-BC103)*100</f>
        <v>0</v>
      </c>
      <c r="BC103" s="233">
        <v>0</v>
      </c>
      <c r="BD103" s="233">
        <f>L103</f>
        <v>20.049120000000002</v>
      </c>
      <c r="BF103" s="233">
        <f>F103*AM103</f>
        <v>0</v>
      </c>
      <c r="BG103" s="233">
        <f>F103*AN103</f>
        <v>0</v>
      </c>
      <c r="BH103" s="233">
        <f>F103*G103</f>
        <v>0</v>
      </c>
      <c r="BI103" s="233"/>
      <c r="BJ103" s="233">
        <v>56</v>
      </c>
      <c r="BU103" s="233" t="e">
        <f>#REF!</f>
        <v>#REF!</v>
      </c>
      <c r="BV103" s="225" t="s">
        <v>321</v>
      </c>
    </row>
    <row r="104" spans="1:74" ht="40.5" customHeight="1" x14ac:dyDescent="0.3">
      <c r="A104" s="241"/>
      <c r="B104" s="242" t="s">
        <v>165</v>
      </c>
      <c r="C104" s="530" t="s">
        <v>1573</v>
      </c>
      <c r="D104" s="531"/>
      <c r="E104" s="531"/>
      <c r="F104" s="531"/>
      <c r="G104" s="531"/>
      <c r="H104" s="531"/>
      <c r="I104" s="531"/>
      <c r="J104" s="531"/>
      <c r="K104" s="531"/>
      <c r="L104" s="531"/>
      <c r="M104" s="532"/>
    </row>
    <row r="105" spans="1:74" ht="14.4" x14ac:dyDescent="0.3">
      <c r="A105" s="239" t="s">
        <v>318</v>
      </c>
      <c r="B105" s="223" t="s">
        <v>323</v>
      </c>
      <c r="C105" s="521" t="s">
        <v>324</v>
      </c>
      <c r="D105" s="519"/>
      <c r="E105" s="223" t="s">
        <v>180</v>
      </c>
      <c r="F105" s="233">
        <v>44.64</v>
      </c>
      <c r="G105" s="311">
        <v>0</v>
      </c>
      <c r="H105" s="233">
        <f>F105*AM105</f>
        <v>0</v>
      </c>
      <c r="I105" s="233">
        <f>F105*AN105</f>
        <v>0</v>
      </c>
      <c r="J105" s="233">
        <f>F105*G105</f>
        <v>0</v>
      </c>
      <c r="K105" s="233">
        <v>0.21099999999999999</v>
      </c>
      <c r="L105" s="233">
        <f>F105*K105</f>
        <v>9.419039999999999</v>
      </c>
      <c r="M105" s="240" t="s">
        <v>472</v>
      </c>
      <c r="X105" s="233">
        <f>IF(AO105="5",BH105,0)</f>
        <v>0</v>
      </c>
      <c r="Z105" s="233">
        <f>IF(AO105="1",BF105,0)</f>
        <v>0</v>
      </c>
      <c r="AA105" s="233">
        <f>IF(AO105="1",BG105,0)</f>
        <v>0</v>
      </c>
      <c r="AB105" s="233">
        <f>IF(AO105="7",BF105,0)</f>
        <v>0</v>
      </c>
      <c r="AC105" s="233">
        <f>IF(AO105="7",BG105,0)</f>
        <v>0</v>
      </c>
      <c r="AD105" s="233">
        <f>IF(AO105="2",BF105,0)</f>
        <v>0</v>
      </c>
      <c r="AE105" s="233">
        <f>IF(AO105="2",BG105,0)</f>
        <v>0</v>
      </c>
      <c r="AF105" s="233">
        <f>IF(AO105="0",BH105,0)</f>
        <v>0</v>
      </c>
      <c r="AG105" s="229" t="s">
        <v>154</v>
      </c>
      <c r="AH105" s="233">
        <f>IF(AL105=0,J105,0)</f>
        <v>0</v>
      </c>
      <c r="AI105" s="233">
        <f>IF(AL105=15,J105,0)</f>
        <v>0</v>
      </c>
      <c r="AJ105" s="233">
        <f>IF(AL105=21,J105,0)</f>
        <v>0</v>
      </c>
      <c r="AL105" s="233">
        <v>15</v>
      </c>
      <c r="AM105" s="233">
        <f>G105*0.593950094</f>
        <v>0</v>
      </c>
      <c r="AN105" s="233">
        <f>G105*(1-0.593950094)</f>
        <v>0</v>
      </c>
      <c r="AO105" s="234" t="s">
        <v>157</v>
      </c>
      <c r="AT105" s="233">
        <f>AU105+AV105</f>
        <v>0</v>
      </c>
      <c r="AU105" s="233">
        <f>F105*AM105</f>
        <v>0</v>
      </c>
      <c r="AV105" s="233">
        <f>F105*AN105</f>
        <v>0</v>
      </c>
      <c r="AW105" s="234" t="s">
        <v>310</v>
      </c>
      <c r="AX105" s="234" t="s">
        <v>311</v>
      </c>
      <c r="AY105" s="229" t="s">
        <v>164</v>
      </c>
      <c r="BA105" s="233">
        <f>AU105+AV105</f>
        <v>0</v>
      </c>
      <c r="BB105" s="233">
        <f>G105/(100-BC105)*100</f>
        <v>0</v>
      </c>
      <c r="BC105" s="233">
        <v>0</v>
      </c>
      <c r="BD105" s="233">
        <f>L105</f>
        <v>9.419039999999999</v>
      </c>
      <c r="BF105" s="233">
        <f>F105*AM105</f>
        <v>0</v>
      </c>
      <c r="BG105" s="233">
        <f>F105*AN105</f>
        <v>0</v>
      </c>
      <c r="BH105" s="233">
        <f>F105*G105</f>
        <v>0</v>
      </c>
      <c r="BI105" s="233"/>
      <c r="BJ105" s="233">
        <v>56</v>
      </c>
      <c r="BU105" s="233" t="e">
        <f>#REF!</f>
        <v>#REF!</v>
      </c>
      <c r="BV105" s="225" t="s">
        <v>324</v>
      </c>
    </row>
    <row r="106" spans="1:74" ht="40.5" customHeight="1" x14ac:dyDescent="0.3">
      <c r="A106" s="241"/>
      <c r="B106" s="242" t="s">
        <v>165</v>
      </c>
      <c r="C106" s="530" t="s">
        <v>1574</v>
      </c>
      <c r="D106" s="531"/>
      <c r="E106" s="531"/>
      <c r="F106" s="531"/>
      <c r="G106" s="531"/>
      <c r="H106" s="531"/>
      <c r="I106" s="531"/>
      <c r="J106" s="531"/>
      <c r="K106" s="531"/>
      <c r="L106" s="531"/>
      <c r="M106" s="532"/>
    </row>
    <row r="107" spans="1:74" ht="14.4" x14ac:dyDescent="0.3">
      <c r="A107" s="239" t="s">
        <v>319</v>
      </c>
      <c r="B107" s="223" t="s">
        <v>325</v>
      </c>
      <c r="C107" s="521" t="s">
        <v>326</v>
      </c>
      <c r="D107" s="519"/>
      <c r="E107" s="223" t="s">
        <v>180</v>
      </c>
      <c r="F107" s="233">
        <v>4.79</v>
      </c>
      <c r="G107" s="311">
        <v>0</v>
      </c>
      <c r="H107" s="233">
        <f>F107*AM107</f>
        <v>0</v>
      </c>
      <c r="I107" s="233">
        <f>F107*AN107</f>
        <v>0</v>
      </c>
      <c r="J107" s="233">
        <f>F107*G107</f>
        <v>0</v>
      </c>
      <c r="K107" s="233">
        <v>0.55125000000000002</v>
      </c>
      <c r="L107" s="233">
        <f>F107*K107</f>
        <v>2.6404875000000003</v>
      </c>
      <c r="M107" s="240" t="s">
        <v>472</v>
      </c>
      <c r="X107" s="233">
        <f>IF(AO107="5",BH107,0)</f>
        <v>0</v>
      </c>
      <c r="Z107" s="233">
        <f>IF(AO107="1",BF107,0)</f>
        <v>0</v>
      </c>
      <c r="AA107" s="233">
        <f>IF(AO107="1",BG107,0)</f>
        <v>0</v>
      </c>
      <c r="AB107" s="233">
        <f>IF(AO107="7",BF107,0)</f>
        <v>0</v>
      </c>
      <c r="AC107" s="233">
        <f>IF(AO107="7",BG107,0)</f>
        <v>0</v>
      </c>
      <c r="AD107" s="233">
        <f>IF(AO107="2",BF107,0)</f>
        <v>0</v>
      </c>
      <c r="AE107" s="233">
        <f>IF(AO107="2",BG107,0)</f>
        <v>0</v>
      </c>
      <c r="AF107" s="233">
        <f>IF(AO107="0",BH107,0)</f>
        <v>0</v>
      </c>
      <c r="AG107" s="229" t="s">
        <v>154</v>
      </c>
      <c r="AH107" s="233">
        <f>IF(AL107=0,J107,0)</f>
        <v>0</v>
      </c>
      <c r="AI107" s="233">
        <f>IF(AL107=15,J107,0)</f>
        <v>0</v>
      </c>
      <c r="AJ107" s="233">
        <f>IF(AL107=21,J107,0)</f>
        <v>0</v>
      </c>
      <c r="AL107" s="233">
        <v>15</v>
      </c>
      <c r="AM107" s="233">
        <f>G107*0.875285817</f>
        <v>0</v>
      </c>
      <c r="AN107" s="233">
        <f>G107*(1-0.875285817)</f>
        <v>0</v>
      </c>
      <c r="AO107" s="234" t="s">
        <v>157</v>
      </c>
      <c r="AT107" s="233">
        <f>AU107+AV107</f>
        <v>0</v>
      </c>
      <c r="AU107" s="233">
        <f>F107*AM107</f>
        <v>0</v>
      </c>
      <c r="AV107" s="233">
        <f>F107*AN107</f>
        <v>0</v>
      </c>
      <c r="AW107" s="234" t="s">
        <v>310</v>
      </c>
      <c r="AX107" s="234" t="s">
        <v>311</v>
      </c>
      <c r="AY107" s="229" t="s">
        <v>164</v>
      </c>
      <c r="BA107" s="233">
        <f>AU107+AV107</f>
        <v>0</v>
      </c>
      <c r="BB107" s="233">
        <f>G107/(100-BC107)*100</f>
        <v>0</v>
      </c>
      <c r="BC107" s="233">
        <v>0</v>
      </c>
      <c r="BD107" s="233">
        <f>L107</f>
        <v>2.6404875000000003</v>
      </c>
      <c r="BF107" s="233">
        <f>F107*AM107</f>
        <v>0</v>
      </c>
      <c r="BG107" s="233">
        <f>F107*AN107</f>
        <v>0</v>
      </c>
      <c r="BH107" s="233">
        <f>F107*G107</f>
        <v>0</v>
      </c>
      <c r="BI107" s="233"/>
      <c r="BJ107" s="233">
        <v>56</v>
      </c>
      <c r="BU107" s="233" t="e">
        <f>#REF!</f>
        <v>#REF!</v>
      </c>
      <c r="BV107" s="225" t="s">
        <v>326</v>
      </c>
    </row>
    <row r="108" spans="1:74" ht="40.5" customHeight="1" x14ac:dyDescent="0.3">
      <c r="A108" s="241"/>
      <c r="B108" s="242" t="s">
        <v>165</v>
      </c>
      <c r="C108" s="530" t="s">
        <v>1575</v>
      </c>
      <c r="D108" s="531"/>
      <c r="E108" s="531"/>
      <c r="F108" s="531"/>
      <c r="G108" s="531"/>
      <c r="H108" s="531"/>
      <c r="I108" s="531"/>
      <c r="J108" s="531"/>
      <c r="K108" s="531"/>
      <c r="L108" s="531"/>
      <c r="M108" s="532"/>
    </row>
    <row r="109" spans="1:74" ht="14.4" x14ac:dyDescent="0.3">
      <c r="A109" s="239" t="s">
        <v>322</v>
      </c>
      <c r="B109" s="223" t="s">
        <v>316</v>
      </c>
      <c r="C109" s="521" t="s">
        <v>328</v>
      </c>
      <c r="D109" s="519"/>
      <c r="E109" s="223" t="s">
        <v>180</v>
      </c>
      <c r="F109" s="233">
        <v>5.03</v>
      </c>
      <c r="G109" s="311">
        <v>0</v>
      </c>
      <c r="H109" s="233">
        <f>F109*AM109</f>
        <v>0</v>
      </c>
      <c r="I109" s="233">
        <f>F109*AN109</f>
        <v>0</v>
      </c>
      <c r="J109" s="233">
        <f>F109*G109</f>
        <v>0</v>
      </c>
      <c r="K109" s="233">
        <v>0.48574000000000001</v>
      </c>
      <c r="L109" s="233">
        <f>F109*K109</f>
        <v>2.4432722</v>
      </c>
      <c r="M109" s="240" t="s">
        <v>472</v>
      </c>
      <c r="X109" s="233">
        <f>IF(AO109="5",BH109,0)</f>
        <v>0</v>
      </c>
      <c r="Z109" s="233">
        <f>IF(AO109="1",BF109,0)</f>
        <v>0</v>
      </c>
      <c r="AA109" s="233">
        <f>IF(AO109="1",BG109,0)</f>
        <v>0</v>
      </c>
      <c r="AB109" s="233">
        <f>IF(AO109="7",BF109,0)</f>
        <v>0</v>
      </c>
      <c r="AC109" s="233">
        <f>IF(AO109="7",BG109,0)</f>
        <v>0</v>
      </c>
      <c r="AD109" s="233">
        <f>IF(AO109="2",BF109,0)</f>
        <v>0</v>
      </c>
      <c r="AE109" s="233">
        <f>IF(AO109="2",BG109,0)</f>
        <v>0</v>
      </c>
      <c r="AF109" s="233">
        <f>IF(AO109="0",BH109,0)</f>
        <v>0</v>
      </c>
      <c r="AG109" s="229" t="s">
        <v>154</v>
      </c>
      <c r="AH109" s="233">
        <f>IF(AL109=0,J109,0)</f>
        <v>0</v>
      </c>
      <c r="AI109" s="233">
        <f>IF(AL109=15,J109,0)</f>
        <v>0</v>
      </c>
      <c r="AJ109" s="233">
        <f>IF(AL109=21,J109,0)</f>
        <v>0</v>
      </c>
      <c r="AL109" s="233">
        <v>15</v>
      </c>
      <c r="AM109" s="233">
        <f>G109*0.81286797</f>
        <v>0</v>
      </c>
      <c r="AN109" s="233">
        <f>G109*(1-0.81286797)</f>
        <v>0</v>
      </c>
      <c r="AO109" s="234" t="s">
        <v>157</v>
      </c>
      <c r="AT109" s="233">
        <f>AU109+AV109</f>
        <v>0</v>
      </c>
      <c r="AU109" s="233">
        <f>F109*AM109</f>
        <v>0</v>
      </c>
      <c r="AV109" s="233">
        <f>F109*AN109</f>
        <v>0</v>
      </c>
      <c r="AW109" s="234" t="s">
        <v>310</v>
      </c>
      <c r="AX109" s="234" t="s">
        <v>311</v>
      </c>
      <c r="AY109" s="229" t="s">
        <v>164</v>
      </c>
      <c r="BA109" s="233">
        <f>AU109+AV109</f>
        <v>0</v>
      </c>
      <c r="BB109" s="233">
        <f>G109/(100-BC109)*100</f>
        <v>0</v>
      </c>
      <c r="BC109" s="233">
        <v>0</v>
      </c>
      <c r="BD109" s="233">
        <f>L109</f>
        <v>2.4432722</v>
      </c>
      <c r="BF109" s="233">
        <f>F109*AM109</f>
        <v>0</v>
      </c>
      <c r="BG109" s="233">
        <f>F109*AN109</f>
        <v>0</v>
      </c>
      <c r="BH109" s="233">
        <f>F109*G109</f>
        <v>0</v>
      </c>
      <c r="BI109" s="233"/>
      <c r="BJ109" s="233">
        <v>56</v>
      </c>
      <c r="BU109" s="233" t="e">
        <f>#REF!</f>
        <v>#REF!</v>
      </c>
      <c r="BV109" s="225" t="s">
        <v>328</v>
      </c>
    </row>
    <row r="110" spans="1:74" ht="40.5" customHeight="1" x14ac:dyDescent="0.3">
      <c r="A110" s="241"/>
      <c r="B110" s="242" t="s">
        <v>165</v>
      </c>
      <c r="C110" s="530" t="s">
        <v>1576</v>
      </c>
      <c r="D110" s="531"/>
      <c r="E110" s="531"/>
      <c r="F110" s="531"/>
      <c r="G110" s="531"/>
      <c r="H110" s="531"/>
      <c r="I110" s="531"/>
      <c r="J110" s="531"/>
      <c r="K110" s="531"/>
      <c r="L110" s="531"/>
      <c r="M110" s="532"/>
    </row>
    <row r="111" spans="1:74" ht="14.4" x14ac:dyDescent="0.3">
      <c r="A111" s="239" t="s">
        <v>298</v>
      </c>
      <c r="B111" s="223" t="s">
        <v>330</v>
      </c>
      <c r="C111" s="521" t="s">
        <v>331</v>
      </c>
      <c r="D111" s="519"/>
      <c r="E111" s="223" t="s">
        <v>180</v>
      </c>
      <c r="F111" s="233">
        <v>4.9400000000000004</v>
      </c>
      <c r="G111" s="311">
        <v>0</v>
      </c>
      <c r="H111" s="233">
        <f>F111*AM111</f>
        <v>0</v>
      </c>
      <c r="I111" s="233">
        <f>F111*AN111</f>
        <v>0</v>
      </c>
      <c r="J111" s="233">
        <f>F111*G111</f>
        <v>0</v>
      </c>
      <c r="K111" s="233">
        <v>0.378</v>
      </c>
      <c r="L111" s="233">
        <f>F111*K111</f>
        <v>1.8673200000000001</v>
      </c>
      <c r="M111" s="240" t="s">
        <v>472</v>
      </c>
      <c r="X111" s="233">
        <f>IF(AO111="5",BH111,0)</f>
        <v>0</v>
      </c>
      <c r="Z111" s="233">
        <f>IF(AO111="1",BF111,0)</f>
        <v>0</v>
      </c>
      <c r="AA111" s="233">
        <f>IF(AO111="1",BG111,0)</f>
        <v>0</v>
      </c>
      <c r="AB111" s="233">
        <f>IF(AO111="7",BF111,0)</f>
        <v>0</v>
      </c>
      <c r="AC111" s="233">
        <f>IF(AO111="7",BG111,0)</f>
        <v>0</v>
      </c>
      <c r="AD111" s="233">
        <f>IF(AO111="2",BF111,0)</f>
        <v>0</v>
      </c>
      <c r="AE111" s="233">
        <f>IF(AO111="2",BG111,0)</f>
        <v>0</v>
      </c>
      <c r="AF111" s="233">
        <f>IF(AO111="0",BH111,0)</f>
        <v>0</v>
      </c>
      <c r="AG111" s="229" t="s">
        <v>154</v>
      </c>
      <c r="AH111" s="233">
        <f>IF(AL111=0,J111,0)</f>
        <v>0</v>
      </c>
      <c r="AI111" s="233">
        <f>IF(AL111=15,J111,0)</f>
        <v>0</v>
      </c>
      <c r="AJ111" s="233">
        <f>IF(AL111=21,J111,0)</f>
        <v>0</v>
      </c>
      <c r="AL111" s="233">
        <v>15</v>
      </c>
      <c r="AM111" s="233">
        <f>G111*0.825226942</f>
        <v>0</v>
      </c>
      <c r="AN111" s="233">
        <f>G111*(1-0.825226942)</f>
        <v>0</v>
      </c>
      <c r="AO111" s="234" t="s">
        <v>157</v>
      </c>
      <c r="AT111" s="233">
        <f>AU111+AV111</f>
        <v>0</v>
      </c>
      <c r="AU111" s="233">
        <f>F111*AM111</f>
        <v>0</v>
      </c>
      <c r="AV111" s="233">
        <f>F111*AN111</f>
        <v>0</v>
      </c>
      <c r="AW111" s="234" t="s">
        <v>310</v>
      </c>
      <c r="AX111" s="234" t="s">
        <v>311</v>
      </c>
      <c r="AY111" s="229" t="s">
        <v>164</v>
      </c>
      <c r="BA111" s="233">
        <f>AU111+AV111</f>
        <v>0</v>
      </c>
      <c r="BB111" s="233">
        <f>G111/(100-BC111)*100</f>
        <v>0</v>
      </c>
      <c r="BC111" s="233">
        <v>0</v>
      </c>
      <c r="BD111" s="233">
        <f>L111</f>
        <v>1.8673200000000001</v>
      </c>
      <c r="BF111" s="233">
        <f>F111*AM111</f>
        <v>0</v>
      </c>
      <c r="BG111" s="233">
        <f>F111*AN111</f>
        <v>0</v>
      </c>
      <c r="BH111" s="233">
        <f>F111*G111</f>
        <v>0</v>
      </c>
      <c r="BI111" s="233"/>
      <c r="BJ111" s="233">
        <v>56</v>
      </c>
      <c r="BU111" s="233" t="e">
        <f>#REF!</f>
        <v>#REF!</v>
      </c>
      <c r="BV111" s="225" t="s">
        <v>331</v>
      </c>
    </row>
    <row r="112" spans="1:74" ht="40.5" customHeight="1" x14ac:dyDescent="0.3">
      <c r="A112" s="241"/>
      <c r="B112" s="242" t="s">
        <v>165</v>
      </c>
      <c r="C112" s="530" t="s">
        <v>1577</v>
      </c>
      <c r="D112" s="531"/>
      <c r="E112" s="531"/>
      <c r="F112" s="531"/>
      <c r="G112" s="531"/>
      <c r="H112" s="531"/>
      <c r="I112" s="531"/>
      <c r="J112" s="531"/>
      <c r="K112" s="531"/>
      <c r="L112" s="531"/>
      <c r="M112" s="532"/>
    </row>
    <row r="113" spans="1:74" ht="14.4" x14ac:dyDescent="0.3">
      <c r="A113" s="239" t="s">
        <v>327</v>
      </c>
      <c r="B113" s="223" t="s">
        <v>333</v>
      </c>
      <c r="C113" s="521" t="s">
        <v>334</v>
      </c>
      <c r="D113" s="519"/>
      <c r="E113" s="223" t="s">
        <v>180</v>
      </c>
      <c r="F113" s="233">
        <v>4.99</v>
      </c>
      <c r="G113" s="311">
        <v>0</v>
      </c>
      <c r="H113" s="233">
        <f>F113*AM113</f>
        <v>0</v>
      </c>
      <c r="I113" s="233">
        <f>F113*AN113</f>
        <v>0</v>
      </c>
      <c r="J113" s="233">
        <f>F113*G113</f>
        <v>0</v>
      </c>
      <c r="K113" s="233">
        <v>0.15826000000000001</v>
      </c>
      <c r="L113" s="233">
        <f>F113*K113</f>
        <v>0.78971740000000012</v>
      </c>
      <c r="M113" s="240" t="s">
        <v>472</v>
      </c>
      <c r="X113" s="233">
        <f>IF(AO113="5",BH113,0)</f>
        <v>0</v>
      </c>
      <c r="Z113" s="233">
        <f>IF(AO113="1",BF113,0)</f>
        <v>0</v>
      </c>
      <c r="AA113" s="233">
        <f>IF(AO113="1",BG113,0)</f>
        <v>0</v>
      </c>
      <c r="AB113" s="233">
        <f>IF(AO113="7",BF113,0)</f>
        <v>0</v>
      </c>
      <c r="AC113" s="233">
        <f>IF(AO113="7",BG113,0)</f>
        <v>0</v>
      </c>
      <c r="AD113" s="233">
        <f>IF(AO113="2",BF113,0)</f>
        <v>0</v>
      </c>
      <c r="AE113" s="233">
        <f>IF(AO113="2",BG113,0)</f>
        <v>0</v>
      </c>
      <c r="AF113" s="233">
        <f>IF(AO113="0",BH113,0)</f>
        <v>0</v>
      </c>
      <c r="AG113" s="229" t="s">
        <v>154</v>
      </c>
      <c r="AH113" s="233">
        <f>IF(AL113=0,J113,0)</f>
        <v>0</v>
      </c>
      <c r="AI113" s="233">
        <f>IF(AL113=15,J113,0)</f>
        <v>0</v>
      </c>
      <c r="AJ113" s="233">
        <f>IF(AL113=21,J113,0)</f>
        <v>0</v>
      </c>
      <c r="AL113" s="233">
        <v>15</v>
      </c>
      <c r="AM113" s="233">
        <f>G113*0.800348445</f>
        <v>0</v>
      </c>
      <c r="AN113" s="233">
        <f>G113*(1-0.800348445)</f>
        <v>0</v>
      </c>
      <c r="AO113" s="234" t="s">
        <v>157</v>
      </c>
      <c r="AT113" s="233">
        <f>AU113+AV113</f>
        <v>0</v>
      </c>
      <c r="AU113" s="233">
        <f>F113*AM113</f>
        <v>0</v>
      </c>
      <c r="AV113" s="233">
        <f>F113*AN113</f>
        <v>0</v>
      </c>
      <c r="AW113" s="234" t="s">
        <v>310</v>
      </c>
      <c r="AX113" s="234" t="s">
        <v>311</v>
      </c>
      <c r="AY113" s="229" t="s">
        <v>164</v>
      </c>
      <c r="BA113" s="233">
        <f>AU113+AV113</f>
        <v>0</v>
      </c>
      <c r="BB113" s="233">
        <f>G113/(100-BC113)*100</f>
        <v>0</v>
      </c>
      <c r="BC113" s="233">
        <v>0</v>
      </c>
      <c r="BD113" s="233">
        <f>L113</f>
        <v>0.78971740000000012</v>
      </c>
      <c r="BF113" s="233">
        <f>F113*AM113</f>
        <v>0</v>
      </c>
      <c r="BG113" s="233">
        <f>F113*AN113</f>
        <v>0</v>
      </c>
      <c r="BH113" s="233">
        <f>F113*G113</f>
        <v>0</v>
      </c>
      <c r="BI113" s="233"/>
      <c r="BJ113" s="233">
        <v>56</v>
      </c>
      <c r="BU113" s="233" t="e">
        <f>#REF!</f>
        <v>#REF!</v>
      </c>
      <c r="BV113" s="225" t="s">
        <v>334</v>
      </c>
    </row>
    <row r="114" spans="1:74" ht="40.5" customHeight="1" x14ac:dyDescent="0.3">
      <c r="A114" s="241"/>
      <c r="B114" s="242" t="s">
        <v>165</v>
      </c>
      <c r="C114" s="530" t="s">
        <v>1578</v>
      </c>
      <c r="D114" s="531"/>
      <c r="E114" s="531"/>
      <c r="F114" s="531"/>
      <c r="G114" s="531"/>
      <c r="H114" s="531"/>
      <c r="I114" s="531"/>
      <c r="J114" s="531"/>
      <c r="K114" s="531"/>
      <c r="L114" s="531"/>
      <c r="M114" s="532"/>
    </row>
    <row r="115" spans="1:74" ht="14.4" x14ac:dyDescent="0.3">
      <c r="A115" s="239" t="s">
        <v>329</v>
      </c>
      <c r="B115" s="223" t="s">
        <v>1436</v>
      </c>
      <c r="C115" s="521" t="s">
        <v>1437</v>
      </c>
      <c r="D115" s="519"/>
      <c r="E115" s="223" t="s">
        <v>180</v>
      </c>
      <c r="F115" s="233">
        <v>44.63</v>
      </c>
      <c r="G115" s="311">
        <v>0</v>
      </c>
      <c r="H115" s="233">
        <f>F115*AM115</f>
        <v>0</v>
      </c>
      <c r="I115" s="233">
        <f>F115*AN115</f>
        <v>0</v>
      </c>
      <c r="J115" s="233">
        <f>F115*G115</f>
        <v>0</v>
      </c>
      <c r="K115" s="233">
        <v>0</v>
      </c>
      <c r="L115" s="233">
        <f>F115*K115</f>
        <v>0</v>
      </c>
      <c r="M115" s="240" t="s">
        <v>472</v>
      </c>
      <c r="X115" s="233">
        <f>IF(AO115="5",BH115,0)</f>
        <v>0</v>
      </c>
      <c r="Z115" s="233">
        <f>IF(AO115="1",BF115,0)</f>
        <v>0</v>
      </c>
      <c r="AA115" s="233">
        <f>IF(AO115="1",BG115,0)</f>
        <v>0</v>
      </c>
      <c r="AB115" s="233">
        <f>IF(AO115="7",BF115,0)</f>
        <v>0</v>
      </c>
      <c r="AC115" s="233">
        <f>IF(AO115="7",BG115,0)</f>
        <v>0</v>
      </c>
      <c r="AD115" s="233">
        <f>IF(AO115="2",BF115,0)</f>
        <v>0</v>
      </c>
      <c r="AE115" s="233">
        <f>IF(AO115="2",BG115,0)</f>
        <v>0</v>
      </c>
      <c r="AF115" s="233">
        <f>IF(AO115="0",BH115,0)</f>
        <v>0</v>
      </c>
      <c r="AG115" s="229" t="s">
        <v>154</v>
      </c>
      <c r="AH115" s="233">
        <f>IF(AL115=0,J115,0)</f>
        <v>0</v>
      </c>
      <c r="AI115" s="233">
        <f>IF(AL115=15,J115,0)</f>
        <v>0</v>
      </c>
      <c r="AJ115" s="233">
        <f>IF(AL115=21,J115,0)</f>
        <v>0</v>
      </c>
      <c r="AL115" s="233">
        <v>15</v>
      </c>
      <c r="AM115" s="233">
        <f>G115*0.898969843</f>
        <v>0</v>
      </c>
      <c r="AN115" s="233">
        <f>G115*(1-0.898969843)</f>
        <v>0</v>
      </c>
      <c r="AO115" s="234" t="s">
        <v>157</v>
      </c>
      <c r="AT115" s="233">
        <f>AU115+AV115</f>
        <v>0</v>
      </c>
      <c r="AU115" s="233">
        <f>F115*AM115</f>
        <v>0</v>
      </c>
      <c r="AV115" s="233">
        <f>F115*AN115</f>
        <v>0</v>
      </c>
      <c r="AW115" s="234" t="s">
        <v>310</v>
      </c>
      <c r="AX115" s="234" t="s">
        <v>311</v>
      </c>
      <c r="AY115" s="229" t="s">
        <v>164</v>
      </c>
      <c r="BA115" s="233">
        <f>AU115+AV115</f>
        <v>0</v>
      </c>
      <c r="BB115" s="233">
        <f>G115/(100-BC115)*100</f>
        <v>0</v>
      </c>
      <c r="BC115" s="233">
        <v>0</v>
      </c>
      <c r="BD115" s="233">
        <f>L115</f>
        <v>0</v>
      </c>
      <c r="BF115" s="233">
        <f>F115*AM115</f>
        <v>0</v>
      </c>
      <c r="BG115" s="233">
        <f>F115*AN115</f>
        <v>0</v>
      </c>
      <c r="BH115" s="233">
        <f>F115*G115</f>
        <v>0</v>
      </c>
      <c r="BI115" s="233"/>
      <c r="BJ115" s="233">
        <v>56</v>
      </c>
      <c r="BU115" s="233" t="e">
        <f>#REF!</f>
        <v>#REF!</v>
      </c>
      <c r="BV115" s="225" t="s">
        <v>1437</v>
      </c>
    </row>
    <row r="116" spans="1:74" ht="40.5" customHeight="1" x14ac:dyDescent="0.3">
      <c r="A116" s="241"/>
      <c r="B116" s="242" t="s">
        <v>165</v>
      </c>
      <c r="C116" s="530" t="s">
        <v>1579</v>
      </c>
      <c r="D116" s="531"/>
      <c r="E116" s="531"/>
      <c r="F116" s="531"/>
      <c r="G116" s="531"/>
      <c r="H116" s="531"/>
      <c r="I116" s="531"/>
      <c r="J116" s="531"/>
      <c r="K116" s="531"/>
      <c r="L116" s="531"/>
      <c r="M116" s="532"/>
    </row>
    <row r="117" spans="1:74" ht="14.4" x14ac:dyDescent="0.3">
      <c r="A117" s="239" t="s">
        <v>154</v>
      </c>
      <c r="B117" s="224" t="s">
        <v>335</v>
      </c>
      <c r="C117" s="526" t="s">
        <v>336</v>
      </c>
      <c r="D117" s="527"/>
      <c r="E117" s="223" t="s">
        <v>114</v>
      </c>
      <c r="F117" s="223" t="s">
        <v>114</v>
      </c>
      <c r="G117" s="223" t="s">
        <v>114</v>
      </c>
      <c r="H117" s="235">
        <f>SUM(H118:H120)</f>
        <v>0</v>
      </c>
      <c r="I117" s="235">
        <f>SUM(I118:I120)</f>
        <v>0</v>
      </c>
      <c r="J117" s="235">
        <f>SUM(J118:J120)</f>
        <v>0</v>
      </c>
      <c r="K117" s="230" t="s">
        <v>154</v>
      </c>
      <c r="L117" s="235">
        <f>SUM(L118:L120)</f>
        <v>3.7834999999999994E-2</v>
      </c>
      <c r="M117" s="243" t="s">
        <v>154</v>
      </c>
      <c r="AG117" s="229" t="s">
        <v>154</v>
      </c>
      <c r="AQ117" s="222">
        <f>SUM(AH118:AH120)</f>
        <v>0</v>
      </c>
      <c r="AR117" s="222">
        <f>SUM(AI118:AI120)</f>
        <v>0</v>
      </c>
      <c r="AS117" s="222">
        <f>SUM(AJ118:AJ120)</f>
        <v>0</v>
      </c>
    </row>
    <row r="118" spans="1:74" ht="14.4" x14ac:dyDescent="0.3">
      <c r="A118" s="239" t="s">
        <v>332</v>
      </c>
      <c r="B118" s="223" t="s">
        <v>342</v>
      </c>
      <c r="C118" s="521" t="s">
        <v>427</v>
      </c>
      <c r="D118" s="519"/>
      <c r="E118" s="223" t="s">
        <v>180</v>
      </c>
      <c r="F118" s="233">
        <v>48.62</v>
      </c>
      <c r="G118" s="311">
        <v>0</v>
      </c>
      <c r="H118" s="233">
        <f>F118*AM118</f>
        <v>0</v>
      </c>
      <c r="I118" s="233">
        <f>F118*AN118</f>
        <v>0</v>
      </c>
      <c r="J118" s="233">
        <f>F118*G118</f>
        <v>0</v>
      </c>
      <c r="K118" s="233">
        <v>6.9999999999999999E-4</v>
      </c>
      <c r="L118" s="233">
        <f>F118*K118</f>
        <v>3.4033999999999995E-2</v>
      </c>
      <c r="M118" s="240" t="s">
        <v>472</v>
      </c>
      <c r="X118" s="233">
        <f>IF(AO118="5",BH118,0)</f>
        <v>0</v>
      </c>
      <c r="Z118" s="233">
        <f>IF(AO118="1",BF118,0)</f>
        <v>0</v>
      </c>
      <c r="AA118" s="233">
        <f>IF(AO118="1",BG118,0)</f>
        <v>0</v>
      </c>
      <c r="AB118" s="233">
        <f>IF(AO118="7",BF118,0)</f>
        <v>0</v>
      </c>
      <c r="AC118" s="233">
        <f>IF(AO118="7",BG118,0)</f>
        <v>0</v>
      </c>
      <c r="AD118" s="233">
        <f>IF(AO118="2",BF118,0)</f>
        <v>0</v>
      </c>
      <c r="AE118" s="233">
        <f>IF(AO118="2",BG118,0)</f>
        <v>0</v>
      </c>
      <c r="AF118" s="233">
        <f>IF(AO118="0",BH118,0)</f>
        <v>0</v>
      </c>
      <c r="AG118" s="229" t="s">
        <v>154</v>
      </c>
      <c r="AH118" s="233">
        <f>IF(AL118=0,J118,0)</f>
        <v>0</v>
      </c>
      <c r="AI118" s="233">
        <f>IF(AL118=15,J118,0)</f>
        <v>0</v>
      </c>
      <c r="AJ118" s="233">
        <f>IF(AL118=21,J118,0)</f>
        <v>0</v>
      </c>
      <c r="AL118" s="233">
        <v>15</v>
      </c>
      <c r="AM118" s="233">
        <f>G118*0.93151388</f>
        <v>0</v>
      </c>
      <c r="AN118" s="233">
        <f>G118*(1-0.93151388)</f>
        <v>0</v>
      </c>
      <c r="AO118" s="234" t="s">
        <v>157</v>
      </c>
      <c r="AT118" s="233">
        <f>AU118+AV118</f>
        <v>0</v>
      </c>
      <c r="AU118" s="233">
        <f>F118*AM118</f>
        <v>0</v>
      </c>
      <c r="AV118" s="233">
        <f>F118*AN118</f>
        <v>0</v>
      </c>
      <c r="AW118" s="234" t="s">
        <v>340</v>
      </c>
      <c r="AX118" s="234" t="s">
        <v>311</v>
      </c>
      <c r="AY118" s="229" t="s">
        <v>164</v>
      </c>
      <c r="BA118" s="233">
        <f>AU118+AV118</f>
        <v>0</v>
      </c>
      <c r="BB118" s="233">
        <f>G118/(100-BC118)*100</f>
        <v>0</v>
      </c>
      <c r="BC118" s="233">
        <v>0</v>
      </c>
      <c r="BD118" s="233">
        <f>L118</f>
        <v>3.4033999999999995E-2</v>
      </c>
      <c r="BF118" s="233">
        <f>F118*AM118</f>
        <v>0</v>
      </c>
      <c r="BG118" s="233">
        <f>F118*AN118</f>
        <v>0</v>
      </c>
      <c r="BH118" s="233">
        <f>F118*G118</f>
        <v>0</v>
      </c>
      <c r="BI118" s="233"/>
      <c r="BJ118" s="233">
        <v>57</v>
      </c>
      <c r="BU118" s="233" t="e">
        <f>#REF!</f>
        <v>#REF!</v>
      </c>
      <c r="BV118" s="225" t="s">
        <v>427</v>
      </c>
    </row>
    <row r="119" spans="1:74" ht="40.5" customHeight="1" x14ac:dyDescent="0.3">
      <c r="A119" s="241"/>
      <c r="B119" s="242" t="s">
        <v>165</v>
      </c>
      <c r="C119" s="530" t="s">
        <v>1580</v>
      </c>
      <c r="D119" s="531"/>
      <c r="E119" s="531"/>
      <c r="F119" s="531"/>
      <c r="G119" s="531"/>
      <c r="H119" s="531"/>
      <c r="I119" s="531"/>
      <c r="J119" s="531"/>
      <c r="K119" s="531"/>
      <c r="L119" s="531"/>
      <c r="M119" s="532"/>
    </row>
    <row r="120" spans="1:74" ht="14.4" x14ac:dyDescent="0.3">
      <c r="A120" s="239" t="s">
        <v>337</v>
      </c>
      <c r="B120" s="223" t="s">
        <v>342</v>
      </c>
      <c r="C120" s="521" t="s">
        <v>343</v>
      </c>
      <c r="D120" s="519"/>
      <c r="E120" s="223" t="s">
        <v>180</v>
      </c>
      <c r="F120" s="233">
        <v>5.43</v>
      </c>
      <c r="G120" s="311">
        <v>0</v>
      </c>
      <c r="H120" s="233">
        <f>F120*AM120</f>
        <v>0</v>
      </c>
      <c r="I120" s="233">
        <f>F120*AN120</f>
        <v>0</v>
      </c>
      <c r="J120" s="233">
        <f>F120*G120</f>
        <v>0</v>
      </c>
      <c r="K120" s="233">
        <v>6.9999999999999999E-4</v>
      </c>
      <c r="L120" s="233">
        <f>F120*K120</f>
        <v>3.8009999999999997E-3</v>
      </c>
      <c r="M120" s="240" t="s">
        <v>472</v>
      </c>
      <c r="X120" s="233">
        <f>IF(AO120="5",BH120,0)</f>
        <v>0</v>
      </c>
      <c r="Z120" s="233">
        <f>IF(AO120="1",BF120,0)</f>
        <v>0</v>
      </c>
      <c r="AA120" s="233">
        <f>IF(AO120="1",BG120,0)</f>
        <v>0</v>
      </c>
      <c r="AB120" s="233">
        <f>IF(AO120="7",BF120,0)</f>
        <v>0</v>
      </c>
      <c r="AC120" s="233">
        <f>IF(AO120="7",BG120,0)</f>
        <v>0</v>
      </c>
      <c r="AD120" s="233">
        <f>IF(AO120="2",BF120,0)</f>
        <v>0</v>
      </c>
      <c r="AE120" s="233">
        <f>IF(AO120="2",BG120,0)</f>
        <v>0</v>
      </c>
      <c r="AF120" s="233">
        <f>IF(AO120="0",BH120,0)</f>
        <v>0</v>
      </c>
      <c r="AG120" s="229" t="s">
        <v>154</v>
      </c>
      <c r="AH120" s="233">
        <f>IF(AL120=0,J120,0)</f>
        <v>0</v>
      </c>
      <c r="AI120" s="233">
        <f>IF(AL120=15,J120,0)</f>
        <v>0</v>
      </c>
      <c r="AJ120" s="233">
        <f>IF(AL120=21,J120,0)</f>
        <v>0</v>
      </c>
      <c r="AL120" s="233">
        <v>15</v>
      </c>
      <c r="AM120" s="233">
        <f>G120*0.931772232</f>
        <v>0</v>
      </c>
      <c r="AN120" s="233">
        <f>G120*(1-0.931772232)</f>
        <v>0</v>
      </c>
      <c r="AO120" s="234" t="s">
        <v>157</v>
      </c>
      <c r="AT120" s="233">
        <f>AU120+AV120</f>
        <v>0</v>
      </c>
      <c r="AU120" s="233">
        <f>F120*AM120</f>
        <v>0</v>
      </c>
      <c r="AV120" s="233">
        <f>F120*AN120</f>
        <v>0</v>
      </c>
      <c r="AW120" s="234" t="s">
        <v>340</v>
      </c>
      <c r="AX120" s="234" t="s">
        <v>311</v>
      </c>
      <c r="AY120" s="229" t="s">
        <v>164</v>
      </c>
      <c r="BA120" s="233">
        <f>AU120+AV120</f>
        <v>0</v>
      </c>
      <c r="BB120" s="233">
        <f>G120/(100-BC120)*100</f>
        <v>0</v>
      </c>
      <c r="BC120" s="233">
        <v>0</v>
      </c>
      <c r="BD120" s="233">
        <f>L120</f>
        <v>3.8009999999999997E-3</v>
      </c>
      <c r="BF120" s="233">
        <f>F120*AM120</f>
        <v>0</v>
      </c>
      <c r="BG120" s="233">
        <f>F120*AN120</f>
        <v>0</v>
      </c>
      <c r="BH120" s="233">
        <f>F120*G120</f>
        <v>0</v>
      </c>
      <c r="BI120" s="233"/>
      <c r="BJ120" s="233">
        <v>57</v>
      </c>
      <c r="BU120" s="233" t="e">
        <f>#REF!</f>
        <v>#REF!</v>
      </c>
      <c r="BV120" s="225" t="s">
        <v>343</v>
      </c>
    </row>
    <row r="121" spans="1:74" ht="40.5" customHeight="1" x14ac:dyDescent="0.3">
      <c r="A121" s="241"/>
      <c r="B121" s="242" t="s">
        <v>165</v>
      </c>
      <c r="C121" s="530" t="s">
        <v>1581</v>
      </c>
      <c r="D121" s="531"/>
      <c r="E121" s="531"/>
      <c r="F121" s="531"/>
      <c r="G121" s="531"/>
      <c r="H121" s="531"/>
      <c r="I121" s="531"/>
      <c r="J121" s="531"/>
      <c r="K121" s="531"/>
      <c r="L121" s="531"/>
      <c r="M121" s="532"/>
    </row>
    <row r="122" spans="1:74" ht="14.4" x14ac:dyDescent="0.3">
      <c r="A122" s="239" t="s">
        <v>154</v>
      </c>
      <c r="B122" s="224" t="s">
        <v>344</v>
      </c>
      <c r="C122" s="526" t="s">
        <v>345</v>
      </c>
      <c r="D122" s="527"/>
      <c r="E122" s="223" t="s">
        <v>114</v>
      </c>
      <c r="F122" s="223" t="s">
        <v>114</v>
      </c>
      <c r="G122" s="223" t="s">
        <v>114</v>
      </c>
      <c r="H122" s="235">
        <f>SUM(H123:H123)</f>
        <v>0</v>
      </c>
      <c r="I122" s="235">
        <f>SUM(I123:I123)</f>
        <v>0</v>
      </c>
      <c r="J122" s="235">
        <f>SUM(J123:J123)</f>
        <v>0</v>
      </c>
      <c r="K122" s="230" t="s">
        <v>154</v>
      </c>
      <c r="L122" s="235">
        <f>SUM(L123:L123)</f>
        <v>31.813775</v>
      </c>
      <c r="M122" s="243" t="s">
        <v>154</v>
      </c>
      <c r="AG122" s="229" t="s">
        <v>154</v>
      </c>
      <c r="AQ122" s="222">
        <f>SUM(AH123:AH123)</f>
        <v>0</v>
      </c>
      <c r="AR122" s="222">
        <f>SUM(AI123:AI123)</f>
        <v>0</v>
      </c>
      <c r="AS122" s="222">
        <f>SUM(AJ123:AJ123)</f>
        <v>0</v>
      </c>
    </row>
    <row r="123" spans="1:74" ht="26.4" x14ac:dyDescent="0.3">
      <c r="A123" s="239" t="s">
        <v>341</v>
      </c>
      <c r="B123" s="223" t="s">
        <v>347</v>
      </c>
      <c r="C123" s="521" t="s">
        <v>348</v>
      </c>
      <c r="D123" s="519"/>
      <c r="E123" s="223" t="s">
        <v>180</v>
      </c>
      <c r="F123" s="233">
        <v>26.75</v>
      </c>
      <c r="G123" s="311">
        <v>0</v>
      </c>
      <c r="H123" s="233">
        <f>F123*AM123</f>
        <v>0</v>
      </c>
      <c r="I123" s="233">
        <f>F123*AN123</f>
        <v>0</v>
      </c>
      <c r="J123" s="233">
        <f>F123*G123</f>
        <v>0</v>
      </c>
      <c r="K123" s="233">
        <v>1.1893</v>
      </c>
      <c r="L123" s="233">
        <f>F123*K123</f>
        <v>31.813775</v>
      </c>
      <c r="M123" s="240" t="s">
        <v>472</v>
      </c>
      <c r="X123" s="233">
        <f>IF(AO123="5",BH123,0)</f>
        <v>0</v>
      </c>
      <c r="Z123" s="233">
        <f>IF(AO123="1",BF123,0)</f>
        <v>0</v>
      </c>
      <c r="AA123" s="233">
        <f>IF(AO123="1",BG123,0)</f>
        <v>0</v>
      </c>
      <c r="AB123" s="233">
        <f>IF(AO123="7",BF123,0)</f>
        <v>0</v>
      </c>
      <c r="AC123" s="233">
        <f>IF(AO123="7",BG123,0)</f>
        <v>0</v>
      </c>
      <c r="AD123" s="233">
        <f>IF(AO123="2",BF123,0)</f>
        <v>0</v>
      </c>
      <c r="AE123" s="233">
        <f>IF(AO123="2",BG123,0)</f>
        <v>0</v>
      </c>
      <c r="AF123" s="233">
        <f>IF(AO123="0",BH123,0)</f>
        <v>0</v>
      </c>
      <c r="AG123" s="229" t="s">
        <v>154</v>
      </c>
      <c r="AH123" s="233">
        <f>IF(AL123=0,J123,0)</f>
        <v>0</v>
      </c>
      <c r="AI123" s="233">
        <f>IF(AL123=15,J123,0)</f>
        <v>0</v>
      </c>
      <c r="AJ123" s="233">
        <f>IF(AL123=21,J123,0)</f>
        <v>0</v>
      </c>
      <c r="AL123" s="233">
        <v>15</v>
      </c>
      <c r="AM123" s="233">
        <f>G123*0.54662507</f>
        <v>0</v>
      </c>
      <c r="AN123" s="233">
        <f>G123*(1-0.54662507)</f>
        <v>0</v>
      </c>
      <c r="AO123" s="234" t="s">
        <v>157</v>
      </c>
      <c r="AT123" s="233">
        <f>AU123+AV123</f>
        <v>0</v>
      </c>
      <c r="AU123" s="233">
        <f>F123*AM123</f>
        <v>0</v>
      </c>
      <c r="AV123" s="233">
        <f>F123*AN123</f>
        <v>0</v>
      </c>
      <c r="AW123" s="234" t="s">
        <v>349</v>
      </c>
      <c r="AX123" s="234" t="s">
        <v>311</v>
      </c>
      <c r="AY123" s="229" t="s">
        <v>164</v>
      </c>
      <c r="BA123" s="233">
        <f>AU123+AV123</f>
        <v>0</v>
      </c>
      <c r="BB123" s="233">
        <f>G123/(100-BC123)*100</f>
        <v>0</v>
      </c>
      <c r="BC123" s="233">
        <v>0</v>
      </c>
      <c r="BD123" s="233">
        <f>L123</f>
        <v>31.813775</v>
      </c>
      <c r="BF123" s="233">
        <f>F123*AM123</f>
        <v>0</v>
      </c>
      <c r="BG123" s="233">
        <f>F123*AN123</f>
        <v>0</v>
      </c>
      <c r="BH123" s="233">
        <f>F123*G123</f>
        <v>0</v>
      </c>
      <c r="BI123" s="233"/>
      <c r="BJ123" s="233">
        <v>59</v>
      </c>
      <c r="BU123" s="233" t="e">
        <f>#REF!</f>
        <v>#REF!</v>
      </c>
      <c r="BV123" s="225" t="s">
        <v>348</v>
      </c>
    </row>
    <row r="124" spans="1:74" ht="108" customHeight="1" x14ac:dyDescent="0.3">
      <c r="A124" s="241"/>
      <c r="B124" s="242" t="s">
        <v>165</v>
      </c>
      <c r="C124" s="530" t="s">
        <v>1582</v>
      </c>
      <c r="D124" s="531"/>
      <c r="E124" s="531"/>
      <c r="F124" s="531"/>
      <c r="G124" s="531"/>
      <c r="H124" s="531"/>
      <c r="I124" s="531"/>
      <c r="J124" s="531"/>
      <c r="K124" s="531"/>
      <c r="L124" s="531"/>
      <c r="M124" s="532"/>
    </row>
    <row r="125" spans="1:74" ht="14.4" x14ac:dyDescent="0.3">
      <c r="A125" s="239" t="s">
        <v>154</v>
      </c>
      <c r="B125" s="224" t="s">
        <v>428</v>
      </c>
      <c r="C125" s="526" t="s">
        <v>429</v>
      </c>
      <c r="D125" s="527"/>
      <c r="E125" s="223" t="s">
        <v>114</v>
      </c>
      <c r="F125" s="223" t="s">
        <v>114</v>
      </c>
      <c r="G125" s="223" t="s">
        <v>114</v>
      </c>
      <c r="H125" s="235">
        <f>SUM(H126:H126)</f>
        <v>0</v>
      </c>
      <c r="I125" s="235">
        <f>SUM(I126:I126)</f>
        <v>0</v>
      </c>
      <c r="J125" s="235">
        <f>SUM(J126:J126)</f>
        <v>0</v>
      </c>
      <c r="K125" s="230" t="s">
        <v>154</v>
      </c>
      <c r="L125" s="235">
        <f>SUM(L126:L126)</f>
        <v>0.17823</v>
      </c>
      <c r="M125" s="243" t="s">
        <v>154</v>
      </c>
      <c r="AG125" s="229" t="s">
        <v>154</v>
      </c>
      <c r="AQ125" s="222">
        <f>SUM(AH126:AH126)</f>
        <v>0</v>
      </c>
      <c r="AR125" s="222">
        <f>SUM(AI126:AI126)</f>
        <v>0</v>
      </c>
      <c r="AS125" s="222">
        <f>SUM(AJ126:AJ126)</f>
        <v>0</v>
      </c>
    </row>
    <row r="126" spans="1:74" ht="14.4" x14ac:dyDescent="0.3">
      <c r="A126" s="239" t="s">
        <v>346</v>
      </c>
      <c r="B126" s="223" t="s">
        <v>430</v>
      </c>
      <c r="C126" s="521" t="s">
        <v>431</v>
      </c>
      <c r="D126" s="519"/>
      <c r="E126" s="223" t="s">
        <v>190</v>
      </c>
      <c r="F126" s="233">
        <v>13</v>
      </c>
      <c r="G126" s="311">
        <v>0</v>
      </c>
      <c r="H126" s="233">
        <f>F126*AM126</f>
        <v>0</v>
      </c>
      <c r="I126" s="233">
        <f>F126*AN126</f>
        <v>0</v>
      </c>
      <c r="J126" s="233">
        <f>F126*G126</f>
        <v>0</v>
      </c>
      <c r="K126" s="233">
        <v>1.371E-2</v>
      </c>
      <c r="L126" s="233">
        <f>F126*K126</f>
        <v>0.17823</v>
      </c>
      <c r="M126" s="240" t="s">
        <v>472</v>
      </c>
      <c r="X126" s="233">
        <f>IF(AO126="5",BH126,0)</f>
        <v>0</v>
      </c>
      <c r="Z126" s="233">
        <f>IF(AO126="1",BF126,0)</f>
        <v>0</v>
      </c>
      <c r="AA126" s="233">
        <f>IF(AO126="1",BG126,0)</f>
        <v>0</v>
      </c>
      <c r="AB126" s="233">
        <f>IF(AO126="7",BF126,0)</f>
        <v>0</v>
      </c>
      <c r="AC126" s="233">
        <f>IF(AO126="7",BG126,0)</f>
        <v>0</v>
      </c>
      <c r="AD126" s="233">
        <f>IF(AO126="2",BF126,0)</f>
        <v>0</v>
      </c>
      <c r="AE126" s="233">
        <f>IF(AO126="2",BG126,0)</f>
        <v>0</v>
      </c>
      <c r="AF126" s="233">
        <f>IF(AO126="0",BH126,0)</f>
        <v>0</v>
      </c>
      <c r="AG126" s="229" t="s">
        <v>154</v>
      </c>
      <c r="AH126" s="233">
        <f>IF(AL126=0,J126,0)</f>
        <v>0</v>
      </c>
      <c r="AI126" s="233">
        <f>IF(AL126=15,J126,0)</f>
        <v>0</v>
      </c>
      <c r="AJ126" s="233">
        <f>IF(AL126=21,J126,0)</f>
        <v>0</v>
      </c>
      <c r="AL126" s="233">
        <v>15</v>
      </c>
      <c r="AM126" s="233">
        <f>G126*0.450865186</f>
        <v>0</v>
      </c>
      <c r="AN126" s="233">
        <f>G126*(1-0.450865186)</f>
        <v>0</v>
      </c>
      <c r="AO126" s="234" t="s">
        <v>184</v>
      </c>
      <c r="AT126" s="233">
        <f>AU126+AV126</f>
        <v>0</v>
      </c>
      <c r="AU126" s="233">
        <f>F126*AM126</f>
        <v>0</v>
      </c>
      <c r="AV126" s="233">
        <f>F126*AN126</f>
        <v>0</v>
      </c>
      <c r="AW126" s="234" t="s">
        <v>432</v>
      </c>
      <c r="AX126" s="234" t="s">
        <v>433</v>
      </c>
      <c r="AY126" s="229" t="s">
        <v>164</v>
      </c>
      <c r="BA126" s="233">
        <f>AU126+AV126</f>
        <v>0</v>
      </c>
      <c r="BB126" s="233">
        <f>G126/(100-BC126)*100</f>
        <v>0</v>
      </c>
      <c r="BC126" s="233">
        <v>0</v>
      </c>
      <c r="BD126" s="233">
        <f>L126</f>
        <v>0.17823</v>
      </c>
      <c r="BF126" s="233">
        <f>F126*AM126</f>
        <v>0</v>
      </c>
      <c r="BG126" s="233">
        <f>F126*AN126</f>
        <v>0</v>
      </c>
      <c r="BH126" s="233">
        <f>F126*G126</f>
        <v>0</v>
      </c>
      <c r="BI126" s="233"/>
      <c r="BJ126" s="233">
        <v>722</v>
      </c>
      <c r="BU126" s="233" t="e">
        <f>#REF!</f>
        <v>#REF!</v>
      </c>
      <c r="BV126" s="225" t="s">
        <v>431</v>
      </c>
    </row>
    <row r="127" spans="1:74" ht="40.5" customHeight="1" x14ac:dyDescent="0.3">
      <c r="A127" s="244"/>
      <c r="B127" s="245" t="s">
        <v>165</v>
      </c>
      <c r="C127" s="540" t="s">
        <v>1583</v>
      </c>
      <c r="D127" s="541"/>
      <c r="E127" s="541"/>
      <c r="F127" s="541"/>
      <c r="G127" s="541"/>
      <c r="H127" s="541"/>
      <c r="I127" s="541"/>
      <c r="J127" s="541"/>
      <c r="K127" s="541"/>
      <c r="L127" s="541"/>
      <c r="M127" s="542"/>
    </row>
    <row r="128" spans="1:74" ht="14.4" x14ac:dyDescent="0.3">
      <c r="A128" s="237" t="s">
        <v>154</v>
      </c>
      <c r="B128" s="260" t="s">
        <v>350</v>
      </c>
      <c r="C128" s="545" t="s">
        <v>351</v>
      </c>
      <c r="D128" s="546"/>
      <c r="E128" s="238" t="s">
        <v>114</v>
      </c>
      <c r="F128" s="238" t="s">
        <v>114</v>
      </c>
      <c r="G128" s="238" t="s">
        <v>114</v>
      </c>
      <c r="H128" s="261">
        <f>SUM(H129:H129)</f>
        <v>0</v>
      </c>
      <c r="I128" s="261">
        <f>SUM(I129:I129)</f>
        <v>0</v>
      </c>
      <c r="J128" s="261">
        <f>SUM(J129:J129)</f>
        <v>0</v>
      </c>
      <c r="K128" s="262" t="s">
        <v>154</v>
      </c>
      <c r="L128" s="261">
        <f>SUM(L129:L129)</f>
        <v>25.708900000000003</v>
      </c>
      <c r="M128" s="263" t="s">
        <v>154</v>
      </c>
      <c r="AG128" s="229" t="s">
        <v>154</v>
      </c>
      <c r="AQ128" s="222">
        <f>SUM(AH129:AH129)</f>
        <v>0</v>
      </c>
      <c r="AR128" s="222">
        <f>SUM(AI129:AI129)</f>
        <v>0</v>
      </c>
      <c r="AS128" s="222">
        <f>SUM(AJ129:AJ129)</f>
        <v>0</v>
      </c>
    </row>
    <row r="129" spans="1:74" ht="14.4" x14ac:dyDescent="0.3">
      <c r="A129" s="239" t="s">
        <v>352</v>
      </c>
      <c r="B129" s="223" t="s">
        <v>434</v>
      </c>
      <c r="C129" s="521" t="s">
        <v>435</v>
      </c>
      <c r="D129" s="519"/>
      <c r="E129" s="223" t="s">
        <v>160</v>
      </c>
      <c r="F129" s="233">
        <v>95</v>
      </c>
      <c r="G129" s="311">
        <v>0</v>
      </c>
      <c r="H129" s="233">
        <f>F129*AM129</f>
        <v>0</v>
      </c>
      <c r="I129" s="233">
        <f>F129*AN129</f>
        <v>0</v>
      </c>
      <c r="J129" s="233">
        <f>F129*G129</f>
        <v>0</v>
      </c>
      <c r="K129" s="233">
        <v>0.27062000000000003</v>
      </c>
      <c r="L129" s="233">
        <f>F129*K129</f>
        <v>25.708900000000003</v>
      </c>
      <c r="M129" s="240" t="s">
        <v>472</v>
      </c>
      <c r="X129" s="233">
        <f>IF(AO129="5",BH129,0)</f>
        <v>0</v>
      </c>
      <c r="Z129" s="233">
        <f>IF(AO129="1",BF129,0)</f>
        <v>0</v>
      </c>
      <c r="AA129" s="233">
        <f>IF(AO129="1",BG129,0)</f>
        <v>0</v>
      </c>
      <c r="AB129" s="233">
        <f>IF(AO129="7",BF129,0)</f>
        <v>0</v>
      </c>
      <c r="AC129" s="233">
        <f>IF(AO129="7",BG129,0)</f>
        <v>0</v>
      </c>
      <c r="AD129" s="233">
        <f>IF(AO129="2",BF129,0)</f>
        <v>0</v>
      </c>
      <c r="AE129" s="233">
        <f>IF(AO129="2",BG129,0)</f>
        <v>0</v>
      </c>
      <c r="AF129" s="233">
        <f>IF(AO129="0",BH129,0)</f>
        <v>0</v>
      </c>
      <c r="AG129" s="229" t="s">
        <v>154</v>
      </c>
      <c r="AH129" s="233">
        <f>IF(AL129=0,J129,0)</f>
        <v>0</v>
      </c>
      <c r="AI129" s="233">
        <f>IF(AL129=15,J129,0)</f>
        <v>0</v>
      </c>
      <c r="AJ129" s="233">
        <f>IF(AL129=21,J129,0)</f>
        <v>0</v>
      </c>
      <c r="AL129" s="233">
        <v>15</v>
      </c>
      <c r="AM129" s="233">
        <f>G129*0.407317159</f>
        <v>0</v>
      </c>
      <c r="AN129" s="233">
        <f>G129*(1-0.407317159)</f>
        <v>0</v>
      </c>
      <c r="AO129" s="234" t="s">
        <v>157</v>
      </c>
      <c r="AT129" s="233">
        <f>AU129+AV129</f>
        <v>0</v>
      </c>
      <c r="AU129" s="233">
        <f>F129*AM129</f>
        <v>0</v>
      </c>
      <c r="AV129" s="233">
        <f>F129*AN129</f>
        <v>0</v>
      </c>
      <c r="AW129" s="234" t="s">
        <v>355</v>
      </c>
      <c r="AX129" s="234" t="s">
        <v>356</v>
      </c>
      <c r="AY129" s="229" t="s">
        <v>164</v>
      </c>
      <c r="BA129" s="233">
        <f>AU129+AV129</f>
        <v>0</v>
      </c>
      <c r="BB129" s="233">
        <f>G129/(100-BC129)*100</f>
        <v>0</v>
      </c>
      <c r="BC129" s="233">
        <v>0</v>
      </c>
      <c r="BD129" s="233">
        <f>L129</f>
        <v>25.708900000000003</v>
      </c>
      <c r="BF129" s="233">
        <f>F129*AM129</f>
        <v>0</v>
      </c>
      <c r="BG129" s="233">
        <f>F129*AN129</f>
        <v>0</v>
      </c>
      <c r="BH129" s="233">
        <f>F129*G129</f>
        <v>0</v>
      </c>
      <c r="BI129" s="233"/>
      <c r="BJ129" s="233">
        <v>83</v>
      </c>
      <c r="BU129" s="233" t="e">
        <f>#REF!</f>
        <v>#REF!</v>
      </c>
      <c r="BV129" s="225" t="s">
        <v>435</v>
      </c>
    </row>
    <row r="130" spans="1:74" ht="121.5" customHeight="1" x14ac:dyDescent="0.3">
      <c r="A130" s="241"/>
      <c r="B130" s="242" t="s">
        <v>165</v>
      </c>
      <c r="C130" s="530" t="s">
        <v>1584</v>
      </c>
      <c r="D130" s="531"/>
      <c r="E130" s="531"/>
      <c r="F130" s="531"/>
      <c r="G130" s="531"/>
      <c r="H130" s="531"/>
      <c r="I130" s="531"/>
      <c r="J130" s="531"/>
      <c r="K130" s="531"/>
      <c r="L130" s="531"/>
      <c r="M130" s="532"/>
    </row>
    <row r="131" spans="1:74" ht="14.4" x14ac:dyDescent="0.3">
      <c r="A131" s="239" t="s">
        <v>154</v>
      </c>
      <c r="B131" s="224" t="s">
        <v>360</v>
      </c>
      <c r="C131" s="526" t="s">
        <v>361</v>
      </c>
      <c r="D131" s="527"/>
      <c r="E131" s="223" t="s">
        <v>114</v>
      </c>
      <c r="F131" s="223" t="s">
        <v>114</v>
      </c>
      <c r="G131" s="223" t="s">
        <v>114</v>
      </c>
      <c r="H131" s="235">
        <f>SUM(H132:H136)</f>
        <v>0</v>
      </c>
      <c r="I131" s="235">
        <f>SUM(I132:I136)</f>
        <v>0</v>
      </c>
      <c r="J131" s="235">
        <f>SUM(J132:J136)</f>
        <v>0</v>
      </c>
      <c r="K131" s="230" t="s">
        <v>154</v>
      </c>
      <c r="L131" s="235">
        <f>SUM(L132:L136)</f>
        <v>0.10474</v>
      </c>
      <c r="M131" s="243" t="s">
        <v>154</v>
      </c>
      <c r="AG131" s="229" t="s">
        <v>154</v>
      </c>
      <c r="AQ131" s="222">
        <f>SUM(AH132:AH136)</f>
        <v>0</v>
      </c>
      <c r="AR131" s="222">
        <f>SUM(AI132:AI136)</f>
        <v>0</v>
      </c>
      <c r="AS131" s="222">
        <f>SUM(AJ132:AJ136)</f>
        <v>0</v>
      </c>
    </row>
    <row r="132" spans="1:74" ht="14.4" x14ac:dyDescent="0.3">
      <c r="A132" s="239" t="s">
        <v>357</v>
      </c>
      <c r="B132" s="223" t="s">
        <v>436</v>
      </c>
      <c r="C132" s="521" t="s">
        <v>437</v>
      </c>
      <c r="D132" s="519"/>
      <c r="E132" s="223" t="s">
        <v>365</v>
      </c>
      <c r="F132" s="233">
        <v>3</v>
      </c>
      <c r="G132" s="311">
        <v>0</v>
      </c>
      <c r="H132" s="233">
        <f>F132*AM132</f>
        <v>0</v>
      </c>
      <c r="I132" s="233">
        <f>F132*AN132</f>
        <v>0</v>
      </c>
      <c r="J132" s="233">
        <f>F132*G132</f>
        <v>0</v>
      </c>
      <c r="K132" s="233">
        <v>3.2000000000000001E-2</v>
      </c>
      <c r="L132" s="233">
        <f>F132*K132</f>
        <v>9.6000000000000002E-2</v>
      </c>
      <c r="M132" s="240" t="s">
        <v>472</v>
      </c>
      <c r="X132" s="233">
        <f>IF(AO132="5",BH132,0)</f>
        <v>0</v>
      </c>
      <c r="Z132" s="233">
        <f>IF(AO132="1",BF132,0)</f>
        <v>0</v>
      </c>
      <c r="AA132" s="233">
        <f>IF(AO132="1",BG132,0)</f>
        <v>0</v>
      </c>
      <c r="AB132" s="233">
        <f>IF(AO132="7",BF132,0)</f>
        <v>0</v>
      </c>
      <c r="AC132" s="233">
        <f>IF(AO132="7",BG132,0)</f>
        <v>0</v>
      </c>
      <c r="AD132" s="233">
        <f>IF(AO132="2",BF132,0)</f>
        <v>0</v>
      </c>
      <c r="AE132" s="233">
        <f>IF(AO132="2",BG132,0)</f>
        <v>0</v>
      </c>
      <c r="AF132" s="233">
        <f>IF(AO132="0",BH132,0)</f>
        <v>0</v>
      </c>
      <c r="AG132" s="229" t="s">
        <v>154</v>
      </c>
      <c r="AH132" s="233">
        <f>IF(AL132=0,J132,0)</f>
        <v>0</v>
      </c>
      <c r="AI132" s="233">
        <f>IF(AL132=15,J132,0)</f>
        <v>0</v>
      </c>
      <c r="AJ132" s="233">
        <f>IF(AL132=21,J132,0)</f>
        <v>0</v>
      </c>
      <c r="AL132" s="233">
        <v>15</v>
      </c>
      <c r="AM132" s="233">
        <f>G132*0.919823606</f>
        <v>0</v>
      </c>
      <c r="AN132" s="233">
        <f>G132*(1-0.919823606)</f>
        <v>0</v>
      </c>
      <c r="AO132" s="234" t="s">
        <v>157</v>
      </c>
      <c r="AT132" s="233">
        <f>AU132+AV132</f>
        <v>0</v>
      </c>
      <c r="AU132" s="233">
        <f>F132*AM132</f>
        <v>0</v>
      </c>
      <c r="AV132" s="233">
        <f>F132*AN132</f>
        <v>0</v>
      </c>
      <c r="AW132" s="234" t="s">
        <v>366</v>
      </c>
      <c r="AX132" s="234" t="s">
        <v>356</v>
      </c>
      <c r="AY132" s="229" t="s">
        <v>164</v>
      </c>
      <c r="BA132" s="233">
        <f>AU132+AV132</f>
        <v>0</v>
      </c>
      <c r="BB132" s="233">
        <f>G132/(100-BC132)*100</f>
        <v>0</v>
      </c>
      <c r="BC132" s="233">
        <v>0</v>
      </c>
      <c r="BD132" s="233">
        <f>L132</f>
        <v>9.6000000000000002E-2</v>
      </c>
      <c r="BF132" s="233">
        <f>F132*AM132</f>
        <v>0</v>
      </c>
      <c r="BG132" s="233">
        <f>F132*AN132</f>
        <v>0</v>
      </c>
      <c r="BH132" s="233">
        <f>F132*G132</f>
        <v>0</v>
      </c>
      <c r="BI132" s="233"/>
      <c r="BJ132" s="233">
        <v>89</v>
      </c>
      <c r="BU132" s="233" t="e">
        <f>#REF!</f>
        <v>#REF!</v>
      </c>
      <c r="BV132" s="225" t="s">
        <v>437</v>
      </c>
    </row>
    <row r="133" spans="1:74" ht="121.5" customHeight="1" x14ac:dyDescent="0.3">
      <c r="A133" s="241"/>
      <c r="B133" s="242" t="s">
        <v>165</v>
      </c>
      <c r="C133" s="530" t="s">
        <v>1585</v>
      </c>
      <c r="D133" s="531"/>
      <c r="E133" s="531"/>
      <c r="F133" s="531"/>
      <c r="G133" s="531"/>
      <c r="H133" s="531"/>
      <c r="I133" s="531"/>
      <c r="J133" s="531"/>
      <c r="K133" s="531"/>
      <c r="L133" s="531"/>
      <c r="M133" s="532"/>
    </row>
    <row r="134" spans="1:74" ht="14.4" x14ac:dyDescent="0.3">
      <c r="A134" s="239" t="s">
        <v>362</v>
      </c>
      <c r="B134" s="223" t="s">
        <v>438</v>
      </c>
      <c r="C134" s="521" t="s">
        <v>439</v>
      </c>
      <c r="D134" s="519"/>
      <c r="E134" s="223" t="s">
        <v>160</v>
      </c>
      <c r="F134" s="233">
        <v>104.5</v>
      </c>
      <c r="G134" s="311">
        <v>0</v>
      </c>
      <c r="H134" s="233">
        <f>F134*AM134</f>
        <v>0</v>
      </c>
      <c r="I134" s="233">
        <f>F134*AN134</f>
        <v>0</v>
      </c>
      <c r="J134" s="233">
        <f>F134*G134</f>
        <v>0</v>
      </c>
      <c r="K134" s="233">
        <v>0</v>
      </c>
      <c r="L134" s="233">
        <f>F134*K134</f>
        <v>0</v>
      </c>
      <c r="M134" s="240" t="s">
        <v>472</v>
      </c>
      <c r="X134" s="233">
        <f>IF(AO134="5",BH134,0)</f>
        <v>0</v>
      </c>
      <c r="Z134" s="233">
        <f>IF(AO134="1",BF134,0)</f>
        <v>0</v>
      </c>
      <c r="AA134" s="233">
        <f>IF(AO134="1",BG134,0)</f>
        <v>0</v>
      </c>
      <c r="AB134" s="233">
        <f>IF(AO134="7",BF134,0)</f>
        <v>0</v>
      </c>
      <c r="AC134" s="233">
        <f>IF(AO134="7",BG134,0)</f>
        <v>0</v>
      </c>
      <c r="AD134" s="233">
        <f>IF(AO134="2",BF134,0)</f>
        <v>0</v>
      </c>
      <c r="AE134" s="233">
        <f>IF(AO134="2",BG134,0)</f>
        <v>0</v>
      </c>
      <c r="AF134" s="233">
        <f>IF(AO134="0",BH134,0)</f>
        <v>0</v>
      </c>
      <c r="AG134" s="229" t="s">
        <v>154</v>
      </c>
      <c r="AH134" s="233">
        <f>IF(AL134=0,J134,0)</f>
        <v>0</v>
      </c>
      <c r="AI134" s="233">
        <f>IF(AL134=15,J134,0)</f>
        <v>0</v>
      </c>
      <c r="AJ134" s="233">
        <f>IF(AL134=21,J134,0)</f>
        <v>0</v>
      </c>
      <c r="AL134" s="233">
        <v>15</v>
      </c>
      <c r="AM134" s="233">
        <f>G134*0.353991237</f>
        <v>0</v>
      </c>
      <c r="AN134" s="233">
        <f>G134*(1-0.353991237)</f>
        <v>0</v>
      </c>
      <c r="AO134" s="234" t="s">
        <v>157</v>
      </c>
      <c r="AT134" s="233">
        <f>AU134+AV134</f>
        <v>0</v>
      </c>
      <c r="AU134" s="233">
        <f>F134*AM134</f>
        <v>0</v>
      </c>
      <c r="AV134" s="233">
        <f>F134*AN134</f>
        <v>0</v>
      </c>
      <c r="AW134" s="234" t="s">
        <v>366</v>
      </c>
      <c r="AX134" s="234" t="s">
        <v>356</v>
      </c>
      <c r="AY134" s="229" t="s">
        <v>164</v>
      </c>
      <c r="BA134" s="233">
        <f>AU134+AV134</f>
        <v>0</v>
      </c>
      <c r="BB134" s="233">
        <f>G134/(100-BC134)*100</f>
        <v>0</v>
      </c>
      <c r="BC134" s="233">
        <v>0</v>
      </c>
      <c r="BD134" s="233">
        <f>L134</f>
        <v>0</v>
      </c>
      <c r="BF134" s="233">
        <f>F134*AM134</f>
        <v>0</v>
      </c>
      <c r="BG134" s="233">
        <f>F134*AN134</f>
        <v>0</v>
      </c>
      <c r="BH134" s="233">
        <f>F134*G134</f>
        <v>0</v>
      </c>
      <c r="BI134" s="233"/>
      <c r="BJ134" s="233">
        <v>89</v>
      </c>
      <c r="BU134" s="233" t="e">
        <f>#REF!</f>
        <v>#REF!</v>
      </c>
      <c r="BV134" s="225" t="s">
        <v>439</v>
      </c>
    </row>
    <row r="135" spans="1:74" ht="40.5" customHeight="1" x14ac:dyDescent="0.3">
      <c r="A135" s="241"/>
      <c r="B135" s="242" t="s">
        <v>165</v>
      </c>
      <c r="C135" s="530" t="s">
        <v>1586</v>
      </c>
      <c r="D135" s="531"/>
      <c r="E135" s="531"/>
      <c r="F135" s="531"/>
      <c r="G135" s="531"/>
      <c r="H135" s="531"/>
      <c r="I135" s="531"/>
      <c r="J135" s="531"/>
      <c r="K135" s="531"/>
      <c r="L135" s="531"/>
      <c r="M135" s="532"/>
    </row>
    <row r="136" spans="1:74" ht="14.4" x14ac:dyDescent="0.3">
      <c r="A136" s="239" t="s">
        <v>367</v>
      </c>
      <c r="B136" s="223" t="s">
        <v>440</v>
      </c>
      <c r="C136" s="521" t="s">
        <v>441</v>
      </c>
      <c r="D136" s="519"/>
      <c r="E136" s="223" t="s">
        <v>160</v>
      </c>
      <c r="F136" s="233">
        <v>109.25</v>
      </c>
      <c r="G136" s="311">
        <v>0</v>
      </c>
      <c r="H136" s="233">
        <f>F136*AM136</f>
        <v>0</v>
      </c>
      <c r="I136" s="233">
        <f>F136*AN136</f>
        <v>0</v>
      </c>
      <c r="J136" s="233">
        <f>F136*G136</f>
        <v>0</v>
      </c>
      <c r="K136" s="233">
        <v>8.0000000000000007E-5</v>
      </c>
      <c r="L136" s="233">
        <f>F136*K136</f>
        <v>8.7400000000000012E-3</v>
      </c>
      <c r="M136" s="240" t="s">
        <v>472</v>
      </c>
      <c r="X136" s="233">
        <f>IF(AO136="5",BH136,0)</f>
        <v>0</v>
      </c>
      <c r="Z136" s="233">
        <f>IF(AO136="1",BF136,0)</f>
        <v>0</v>
      </c>
      <c r="AA136" s="233">
        <f>IF(AO136="1",BG136,0)</f>
        <v>0</v>
      </c>
      <c r="AB136" s="233">
        <f>IF(AO136="7",BF136,0)</f>
        <v>0</v>
      </c>
      <c r="AC136" s="233">
        <f>IF(AO136="7",BG136,0)</f>
        <v>0</v>
      </c>
      <c r="AD136" s="233">
        <f>IF(AO136="2",BF136,0)</f>
        <v>0</v>
      </c>
      <c r="AE136" s="233">
        <f>IF(AO136="2",BG136,0)</f>
        <v>0</v>
      </c>
      <c r="AF136" s="233">
        <f>IF(AO136="0",BH136,0)</f>
        <v>0</v>
      </c>
      <c r="AG136" s="229" t="s">
        <v>154</v>
      </c>
      <c r="AH136" s="233">
        <f>IF(AL136=0,J136,0)</f>
        <v>0</v>
      </c>
      <c r="AI136" s="233">
        <f>IF(AL136=15,J136,0)</f>
        <v>0</v>
      </c>
      <c r="AJ136" s="233">
        <f>IF(AL136=21,J136,0)</f>
        <v>0</v>
      </c>
      <c r="AL136" s="233">
        <v>15</v>
      </c>
      <c r="AM136" s="233">
        <f>G136*0.568156015</f>
        <v>0</v>
      </c>
      <c r="AN136" s="233">
        <f>G136*(1-0.568156015)</f>
        <v>0</v>
      </c>
      <c r="AO136" s="234" t="s">
        <v>157</v>
      </c>
      <c r="AT136" s="233">
        <f>AU136+AV136</f>
        <v>0</v>
      </c>
      <c r="AU136" s="233">
        <f>F136*AM136</f>
        <v>0</v>
      </c>
      <c r="AV136" s="233">
        <f>F136*AN136</f>
        <v>0</v>
      </c>
      <c r="AW136" s="234" t="s">
        <v>366</v>
      </c>
      <c r="AX136" s="234" t="s">
        <v>356</v>
      </c>
      <c r="AY136" s="229" t="s">
        <v>164</v>
      </c>
      <c r="BA136" s="233">
        <f>AU136+AV136</f>
        <v>0</v>
      </c>
      <c r="BB136" s="233">
        <f>G136/(100-BC136)*100</f>
        <v>0</v>
      </c>
      <c r="BC136" s="233">
        <v>0</v>
      </c>
      <c r="BD136" s="233">
        <f>L136</f>
        <v>8.7400000000000012E-3</v>
      </c>
      <c r="BF136" s="233">
        <f>F136*AM136</f>
        <v>0</v>
      </c>
      <c r="BG136" s="233">
        <f>F136*AN136</f>
        <v>0</v>
      </c>
      <c r="BH136" s="233">
        <f>F136*G136</f>
        <v>0</v>
      </c>
      <c r="BI136" s="233"/>
      <c r="BJ136" s="233">
        <v>89</v>
      </c>
      <c r="BU136" s="233" t="e">
        <f>#REF!</f>
        <v>#REF!</v>
      </c>
      <c r="BV136" s="225" t="s">
        <v>441</v>
      </c>
    </row>
    <row r="137" spans="1:74" ht="40.5" customHeight="1" x14ac:dyDescent="0.3">
      <c r="A137" s="241"/>
      <c r="B137" s="242" t="s">
        <v>165</v>
      </c>
      <c r="C137" s="530" t="s">
        <v>1587</v>
      </c>
      <c r="D137" s="531"/>
      <c r="E137" s="531"/>
      <c r="F137" s="531"/>
      <c r="G137" s="531"/>
      <c r="H137" s="531"/>
      <c r="I137" s="531"/>
      <c r="J137" s="531"/>
      <c r="K137" s="531"/>
      <c r="L137" s="531"/>
      <c r="M137" s="532"/>
    </row>
    <row r="138" spans="1:74" ht="14.4" x14ac:dyDescent="0.3">
      <c r="A138" s="239" t="s">
        <v>154</v>
      </c>
      <c r="B138" s="224" t="s">
        <v>370</v>
      </c>
      <c r="C138" s="526" t="s">
        <v>371</v>
      </c>
      <c r="D138" s="527"/>
      <c r="E138" s="223" t="s">
        <v>114</v>
      </c>
      <c r="F138" s="223" t="s">
        <v>114</v>
      </c>
      <c r="G138" s="223" t="s">
        <v>114</v>
      </c>
      <c r="H138" s="235">
        <f>SUM(H139:H139)</f>
        <v>0</v>
      </c>
      <c r="I138" s="235">
        <f>SUM(I139:I139)</f>
        <v>0</v>
      </c>
      <c r="J138" s="235">
        <f>SUM(J139:J139)</f>
        <v>0</v>
      </c>
      <c r="K138" s="230" t="s">
        <v>154</v>
      </c>
      <c r="L138" s="235">
        <f>SUM(L139:L139)</f>
        <v>6.6500000000000004E-2</v>
      </c>
      <c r="M138" s="243" t="s">
        <v>154</v>
      </c>
      <c r="AG138" s="229" t="s">
        <v>154</v>
      </c>
      <c r="AQ138" s="222">
        <f>SUM(AH139:AH139)</f>
        <v>0</v>
      </c>
      <c r="AR138" s="222">
        <f>SUM(AI139:AI139)</f>
        <v>0</v>
      </c>
      <c r="AS138" s="222">
        <f>SUM(AJ139:AJ139)</f>
        <v>0</v>
      </c>
    </row>
    <row r="139" spans="1:74" ht="14.4" x14ac:dyDescent="0.3">
      <c r="A139" s="239" t="s">
        <v>305</v>
      </c>
      <c r="B139" s="223" t="s">
        <v>372</v>
      </c>
      <c r="C139" s="521" t="s">
        <v>442</v>
      </c>
      <c r="D139" s="519"/>
      <c r="E139" s="223" t="s">
        <v>160</v>
      </c>
      <c r="F139" s="233">
        <v>95</v>
      </c>
      <c r="G139" s="311">
        <v>0</v>
      </c>
      <c r="H139" s="233">
        <f>F139*AM139</f>
        <v>0</v>
      </c>
      <c r="I139" s="233">
        <f>F139*AN139</f>
        <v>0</v>
      </c>
      <c r="J139" s="233">
        <f>F139*G139</f>
        <v>0</v>
      </c>
      <c r="K139" s="233">
        <v>6.9999999999999999E-4</v>
      </c>
      <c r="L139" s="233">
        <f>F139*K139</f>
        <v>6.6500000000000004E-2</v>
      </c>
      <c r="M139" s="240" t="s">
        <v>472</v>
      </c>
      <c r="X139" s="233">
        <f>IF(AO139="5",BH139,0)</f>
        <v>0</v>
      </c>
      <c r="Z139" s="233">
        <f>IF(AO139="1",BF139,0)</f>
        <v>0</v>
      </c>
      <c r="AA139" s="233">
        <f>IF(AO139="1",BG139,0)</f>
        <v>0</v>
      </c>
      <c r="AB139" s="233">
        <f>IF(AO139="7",BF139,0)</f>
        <v>0</v>
      </c>
      <c r="AC139" s="233">
        <f>IF(AO139="7",BG139,0)</f>
        <v>0</v>
      </c>
      <c r="AD139" s="233">
        <f>IF(AO139="2",BF139,0)</f>
        <v>0</v>
      </c>
      <c r="AE139" s="233">
        <f>IF(AO139="2",BG139,0)</f>
        <v>0</v>
      </c>
      <c r="AF139" s="233">
        <f>IF(AO139="0",BH139,0)</f>
        <v>0</v>
      </c>
      <c r="AG139" s="229" t="s">
        <v>154</v>
      </c>
      <c r="AH139" s="233">
        <f>IF(AL139=0,J139,0)</f>
        <v>0</v>
      </c>
      <c r="AI139" s="233">
        <f>IF(AL139=15,J139,0)</f>
        <v>0</v>
      </c>
      <c r="AJ139" s="233">
        <f>IF(AL139=21,J139,0)</f>
        <v>0</v>
      </c>
      <c r="AL139" s="233">
        <v>15</v>
      </c>
      <c r="AM139" s="233">
        <f>G139*0.102309708</f>
        <v>0</v>
      </c>
      <c r="AN139" s="233">
        <f>G139*(1-0.102309708)</f>
        <v>0</v>
      </c>
      <c r="AO139" s="234" t="s">
        <v>157</v>
      </c>
      <c r="AT139" s="233">
        <f>AU139+AV139</f>
        <v>0</v>
      </c>
      <c r="AU139" s="233">
        <f>F139*AM139</f>
        <v>0</v>
      </c>
      <c r="AV139" s="233">
        <f>F139*AN139</f>
        <v>0</v>
      </c>
      <c r="AW139" s="234" t="s">
        <v>374</v>
      </c>
      <c r="AX139" s="234" t="s">
        <v>375</v>
      </c>
      <c r="AY139" s="229" t="s">
        <v>164</v>
      </c>
      <c r="BA139" s="233">
        <f>AU139+AV139</f>
        <v>0</v>
      </c>
      <c r="BB139" s="233">
        <f>G139/(100-BC139)*100</f>
        <v>0</v>
      </c>
      <c r="BC139" s="233">
        <v>0</v>
      </c>
      <c r="BD139" s="233">
        <f>L139</f>
        <v>6.6500000000000004E-2</v>
      </c>
      <c r="BF139" s="233">
        <f>F139*AM139</f>
        <v>0</v>
      </c>
      <c r="BG139" s="233">
        <f>F139*AN139</f>
        <v>0</v>
      </c>
      <c r="BH139" s="233">
        <f>F139*G139</f>
        <v>0</v>
      </c>
      <c r="BI139" s="233"/>
      <c r="BJ139" s="233">
        <v>93</v>
      </c>
      <c r="BU139" s="233" t="e">
        <f>#REF!</f>
        <v>#REF!</v>
      </c>
      <c r="BV139" s="225" t="s">
        <v>442</v>
      </c>
    </row>
    <row r="140" spans="1:74" ht="40.5" customHeight="1" x14ac:dyDescent="0.3">
      <c r="A140" s="241"/>
      <c r="B140" s="242" t="s">
        <v>165</v>
      </c>
      <c r="C140" s="530" t="s">
        <v>1588</v>
      </c>
      <c r="D140" s="531"/>
      <c r="E140" s="531"/>
      <c r="F140" s="531"/>
      <c r="G140" s="531"/>
      <c r="H140" s="531"/>
      <c r="I140" s="531"/>
      <c r="J140" s="531"/>
      <c r="K140" s="531"/>
      <c r="L140" s="531"/>
      <c r="M140" s="532"/>
    </row>
    <row r="141" spans="1:74" ht="14.4" x14ac:dyDescent="0.3">
      <c r="A141" s="239" t="s">
        <v>154</v>
      </c>
      <c r="B141" s="224" t="s">
        <v>376</v>
      </c>
      <c r="C141" s="526" t="s">
        <v>377</v>
      </c>
      <c r="D141" s="527"/>
      <c r="E141" s="223" t="s">
        <v>114</v>
      </c>
      <c r="F141" s="223" t="s">
        <v>114</v>
      </c>
      <c r="G141" s="223" t="s">
        <v>114</v>
      </c>
      <c r="H141" s="235">
        <f>SUM(H142:H142)</f>
        <v>0</v>
      </c>
      <c r="I141" s="235">
        <f>SUM(I142:I142)</f>
        <v>0</v>
      </c>
      <c r="J141" s="235">
        <f>SUM(J142:J142)</f>
        <v>0</v>
      </c>
      <c r="K141" s="230" t="s">
        <v>154</v>
      </c>
      <c r="L141" s="235">
        <f>SUM(L142:L142)</f>
        <v>0</v>
      </c>
      <c r="M141" s="243" t="s">
        <v>154</v>
      </c>
      <c r="AG141" s="229" t="s">
        <v>154</v>
      </c>
      <c r="AQ141" s="222">
        <f>SUM(AH142:AH142)</f>
        <v>0</v>
      </c>
      <c r="AR141" s="222">
        <f>SUM(AI142:AI142)</f>
        <v>0</v>
      </c>
      <c r="AS141" s="222">
        <f>SUM(AJ142:AJ142)</f>
        <v>0</v>
      </c>
    </row>
    <row r="142" spans="1:74" ht="14.4" x14ac:dyDescent="0.3">
      <c r="A142" s="239" t="s">
        <v>335</v>
      </c>
      <c r="B142" s="223" t="s">
        <v>378</v>
      </c>
      <c r="C142" s="521" t="s">
        <v>379</v>
      </c>
      <c r="D142" s="519"/>
      <c r="E142" s="223" t="s">
        <v>380</v>
      </c>
      <c r="F142" s="233">
        <v>69.64</v>
      </c>
      <c r="G142" s="311">
        <v>0</v>
      </c>
      <c r="H142" s="233">
        <f>F142*AM142</f>
        <v>0</v>
      </c>
      <c r="I142" s="233">
        <f>F142*AN142</f>
        <v>0</v>
      </c>
      <c r="J142" s="233">
        <f>F142*G142</f>
        <v>0</v>
      </c>
      <c r="K142" s="233">
        <v>0</v>
      </c>
      <c r="L142" s="233">
        <f>F142*K142</f>
        <v>0</v>
      </c>
      <c r="M142" s="240" t="s">
        <v>472</v>
      </c>
      <c r="X142" s="233">
        <f>IF(AO142="5",BH142,0)</f>
        <v>0</v>
      </c>
      <c r="Z142" s="233">
        <f>IF(AO142="1",BF142,0)</f>
        <v>0</v>
      </c>
      <c r="AA142" s="233">
        <f>IF(AO142="1",BG142,0)</f>
        <v>0</v>
      </c>
      <c r="AB142" s="233">
        <f>IF(AO142="7",BF142,0)</f>
        <v>0</v>
      </c>
      <c r="AC142" s="233">
        <f>IF(AO142="7",BG142,0)</f>
        <v>0</v>
      </c>
      <c r="AD142" s="233">
        <f>IF(AO142="2",BF142,0)</f>
        <v>0</v>
      </c>
      <c r="AE142" s="233">
        <f>IF(AO142="2",BG142,0)</f>
        <v>0</v>
      </c>
      <c r="AF142" s="233">
        <f>IF(AO142="0",BH142,0)</f>
        <v>0</v>
      </c>
      <c r="AG142" s="229" t="s">
        <v>154</v>
      </c>
      <c r="AH142" s="233">
        <f>IF(AL142=0,J142,0)</f>
        <v>0</v>
      </c>
      <c r="AI142" s="233">
        <f>IF(AL142=15,J142,0)</f>
        <v>0</v>
      </c>
      <c r="AJ142" s="233">
        <f>IF(AL142=21,J142,0)</f>
        <v>0</v>
      </c>
      <c r="AL142" s="233">
        <v>15</v>
      </c>
      <c r="AM142" s="233">
        <f>G142*0</f>
        <v>0</v>
      </c>
      <c r="AN142" s="233">
        <f>G142*(1-0)</f>
        <v>0</v>
      </c>
      <c r="AO142" s="234" t="s">
        <v>157</v>
      </c>
      <c r="AT142" s="233">
        <f>AU142+AV142</f>
        <v>0</v>
      </c>
      <c r="AU142" s="233">
        <f>F142*AM142</f>
        <v>0</v>
      </c>
      <c r="AV142" s="233">
        <f>F142*AN142</f>
        <v>0</v>
      </c>
      <c r="AW142" s="234" t="s">
        <v>381</v>
      </c>
      <c r="AX142" s="234" t="s">
        <v>375</v>
      </c>
      <c r="AY142" s="229" t="s">
        <v>164</v>
      </c>
      <c r="BA142" s="233">
        <f>AU142+AV142</f>
        <v>0</v>
      </c>
      <c r="BB142" s="233">
        <f>G142/(100-BC142)*100</f>
        <v>0</v>
      </c>
      <c r="BC142" s="233">
        <v>0</v>
      </c>
      <c r="BD142" s="233">
        <f>L142</f>
        <v>0</v>
      </c>
      <c r="BF142" s="233">
        <f>F142*AM142</f>
        <v>0</v>
      </c>
      <c r="BG142" s="233">
        <f>F142*AN142</f>
        <v>0</v>
      </c>
      <c r="BH142" s="233">
        <f>F142*G142</f>
        <v>0</v>
      </c>
      <c r="BI142" s="233"/>
      <c r="BJ142" s="233">
        <v>97</v>
      </c>
      <c r="BU142" s="233" t="e">
        <f>#REF!</f>
        <v>#REF!</v>
      </c>
      <c r="BV142" s="225" t="s">
        <v>379</v>
      </c>
    </row>
    <row r="143" spans="1:74" ht="40.5" customHeight="1" x14ac:dyDescent="0.3">
      <c r="A143" s="241"/>
      <c r="B143" s="242" t="s">
        <v>165</v>
      </c>
      <c r="C143" s="530" t="s">
        <v>1589</v>
      </c>
      <c r="D143" s="531"/>
      <c r="E143" s="531"/>
      <c r="F143" s="531"/>
      <c r="G143" s="531"/>
      <c r="H143" s="531"/>
      <c r="I143" s="531"/>
      <c r="J143" s="531"/>
      <c r="K143" s="531"/>
      <c r="L143" s="531"/>
      <c r="M143" s="532"/>
    </row>
    <row r="144" spans="1:74" ht="14.4" x14ac:dyDescent="0.3">
      <c r="A144" s="239" t="s">
        <v>154</v>
      </c>
      <c r="B144" s="224" t="s">
        <v>382</v>
      </c>
      <c r="C144" s="526" t="s">
        <v>383</v>
      </c>
      <c r="D144" s="527"/>
      <c r="E144" s="223" t="s">
        <v>114</v>
      </c>
      <c r="F144" s="223" t="s">
        <v>114</v>
      </c>
      <c r="G144" s="223" t="s">
        <v>114</v>
      </c>
      <c r="H144" s="235">
        <f>SUM(H145:H153)</f>
        <v>0</v>
      </c>
      <c r="I144" s="235">
        <f>SUM(I145:I153)</f>
        <v>0</v>
      </c>
      <c r="J144" s="235">
        <f>SUM(J145:J153)</f>
        <v>0</v>
      </c>
      <c r="K144" s="230" t="s">
        <v>154</v>
      </c>
      <c r="L144" s="235">
        <f>SUM(L145:L153)</f>
        <v>0</v>
      </c>
      <c r="M144" s="243" t="s">
        <v>154</v>
      </c>
      <c r="AG144" s="229" t="s">
        <v>154</v>
      </c>
      <c r="AQ144" s="222">
        <f>SUM(AH145:AH153)</f>
        <v>0</v>
      </c>
      <c r="AR144" s="222">
        <f>SUM(AI145:AI153)</f>
        <v>0</v>
      </c>
      <c r="AS144" s="222">
        <f>SUM(AJ145:AJ153)</f>
        <v>0</v>
      </c>
    </row>
    <row r="145" spans="1:74" ht="14.4" x14ac:dyDescent="0.3">
      <c r="A145" s="239" t="s">
        <v>384</v>
      </c>
      <c r="B145" s="223" t="s">
        <v>385</v>
      </c>
      <c r="C145" s="521" t="s">
        <v>386</v>
      </c>
      <c r="D145" s="519"/>
      <c r="E145" s="223" t="s">
        <v>380</v>
      </c>
      <c r="F145" s="233">
        <v>46.46</v>
      </c>
      <c r="G145" s="311">
        <v>0</v>
      </c>
      <c r="H145" s="233">
        <f>F145*AM145</f>
        <v>0</v>
      </c>
      <c r="I145" s="233">
        <f>F145*AN145</f>
        <v>0</v>
      </c>
      <c r="J145" s="233">
        <f>F145*G145</f>
        <v>0</v>
      </c>
      <c r="K145" s="233">
        <v>0</v>
      </c>
      <c r="L145" s="233">
        <f>F145*K145</f>
        <v>0</v>
      </c>
      <c r="M145" s="240" t="s">
        <v>472</v>
      </c>
      <c r="X145" s="233">
        <f>IF(AO145="5",BH145,0)</f>
        <v>0</v>
      </c>
      <c r="Z145" s="233">
        <f>IF(AO145="1",BF145,0)</f>
        <v>0</v>
      </c>
      <c r="AA145" s="233">
        <f>IF(AO145="1",BG145,0)</f>
        <v>0</v>
      </c>
      <c r="AB145" s="233">
        <f>IF(AO145="7",BF145,0)</f>
        <v>0</v>
      </c>
      <c r="AC145" s="233">
        <f>IF(AO145="7",BG145,0)</f>
        <v>0</v>
      </c>
      <c r="AD145" s="233">
        <f>IF(AO145="2",BF145,0)</f>
        <v>0</v>
      </c>
      <c r="AE145" s="233">
        <f>IF(AO145="2",BG145,0)</f>
        <v>0</v>
      </c>
      <c r="AF145" s="233">
        <f>IF(AO145="0",BH145,0)</f>
        <v>0</v>
      </c>
      <c r="AG145" s="229" t="s">
        <v>154</v>
      </c>
      <c r="AH145" s="233">
        <f>IF(AL145=0,J145,0)</f>
        <v>0</v>
      </c>
      <c r="AI145" s="233">
        <f>IF(AL145=15,J145,0)</f>
        <v>0</v>
      </c>
      <c r="AJ145" s="233">
        <f>IF(AL145=21,J145,0)</f>
        <v>0</v>
      </c>
      <c r="AL145" s="233">
        <v>15</v>
      </c>
      <c r="AM145" s="233">
        <f>G145*0</f>
        <v>0</v>
      </c>
      <c r="AN145" s="233">
        <f>G145*(1-0)</f>
        <v>0</v>
      </c>
      <c r="AO145" s="234" t="s">
        <v>177</v>
      </c>
      <c r="AT145" s="233">
        <f>AU145+AV145</f>
        <v>0</v>
      </c>
      <c r="AU145" s="233">
        <f>F145*AM145</f>
        <v>0</v>
      </c>
      <c r="AV145" s="233">
        <f>F145*AN145</f>
        <v>0</v>
      </c>
      <c r="AW145" s="234" t="s">
        <v>387</v>
      </c>
      <c r="AX145" s="234" t="s">
        <v>375</v>
      </c>
      <c r="AY145" s="229" t="s">
        <v>164</v>
      </c>
      <c r="BA145" s="233">
        <f>AU145+AV145</f>
        <v>0</v>
      </c>
      <c r="BB145" s="233">
        <f>G145/(100-BC145)*100</f>
        <v>0</v>
      </c>
      <c r="BC145" s="233">
        <v>0</v>
      </c>
      <c r="BD145" s="233">
        <f>L145</f>
        <v>0</v>
      </c>
      <c r="BF145" s="233">
        <f>F145*AM145</f>
        <v>0</v>
      </c>
      <c r="BG145" s="233">
        <f>F145*AN145</f>
        <v>0</v>
      </c>
      <c r="BH145" s="233">
        <f>F145*G145</f>
        <v>0</v>
      </c>
      <c r="BI145" s="233"/>
      <c r="BJ145" s="233"/>
      <c r="BU145" s="233" t="e">
        <f>#REF!</f>
        <v>#REF!</v>
      </c>
      <c r="BV145" s="225" t="s">
        <v>386</v>
      </c>
    </row>
    <row r="146" spans="1:74" ht="14.4" x14ac:dyDescent="0.3">
      <c r="A146" s="239" t="s">
        <v>344</v>
      </c>
      <c r="B146" s="223" t="s">
        <v>388</v>
      </c>
      <c r="C146" s="521" t="s">
        <v>389</v>
      </c>
      <c r="D146" s="519"/>
      <c r="E146" s="223" t="s">
        <v>380</v>
      </c>
      <c r="F146" s="233">
        <v>801.43</v>
      </c>
      <c r="G146" s="311">
        <v>0</v>
      </c>
      <c r="H146" s="233">
        <f>F146*AM146</f>
        <v>0</v>
      </c>
      <c r="I146" s="233">
        <f>F146*AN146</f>
        <v>0</v>
      </c>
      <c r="J146" s="233">
        <f>F146*G146</f>
        <v>0</v>
      </c>
      <c r="K146" s="233">
        <v>0</v>
      </c>
      <c r="L146" s="233">
        <f>F146*K146</f>
        <v>0</v>
      </c>
      <c r="M146" s="240" t="s">
        <v>472</v>
      </c>
      <c r="X146" s="233">
        <f>IF(AO146="5",BH146,0)</f>
        <v>0</v>
      </c>
      <c r="Z146" s="233">
        <f>IF(AO146="1",BF146,0)</f>
        <v>0</v>
      </c>
      <c r="AA146" s="233">
        <f>IF(AO146="1",BG146,0)</f>
        <v>0</v>
      </c>
      <c r="AB146" s="233">
        <f>IF(AO146="7",BF146,0)</f>
        <v>0</v>
      </c>
      <c r="AC146" s="233">
        <f>IF(AO146="7",BG146,0)</f>
        <v>0</v>
      </c>
      <c r="AD146" s="233">
        <f>IF(AO146="2",BF146,0)</f>
        <v>0</v>
      </c>
      <c r="AE146" s="233">
        <f>IF(AO146="2",BG146,0)</f>
        <v>0</v>
      </c>
      <c r="AF146" s="233">
        <f>IF(AO146="0",BH146,0)</f>
        <v>0</v>
      </c>
      <c r="AG146" s="229" t="s">
        <v>154</v>
      </c>
      <c r="AH146" s="233">
        <f>IF(AL146=0,J146,0)</f>
        <v>0</v>
      </c>
      <c r="AI146" s="233">
        <f>IF(AL146=15,J146,0)</f>
        <v>0</v>
      </c>
      <c r="AJ146" s="233">
        <f>IF(AL146=21,J146,0)</f>
        <v>0</v>
      </c>
      <c r="AL146" s="233">
        <v>15</v>
      </c>
      <c r="AM146" s="233">
        <f>G146*0</f>
        <v>0</v>
      </c>
      <c r="AN146" s="233">
        <f>G146*(1-0)</f>
        <v>0</v>
      </c>
      <c r="AO146" s="234" t="s">
        <v>177</v>
      </c>
      <c r="AT146" s="233">
        <f>AU146+AV146</f>
        <v>0</v>
      </c>
      <c r="AU146" s="233">
        <f>F146*AM146</f>
        <v>0</v>
      </c>
      <c r="AV146" s="233">
        <f>F146*AN146</f>
        <v>0</v>
      </c>
      <c r="AW146" s="234" t="s">
        <v>387</v>
      </c>
      <c r="AX146" s="234" t="s">
        <v>375</v>
      </c>
      <c r="AY146" s="229" t="s">
        <v>164</v>
      </c>
      <c r="BA146" s="233">
        <f>AU146+AV146</f>
        <v>0</v>
      </c>
      <c r="BB146" s="233">
        <f>G146/(100-BC146)*100</f>
        <v>0</v>
      </c>
      <c r="BC146" s="233">
        <v>0</v>
      </c>
      <c r="BD146" s="233">
        <f>L146</f>
        <v>0</v>
      </c>
      <c r="BF146" s="233">
        <f>F146*AM146</f>
        <v>0</v>
      </c>
      <c r="BG146" s="233">
        <f>F146*AN146</f>
        <v>0</v>
      </c>
      <c r="BH146" s="233">
        <f>F146*G146</f>
        <v>0</v>
      </c>
      <c r="BI146" s="233"/>
      <c r="BJ146" s="233"/>
      <c r="BU146" s="233" t="e">
        <f>#REF!</f>
        <v>#REF!</v>
      </c>
      <c r="BV146" s="225" t="s">
        <v>389</v>
      </c>
    </row>
    <row r="147" spans="1:74" ht="40.5" customHeight="1" x14ac:dyDescent="0.3">
      <c r="A147" s="241"/>
      <c r="B147" s="242" t="s">
        <v>165</v>
      </c>
      <c r="C147" s="530" t="s">
        <v>1528</v>
      </c>
      <c r="D147" s="531"/>
      <c r="E147" s="531"/>
      <c r="F147" s="531"/>
      <c r="G147" s="531"/>
      <c r="H147" s="531"/>
      <c r="I147" s="531"/>
      <c r="J147" s="531"/>
      <c r="K147" s="531"/>
      <c r="L147" s="531"/>
      <c r="M147" s="532"/>
    </row>
    <row r="148" spans="1:74" ht="14.4" x14ac:dyDescent="0.3">
      <c r="A148" s="239" t="s">
        <v>390</v>
      </c>
      <c r="B148" s="223" t="s">
        <v>391</v>
      </c>
      <c r="C148" s="521" t="s">
        <v>392</v>
      </c>
      <c r="D148" s="519"/>
      <c r="E148" s="223" t="s">
        <v>380</v>
      </c>
      <c r="F148" s="233">
        <v>11.62</v>
      </c>
      <c r="G148" s="311">
        <v>0</v>
      </c>
      <c r="H148" s="233">
        <f>F148*AM148</f>
        <v>0</v>
      </c>
      <c r="I148" s="233">
        <f>F148*AN148</f>
        <v>0</v>
      </c>
      <c r="J148" s="233">
        <f>F148*G148</f>
        <v>0</v>
      </c>
      <c r="K148" s="233">
        <v>0</v>
      </c>
      <c r="L148" s="233">
        <f>F148*K148</f>
        <v>0</v>
      </c>
      <c r="M148" s="240" t="s">
        <v>472</v>
      </c>
      <c r="X148" s="233">
        <f>IF(AO148="5",BH148,0)</f>
        <v>0</v>
      </c>
      <c r="Z148" s="233">
        <f>IF(AO148="1",BF148,0)</f>
        <v>0</v>
      </c>
      <c r="AA148" s="233">
        <f>IF(AO148="1",BG148,0)</f>
        <v>0</v>
      </c>
      <c r="AB148" s="233">
        <f>IF(AO148="7",BF148,0)</f>
        <v>0</v>
      </c>
      <c r="AC148" s="233">
        <f>IF(AO148="7",BG148,0)</f>
        <v>0</v>
      </c>
      <c r="AD148" s="233">
        <f>IF(AO148="2",BF148,0)</f>
        <v>0</v>
      </c>
      <c r="AE148" s="233">
        <f>IF(AO148="2",BG148,0)</f>
        <v>0</v>
      </c>
      <c r="AF148" s="233">
        <f>IF(AO148="0",BH148,0)</f>
        <v>0</v>
      </c>
      <c r="AG148" s="229" t="s">
        <v>154</v>
      </c>
      <c r="AH148" s="233">
        <f>IF(AL148=0,J148,0)</f>
        <v>0</v>
      </c>
      <c r="AI148" s="233">
        <f>IF(AL148=15,J148,0)</f>
        <v>0</v>
      </c>
      <c r="AJ148" s="233">
        <f>IF(AL148=21,J148,0)</f>
        <v>0</v>
      </c>
      <c r="AL148" s="233">
        <v>15</v>
      </c>
      <c r="AM148" s="233">
        <f>G148*0</f>
        <v>0</v>
      </c>
      <c r="AN148" s="233">
        <f>G148*(1-0)</f>
        <v>0</v>
      </c>
      <c r="AO148" s="234" t="s">
        <v>177</v>
      </c>
      <c r="AT148" s="233">
        <f>AU148+AV148</f>
        <v>0</v>
      </c>
      <c r="AU148" s="233">
        <f>F148*AM148</f>
        <v>0</v>
      </c>
      <c r="AV148" s="233">
        <f>F148*AN148</f>
        <v>0</v>
      </c>
      <c r="AW148" s="234" t="s">
        <v>387</v>
      </c>
      <c r="AX148" s="234" t="s">
        <v>375</v>
      </c>
      <c r="AY148" s="229" t="s">
        <v>164</v>
      </c>
      <c r="BA148" s="233">
        <f>AU148+AV148</f>
        <v>0</v>
      </c>
      <c r="BB148" s="233">
        <f>G148/(100-BC148)*100</f>
        <v>0</v>
      </c>
      <c r="BC148" s="233">
        <v>0</v>
      </c>
      <c r="BD148" s="233">
        <f>L148</f>
        <v>0</v>
      </c>
      <c r="BF148" s="233">
        <f>F148*AM148</f>
        <v>0</v>
      </c>
      <c r="BG148" s="233">
        <f>F148*AN148</f>
        <v>0</v>
      </c>
      <c r="BH148" s="233">
        <f>F148*G148</f>
        <v>0</v>
      </c>
      <c r="BI148" s="233"/>
      <c r="BJ148" s="233"/>
      <c r="BU148" s="233" t="e">
        <f>#REF!</f>
        <v>#REF!</v>
      </c>
      <c r="BV148" s="225" t="s">
        <v>392</v>
      </c>
    </row>
    <row r="149" spans="1:74" ht="40.5" customHeight="1" x14ac:dyDescent="0.3">
      <c r="A149" s="241"/>
      <c r="B149" s="242" t="s">
        <v>165</v>
      </c>
      <c r="C149" s="530" t="s">
        <v>1590</v>
      </c>
      <c r="D149" s="531"/>
      <c r="E149" s="531"/>
      <c r="F149" s="531"/>
      <c r="G149" s="531"/>
      <c r="H149" s="531"/>
      <c r="I149" s="531"/>
      <c r="J149" s="531"/>
      <c r="K149" s="531"/>
      <c r="L149" s="531"/>
      <c r="M149" s="532"/>
    </row>
    <row r="150" spans="1:74" ht="14.4" x14ac:dyDescent="0.3">
      <c r="A150" s="239" t="s">
        <v>393</v>
      </c>
      <c r="B150" s="223" t="s">
        <v>394</v>
      </c>
      <c r="C150" s="521" t="s">
        <v>395</v>
      </c>
      <c r="D150" s="519"/>
      <c r="E150" s="223" t="s">
        <v>380</v>
      </c>
      <c r="F150" s="233">
        <v>66.61</v>
      </c>
      <c r="G150" s="311">
        <v>0</v>
      </c>
      <c r="H150" s="233">
        <f>F150*AM150</f>
        <v>0</v>
      </c>
      <c r="I150" s="233">
        <f>F150*AN150</f>
        <v>0</v>
      </c>
      <c r="J150" s="233">
        <f>F150*G150</f>
        <v>0</v>
      </c>
      <c r="K150" s="233">
        <v>0</v>
      </c>
      <c r="L150" s="233">
        <f>F150*K150</f>
        <v>0</v>
      </c>
      <c r="M150" s="240" t="s">
        <v>472</v>
      </c>
      <c r="X150" s="233">
        <f>IF(AO150="5",BH150,0)</f>
        <v>0</v>
      </c>
      <c r="Z150" s="233">
        <f>IF(AO150="1",BF150,0)</f>
        <v>0</v>
      </c>
      <c r="AA150" s="233">
        <f>IF(AO150="1",BG150,0)</f>
        <v>0</v>
      </c>
      <c r="AB150" s="233">
        <f>IF(AO150="7",BF150,0)</f>
        <v>0</v>
      </c>
      <c r="AC150" s="233">
        <f>IF(AO150="7",BG150,0)</f>
        <v>0</v>
      </c>
      <c r="AD150" s="233">
        <f>IF(AO150="2",BF150,0)</f>
        <v>0</v>
      </c>
      <c r="AE150" s="233">
        <f>IF(AO150="2",BG150,0)</f>
        <v>0</v>
      </c>
      <c r="AF150" s="233">
        <f>IF(AO150="0",BH150,0)</f>
        <v>0</v>
      </c>
      <c r="AG150" s="229" t="s">
        <v>154</v>
      </c>
      <c r="AH150" s="233">
        <f>IF(AL150=0,J150,0)</f>
        <v>0</v>
      </c>
      <c r="AI150" s="233">
        <f>IF(AL150=15,J150,0)</f>
        <v>0</v>
      </c>
      <c r="AJ150" s="233">
        <f>IF(AL150=21,J150,0)</f>
        <v>0</v>
      </c>
      <c r="AL150" s="233">
        <v>15</v>
      </c>
      <c r="AM150" s="233">
        <f>G150*0</f>
        <v>0</v>
      </c>
      <c r="AN150" s="233">
        <f>G150*(1-0)</f>
        <v>0</v>
      </c>
      <c r="AO150" s="234" t="s">
        <v>177</v>
      </c>
      <c r="AT150" s="233">
        <f>AU150+AV150</f>
        <v>0</v>
      </c>
      <c r="AU150" s="233">
        <f>F150*AM150</f>
        <v>0</v>
      </c>
      <c r="AV150" s="233">
        <f>F150*AN150</f>
        <v>0</v>
      </c>
      <c r="AW150" s="234" t="s">
        <v>387</v>
      </c>
      <c r="AX150" s="234" t="s">
        <v>375</v>
      </c>
      <c r="AY150" s="229" t="s">
        <v>164</v>
      </c>
      <c r="BA150" s="233">
        <f>AU150+AV150</f>
        <v>0</v>
      </c>
      <c r="BB150" s="233">
        <f>G150/(100-BC150)*100</f>
        <v>0</v>
      </c>
      <c r="BC150" s="233">
        <v>0</v>
      </c>
      <c r="BD150" s="233">
        <f>L150</f>
        <v>0</v>
      </c>
      <c r="BF150" s="233">
        <f>F150*AM150</f>
        <v>0</v>
      </c>
      <c r="BG150" s="233">
        <f>F150*AN150</f>
        <v>0</v>
      </c>
      <c r="BH150" s="233">
        <f>F150*G150</f>
        <v>0</v>
      </c>
      <c r="BI150" s="233"/>
      <c r="BJ150" s="233"/>
      <c r="BU150" s="233" t="e">
        <f>#REF!</f>
        <v>#REF!</v>
      </c>
      <c r="BV150" s="225" t="s">
        <v>395</v>
      </c>
    </row>
    <row r="151" spans="1:74" ht="14.4" x14ac:dyDescent="0.3">
      <c r="A151" s="239" t="s">
        <v>396</v>
      </c>
      <c r="B151" s="223" t="s">
        <v>397</v>
      </c>
      <c r="C151" s="521" t="s">
        <v>398</v>
      </c>
      <c r="D151" s="519"/>
      <c r="E151" s="223" t="s">
        <v>380</v>
      </c>
      <c r="F151" s="233">
        <v>400.2</v>
      </c>
      <c r="G151" s="311">
        <v>0</v>
      </c>
      <c r="H151" s="233">
        <f>F151*AM151</f>
        <v>0</v>
      </c>
      <c r="I151" s="233">
        <f>F151*AN151</f>
        <v>0</v>
      </c>
      <c r="J151" s="233">
        <f>F151*G151</f>
        <v>0</v>
      </c>
      <c r="K151" s="233">
        <v>0</v>
      </c>
      <c r="L151" s="233">
        <f>F151*K151</f>
        <v>0</v>
      </c>
      <c r="M151" s="240" t="s">
        <v>472</v>
      </c>
      <c r="X151" s="233">
        <f>IF(AO151="5",BH151,0)</f>
        <v>0</v>
      </c>
      <c r="Z151" s="233">
        <f>IF(AO151="1",BF151,0)</f>
        <v>0</v>
      </c>
      <c r="AA151" s="233">
        <f>IF(AO151="1",BG151,0)</f>
        <v>0</v>
      </c>
      <c r="AB151" s="233">
        <f>IF(AO151="7",BF151,0)</f>
        <v>0</v>
      </c>
      <c r="AC151" s="233">
        <f>IF(AO151="7",BG151,0)</f>
        <v>0</v>
      </c>
      <c r="AD151" s="233">
        <f>IF(AO151="2",BF151,0)</f>
        <v>0</v>
      </c>
      <c r="AE151" s="233">
        <f>IF(AO151="2",BG151,0)</f>
        <v>0</v>
      </c>
      <c r="AF151" s="233">
        <f>IF(AO151="0",BH151,0)</f>
        <v>0</v>
      </c>
      <c r="AG151" s="229" t="s">
        <v>154</v>
      </c>
      <c r="AH151" s="233">
        <f>IF(AL151=0,J151,0)</f>
        <v>0</v>
      </c>
      <c r="AI151" s="233">
        <f>IF(AL151=15,J151,0)</f>
        <v>0</v>
      </c>
      <c r="AJ151" s="233">
        <f>IF(AL151=21,J151,0)</f>
        <v>0</v>
      </c>
      <c r="AL151" s="233">
        <v>15</v>
      </c>
      <c r="AM151" s="233">
        <f>G151*0</f>
        <v>0</v>
      </c>
      <c r="AN151" s="233">
        <f>G151*(1-0)</f>
        <v>0</v>
      </c>
      <c r="AO151" s="234" t="s">
        <v>177</v>
      </c>
      <c r="AT151" s="233">
        <f>AU151+AV151</f>
        <v>0</v>
      </c>
      <c r="AU151" s="233">
        <f>F151*AM151</f>
        <v>0</v>
      </c>
      <c r="AV151" s="233">
        <f>F151*AN151</f>
        <v>0</v>
      </c>
      <c r="AW151" s="234" t="s">
        <v>387</v>
      </c>
      <c r="AX151" s="234" t="s">
        <v>375</v>
      </c>
      <c r="AY151" s="229" t="s">
        <v>164</v>
      </c>
      <c r="BA151" s="233">
        <f>AU151+AV151</f>
        <v>0</v>
      </c>
      <c r="BB151" s="233">
        <f>G151/(100-BC151)*100</f>
        <v>0</v>
      </c>
      <c r="BC151" s="233">
        <v>0</v>
      </c>
      <c r="BD151" s="233">
        <f>L151</f>
        <v>0</v>
      </c>
      <c r="BF151" s="233">
        <f>F151*AM151</f>
        <v>0</v>
      </c>
      <c r="BG151" s="233">
        <f>F151*AN151</f>
        <v>0</v>
      </c>
      <c r="BH151" s="233">
        <f>F151*G151</f>
        <v>0</v>
      </c>
      <c r="BI151" s="233"/>
      <c r="BJ151" s="233"/>
      <c r="BU151" s="233" t="e">
        <f>#REF!</f>
        <v>#REF!</v>
      </c>
      <c r="BV151" s="225" t="s">
        <v>398</v>
      </c>
    </row>
    <row r="152" spans="1:74" ht="40.5" customHeight="1" x14ac:dyDescent="0.3">
      <c r="A152" s="241"/>
      <c r="B152" s="242" t="s">
        <v>165</v>
      </c>
      <c r="C152" s="530" t="s">
        <v>1591</v>
      </c>
      <c r="D152" s="531"/>
      <c r="E152" s="531"/>
      <c r="F152" s="531"/>
      <c r="G152" s="531"/>
      <c r="H152" s="531"/>
      <c r="I152" s="531"/>
      <c r="J152" s="531"/>
      <c r="K152" s="531"/>
      <c r="L152" s="531"/>
      <c r="M152" s="532"/>
    </row>
    <row r="153" spans="1:74" ht="26.4" x14ac:dyDescent="0.3">
      <c r="A153" s="264" t="s">
        <v>401</v>
      </c>
      <c r="B153" s="265" t="s">
        <v>385</v>
      </c>
      <c r="C153" s="547" t="s">
        <v>443</v>
      </c>
      <c r="D153" s="548"/>
      <c r="E153" s="265" t="s">
        <v>380</v>
      </c>
      <c r="F153" s="266">
        <v>120.02</v>
      </c>
      <c r="G153" s="311">
        <v>0</v>
      </c>
      <c r="H153" s="266">
        <f>F153*AM153</f>
        <v>0</v>
      </c>
      <c r="I153" s="266">
        <f>F153*AN153</f>
        <v>0</v>
      </c>
      <c r="J153" s="266">
        <f>F153*G153</f>
        <v>0</v>
      </c>
      <c r="K153" s="266">
        <v>0</v>
      </c>
      <c r="L153" s="266">
        <f>F153*K153</f>
        <v>0</v>
      </c>
      <c r="M153" s="267" t="s">
        <v>472</v>
      </c>
      <c r="X153" s="233">
        <f>IF(AO153="5",BH153,0)</f>
        <v>0</v>
      </c>
      <c r="Z153" s="233">
        <f>IF(AO153="1",BF153,0)</f>
        <v>0</v>
      </c>
      <c r="AA153" s="233">
        <f>IF(AO153="1",BG153,0)</f>
        <v>0</v>
      </c>
      <c r="AB153" s="233">
        <f>IF(AO153="7",BF153,0)</f>
        <v>0</v>
      </c>
      <c r="AC153" s="233">
        <f>IF(AO153="7",BG153,0)</f>
        <v>0</v>
      </c>
      <c r="AD153" s="233">
        <f>IF(AO153="2",BF153,0)</f>
        <v>0</v>
      </c>
      <c r="AE153" s="233">
        <f>IF(AO153="2",BG153,0)</f>
        <v>0</v>
      </c>
      <c r="AF153" s="233">
        <f>IF(AO153="0",BH153,0)</f>
        <v>0</v>
      </c>
      <c r="AG153" s="229" t="s">
        <v>154</v>
      </c>
      <c r="AH153" s="233">
        <f>IF(AL153=0,J153,0)</f>
        <v>0</v>
      </c>
      <c r="AI153" s="233">
        <f>IF(AL153=15,J153,0)</f>
        <v>0</v>
      </c>
      <c r="AJ153" s="233">
        <f>IF(AL153=21,J153,0)</f>
        <v>0</v>
      </c>
      <c r="AL153" s="233">
        <v>15</v>
      </c>
      <c r="AM153" s="233">
        <f>G153*0</f>
        <v>0</v>
      </c>
      <c r="AN153" s="233">
        <f>G153*(1-0)</f>
        <v>0</v>
      </c>
      <c r="AO153" s="234" t="s">
        <v>177</v>
      </c>
      <c r="AT153" s="233">
        <f>AU153+AV153</f>
        <v>0</v>
      </c>
      <c r="AU153" s="233">
        <f>F153*AM153</f>
        <v>0</v>
      </c>
      <c r="AV153" s="233">
        <f>F153*AN153</f>
        <v>0</v>
      </c>
      <c r="AW153" s="234" t="s">
        <v>387</v>
      </c>
      <c r="AX153" s="234" t="s">
        <v>375</v>
      </c>
      <c r="AY153" s="229" t="s">
        <v>164</v>
      </c>
      <c r="BA153" s="233">
        <f>AU153+AV153</f>
        <v>0</v>
      </c>
      <c r="BB153" s="233">
        <f>G153/(100-BC153)*100</f>
        <v>0</v>
      </c>
      <c r="BC153" s="233">
        <v>0</v>
      </c>
      <c r="BD153" s="233">
        <f>L153</f>
        <v>0</v>
      </c>
      <c r="BF153" s="233">
        <f>F153*AM153</f>
        <v>0</v>
      </c>
      <c r="BG153" s="233">
        <f>F153*AN153</f>
        <v>0</v>
      </c>
      <c r="BH153" s="233">
        <f>F153*G153</f>
        <v>0</v>
      </c>
      <c r="BI153" s="233"/>
      <c r="BJ153" s="233"/>
      <c r="BU153" s="233" t="e">
        <f>#REF!</f>
        <v>#REF!</v>
      </c>
      <c r="BV153" s="225" t="s">
        <v>443</v>
      </c>
    </row>
    <row r="154" spans="1:74" ht="14.4" x14ac:dyDescent="0.3">
      <c r="A154" s="237" t="s">
        <v>154</v>
      </c>
      <c r="B154" s="260" t="s">
        <v>399</v>
      </c>
      <c r="C154" s="545" t="s">
        <v>400</v>
      </c>
      <c r="D154" s="546"/>
      <c r="E154" s="238" t="s">
        <v>114</v>
      </c>
      <c r="F154" s="238" t="s">
        <v>114</v>
      </c>
      <c r="G154" s="238" t="s">
        <v>114</v>
      </c>
      <c r="H154" s="261">
        <f>SUM(H155:H156)</f>
        <v>0</v>
      </c>
      <c r="I154" s="261">
        <f>SUM(I155:I156)</f>
        <v>0</v>
      </c>
      <c r="J154" s="261">
        <f>SUM(J155:J156)</f>
        <v>0</v>
      </c>
      <c r="K154" s="262" t="s">
        <v>154</v>
      </c>
      <c r="L154" s="261">
        <f>SUM(L155:L156)</f>
        <v>0</v>
      </c>
      <c r="M154" s="263" t="s">
        <v>154</v>
      </c>
      <c r="AG154" s="229" t="s">
        <v>154</v>
      </c>
      <c r="AQ154" s="222">
        <f>SUM(AH155:AH156)</f>
        <v>0</v>
      </c>
      <c r="AR154" s="222">
        <f>SUM(AI155:AI156)</f>
        <v>0</v>
      </c>
      <c r="AS154" s="222">
        <f>SUM(AJ155:AJ156)</f>
        <v>0</v>
      </c>
    </row>
    <row r="155" spans="1:74" ht="14.4" x14ac:dyDescent="0.3">
      <c r="A155" s="239" t="s">
        <v>405</v>
      </c>
      <c r="B155" s="223" t="s">
        <v>402</v>
      </c>
      <c r="C155" s="521" t="s">
        <v>403</v>
      </c>
      <c r="D155" s="519"/>
      <c r="E155" s="223" t="s">
        <v>380</v>
      </c>
      <c r="F155" s="233">
        <v>26.57</v>
      </c>
      <c r="G155" s="311">
        <v>0</v>
      </c>
      <c r="H155" s="233">
        <f>F155*AM155</f>
        <v>0</v>
      </c>
      <c r="I155" s="233">
        <f>F155*AN155</f>
        <v>0</v>
      </c>
      <c r="J155" s="233">
        <f>F155*G155</f>
        <v>0</v>
      </c>
      <c r="K155" s="233">
        <v>0</v>
      </c>
      <c r="L155" s="233">
        <f>F155*K155</f>
        <v>0</v>
      </c>
      <c r="M155" s="240" t="s">
        <v>472</v>
      </c>
      <c r="X155" s="233">
        <f>IF(AO155="5",BH155,0)</f>
        <v>0</v>
      </c>
      <c r="Z155" s="233">
        <f>IF(AO155="1",BF155,0)</f>
        <v>0</v>
      </c>
      <c r="AA155" s="233">
        <f>IF(AO155="1",BG155,0)</f>
        <v>0</v>
      </c>
      <c r="AB155" s="233">
        <f>IF(AO155="7",BF155,0)</f>
        <v>0</v>
      </c>
      <c r="AC155" s="233">
        <f>IF(AO155="7",BG155,0)</f>
        <v>0</v>
      </c>
      <c r="AD155" s="233">
        <f>IF(AO155="2",BF155,0)</f>
        <v>0</v>
      </c>
      <c r="AE155" s="233">
        <f>IF(AO155="2",BG155,0)</f>
        <v>0</v>
      </c>
      <c r="AF155" s="233">
        <f>IF(AO155="0",BH155,0)</f>
        <v>0</v>
      </c>
      <c r="AG155" s="229" t="s">
        <v>154</v>
      </c>
      <c r="AH155" s="233">
        <f>IF(AL155=0,J155,0)</f>
        <v>0</v>
      </c>
      <c r="AI155" s="233">
        <f>IF(AL155=15,J155,0)</f>
        <v>0</v>
      </c>
      <c r="AJ155" s="233">
        <f>IF(AL155=21,J155,0)</f>
        <v>0</v>
      </c>
      <c r="AL155" s="233">
        <v>15</v>
      </c>
      <c r="AM155" s="233">
        <f>G155*0</f>
        <v>0</v>
      </c>
      <c r="AN155" s="233">
        <f>G155*(1-0)</f>
        <v>0</v>
      </c>
      <c r="AO155" s="234" t="s">
        <v>177</v>
      </c>
      <c r="AT155" s="233">
        <f>AU155+AV155</f>
        <v>0</v>
      </c>
      <c r="AU155" s="233">
        <f>F155*AM155</f>
        <v>0</v>
      </c>
      <c r="AV155" s="233">
        <f>F155*AN155</f>
        <v>0</v>
      </c>
      <c r="AW155" s="234" t="s">
        <v>404</v>
      </c>
      <c r="AX155" s="234" t="s">
        <v>375</v>
      </c>
      <c r="AY155" s="229" t="s">
        <v>164</v>
      </c>
      <c r="BA155" s="233">
        <f>AU155+AV155</f>
        <v>0</v>
      </c>
      <c r="BB155" s="233">
        <f>G155/(100-BC155)*100</f>
        <v>0</v>
      </c>
      <c r="BC155" s="233">
        <v>0</v>
      </c>
      <c r="BD155" s="233">
        <f>L155</f>
        <v>0</v>
      </c>
      <c r="BF155" s="233">
        <f>F155*AM155</f>
        <v>0</v>
      </c>
      <c r="BG155" s="233">
        <f>F155*AN155</f>
        <v>0</v>
      </c>
      <c r="BH155" s="233">
        <f>F155*G155</f>
        <v>0</v>
      </c>
      <c r="BI155" s="233"/>
      <c r="BJ155" s="233"/>
      <c r="BU155" s="233" t="e">
        <f>#REF!</f>
        <v>#REF!</v>
      </c>
      <c r="BV155" s="225" t="s">
        <v>403</v>
      </c>
    </row>
    <row r="156" spans="1:74" ht="14.4" x14ac:dyDescent="0.3">
      <c r="A156" s="239" t="s">
        <v>408</v>
      </c>
      <c r="B156" s="223" t="s">
        <v>406</v>
      </c>
      <c r="C156" s="521" t="s">
        <v>407</v>
      </c>
      <c r="D156" s="519"/>
      <c r="E156" s="223" t="s">
        <v>380</v>
      </c>
      <c r="F156" s="233">
        <v>74.459999999999994</v>
      </c>
      <c r="G156" s="311">
        <v>0</v>
      </c>
      <c r="H156" s="233">
        <f>F156*AM156</f>
        <v>0</v>
      </c>
      <c r="I156" s="233">
        <f>F156*AN156</f>
        <v>0</v>
      </c>
      <c r="J156" s="233">
        <f>F156*G156</f>
        <v>0</v>
      </c>
      <c r="K156" s="233">
        <v>0</v>
      </c>
      <c r="L156" s="233">
        <f>F156*K156</f>
        <v>0</v>
      </c>
      <c r="M156" s="240" t="s">
        <v>472</v>
      </c>
      <c r="X156" s="233">
        <f>IF(AO156="5",BH156,0)</f>
        <v>0</v>
      </c>
      <c r="Z156" s="233">
        <f>IF(AO156="1",BF156,0)</f>
        <v>0</v>
      </c>
      <c r="AA156" s="233">
        <f>IF(AO156="1",BG156,0)</f>
        <v>0</v>
      </c>
      <c r="AB156" s="233">
        <f>IF(AO156="7",BF156,0)</f>
        <v>0</v>
      </c>
      <c r="AC156" s="233">
        <f>IF(AO156="7",BG156,0)</f>
        <v>0</v>
      </c>
      <c r="AD156" s="233">
        <f>IF(AO156="2",BF156,0)</f>
        <v>0</v>
      </c>
      <c r="AE156" s="233">
        <f>IF(AO156="2",BG156,0)</f>
        <v>0</v>
      </c>
      <c r="AF156" s="233">
        <f>IF(AO156="0",BH156,0)</f>
        <v>0</v>
      </c>
      <c r="AG156" s="229" t="s">
        <v>154</v>
      </c>
      <c r="AH156" s="233">
        <f>IF(AL156=0,J156,0)</f>
        <v>0</v>
      </c>
      <c r="AI156" s="233">
        <f>IF(AL156=15,J156,0)</f>
        <v>0</v>
      </c>
      <c r="AJ156" s="233">
        <f>IF(AL156=21,J156,0)</f>
        <v>0</v>
      </c>
      <c r="AL156" s="233">
        <v>15</v>
      </c>
      <c r="AM156" s="233">
        <f>G156*0</f>
        <v>0</v>
      </c>
      <c r="AN156" s="233">
        <f>G156*(1-0)</f>
        <v>0</v>
      </c>
      <c r="AO156" s="234" t="s">
        <v>177</v>
      </c>
      <c r="AT156" s="233">
        <f>AU156+AV156</f>
        <v>0</v>
      </c>
      <c r="AU156" s="233">
        <f>F156*AM156</f>
        <v>0</v>
      </c>
      <c r="AV156" s="233">
        <f>F156*AN156</f>
        <v>0</v>
      </c>
      <c r="AW156" s="234" t="s">
        <v>404</v>
      </c>
      <c r="AX156" s="234" t="s">
        <v>375</v>
      </c>
      <c r="AY156" s="229" t="s">
        <v>164</v>
      </c>
      <c r="BA156" s="233">
        <f>AU156+AV156</f>
        <v>0</v>
      </c>
      <c r="BB156" s="233">
        <f>G156/(100-BC156)*100</f>
        <v>0</v>
      </c>
      <c r="BC156" s="233">
        <v>0</v>
      </c>
      <c r="BD156" s="233">
        <f>L156</f>
        <v>0</v>
      </c>
      <c r="BF156" s="233">
        <f>F156*AM156</f>
        <v>0</v>
      </c>
      <c r="BG156" s="233">
        <f>F156*AN156</f>
        <v>0</v>
      </c>
      <c r="BH156" s="233">
        <f>F156*G156</f>
        <v>0</v>
      </c>
      <c r="BI156" s="233"/>
      <c r="BJ156" s="233"/>
      <c r="BU156" s="233" t="e">
        <f>#REF!</f>
        <v>#REF!</v>
      </c>
      <c r="BV156" s="225" t="s">
        <v>407</v>
      </c>
    </row>
    <row r="157" spans="1:74" ht="14.4" x14ac:dyDescent="0.3">
      <c r="A157" s="239" t="s">
        <v>154</v>
      </c>
      <c r="B157" s="224" t="s">
        <v>444</v>
      </c>
      <c r="C157" s="526" t="s">
        <v>445</v>
      </c>
      <c r="D157" s="527"/>
      <c r="E157" s="223" t="s">
        <v>114</v>
      </c>
      <c r="F157" s="223" t="s">
        <v>114</v>
      </c>
      <c r="G157" s="223" t="s">
        <v>114</v>
      </c>
      <c r="H157" s="235">
        <f>SUM(H158:H158)</f>
        <v>0</v>
      </c>
      <c r="I157" s="235">
        <f>SUM(I158:I158)</f>
        <v>0</v>
      </c>
      <c r="J157" s="235">
        <f>SUM(J158:J158)</f>
        <v>0</v>
      </c>
      <c r="K157" s="230" t="s">
        <v>154</v>
      </c>
      <c r="L157" s="235">
        <f>SUM(L158:L158)</f>
        <v>0</v>
      </c>
      <c r="M157" s="243" t="s">
        <v>154</v>
      </c>
      <c r="AG157" s="229" t="s">
        <v>154</v>
      </c>
      <c r="AQ157" s="222">
        <f>SUM(AH158:AH158)</f>
        <v>0</v>
      </c>
      <c r="AR157" s="222">
        <f>SUM(AI158:AI158)</f>
        <v>0</v>
      </c>
      <c r="AS157" s="222">
        <f>SUM(AJ158:AJ158)</f>
        <v>0</v>
      </c>
    </row>
    <row r="158" spans="1:74" ht="14.4" x14ac:dyDescent="0.3">
      <c r="A158" s="239" t="s">
        <v>413</v>
      </c>
      <c r="B158" s="223" t="s">
        <v>446</v>
      </c>
      <c r="C158" s="521" t="s">
        <v>447</v>
      </c>
      <c r="D158" s="519"/>
      <c r="E158" s="223" t="s">
        <v>380</v>
      </c>
      <c r="F158" s="233">
        <v>0.01</v>
      </c>
      <c r="G158" s="311">
        <v>0</v>
      </c>
      <c r="H158" s="233">
        <f>F158*AM158</f>
        <v>0</v>
      </c>
      <c r="I158" s="233">
        <f>F158*AN158</f>
        <v>0</v>
      </c>
      <c r="J158" s="233">
        <f>F158*G158</f>
        <v>0</v>
      </c>
      <c r="K158" s="233">
        <v>0</v>
      </c>
      <c r="L158" s="233">
        <f>F158*K158</f>
        <v>0</v>
      </c>
      <c r="M158" s="240" t="s">
        <v>472</v>
      </c>
      <c r="X158" s="233">
        <f>IF(AO158="5",BH158,0)</f>
        <v>0</v>
      </c>
      <c r="Z158" s="233">
        <f>IF(AO158="1",BF158,0)</f>
        <v>0</v>
      </c>
      <c r="AA158" s="233">
        <f>IF(AO158="1",BG158,0)</f>
        <v>0</v>
      </c>
      <c r="AB158" s="233">
        <f>IF(AO158="7",BF158,0)</f>
        <v>0</v>
      </c>
      <c r="AC158" s="233">
        <f>IF(AO158="7",BG158,0)</f>
        <v>0</v>
      </c>
      <c r="AD158" s="233">
        <f>IF(AO158="2",BF158,0)</f>
        <v>0</v>
      </c>
      <c r="AE158" s="233">
        <f>IF(AO158="2",BG158,0)</f>
        <v>0</v>
      </c>
      <c r="AF158" s="233">
        <f>IF(AO158="0",BH158,0)</f>
        <v>0</v>
      </c>
      <c r="AG158" s="229" t="s">
        <v>154</v>
      </c>
      <c r="AH158" s="233">
        <f>IF(AL158=0,J158,0)</f>
        <v>0</v>
      </c>
      <c r="AI158" s="233">
        <f>IF(AL158=15,J158,0)</f>
        <v>0</v>
      </c>
      <c r="AJ158" s="233">
        <f>IF(AL158=21,J158,0)</f>
        <v>0</v>
      </c>
      <c r="AL158" s="233">
        <v>15</v>
      </c>
      <c r="AM158" s="233">
        <f>G158*0</f>
        <v>0</v>
      </c>
      <c r="AN158" s="233">
        <f>G158*(1-0)</f>
        <v>0</v>
      </c>
      <c r="AO158" s="234" t="s">
        <v>177</v>
      </c>
      <c r="AT158" s="233">
        <f>AU158+AV158</f>
        <v>0</v>
      </c>
      <c r="AU158" s="233">
        <f>F158*AM158</f>
        <v>0</v>
      </c>
      <c r="AV158" s="233">
        <f>F158*AN158</f>
        <v>0</v>
      </c>
      <c r="AW158" s="234" t="s">
        <v>448</v>
      </c>
      <c r="AX158" s="234" t="s">
        <v>375</v>
      </c>
      <c r="AY158" s="229" t="s">
        <v>164</v>
      </c>
      <c r="BA158" s="233">
        <f>AU158+AV158</f>
        <v>0</v>
      </c>
      <c r="BB158" s="233">
        <f>G158/(100-BC158)*100</f>
        <v>0</v>
      </c>
      <c r="BC158" s="233">
        <v>0</v>
      </c>
      <c r="BD158" s="233">
        <f>L158</f>
        <v>0</v>
      </c>
      <c r="BF158" s="233">
        <f>F158*AM158</f>
        <v>0</v>
      </c>
      <c r="BG158" s="233">
        <f>F158*AN158</f>
        <v>0</v>
      </c>
      <c r="BH158" s="233">
        <f>F158*G158</f>
        <v>0</v>
      </c>
      <c r="BI158" s="233"/>
      <c r="BJ158" s="233"/>
      <c r="BU158" s="233" t="e">
        <f>#REF!</f>
        <v>#REF!</v>
      </c>
      <c r="BV158" s="225" t="s">
        <v>447</v>
      </c>
    </row>
    <row r="159" spans="1:74" ht="14.4" x14ac:dyDescent="0.3">
      <c r="A159" s="239" t="s">
        <v>154</v>
      </c>
      <c r="B159" s="224" t="s">
        <v>411</v>
      </c>
      <c r="C159" s="526" t="s">
        <v>412</v>
      </c>
      <c r="D159" s="527"/>
      <c r="E159" s="223" t="s">
        <v>114</v>
      </c>
      <c r="F159" s="223" t="s">
        <v>114</v>
      </c>
      <c r="G159" s="223" t="s">
        <v>114</v>
      </c>
      <c r="H159" s="235">
        <f>SUM(H160:H160)</f>
        <v>0</v>
      </c>
      <c r="I159" s="235">
        <f>SUM(I160:I160)</f>
        <v>0</v>
      </c>
      <c r="J159" s="235">
        <f>SUM(J160:J160)</f>
        <v>0</v>
      </c>
      <c r="K159" s="230" t="s">
        <v>154</v>
      </c>
      <c r="L159" s="235">
        <f>SUM(L160:L160)</f>
        <v>0</v>
      </c>
      <c r="M159" s="243" t="s">
        <v>154</v>
      </c>
      <c r="AG159" s="229" t="s">
        <v>154</v>
      </c>
      <c r="AQ159" s="222">
        <f>SUM(AH160:AH160)</f>
        <v>0</v>
      </c>
      <c r="AR159" s="222">
        <f>SUM(AI160:AI160)</f>
        <v>0</v>
      </c>
      <c r="AS159" s="222">
        <f>SUM(AJ160:AJ160)</f>
        <v>0</v>
      </c>
    </row>
    <row r="160" spans="1:74" ht="14.4" x14ac:dyDescent="0.3">
      <c r="A160" s="239" t="s">
        <v>419</v>
      </c>
      <c r="B160" s="223" t="s">
        <v>414</v>
      </c>
      <c r="C160" s="521" t="s">
        <v>415</v>
      </c>
      <c r="D160" s="519"/>
      <c r="E160" s="223" t="s">
        <v>380</v>
      </c>
      <c r="F160" s="233">
        <v>4.3600000000000003</v>
      </c>
      <c r="G160" s="311">
        <v>0</v>
      </c>
      <c r="H160" s="233">
        <f>F160*AM160</f>
        <v>0</v>
      </c>
      <c r="I160" s="233">
        <f>F160*AN160</f>
        <v>0</v>
      </c>
      <c r="J160" s="233">
        <f>F160*G160</f>
        <v>0</v>
      </c>
      <c r="K160" s="233">
        <v>0</v>
      </c>
      <c r="L160" s="233">
        <f>F160*K160</f>
        <v>0</v>
      </c>
      <c r="M160" s="240" t="s">
        <v>472</v>
      </c>
      <c r="X160" s="233">
        <f>IF(AO160="5",BH160,0)</f>
        <v>0</v>
      </c>
      <c r="Z160" s="233">
        <f>IF(AO160="1",BF160,0)</f>
        <v>0</v>
      </c>
      <c r="AA160" s="233">
        <f>IF(AO160="1",BG160,0)</f>
        <v>0</v>
      </c>
      <c r="AB160" s="233">
        <f>IF(AO160="7",BF160,0)</f>
        <v>0</v>
      </c>
      <c r="AC160" s="233">
        <f>IF(AO160="7",BG160,0)</f>
        <v>0</v>
      </c>
      <c r="AD160" s="233">
        <f>IF(AO160="2",BF160,0)</f>
        <v>0</v>
      </c>
      <c r="AE160" s="233">
        <f>IF(AO160="2",BG160,0)</f>
        <v>0</v>
      </c>
      <c r="AF160" s="233">
        <f>IF(AO160="0",BH160,0)</f>
        <v>0</v>
      </c>
      <c r="AG160" s="229" t="s">
        <v>154</v>
      </c>
      <c r="AH160" s="233">
        <f>IF(AL160=0,J160,0)</f>
        <v>0</v>
      </c>
      <c r="AI160" s="233">
        <f>IF(AL160=15,J160,0)</f>
        <v>0</v>
      </c>
      <c r="AJ160" s="233">
        <f>IF(AL160=21,J160,0)</f>
        <v>0</v>
      </c>
      <c r="AL160" s="233">
        <v>15</v>
      </c>
      <c r="AM160" s="233">
        <f>G160*0</f>
        <v>0</v>
      </c>
      <c r="AN160" s="233">
        <f>G160*(1-0)</f>
        <v>0</v>
      </c>
      <c r="AO160" s="234" t="s">
        <v>177</v>
      </c>
      <c r="AT160" s="233">
        <f>AU160+AV160</f>
        <v>0</v>
      </c>
      <c r="AU160" s="233">
        <f>F160*AM160</f>
        <v>0</v>
      </c>
      <c r="AV160" s="233">
        <f>F160*AN160</f>
        <v>0</v>
      </c>
      <c r="AW160" s="234" t="s">
        <v>416</v>
      </c>
      <c r="AX160" s="234" t="s">
        <v>375</v>
      </c>
      <c r="AY160" s="229" t="s">
        <v>164</v>
      </c>
      <c r="BA160" s="233">
        <f>AU160+AV160</f>
        <v>0</v>
      </c>
      <c r="BB160" s="233">
        <f>G160/(100-BC160)*100</f>
        <v>0</v>
      </c>
      <c r="BC160" s="233">
        <v>0</v>
      </c>
      <c r="BD160" s="233">
        <f>L160</f>
        <v>0</v>
      </c>
      <c r="BF160" s="233">
        <f>F160*AM160</f>
        <v>0</v>
      </c>
      <c r="BG160" s="233">
        <f>F160*AN160</f>
        <v>0</v>
      </c>
      <c r="BH160" s="233">
        <f>F160*G160</f>
        <v>0</v>
      </c>
      <c r="BI160" s="233"/>
      <c r="BJ160" s="233"/>
      <c r="BU160" s="233" t="e">
        <f>#REF!</f>
        <v>#REF!</v>
      </c>
      <c r="BV160" s="225" t="s">
        <v>415</v>
      </c>
    </row>
    <row r="161" spans="1:74" ht="14.4" x14ac:dyDescent="0.3">
      <c r="A161" s="239" t="s">
        <v>154</v>
      </c>
      <c r="B161" s="224" t="s">
        <v>1383</v>
      </c>
      <c r="C161" s="526" t="s">
        <v>449</v>
      </c>
      <c r="D161" s="527"/>
      <c r="E161" s="223" t="s">
        <v>114</v>
      </c>
      <c r="F161" s="223" t="s">
        <v>114</v>
      </c>
      <c r="G161" s="223" t="s">
        <v>114</v>
      </c>
      <c r="H161" s="235">
        <f>SUM(H162:H162)</f>
        <v>0</v>
      </c>
      <c r="I161" s="235">
        <f>SUM(I162:I162)</f>
        <v>0</v>
      </c>
      <c r="J161" s="235">
        <f>SUM(J162:J162)</f>
        <v>0</v>
      </c>
      <c r="K161" s="230" t="s">
        <v>154</v>
      </c>
      <c r="L161" s="235">
        <f>SUM(L162:L162)</f>
        <v>0</v>
      </c>
      <c r="M161" s="243" t="s">
        <v>154</v>
      </c>
      <c r="AG161" s="229" t="s">
        <v>154</v>
      </c>
      <c r="AQ161" s="222">
        <f>SUM(AH162:AH162)</f>
        <v>0</v>
      </c>
      <c r="AR161" s="222">
        <f>SUM(AI162:AI162)</f>
        <v>0</v>
      </c>
      <c r="AS161" s="222">
        <f>SUM(AJ162:AJ162)</f>
        <v>0</v>
      </c>
    </row>
    <row r="162" spans="1:74" ht="14.4" x14ac:dyDescent="0.3">
      <c r="A162" s="239" t="s">
        <v>548</v>
      </c>
      <c r="B162" s="223" t="s">
        <v>450</v>
      </c>
      <c r="C162" s="521" t="s">
        <v>451</v>
      </c>
      <c r="D162" s="519"/>
      <c r="E162" s="223" t="s">
        <v>452</v>
      </c>
      <c r="F162" s="233">
        <v>1</v>
      </c>
      <c r="G162" s="311">
        <v>0</v>
      </c>
      <c r="H162" s="233">
        <f>F162*AM162</f>
        <v>0</v>
      </c>
      <c r="I162" s="233">
        <f>F162*AN162</f>
        <v>0</v>
      </c>
      <c r="J162" s="233">
        <f>F162*G162</f>
        <v>0</v>
      </c>
      <c r="K162" s="233">
        <v>0</v>
      </c>
      <c r="L162" s="233">
        <f>F162*K162</f>
        <v>0</v>
      </c>
      <c r="M162" s="240" t="s">
        <v>472</v>
      </c>
      <c r="X162" s="233">
        <f>IF(AO162="5",BH162,0)</f>
        <v>0</v>
      </c>
      <c r="Z162" s="233">
        <f>IF(AO162="1",BF162,0)</f>
        <v>0</v>
      </c>
      <c r="AA162" s="233">
        <f>IF(AO162="1",BG162,0)</f>
        <v>0</v>
      </c>
      <c r="AB162" s="233">
        <f>IF(AO162="7",BF162,0)</f>
        <v>0</v>
      </c>
      <c r="AC162" s="233">
        <f>IF(AO162="7",BG162,0)</f>
        <v>0</v>
      </c>
      <c r="AD162" s="233">
        <f>IF(AO162="2",BF162,0)</f>
        <v>0</v>
      </c>
      <c r="AE162" s="233">
        <f>IF(AO162="2",BG162,0)</f>
        <v>0</v>
      </c>
      <c r="AF162" s="233">
        <f>IF(AO162="0",BH162,0)</f>
        <v>0</v>
      </c>
      <c r="AG162" s="229" t="s">
        <v>154</v>
      </c>
      <c r="AH162" s="233">
        <f>IF(AL162=0,J162,0)</f>
        <v>0</v>
      </c>
      <c r="AI162" s="233">
        <f>IF(AL162=15,J162,0)</f>
        <v>0</v>
      </c>
      <c r="AJ162" s="233">
        <f>IF(AL162=21,J162,0)</f>
        <v>0</v>
      </c>
      <c r="AL162" s="233">
        <v>15</v>
      </c>
      <c r="AM162" s="233">
        <f>G162*1</f>
        <v>0</v>
      </c>
      <c r="AN162" s="233">
        <f>G162*(1-1)</f>
        <v>0</v>
      </c>
      <c r="AO162" s="234" t="s">
        <v>453</v>
      </c>
      <c r="AT162" s="233">
        <f>AU162+AV162</f>
        <v>0</v>
      </c>
      <c r="AU162" s="233">
        <f>F162*AM162</f>
        <v>0</v>
      </c>
      <c r="AV162" s="233">
        <f>F162*AN162</f>
        <v>0</v>
      </c>
      <c r="AW162" s="234" t="s">
        <v>454</v>
      </c>
      <c r="AX162" s="234" t="s">
        <v>455</v>
      </c>
      <c r="AY162" s="229" t="s">
        <v>164</v>
      </c>
      <c r="BA162" s="233">
        <f>AU162+AV162</f>
        <v>0</v>
      </c>
      <c r="BB162" s="233">
        <f>G162/(100-BC162)*100</f>
        <v>0</v>
      </c>
      <c r="BC162" s="233">
        <v>0</v>
      </c>
      <c r="BD162" s="233">
        <f>L162</f>
        <v>0</v>
      </c>
      <c r="BF162" s="233">
        <f>F162*AM162</f>
        <v>0</v>
      </c>
      <c r="BG162" s="233">
        <f>F162*AN162</f>
        <v>0</v>
      </c>
      <c r="BH162" s="233">
        <f>F162*G162</f>
        <v>0</v>
      </c>
      <c r="BI162" s="233"/>
      <c r="BJ162" s="233"/>
      <c r="BU162" s="233" t="e">
        <f>#REF!</f>
        <v>#REF!</v>
      </c>
      <c r="BV162" s="225" t="s">
        <v>451</v>
      </c>
    </row>
    <row r="163" spans="1:74" ht="27" customHeight="1" x14ac:dyDescent="0.3">
      <c r="A163" s="244"/>
      <c r="B163" s="245" t="s">
        <v>165</v>
      </c>
      <c r="C163" s="540" t="s">
        <v>1480</v>
      </c>
      <c r="D163" s="541"/>
      <c r="E163" s="541"/>
      <c r="F163" s="541"/>
      <c r="G163" s="541"/>
      <c r="H163" s="541"/>
      <c r="I163" s="541"/>
      <c r="J163" s="541"/>
      <c r="K163" s="541"/>
      <c r="L163" s="541"/>
      <c r="M163" s="542"/>
    </row>
    <row r="164" spans="1:74" ht="14.4" x14ac:dyDescent="0.3">
      <c r="H164" s="527" t="s">
        <v>423</v>
      </c>
      <c r="I164" s="527"/>
      <c r="J164" s="235">
        <f>J12+J29+J34+J45+J50+J71+J78+J81+J86+J91+J94+J117+J122+J125+J128+J131+J138+J141+J144+J154+J157+J159+J161</f>
        <v>0</v>
      </c>
    </row>
    <row r="165" spans="1:74" ht="14.4" x14ac:dyDescent="0.3">
      <c r="A165" s="236" t="s">
        <v>165</v>
      </c>
    </row>
    <row r="166" spans="1:74" ht="15.9" customHeight="1" x14ac:dyDescent="0.3">
      <c r="A166" s="521" t="s">
        <v>1592</v>
      </c>
      <c r="B166" s="519"/>
      <c r="C166" s="519"/>
      <c r="D166" s="519"/>
      <c r="E166" s="519"/>
      <c r="F166" s="519"/>
      <c r="G166" s="519"/>
      <c r="H166" s="519"/>
      <c r="I166" s="519"/>
      <c r="J166" s="519"/>
      <c r="K166" s="519"/>
      <c r="L166" s="519"/>
      <c r="M166" s="519"/>
    </row>
    <row r="167" spans="1:74" ht="15" customHeight="1" x14ac:dyDescent="0.3">
      <c r="A167" s="549" t="s">
        <v>1160</v>
      </c>
      <c r="B167" s="550"/>
      <c r="C167" s="550"/>
      <c r="D167" s="550"/>
      <c r="E167" s="550"/>
      <c r="F167" s="550"/>
      <c r="G167" s="550"/>
      <c r="H167" s="550"/>
      <c r="I167" s="550"/>
      <c r="J167" s="550"/>
      <c r="K167" s="550"/>
      <c r="L167" s="550"/>
      <c r="M167" s="550"/>
    </row>
  </sheetData>
  <sheetProtection algorithmName="SHA-512" hashValue="0Z7sZeB2SpCKi4XkVMh6UfWntk1qIEtnkUFNaNMo0LMGUm+heuA8VmkR5KgG9wJo8bpheEJR+q88ZA7xCEfh/A==" saltValue="1bz5bwMTEwg9JN0t9j8Ipw==" spinCount="100000" sheet="1" objects="1" scenarios="1" formatCells="0" formatColumns="0" formatRows="0" insertColumns="0" insertRows="0" insertHyperlinks="0"/>
  <mergeCells count="184">
    <mergeCell ref="C131:D131"/>
    <mergeCell ref="C132:D132"/>
    <mergeCell ref="C133:M133"/>
    <mergeCell ref="C134:D134"/>
    <mergeCell ref="C135:M135"/>
    <mergeCell ref="C136:D136"/>
    <mergeCell ref="C125:D125"/>
    <mergeCell ref="C126:D126"/>
    <mergeCell ref="C127:M127"/>
    <mergeCell ref="C128:D128"/>
    <mergeCell ref="C129:D129"/>
    <mergeCell ref="C130:M130"/>
    <mergeCell ref="A167:M167"/>
    <mergeCell ref="C161:D161"/>
    <mergeCell ref="C162:D162"/>
    <mergeCell ref="C163:M163"/>
    <mergeCell ref="H164:I164"/>
    <mergeCell ref="A166:M166"/>
    <mergeCell ref="C159:D159"/>
    <mergeCell ref="C160:D160"/>
    <mergeCell ref="C140:M140"/>
    <mergeCell ref="C141:D141"/>
    <mergeCell ref="C142:D142"/>
    <mergeCell ref="C143:M143"/>
    <mergeCell ref="C144:D144"/>
    <mergeCell ref="C145:D145"/>
    <mergeCell ref="C146:D146"/>
    <mergeCell ref="C147:M147"/>
    <mergeCell ref="C148:D148"/>
    <mergeCell ref="C137:M137"/>
    <mergeCell ref="C138:D138"/>
    <mergeCell ref="C139:D139"/>
    <mergeCell ref="C155:D155"/>
    <mergeCell ref="C156:D156"/>
    <mergeCell ref="C157:D157"/>
    <mergeCell ref="C158:D158"/>
    <mergeCell ref="C149:M149"/>
    <mergeCell ref="C150:D150"/>
    <mergeCell ref="C151:D151"/>
    <mergeCell ref="C152:M152"/>
    <mergeCell ref="C153:D153"/>
    <mergeCell ref="C154:D154"/>
    <mergeCell ref="C119:M119"/>
    <mergeCell ref="C120:D120"/>
    <mergeCell ref="C121:M121"/>
    <mergeCell ref="C122:D122"/>
    <mergeCell ref="C123:D123"/>
    <mergeCell ref="C124:M124"/>
    <mergeCell ref="C113:D113"/>
    <mergeCell ref="C114:M114"/>
    <mergeCell ref="C115:D115"/>
    <mergeCell ref="C116:M116"/>
    <mergeCell ref="C117:D117"/>
    <mergeCell ref="C118:D118"/>
    <mergeCell ref="C107:D107"/>
    <mergeCell ref="C108:M108"/>
    <mergeCell ref="C109:D109"/>
    <mergeCell ref="C110:M110"/>
    <mergeCell ref="C111:D111"/>
    <mergeCell ref="C112:M112"/>
    <mergeCell ref="C101:D101"/>
    <mergeCell ref="C102:M102"/>
    <mergeCell ref="C103:D103"/>
    <mergeCell ref="C104:M104"/>
    <mergeCell ref="C105:D105"/>
    <mergeCell ref="C106:M106"/>
    <mergeCell ref="C95:D95"/>
    <mergeCell ref="C96:M96"/>
    <mergeCell ref="C97:D97"/>
    <mergeCell ref="C98:M98"/>
    <mergeCell ref="C99:D99"/>
    <mergeCell ref="C100:M100"/>
    <mergeCell ref="C89:D89"/>
    <mergeCell ref="C90:M90"/>
    <mergeCell ref="C91:D91"/>
    <mergeCell ref="C92:D92"/>
    <mergeCell ref="C93:M93"/>
    <mergeCell ref="C94:D94"/>
    <mergeCell ref="C83:M83"/>
    <mergeCell ref="C84:D84"/>
    <mergeCell ref="C85:M85"/>
    <mergeCell ref="C86:D86"/>
    <mergeCell ref="C87:D87"/>
    <mergeCell ref="C88:M88"/>
    <mergeCell ref="C77:M77"/>
    <mergeCell ref="C78:D78"/>
    <mergeCell ref="C79:D79"/>
    <mergeCell ref="C80:M80"/>
    <mergeCell ref="C81:D81"/>
    <mergeCell ref="C82:D82"/>
    <mergeCell ref="C71:D71"/>
    <mergeCell ref="C72:D72"/>
    <mergeCell ref="C73:M73"/>
    <mergeCell ref="C74:D74"/>
    <mergeCell ref="C75:M75"/>
    <mergeCell ref="C76:D76"/>
    <mergeCell ref="C65:D65"/>
    <mergeCell ref="C66:M66"/>
    <mergeCell ref="C67:D67"/>
    <mergeCell ref="C68:M68"/>
    <mergeCell ref="C69:D69"/>
    <mergeCell ref="C70:M70"/>
    <mergeCell ref="C59:D59"/>
    <mergeCell ref="C60:M60"/>
    <mergeCell ref="C61:D61"/>
    <mergeCell ref="C62:M62"/>
    <mergeCell ref="C63:D63"/>
    <mergeCell ref="C64:M64"/>
    <mergeCell ref="C53:D53"/>
    <mergeCell ref="C54:M54"/>
    <mergeCell ref="C55:D55"/>
    <mergeCell ref="C56:M56"/>
    <mergeCell ref="C57:D57"/>
    <mergeCell ref="C58:M58"/>
    <mergeCell ref="C47:M47"/>
    <mergeCell ref="C48:D48"/>
    <mergeCell ref="C49:M49"/>
    <mergeCell ref="C50:D50"/>
    <mergeCell ref="C51:D51"/>
    <mergeCell ref="C52:M52"/>
    <mergeCell ref="C41:D41"/>
    <mergeCell ref="C42:M42"/>
    <mergeCell ref="C43:D43"/>
    <mergeCell ref="C44:M44"/>
    <mergeCell ref="C45:D45"/>
    <mergeCell ref="C46:D46"/>
    <mergeCell ref="C35:D35"/>
    <mergeCell ref="C36:M36"/>
    <mergeCell ref="C37:D37"/>
    <mergeCell ref="C38:M38"/>
    <mergeCell ref="C39:D39"/>
    <mergeCell ref="C40:M40"/>
    <mergeCell ref="C29:D29"/>
    <mergeCell ref="C30:D30"/>
    <mergeCell ref="C31:M31"/>
    <mergeCell ref="C32:D32"/>
    <mergeCell ref="C33:M33"/>
    <mergeCell ref="C34:D34"/>
    <mergeCell ref="C23:D23"/>
    <mergeCell ref="C24:M24"/>
    <mergeCell ref="C25:D25"/>
    <mergeCell ref="C26:M26"/>
    <mergeCell ref="C27:D27"/>
    <mergeCell ref="C28:M28"/>
    <mergeCell ref="C17:D17"/>
    <mergeCell ref="C18:M18"/>
    <mergeCell ref="C19:D19"/>
    <mergeCell ref="C20:M20"/>
    <mergeCell ref="C21:D21"/>
    <mergeCell ref="C22:M22"/>
    <mergeCell ref="C11:D11"/>
    <mergeCell ref="C12:D12"/>
    <mergeCell ref="C13:D13"/>
    <mergeCell ref="C14:M14"/>
    <mergeCell ref="C15:D15"/>
    <mergeCell ref="C16:M16"/>
    <mergeCell ref="A8:B9"/>
    <mergeCell ref="C8:D9"/>
    <mergeCell ref="E8:F9"/>
    <mergeCell ref="G8:G9"/>
    <mergeCell ref="C10:D10"/>
    <mergeCell ref="H10:J10"/>
    <mergeCell ref="K10:L10"/>
    <mergeCell ref="H8:H9"/>
    <mergeCell ref="I8:M9"/>
    <mergeCell ref="A4:B5"/>
    <mergeCell ref="C4:D5"/>
    <mergeCell ref="E4:F5"/>
    <mergeCell ref="G4:G5"/>
    <mergeCell ref="A6:B7"/>
    <mergeCell ref="C6:D7"/>
    <mergeCell ref="E6:F7"/>
    <mergeCell ref="G6:G7"/>
    <mergeCell ref="A1:M1"/>
    <mergeCell ref="A2:B3"/>
    <mergeCell ref="C2:D3"/>
    <mergeCell ref="E2:F3"/>
    <mergeCell ref="G2:G3"/>
    <mergeCell ref="H2:H3"/>
    <mergeCell ref="I2:M3"/>
    <mergeCell ref="H4:H5"/>
    <mergeCell ref="I4:M5"/>
    <mergeCell ref="H6:H7"/>
    <mergeCell ref="I6:M7"/>
  </mergeCells>
  <printOptions verticalCentered="1"/>
  <pageMargins left="0.78740157480314965" right="0.39370078740157483" top="0.39370078740157483" bottom="0.39370078740157483" header="0" footer="0.39370078740157483"/>
  <pageSetup paperSize="9" scale="63" fitToHeight="0" orientation="landscape" r:id="rId1"/>
  <headerFooter>
    <oddFooter>&amp;L&amp;A&amp;C&amp;F&amp;Rstran &amp;N / strana &amp;P</oddFooter>
  </headerFooter>
  <rowBreaks count="6" manualBreakCount="6">
    <brk id="24" max="12" man="1"/>
    <brk id="44" max="12" man="1"/>
    <brk id="70" max="12" man="1"/>
    <brk id="102" max="12" man="1"/>
    <brk id="127" max="12" man="1"/>
    <brk id="153" max="12"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41E9B-E77A-4211-955F-E7B60C2C69B0}">
  <sheetPr codeName="List8">
    <pageSetUpPr fitToPage="1"/>
  </sheetPr>
  <dimension ref="A1:BV211"/>
  <sheetViews>
    <sheetView view="pageBreakPreview" zoomScale="55" zoomScaleNormal="70" zoomScaleSheetLayoutView="55" workbookViewId="0">
      <pane ySplit="11" topLeftCell="A12" activePane="bottomLeft" state="frozen"/>
      <selection pane="bottomLeft" activeCell="G13" sqref="G13"/>
    </sheetView>
  </sheetViews>
  <sheetFormatPr defaultColWidth="12.109375" defaultRowHeight="15" customHeight="1" x14ac:dyDescent="0.3"/>
  <cols>
    <col min="1" max="1" width="4" style="221" customWidth="1"/>
    <col min="2" max="2" width="17.88671875" style="221" customWidth="1"/>
    <col min="3" max="3" width="42.88671875" style="221" customWidth="1"/>
    <col min="4" max="4" width="35.6640625" style="221" customWidth="1"/>
    <col min="5" max="5" width="5.44140625" style="221" customWidth="1"/>
    <col min="6" max="6" width="12.88671875" style="221" customWidth="1"/>
    <col min="7" max="7" width="12" style="221" customWidth="1"/>
    <col min="8" max="10" width="15.6640625" style="221" customWidth="1"/>
    <col min="11" max="12" width="11.6640625" style="221" customWidth="1"/>
    <col min="13" max="13" width="13.44140625" style="221" customWidth="1"/>
    <col min="14" max="73" width="12.109375" style="221"/>
    <col min="74" max="74" width="78.5546875" style="221" hidden="1" customWidth="1"/>
    <col min="75" max="16384" width="12.109375" style="221"/>
  </cols>
  <sheetData>
    <row r="1" spans="1:74" ht="54.75" customHeight="1" thickBot="1" x14ac:dyDescent="0.35">
      <c r="A1" s="523" t="s">
        <v>2303</v>
      </c>
      <c r="B1" s="524"/>
      <c r="C1" s="524"/>
      <c r="D1" s="524"/>
      <c r="E1" s="524"/>
      <c r="F1" s="524"/>
      <c r="G1" s="524"/>
      <c r="H1" s="524"/>
      <c r="I1" s="524"/>
      <c r="J1" s="524"/>
      <c r="K1" s="524"/>
      <c r="L1" s="524"/>
      <c r="M1" s="525"/>
      <c r="AQ1" s="222">
        <f>SUM(AH1:AH2)</f>
        <v>0</v>
      </c>
      <c r="AR1" s="222">
        <f>SUM(AI1:AI2)</f>
        <v>0</v>
      </c>
      <c r="AS1" s="222">
        <f>SUM(AJ1:AJ2)</f>
        <v>0</v>
      </c>
    </row>
    <row r="2" spans="1:74" ht="15" customHeight="1" x14ac:dyDescent="0.3">
      <c r="A2" s="518" t="s">
        <v>112</v>
      </c>
      <c r="B2" s="519"/>
      <c r="C2" s="526" t="s">
        <v>68</v>
      </c>
      <c r="D2" s="527"/>
      <c r="E2" s="565" t="s">
        <v>113</v>
      </c>
      <c r="F2" s="565"/>
      <c r="G2" s="522" t="s">
        <v>1156</v>
      </c>
      <c r="H2" s="551" t="s">
        <v>457</v>
      </c>
      <c r="I2" s="551" t="s">
        <v>69</v>
      </c>
      <c r="J2" s="551"/>
      <c r="K2" s="551"/>
      <c r="L2" s="551"/>
      <c r="M2" s="552"/>
    </row>
    <row r="3" spans="1:74" ht="14.4" x14ac:dyDescent="0.3">
      <c r="A3" s="520"/>
      <c r="B3" s="519"/>
      <c r="C3" s="527"/>
      <c r="D3" s="527"/>
      <c r="E3" s="565"/>
      <c r="F3" s="565"/>
      <c r="G3" s="522"/>
      <c r="H3" s="551"/>
      <c r="I3" s="551"/>
      <c r="J3" s="551"/>
      <c r="K3" s="551"/>
      <c r="L3" s="551"/>
      <c r="M3" s="552"/>
    </row>
    <row r="4" spans="1:74" ht="15" customHeight="1" x14ac:dyDescent="0.3">
      <c r="A4" s="518" t="s">
        <v>115</v>
      </c>
      <c r="B4" s="519"/>
      <c r="C4" s="521" t="s">
        <v>86</v>
      </c>
      <c r="D4" s="519"/>
      <c r="E4" s="565" t="s">
        <v>116</v>
      </c>
      <c r="F4" s="565"/>
      <c r="G4" s="522" t="s">
        <v>1156</v>
      </c>
      <c r="H4" s="551" t="s">
        <v>458</v>
      </c>
      <c r="I4" s="551" t="s">
        <v>1157</v>
      </c>
      <c r="J4" s="551"/>
      <c r="K4" s="551"/>
      <c r="L4" s="551"/>
      <c r="M4" s="552"/>
    </row>
    <row r="5" spans="1:74" ht="14.4" x14ac:dyDescent="0.3">
      <c r="A5" s="520"/>
      <c r="B5" s="519"/>
      <c r="C5" s="519"/>
      <c r="D5" s="519"/>
      <c r="E5" s="565"/>
      <c r="F5" s="565"/>
      <c r="G5" s="522"/>
      <c r="H5" s="551"/>
      <c r="I5" s="551"/>
      <c r="J5" s="551"/>
      <c r="K5" s="551"/>
      <c r="L5" s="551"/>
      <c r="M5" s="552"/>
    </row>
    <row r="6" spans="1:74" ht="15" customHeight="1" x14ac:dyDescent="0.3">
      <c r="A6" s="518" t="s">
        <v>117</v>
      </c>
      <c r="B6" s="519"/>
      <c r="C6" s="521" t="s">
        <v>459</v>
      </c>
      <c r="D6" s="519"/>
      <c r="E6" s="565" t="s">
        <v>119</v>
      </c>
      <c r="F6" s="565"/>
      <c r="G6" s="522" t="s">
        <v>1156</v>
      </c>
      <c r="H6" s="551" t="s">
        <v>460</v>
      </c>
      <c r="I6" s="551" t="s">
        <v>461</v>
      </c>
      <c r="J6" s="551"/>
      <c r="K6" s="551"/>
      <c r="L6" s="551"/>
      <c r="M6" s="552"/>
    </row>
    <row r="7" spans="1:74" ht="14.4" x14ac:dyDescent="0.3">
      <c r="A7" s="520"/>
      <c r="B7" s="519"/>
      <c r="C7" s="519"/>
      <c r="D7" s="519"/>
      <c r="E7" s="565"/>
      <c r="F7" s="565"/>
      <c r="G7" s="522"/>
      <c r="H7" s="551"/>
      <c r="I7" s="551"/>
      <c r="J7" s="551"/>
      <c r="K7" s="551"/>
      <c r="L7" s="551"/>
      <c r="M7" s="552"/>
    </row>
    <row r="8" spans="1:74" ht="14.4" x14ac:dyDescent="0.3">
      <c r="A8" s="518" t="s">
        <v>120</v>
      </c>
      <c r="B8" s="519"/>
      <c r="C8" s="521" t="s">
        <v>121</v>
      </c>
      <c r="D8" s="519"/>
      <c r="E8" s="565" t="s">
        <v>122</v>
      </c>
      <c r="F8" s="565"/>
      <c r="G8" s="522" t="s">
        <v>1155</v>
      </c>
      <c r="H8" s="551" t="s">
        <v>462</v>
      </c>
      <c r="I8" s="551" t="s">
        <v>1158</v>
      </c>
      <c r="J8" s="551"/>
      <c r="K8" s="551"/>
      <c r="L8" s="551"/>
      <c r="M8" s="552"/>
    </row>
    <row r="9" spans="1:74" thickBot="1" x14ac:dyDescent="0.35">
      <c r="A9" s="520"/>
      <c r="B9" s="519"/>
      <c r="C9" s="519"/>
      <c r="D9" s="519"/>
      <c r="E9" s="576"/>
      <c r="F9" s="576"/>
      <c r="G9" s="534"/>
      <c r="H9" s="553"/>
      <c r="I9" s="553"/>
      <c r="J9" s="553"/>
      <c r="K9" s="553"/>
      <c r="L9" s="553"/>
      <c r="M9" s="554"/>
    </row>
    <row r="10" spans="1:74" ht="14.4" x14ac:dyDescent="0.3">
      <c r="A10" s="268" t="s">
        <v>123</v>
      </c>
      <c r="B10" s="226" t="s">
        <v>124</v>
      </c>
      <c r="C10" s="535" t="s">
        <v>125</v>
      </c>
      <c r="D10" s="536"/>
      <c r="E10" s="226" t="s">
        <v>126</v>
      </c>
      <c r="F10" s="227" t="s">
        <v>127</v>
      </c>
      <c r="G10" s="228" t="s">
        <v>128</v>
      </c>
      <c r="H10" s="537" t="s">
        <v>129</v>
      </c>
      <c r="I10" s="538"/>
      <c r="J10" s="539"/>
      <c r="K10" s="538" t="s">
        <v>130</v>
      </c>
      <c r="L10" s="538"/>
      <c r="M10" s="269" t="s">
        <v>131</v>
      </c>
      <c r="BI10" s="229" t="s">
        <v>132</v>
      </c>
      <c r="BJ10" s="230" t="s">
        <v>133</v>
      </c>
      <c r="BU10" s="230" t="s">
        <v>134</v>
      </c>
    </row>
    <row r="11" spans="1:74" thickBot="1" x14ac:dyDescent="0.35">
      <c r="A11" s="251" t="s">
        <v>114</v>
      </c>
      <c r="B11" s="252" t="s">
        <v>114</v>
      </c>
      <c r="C11" s="528" t="s">
        <v>135</v>
      </c>
      <c r="D11" s="529"/>
      <c r="E11" s="252" t="s">
        <v>114</v>
      </c>
      <c r="F11" s="252" t="s">
        <v>114</v>
      </c>
      <c r="G11" s="253" t="s">
        <v>136</v>
      </c>
      <c r="H11" s="254" t="s">
        <v>137</v>
      </c>
      <c r="I11" s="255" t="s">
        <v>138</v>
      </c>
      <c r="J11" s="256" t="s">
        <v>139</v>
      </c>
      <c r="K11" s="255" t="s">
        <v>140</v>
      </c>
      <c r="L11" s="253" t="s">
        <v>139</v>
      </c>
      <c r="M11" s="257" t="s">
        <v>141</v>
      </c>
      <c r="X11" s="229" t="s">
        <v>142</v>
      </c>
      <c r="Y11" s="229" t="s">
        <v>143</v>
      </c>
      <c r="Z11" s="229" t="s">
        <v>144</v>
      </c>
      <c r="AA11" s="229" t="s">
        <v>145</v>
      </c>
      <c r="AB11" s="229" t="s">
        <v>146</v>
      </c>
      <c r="AC11" s="229" t="s">
        <v>147</v>
      </c>
      <c r="AD11" s="229" t="s">
        <v>148</v>
      </c>
      <c r="AE11" s="229" t="s">
        <v>149</v>
      </c>
      <c r="AF11" s="229" t="s">
        <v>150</v>
      </c>
      <c r="BF11" s="229" t="s">
        <v>151</v>
      </c>
      <c r="BG11" s="229" t="s">
        <v>152</v>
      </c>
      <c r="BH11" s="229" t="s">
        <v>153</v>
      </c>
    </row>
    <row r="12" spans="1:74" ht="14.4" x14ac:dyDescent="0.3">
      <c r="A12" s="239" t="s">
        <v>154</v>
      </c>
      <c r="B12" s="224" t="s">
        <v>453</v>
      </c>
      <c r="C12" s="526" t="s">
        <v>463</v>
      </c>
      <c r="D12" s="527"/>
      <c r="E12" s="223" t="s">
        <v>114</v>
      </c>
      <c r="F12" s="223" t="s">
        <v>114</v>
      </c>
      <c r="G12" s="223" t="s">
        <v>114</v>
      </c>
      <c r="H12" s="235">
        <f>SUM(H13:H13)</f>
        <v>0</v>
      </c>
      <c r="I12" s="235">
        <f>SUM(I13:I13)</f>
        <v>0</v>
      </c>
      <c r="J12" s="235">
        <f>SUM(J13:J13)</f>
        <v>0</v>
      </c>
      <c r="K12" s="230" t="s">
        <v>154</v>
      </c>
      <c r="L12" s="235">
        <f>SUM(L13:L13)</f>
        <v>0</v>
      </c>
      <c r="M12" s="243" t="s">
        <v>154</v>
      </c>
      <c r="AG12" s="229" t="s">
        <v>154</v>
      </c>
      <c r="AQ12" s="222">
        <f>SUM(AH13:AH13)</f>
        <v>0</v>
      </c>
      <c r="AR12" s="222">
        <f>SUM(AI13:AI13)</f>
        <v>0</v>
      </c>
      <c r="AS12" s="222">
        <f>SUM(AJ13:AJ13)</f>
        <v>0</v>
      </c>
    </row>
    <row r="13" spans="1:74" ht="14.4" x14ac:dyDescent="0.3">
      <c r="A13" s="239" t="s">
        <v>157</v>
      </c>
      <c r="B13" s="223" t="s">
        <v>464</v>
      </c>
      <c r="C13" s="521" t="s">
        <v>465</v>
      </c>
      <c r="D13" s="519"/>
      <c r="E13" s="223" t="s">
        <v>466</v>
      </c>
      <c r="F13" s="233">
        <v>4</v>
      </c>
      <c r="G13" s="311">
        <v>0</v>
      </c>
      <c r="H13" s="233">
        <f>F13*AM13</f>
        <v>0</v>
      </c>
      <c r="I13" s="233">
        <f>F13*AN13</f>
        <v>0</v>
      </c>
      <c r="J13" s="233">
        <f>F13*G13</f>
        <v>0</v>
      </c>
      <c r="K13" s="233">
        <v>0</v>
      </c>
      <c r="L13" s="233">
        <f>F13*K13</f>
        <v>0</v>
      </c>
      <c r="M13" s="240" t="s">
        <v>154</v>
      </c>
      <c r="X13" s="233">
        <f>IF(AO13="5",BH13,0)</f>
        <v>0</v>
      </c>
      <c r="Z13" s="233">
        <f>IF(AO13="1",BF13,0)</f>
        <v>0</v>
      </c>
      <c r="AA13" s="233">
        <f>IF(AO13="1",BG13,0)</f>
        <v>0</v>
      </c>
      <c r="AB13" s="233">
        <f>IF(AO13="7",BF13,0)</f>
        <v>0</v>
      </c>
      <c r="AC13" s="233">
        <f>IF(AO13="7",BG13,0)</f>
        <v>0</v>
      </c>
      <c r="AD13" s="233">
        <f>IF(AO13="2",BF13,0)</f>
        <v>0</v>
      </c>
      <c r="AE13" s="233">
        <f>IF(AO13="2",BG13,0)</f>
        <v>0</v>
      </c>
      <c r="AF13" s="233">
        <f>IF(AO13="0",BH13,0)</f>
        <v>0</v>
      </c>
      <c r="AG13" s="229" t="s">
        <v>154</v>
      </c>
      <c r="AH13" s="233">
        <f>IF(AL13=0,J13,0)</f>
        <v>0</v>
      </c>
      <c r="AI13" s="233">
        <f>IF(AL13=15,J13,0)</f>
        <v>0</v>
      </c>
      <c r="AJ13" s="233">
        <f>IF(AL13=21,J13,0)</f>
        <v>0</v>
      </c>
      <c r="AL13" s="233">
        <v>15</v>
      </c>
      <c r="AM13" s="233">
        <f>G13*0.125865324</f>
        <v>0</v>
      </c>
      <c r="AN13" s="233">
        <f>G13*(1-0.125865324)</f>
        <v>0</v>
      </c>
      <c r="AO13" s="234" t="s">
        <v>157</v>
      </c>
      <c r="AT13" s="233">
        <f>AU13+AV13</f>
        <v>0</v>
      </c>
      <c r="AU13" s="233">
        <f>F13*AM13</f>
        <v>0</v>
      </c>
      <c r="AV13" s="233">
        <f>F13*AN13</f>
        <v>0</v>
      </c>
      <c r="AW13" s="234" t="s">
        <v>467</v>
      </c>
      <c r="AX13" s="234" t="s">
        <v>467</v>
      </c>
      <c r="AY13" s="229" t="s">
        <v>164</v>
      </c>
      <c r="BA13" s="233">
        <f>AU13+AV13</f>
        <v>0</v>
      </c>
      <c r="BB13" s="233">
        <f>G13/(100-BC13)*100</f>
        <v>0</v>
      </c>
      <c r="BC13" s="233">
        <v>0</v>
      </c>
      <c r="BD13" s="233">
        <f>L13</f>
        <v>0</v>
      </c>
      <c r="BF13" s="233">
        <f>F13*AM13</f>
        <v>0</v>
      </c>
      <c r="BG13" s="233">
        <f>F13*AN13</f>
        <v>0</v>
      </c>
      <c r="BH13" s="233">
        <f>F13*G13</f>
        <v>0</v>
      </c>
      <c r="BI13" s="233"/>
      <c r="BJ13" s="233">
        <v>0</v>
      </c>
      <c r="BU13" s="233" t="e">
        <f>#REF!</f>
        <v>#REF!</v>
      </c>
      <c r="BV13" s="225" t="s">
        <v>465</v>
      </c>
    </row>
    <row r="14" spans="1:74" ht="40.5" customHeight="1" x14ac:dyDescent="0.3">
      <c r="A14" s="241"/>
      <c r="B14" s="242" t="s">
        <v>165</v>
      </c>
      <c r="C14" s="530" t="s">
        <v>1593</v>
      </c>
      <c r="D14" s="531"/>
      <c r="E14" s="531"/>
      <c r="F14" s="531"/>
      <c r="G14" s="531"/>
      <c r="H14" s="531"/>
      <c r="I14" s="531"/>
      <c r="J14" s="531"/>
      <c r="K14" s="531"/>
      <c r="L14" s="531"/>
      <c r="M14" s="532"/>
    </row>
    <row r="15" spans="1:74" ht="14.4" x14ac:dyDescent="0.3">
      <c r="A15" s="239" t="s">
        <v>154</v>
      </c>
      <c r="B15" s="224" t="s">
        <v>155</v>
      </c>
      <c r="C15" s="526" t="s">
        <v>156</v>
      </c>
      <c r="D15" s="527"/>
      <c r="E15" s="223" t="s">
        <v>114</v>
      </c>
      <c r="F15" s="223" t="s">
        <v>114</v>
      </c>
      <c r="G15" s="223" t="s">
        <v>114</v>
      </c>
      <c r="H15" s="235">
        <f>SUM(H16:H30)</f>
        <v>0</v>
      </c>
      <c r="I15" s="235">
        <f>SUM(I16:I30)</f>
        <v>0</v>
      </c>
      <c r="J15" s="235">
        <f>SUM(J16:J30)</f>
        <v>0</v>
      </c>
      <c r="K15" s="230" t="s">
        <v>154</v>
      </c>
      <c r="L15" s="235">
        <f>SUM(L16:L30)</f>
        <v>346.91655810000003</v>
      </c>
      <c r="M15" s="243" t="s">
        <v>154</v>
      </c>
      <c r="AG15" s="229" t="s">
        <v>154</v>
      </c>
      <c r="AQ15" s="222">
        <f>SUM(AH16:AH30)</f>
        <v>0</v>
      </c>
      <c r="AR15" s="222">
        <f>SUM(AI16:AI30)</f>
        <v>0</v>
      </c>
      <c r="AS15" s="222">
        <f>SUM(AJ16:AJ30)</f>
        <v>0</v>
      </c>
    </row>
    <row r="16" spans="1:74" ht="14.4" x14ac:dyDescent="0.3">
      <c r="A16" s="239" t="s">
        <v>166</v>
      </c>
      <c r="B16" s="223" t="s">
        <v>167</v>
      </c>
      <c r="C16" s="521" t="s">
        <v>168</v>
      </c>
      <c r="D16" s="519"/>
      <c r="E16" s="223" t="s">
        <v>160</v>
      </c>
      <c r="F16" s="233">
        <v>7.83</v>
      </c>
      <c r="G16" s="311">
        <v>0</v>
      </c>
      <c r="H16" s="233">
        <f>F16*AM16</f>
        <v>0</v>
      </c>
      <c r="I16" s="233">
        <f>F16*AN16</f>
        <v>0</v>
      </c>
      <c r="J16" s="233">
        <f>F16*G16</f>
        <v>0</v>
      </c>
      <c r="K16" s="233">
        <v>8.6899999999999998E-3</v>
      </c>
      <c r="L16" s="233">
        <f>F16*K16</f>
        <v>6.8042699999999998E-2</v>
      </c>
      <c r="M16" s="240" t="s">
        <v>472</v>
      </c>
      <c r="X16" s="233">
        <f>IF(AO16="5",BH16,0)</f>
        <v>0</v>
      </c>
      <c r="Z16" s="233">
        <f>IF(AO16="1",BF16,0)</f>
        <v>0</v>
      </c>
      <c r="AA16" s="233">
        <f>IF(AO16="1",BG16,0)</f>
        <v>0</v>
      </c>
      <c r="AB16" s="233">
        <f>IF(AO16="7",BF16,0)</f>
        <v>0</v>
      </c>
      <c r="AC16" s="233">
        <f>IF(AO16="7",BG16,0)</f>
        <v>0</v>
      </c>
      <c r="AD16" s="233">
        <f>IF(AO16="2",BF16,0)</f>
        <v>0</v>
      </c>
      <c r="AE16" s="233">
        <f>IF(AO16="2",BG16,0)</f>
        <v>0</v>
      </c>
      <c r="AF16" s="233">
        <f>IF(AO16="0",BH16,0)</f>
        <v>0</v>
      </c>
      <c r="AG16" s="229" t="s">
        <v>154</v>
      </c>
      <c r="AH16" s="233">
        <f>IF(AL16=0,J16,0)</f>
        <v>0</v>
      </c>
      <c r="AI16" s="233">
        <f>IF(AL16=15,J16,0)</f>
        <v>0</v>
      </c>
      <c r="AJ16" s="233">
        <f>IF(AL16=21,J16,0)</f>
        <v>0</v>
      </c>
      <c r="AL16" s="233">
        <v>15</v>
      </c>
      <c r="AM16" s="233">
        <f>G16*0.063874461</f>
        <v>0</v>
      </c>
      <c r="AN16" s="233">
        <f>G16*(1-0.063874461)</f>
        <v>0</v>
      </c>
      <c r="AO16" s="234" t="s">
        <v>157</v>
      </c>
      <c r="AT16" s="233">
        <f>AU16+AV16</f>
        <v>0</v>
      </c>
      <c r="AU16" s="233">
        <f>F16*AM16</f>
        <v>0</v>
      </c>
      <c r="AV16" s="233">
        <f>F16*AN16</f>
        <v>0</v>
      </c>
      <c r="AW16" s="234" t="s">
        <v>162</v>
      </c>
      <c r="AX16" s="234" t="s">
        <v>163</v>
      </c>
      <c r="AY16" s="229" t="s">
        <v>164</v>
      </c>
      <c r="BA16" s="233">
        <f>AU16+AV16</f>
        <v>0</v>
      </c>
      <c r="BB16" s="233">
        <f>G16/(100-BC16)*100</f>
        <v>0</v>
      </c>
      <c r="BC16" s="233">
        <v>0</v>
      </c>
      <c r="BD16" s="233">
        <f>L16</f>
        <v>6.8042699999999998E-2</v>
      </c>
      <c r="BF16" s="233">
        <f>F16*AM16</f>
        <v>0</v>
      </c>
      <c r="BG16" s="233">
        <f>F16*AN16</f>
        <v>0</v>
      </c>
      <c r="BH16" s="233">
        <f>F16*G16</f>
        <v>0</v>
      </c>
      <c r="BI16" s="233"/>
      <c r="BJ16" s="233">
        <v>11</v>
      </c>
      <c r="BU16" s="233" t="e">
        <f>#REF!</f>
        <v>#REF!</v>
      </c>
      <c r="BV16" s="225" t="s">
        <v>168</v>
      </c>
    </row>
    <row r="17" spans="1:74" ht="40.5" customHeight="1" x14ac:dyDescent="0.3">
      <c r="A17" s="241"/>
      <c r="B17" s="242" t="s">
        <v>165</v>
      </c>
      <c r="C17" s="530" t="s">
        <v>1594</v>
      </c>
      <c r="D17" s="531"/>
      <c r="E17" s="531"/>
      <c r="F17" s="531"/>
      <c r="G17" s="531"/>
      <c r="H17" s="531"/>
      <c r="I17" s="531"/>
      <c r="J17" s="531"/>
      <c r="K17" s="531"/>
      <c r="L17" s="531"/>
      <c r="M17" s="532"/>
    </row>
    <row r="18" spans="1:74" ht="14.4" x14ac:dyDescent="0.3">
      <c r="A18" s="239" t="s">
        <v>169</v>
      </c>
      <c r="B18" s="223" t="s">
        <v>158</v>
      </c>
      <c r="C18" s="521" t="s">
        <v>159</v>
      </c>
      <c r="D18" s="519"/>
      <c r="E18" s="223" t="s">
        <v>160</v>
      </c>
      <c r="F18" s="233">
        <v>1.74</v>
      </c>
      <c r="G18" s="311">
        <v>0</v>
      </c>
      <c r="H18" s="233">
        <f>F18*AM18</f>
        <v>0</v>
      </c>
      <c r="I18" s="233">
        <f>F18*AN18</f>
        <v>0</v>
      </c>
      <c r="J18" s="233">
        <f>F18*G18</f>
        <v>0</v>
      </c>
      <c r="K18" s="233">
        <v>2.478E-2</v>
      </c>
      <c r="L18" s="233">
        <f>F18*K18</f>
        <v>4.3117200000000001E-2</v>
      </c>
      <c r="M18" s="240" t="s">
        <v>472</v>
      </c>
      <c r="X18" s="233">
        <f>IF(AO18="5",BH18,0)</f>
        <v>0</v>
      </c>
      <c r="Z18" s="233">
        <f>IF(AO18="1",BF18,0)</f>
        <v>0</v>
      </c>
      <c r="AA18" s="233">
        <f>IF(AO18="1",BG18,0)</f>
        <v>0</v>
      </c>
      <c r="AB18" s="233">
        <f>IF(AO18="7",BF18,0)</f>
        <v>0</v>
      </c>
      <c r="AC18" s="233">
        <f>IF(AO18="7",BG18,0)</f>
        <v>0</v>
      </c>
      <c r="AD18" s="233">
        <f>IF(AO18="2",BF18,0)</f>
        <v>0</v>
      </c>
      <c r="AE18" s="233">
        <f>IF(AO18="2",BG18,0)</f>
        <v>0</v>
      </c>
      <c r="AF18" s="233">
        <f>IF(AO18="0",BH18,0)</f>
        <v>0</v>
      </c>
      <c r="AG18" s="229" t="s">
        <v>154</v>
      </c>
      <c r="AH18" s="233">
        <f>IF(AL18=0,J18,0)</f>
        <v>0</v>
      </c>
      <c r="AI18" s="233">
        <f>IF(AL18=15,J18,0)</f>
        <v>0</v>
      </c>
      <c r="AJ18" s="233">
        <f>IF(AL18=21,J18,0)</f>
        <v>0</v>
      </c>
      <c r="AL18" s="233">
        <v>15</v>
      </c>
      <c r="AM18" s="233">
        <f>G18*0.071410936</f>
        <v>0</v>
      </c>
      <c r="AN18" s="233">
        <f>G18*(1-0.071410936)</f>
        <v>0</v>
      </c>
      <c r="AO18" s="234" t="s">
        <v>157</v>
      </c>
      <c r="AT18" s="233">
        <f>AU18+AV18</f>
        <v>0</v>
      </c>
      <c r="AU18" s="233">
        <f>F18*AM18</f>
        <v>0</v>
      </c>
      <c r="AV18" s="233">
        <f>F18*AN18</f>
        <v>0</v>
      </c>
      <c r="AW18" s="234" t="s">
        <v>162</v>
      </c>
      <c r="AX18" s="234" t="s">
        <v>163</v>
      </c>
      <c r="AY18" s="229" t="s">
        <v>164</v>
      </c>
      <c r="BA18" s="233">
        <f>AU18+AV18</f>
        <v>0</v>
      </c>
      <c r="BB18" s="233">
        <f>G18/(100-BC18)*100</f>
        <v>0</v>
      </c>
      <c r="BC18" s="233">
        <v>0</v>
      </c>
      <c r="BD18" s="233">
        <f>L18</f>
        <v>4.3117200000000001E-2</v>
      </c>
      <c r="BF18" s="233">
        <f>F18*AM18</f>
        <v>0</v>
      </c>
      <c r="BG18" s="233">
        <f>F18*AN18</f>
        <v>0</v>
      </c>
      <c r="BH18" s="233">
        <f>F18*G18</f>
        <v>0</v>
      </c>
      <c r="BI18" s="233"/>
      <c r="BJ18" s="233">
        <v>11</v>
      </c>
      <c r="BU18" s="233" t="e">
        <f>#REF!</f>
        <v>#REF!</v>
      </c>
      <c r="BV18" s="225" t="s">
        <v>159</v>
      </c>
    </row>
    <row r="19" spans="1:74" ht="40.5" customHeight="1" x14ac:dyDescent="0.3">
      <c r="A19" s="241"/>
      <c r="B19" s="242" t="s">
        <v>165</v>
      </c>
      <c r="C19" s="530" t="s">
        <v>1595</v>
      </c>
      <c r="D19" s="531"/>
      <c r="E19" s="531"/>
      <c r="F19" s="531"/>
      <c r="G19" s="531"/>
      <c r="H19" s="531"/>
      <c r="I19" s="531"/>
      <c r="J19" s="531"/>
      <c r="K19" s="531"/>
      <c r="L19" s="531"/>
      <c r="M19" s="532"/>
    </row>
    <row r="20" spans="1:74" ht="14.4" x14ac:dyDescent="0.3">
      <c r="A20" s="239" t="s">
        <v>173</v>
      </c>
      <c r="B20" s="223" t="s">
        <v>884</v>
      </c>
      <c r="C20" s="521" t="s">
        <v>885</v>
      </c>
      <c r="D20" s="519"/>
      <c r="E20" s="223" t="s">
        <v>172</v>
      </c>
      <c r="F20" s="233">
        <v>96</v>
      </c>
      <c r="G20" s="311">
        <v>0</v>
      </c>
      <c r="H20" s="233">
        <f>F20*AM20</f>
        <v>0</v>
      </c>
      <c r="I20" s="233">
        <f>F20*AN20</f>
        <v>0</v>
      </c>
      <c r="J20" s="233">
        <f>F20*G20</f>
        <v>0</v>
      </c>
      <c r="K20" s="233">
        <v>4.0000000000000003E-5</v>
      </c>
      <c r="L20" s="233">
        <f>F20*K20</f>
        <v>3.8400000000000005E-3</v>
      </c>
      <c r="M20" s="240" t="s">
        <v>472</v>
      </c>
      <c r="X20" s="233">
        <f>IF(AO20="5",BH20,0)</f>
        <v>0</v>
      </c>
      <c r="Z20" s="233">
        <f>IF(AO20="1",BF20,0)</f>
        <v>0</v>
      </c>
      <c r="AA20" s="233">
        <f>IF(AO20="1",BG20,0)</f>
        <v>0</v>
      </c>
      <c r="AB20" s="233">
        <f>IF(AO20="7",BF20,0)</f>
        <v>0</v>
      </c>
      <c r="AC20" s="233">
        <f>IF(AO20="7",BG20,0)</f>
        <v>0</v>
      </c>
      <c r="AD20" s="233">
        <f>IF(AO20="2",BF20,0)</f>
        <v>0</v>
      </c>
      <c r="AE20" s="233">
        <f>IF(AO20="2",BG20,0)</f>
        <v>0</v>
      </c>
      <c r="AF20" s="233">
        <f>IF(AO20="0",BH20,0)</f>
        <v>0</v>
      </c>
      <c r="AG20" s="229" t="s">
        <v>154</v>
      </c>
      <c r="AH20" s="233">
        <f>IF(AL20=0,J20,0)</f>
        <v>0</v>
      </c>
      <c r="AI20" s="233">
        <f>IF(AL20=15,J20,0)</f>
        <v>0</v>
      </c>
      <c r="AJ20" s="233">
        <f>IF(AL20=21,J20,0)</f>
        <v>0</v>
      </c>
      <c r="AL20" s="233">
        <v>15</v>
      </c>
      <c r="AM20" s="233">
        <f>G20*0.005098039</f>
        <v>0</v>
      </c>
      <c r="AN20" s="233">
        <f>G20*(1-0.005098039)</f>
        <v>0</v>
      </c>
      <c r="AO20" s="234" t="s">
        <v>157</v>
      </c>
      <c r="AT20" s="233">
        <f>AU20+AV20</f>
        <v>0</v>
      </c>
      <c r="AU20" s="233">
        <f>F20*AM20</f>
        <v>0</v>
      </c>
      <c r="AV20" s="233">
        <f>F20*AN20</f>
        <v>0</v>
      </c>
      <c r="AW20" s="234" t="s">
        <v>162</v>
      </c>
      <c r="AX20" s="234" t="s">
        <v>163</v>
      </c>
      <c r="AY20" s="229" t="s">
        <v>164</v>
      </c>
      <c r="BA20" s="233">
        <f>AU20+AV20</f>
        <v>0</v>
      </c>
      <c r="BB20" s="233">
        <f>G20/(100-BC20)*100</f>
        <v>0</v>
      </c>
      <c r="BC20" s="233">
        <v>0</v>
      </c>
      <c r="BD20" s="233">
        <f>L20</f>
        <v>3.8400000000000005E-3</v>
      </c>
      <c r="BF20" s="233">
        <f>F20*AM20</f>
        <v>0</v>
      </c>
      <c r="BG20" s="233">
        <f>F20*AN20</f>
        <v>0</v>
      </c>
      <c r="BH20" s="233">
        <f>F20*G20</f>
        <v>0</v>
      </c>
      <c r="BI20" s="233"/>
      <c r="BJ20" s="233">
        <v>11</v>
      </c>
      <c r="BU20" s="233" t="e">
        <f>#REF!</f>
        <v>#REF!</v>
      </c>
      <c r="BV20" s="225" t="s">
        <v>885</v>
      </c>
    </row>
    <row r="21" spans="1:74" ht="40.5" customHeight="1" x14ac:dyDescent="0.3">
      <c r="A21" s="241"/>
      <c r="B21" s="242" t="s">
        <v>165</v>
      </c>
      <c r="C21" s="530" t="s">
        <v>1596</v>
      </c>
      <c r="D21" s="531"/>
      <c r="E21" s="531"/>
      <c r="F21" s="531"/>
      <c r="G21" s="531"/>
      <c r="H21" s="531"/>
      <c r="I21" s="531"/>
      <c r="J21" s="531"/>
      <c r="K21" s="531"/>
      <c r="L21" s="531"/>
      <c r="M21" s="532"/>
    </row>
    <row r="22" spans="1:74" ht="14.4" x14ac:dyDescent="0.3">
      <c r="A22" s="239" t="s">
        <v>177</v>
      </c>
      <c r="B22" s="223" t="s">
        <v>886</v>
      </c>
      <c r="C22" s="521" t="s">
        <v>887</v>
      </c>
      <c r="D22" s="519"/>
      <c r="E22" s="223" t="s">
        <v>176</v>
      </c>
      <c r="F22" s="233">
        <v>12</v>
      </c>
      <c r="G22" s="311">
        <v>0</v>
      </c>
      <c r="H22" s="233">
        <f>F22*AM22</f>
        <v>0</v>
      </c>
      <c r="I22" s="233">
        <f>F22*AN22</f>
        <v>0</v>
      </c>
      <c r="J22" s="233">
        <f>F22*G22</f>
        <v>0</v>
      </c>
      <c r="K22" s="233">
        <v>0</v>
      </c>
      <c r="L22" s="233">
        <f>F22*K22</f>
        <v>0</v>
      </c>
      <c r="M22" s="240" t="s">
        <v>472</v>
      </c>
      <c r="X22" s="233">
        <f>IF(AO22="5",BH22,0)</f>
        <v>0</v>
      </c>
      <c r="Z22" s="233">
        <f>IF(AO22="1",BF22,0)</f>
        <v>0</v>
      </c>
      <c r="AA22" s="233">
        <f>IF(AO22="1",BG22,0)</f>
        <v>0</v>
      </c>
      <c r="AB22" s="233">
        <f>IF(AO22="7",BF22,0)</f>
        <v>0</v>
      </c>
      <c r="AC22" s="233">
        <f>IF(AO22="7",BG22,0)</f>
        <v>0</v>
      </c>
      <c r="AD22" s="233">
        <f>IF(AO22="2",BF22,0)</f>
        <v>0</v>
      </c>
      <c r="AE22" s="233">
        <f>IF(AO22="2",BG22,0)</f>
        <v>0</v>
      </c>
      <c r="AF22" s="233">
        <f>IF(AO22="0",BH22,0)</f>
        <v>0</v>
      </c>
      <c r="AG22" s="229" t="s">
        <v>154</v>
      </c>
      <c r="AH22" s="233">
        <f>IF(AL22=0,J22,0)</f>
        <v>0</v>
      </c>
      <c r="AI22" s="233">
        <f>IF(AL22=15,J22,0)</f>
        <v>0</v>
      </c>
      <c r="AJ22" s="233">
        <f>IF(AL22=21,J22,0)</f>
        <v>0</v>
      </c>
      <c r="AL22" s="233">
        <v>15</v>
      </c>
      <c r="AM22" s="233">
        <f>G22*0</f>
        <v>0</v>
      </c>
      <c r="AN22" s="233">
        <f>G22*(1-0)</f>
        <v>0</v>
      </c>
      <c r="AO22" s="234" t="s">
        <v>157</v>
      </c>
      <c r="AT22" s="233">
        <f>AU22+AV22</f>
        <v>0</v>
      </c>
      <c r="AU22" s="233">
        <f>F22*AM22</f>
        <v>0</v>
      </c>
      <c r="AV22" s="233">
        <f>F22*AN22</f>
        <v>0</v>
      </c>
      <c r="AW22" s="234" t="s">
        <v>162</v>
      </c>
      <c r="AX22" s="234" t="s">
        <v>163</v>
      </c>
      <c r="AY22" s="229" t="s">
        <v>164</v>
      </c>
      <c r="BA22" s="233">
        <f>AU22+AV22</f>
        <v>0</v>
      </c>
      <c r="BB22" s="233">
        <f>G22/(100-BC22)*100</f>
        <v>0</v>
      </c>
      <c r="BC22" s="233">
        <v>0</v>
      </c>
      <c r="BD22" s="233">
        <f>L22</f>
        <v>0</v>
      </c>
      <c r="BF22" s="233">
        <f>F22*AM22</f>
        <v>0</v>
      </c>
      <c r="BG22" s="233">
        <f>F22*AN22</f>
        <v>0</v>
      </c>
      <c r="BH22" s="233">
        <f>F22*G22</f>
        <v>0</v>
      </c>
      <c r="BI22" s="233"/>
      <c r="BJ22" s="233">
        <v>11</v>
      </c>
      <c r="BU22" s="233" t="e">
        <f>#REF!</f>
        <v>#REF!</v>
      </c>
      <c r="BV22" s="225" t="s">
        <v>887</v>
      </c>
    </row>
    <row r="23" spans="1:74" ht="40.5" customHeight="1" x14ac:dyDescent="0.3">
      <c r="A23" s="241"/>
      <c r="B23" s="242" t="s">
        <v>165</v>
      </c>
      <c r="C23" s="530" t="s">
        <v>1597</v>
      </c>
      <c r="D23" s="531"/>
      <c r="E23" s="531"/>
      <c r="F23" s="531"/>
      <c r="G23" s="531"/>
      <c r="H23" s="531"/>
      <c r="I23" s="531"/>
      <c r="J23" s="531"/>
      <c r="K23" s="531"/>
      <c r="L23" s="531"/>
      <c r="M23" s="532"/>
    </row>
    <row r="24" spans="1:74" ht="14.4" x14ac:dyDescent="0.3">
      <c r="A24" s="239" t="s">
        <v>181</v>
      </c>
      <c r="B24" s="223" t="s">
        <v>178</v>
      </c>
      <c r="C24" s="521" t="s">
        <v>1598</v>
      </c>
      <c r="D24" s="519"/>
      <c r="E24" s="223" t="s">
        <v>180</v>
      </c>
      <c r="F24" s="233">
        <v>68.7</v>
      </c>
      <c r="G24" s="311">
        <v>0</v>
      </c>
      <c r="H24" s="233">
        <f>F24*AM24</f>
        <v>0</v>
      </c>
      <c r="I24" s="233">
        <f>F24*AN24</f>
        <v>0</v>
      </c>
      <c r="J24" s="233">
        <f>F24*G24</f>
        <v>0</v>
      </c>
      <c r="K24" s="233">
        <v>0.90051000000000003</v>
      </c>
      <c r="L24" s="233">
        <f>F24*K24</f>
        <v>61.865037000000008</v>
      </c>
      <c r="M24" s="240" t="s">
        <v>472</v>
      </c>
      <c r="X24" s="233">
        <f>IF(AO24="5",BH24,0)</f>
        <v>0</v>
      </c>
      <c r="Z24" s="233">
        <f>IF(AO24="1",BF24,0)</f>
        <v>0</v>
      </c>
      <c r="AA24" s="233">
        <f>IF(AO24="1",BG24,0)</f>
        <v>0</v>
      </c>
      <c r="AB24" s="233">
        <f>IF(AO24="7",BF24,0)</f>
        <v>0</v>
      </c>
      <c r="AC24" s="233">
        <f>IF(AO24="7",BG24,0)</f>
        <v>0</v>
      </c>
      <c r="AD24" s="233">
        <f>IF(AO24="2",BF24,0)</f>
        <v>0</v>
      </c>
      <c r="AE24" s="233">
        <f>IF(AO24="2",BG24,0)</f>
        <v>0</v>
      </c>
      <c r="AF24" s="233">
        <f>IF(AO24="0",BH24,0)</f>
        <v>0</v>
      </c>
      <c r="AG24" s="229" t="s">
        <v>154</v>
      </c>
      <c r="AH24" s="233">
        <f>IF(AL24=0,J24,0)</f>
        <v>0</v>
      </c>
      <c r="AI24" s="233">
        <f>IF(AL24=15,J24,0)</f>
        <v>0</v>
      </c>
      <c r="AJ24" s="233">
        <f>IF(AL24=21,J24,0)</f>
        <v>0</v>
      </c>
      <c r="AL24" s="233">
        <v>15</v>
      </c>
      <c r="AM24" s="233">
        <f>G24*0.022142086</f>
        <v>0</v>
      </c>
      <c r="AN24" s="233">
        <f>G24*(1-0.022142086)</f>
        <v>0</v>
      </c>
      <c r="AO24" s="234" t="s">
        <v>157</v>
      </c>
      <c r="AT24" s="233">
        <f>AU24+AV24</f>
        <v>0</v>
      </c>
      <c r="AU24" s="233">
        <f>F24*AM24</f>
        <v>0</v>
      </c>
      <c r="AV24" s="233">
        <f>F24*AN24</f>
        <v>0</v>
      </c>
      <c r="AW24" s="234" t="s">
        <v>162</v>
      </c>
      <c r="AX24" s="234" t="s">
        <v>163</v>
      </c>
      <c r="AY24" s="229" t="s">
        <v>164</v>
      </c>
      <c r="BA24" s="233">
        <f>AU24+AV24</f>
        <v>0</v>
      </c>
      <c r="BB24" s="233">
        <f>G24/(100-BC24)*100</f>
        <v>0</v>
      </c>
      <c r="BC24" s="233">
        <v>0</v>
      </c>
      <c r="BD24" s="233">
        <f>L24</f>
        <v>61.865037000000008</v>
      </c>
      <c r="BF24" s="233">
        <f>F24*AM24</f>
        <v>0</v>
      </c>
      <c r="BG24" s="233">
        <f>F24*AN24</f>
        <v>0</v>
      </c>
      <c r="BH24" s="233">
        <f>F24*G24</f>
        <v>0</v>
      </c>
      <c r="BI24" s="233"/>
      <c r="BJ24" s="233">
        <v>11</v>
      </c>
      <c r="BU24" s="233" t="e">
        <f>#REF!</f>
        <v>#REF!</v>
      </c>
      <c r="BV24" s="225" t="s">
        <v>1598</v>
      </c>
    </row>
    <row r="25" spans="1:74" ht="162" customHeight="1" x14ac:dyDescent="0.3">
      <c r="A25" s="244"/>
      <c r="B25" s="245" t="s">
        <v>165</v>
      </c>
      <c r="C25" s="540" t="s">
        <v>1599</v>
      </c>
      <c r="D25" s="541"/>
      <c r="E25" s="541"/>
      <c r="F25" s="541"/>
      <c r="G25" s="541"/>
      <c r="H25" s="541"/>
      <c r="I25" s="541"/>
      <c r="J25" s="541"/>
      <c r="K25" s="541"/>
      <c r="L25" s="541"/>
      <c r="M25" s="542"/>
    </row>
    <row r="26" spans="1:74" ht="14.4" x14ac:dyDescent="0.3">
      <c r="A26" s="237" t="s">
        <v>184</v>
      </c>
      <c r="B26" s="238" t="s">
        <v>178</v>
      </c>
      <c r="C26" s="543" t="s">
        <v>179</v>
      </c>
      <c r="D26" s="544"/>
      <c r="E26" s="238" t="s">
        <v>180</v>
      </c>
      <c r="F26" s="258">
        <v>206.12</v>
      </c>
      <c r="G26" s="311">
        <v>0</v>
      </c>
      <c r="H26" s="258">
        <f>F26*AM26</f>
        <v>0</v>
      </c>
      <c r="I26" s="258">
        <f>F26*AN26</f>
        <v>0</v>
      </c>
      <c r="J26" s="258">
        <f>F26*G26</f>
        <v>0</v>
      </c>
      <c r="K26" s="258">
        <v>0.90051000000000003</v>
      </c>
      <c r="L26" s="258">
        <f>F26*K26</f>
        <v>185.61312120000002</v>
      </c>
      <c r="M26" s="259" t="s">
        <v>472</v>
      </c>
      <c r="X26" s="233">
        <f>IF(AO26="5",BH26,0)</f>
        <v>0</v>
      </c>
      <c r="Z26" s="233">
        <f>IF(AO26="1",BF26,0)</f>
        <v>0</v>
      </c>
      <c r="AA26" s="233">
        <f>IF(AO26="1",BG26,0)</f>
        <v>0</v>
      </c>
      <c r="AB26" s="233">
        <f>IF(AO26="7",BF26,0)</f>
        <v>0</v>
      </c>
      <c r="AC26" s="233">
        <f>IF(AO26="7",BG26,0)</f>
        <v>0</v>
      </c>
      <c r="AD26" s="233">
        <f>IF(AO26="2",BF26,0)</f>
        <v>0</v>
      </c>
      <c r="AE26" s="233">
        <f>IF(AO26="2",BG26,0)</f>
        <v>0</v>
      </c>
      <c r="AF26" s="233">
        <f>IF(AO26="0",BH26,0)</f>
        <v>0</v>
      </c>
      <c r="AG26" s="229" t="s">
        <v>154</v>
      </c>
      <c r="AH26" s="233">
        <f>IF(AL26=0,J26,0)</f>
        <v>0</v>
      </c>
      <c r="AI26" s="233">
        <f>IF(AL26=15,J26,0)</f>
        <v>0</v>
      </c>
      <c r="AJ26" s="233">
        <f>IF(AL26=21,J26,0)</f>
        <v>0</v>
      </c>
      <c r="AL26" s="233">
        <v>15</v>
      </c>
      <c r="AM26" s="233">
        <f>G26*0.022141013</f>
        <v>0</v>
      </c>
      <c r="AN26" s="233">
        <f>G26*(1-0.022141013)</f>
        <v>0</v>
      </c>
      <c r="AO26" s="234" t="s">
        <v>157</v>
      </c>
      <c r="AT26" s="233">
        <f>AU26+AV26</f>
        <v>0</v>
      </c>
      <c r="AU26" s="233">
        <f>F26*AM26</f>
        <v>0</v>
      </c>
      <c r="AV26" s="233">
        <f>F26*AN26</f>
        <v>0</v>
      </c>
      <c r="AW26" s="234" t="s">
        <v>162</v>
      </c>
      <c r="AX26" s="234" t="s">
        <v>163</v>
      </c>
      <c r="AY26" s="229" t="s">
        <v>164</v>
      </c>
      <c r="BA26" s="233">
        <f>AU26+AV26</f>
        <v>0</v>
      </c>
      <c r="BB26" s="233">
        <f>G26/(100-BC26)*100</f>
        <v>0</v>
      </c>
      <c r="BC26" s="233">
        <v>0</v>
      </c>
      <c r="BD26" s="233">
        <f>L26</f>
        <v>185.61312120000002</v>
      </c>
      <c r="BF26" s="233">
        <f>F26*AM26</f>
        <v>0</v>
      </c>
      <c r="BG26" s="233">
        <f>F26*AN26</f>
        <v>0</v>
      </c>
      <c r="BH26" s="233">
        <f>F26*G26</f>
        <v>0</v>
      </c>
      <c r="BI26" s="233"/>
      <c r="BJ26" s="233">
        <v>11</v>
      </c>
      <c r="BU26" s="233" t="e">
        <f>#REF!</f>
        <v>#REF!</v>
      </c>
      <c r="BV26" s="225" t="s">
        <v>179</v>
      </c>
    </row>
    <row r="27" spans="1:74" ht="175.5" customHeight="1" x14ac:dyDescent="0.3">
      <c r="A27" s="241"/>
      <c r="B27" s="242" t="s">
        <v>165</v>
      </c>
      <c r="C27" s="530" t="s">
        <v>1600</v>
      </c>
      <c r="D27" s="531"/>
      <c r="E27" s="531"/>
      <c r="F27" s="531"/>
      <c r="G27" s="531"/>
      <c r="H27" s="531"/>
      <c r="I27" s="531"/>
      <c r="J27" s="531"/>
      <c r="K27" s="531"/>
      <c r="L27" s="531"/>
      <c r="M27" s="532"/>
    </row>
    <row r="28" spans="1:74" ht="14.4" x14ac:dyDescent="0.3">
      <c r="A28" s="239" t="s">
        <v>187</v>
      </c>
      <c r="B28" s="223" t="s">
        <v>476</v>
      </c>
      <c r="C28" s="521" t="s">
        <v>477</v>
      </c>
      <c r="D28" s="519"/>
      <c r="E28" s="223" t="s">
        <v>180</v>
      </c>
      <c r="F28" s="233">
        <v>196.3</v>
      </c>
      <c r="G28" s="311">
        <v>0</v>
      </c>
      <c r="H28" s="233">
        <f>F28*AM28</f>
        <v>0</v>
      </c>
      <c r="I28" s="233">
        <f>F28*AN28</f>
        <v>0</v>
      </c>
      <c r="J28" s="233">
        <f>F28*G28</f>
        <v>0</v>
      </c>
      <c r="K28" s="233">
        <v>0.39600000000000002</v>
      </c>
      <c r="L28" s="233">
        <f>F28*K28</f>
        <v>77.734800000000007</v>
      </c>
      <c r="M28" s="240" t="s">
        <v>472</v>
      </c>
      <c r="X28" s="233">
        <f>IF(AO28="5",BH28,0)</f>
        <v>0</v>
      </c>
      <c r="Z28" s="233">
        <f>IF(AO28="1",BF28,0)</f>
        <v>0</v>
      </c>
      <c r="AA28" s="233">
        <f>IF(AO28="1",BG28,0)</f>
        <v>0</v>
      </c>
      <c r="AB28" s="233">
        <f>IF(AO28="7",BF28,0)</f>
        <v>0</v>
      </c>
      <c r="AC28" s="233">
        <f>IF(AO28="7",BG28,0)</f>
        <v>0</v>
      </c>
      <c r="AD28" s="233">
        <f>IF(AO28="2",BF28,0)</f>
        <v>0</v>
      </c>
      <c r="AE28" s="233">
        <f>IF(AO28="2",BG28,0)</f>
        <v>0</v>
      </c>
      <c r="AF28" s="233">
        <f>IF(AO28="0",BH28,0)</f>
        <v>0</v>
      </c>
      <c r="AG28" s="229" t="s">
        <v>154</v>
      </c>
      <c r="AH28" s="233">
        <f>IF(AL28=0,J28,0)</f>
        <v>0</v>
      </c>
      <c r="AI28" s="233">
        <f>IF(AL28=15,J28,0)</f>
        <v>0</v>
      </c>
      <c r="AJ28" s="233">
        <f>IF(AL28=21,J28,0)</f>
        <v>0</v>
      </c>
      <c r="AL28" s="233">
        <v>15</v>
      </c>
      <c r="AM28" s="233">
        <f>G28*0</f>
        <v>0</v>
      </c>
      <c r="AN28" s="233">
        <f>G28*(1-0)</f>
        <v>0</v>
      </c>
      <c r="AO28" s="234" t="s">
        <v>157</v>
      </c>
      <c r="AT28" s="233">
        <f>AU28+AV28</f>
        <v>0</v>
      </c>
      <c r="AU28" s="233">
        <f>F28*AM28</f>
        <v>0</v>
      </c>
      <c r="AV28" s="233">
        <f>F28*AN28</f>
        <v>0</v>
      </c>
      <c r="AW28" s="234" t="s">
        <v>162</v>
      </c>
      <c r="AX28" s="234" t="s">
        <v>163</v>
      </c>
      <c r="AY28" s="229" t="s">
        <v>164</v>
      </c>
      <c r="BA28" s="233">
        <f>AU28+AV28</f>
        <v>0</v>
      </c>
      <c r="BB28" s="233">
        <f>G28/(100-BC28)*100</f>
        <v>0</v>
      </c>
      <c r="BC28" s="233">
        <v>0</v>
      </c>
      <c r="BD28" s="233">
        <f>L28</f>
        <v>77.734800000000007</v>
      </c>
      <c r="BF28" s="233">
        <f>F28*AM28</f>
        <v>0</v>
      </c>
      <c r="BG28" s="233">
        <f>F28*AN28</f>
        <v>0</v>
      </c>
      <c r="BH28" s="233">
        <f>F28*G28</f>
        <v>0</v>
      </c>
      <c r="BI28" s="233"/>
      <c r="BJ28" s="233">
        <v>11</v>
      </c>
      <c r="BU28" s="233" t="e">
        <f>#REF!</f>
        <v>#REF!</v>
      </c>
      <c r="BV28" s="225" t="s">
        <v>477</v>
      </c>
    </row>
    <row r="29" spans="1:74" ht="81" customHeight="1" x14ac:dyDescent="0.3">
      <c r="A29" s="241"/>
      <c r="B29" s="242" t="s">
        <v>165</v>
      </c>
      <c r="C29" s="530" t="s">
        <v>1601</v>
      </c>
      <c r="D29" s="531"/>
      <c r="E29" s="531"/>
      <c r="F29" s="531"/>
      <c r="G29" s="531"/>
      <c r="H29" s="531"/>
      <c r="I29" s="531"/>
      <c r="J29" s="531"/>
      <c r="K29" s="531"/>
      <c r="L29" s="531"/>
      <c r="M29" s="532"/>
    </row>
    <row r="30" spans="1:74" ht="14.4" x14ac:dyDescent="0.3">
      <c r="A30" s="239" t="s">
        <v>193</v>
      </c>
      <c r="B30" s="223" t="s">
        <v>478</v>
      </c>
      <c r="C30" s="521" t="s">
        <v>479</v>
      </c>
      <c r="D30" s="519"/>
      <c r="E30" s="223" t="s">
        <v>180</v>
      </c>
      <c r="F30" s="233">
        <v>65.42</v>
      </c>
      <c r="G30" s="311">
        <v>0</v>
      </c>
      <c r="H30" s="233">
        <f>F30*AM30</f>
        <v>0</v>
      </c>
      <c r="I30" s="233">
        <f>F30*AN30</f>
        <v>0</v>
      </c>
      <c r="J30" s="233">
        <f>F30*G30</f>
        <v>0</v>
      </c>
      <c r="K30" s="233">
        <v>0.33</v>
      </c>
      <c r="L30" s="233">
        <f>F30*K30</f>
        <v>21.588600000000003</v>
      </c>
      <c r="M30" s="240" t="s">
        <v>472</v>
      </c>
      <c r="X30" s="233">
        <f>IF(AO30="5",BH30,0)</f>
        <v>0</v>
      </c>
      <c r="Z30" s="233">
        <f>IF(AO30="1",BF30,0)</f>
        <v>0</v>
      </c>
      <c r="AA30" s="233">
        <f>IF(AO30="1",BG30,0)</f>
        <v>0</v>
      </c>
      <c r="AB30" s="233">
        <f>IF(AO30="7",BF30,0)</f>
        <v>0</v>
      </c>
      <c r="AC30" s="233">
        <f>IF(AO30="7",BG30,0)</f>
        <v>0</v>
      </c>
      <c r="AD30" s="233">
        <f>IF(AO30="2",BF30,0)</f>
        <v>0</v>
      </c>
      <c r="AE30" s="233">
        <f>IF(AO30="2",BG30,0)</f>
        <v>0</v>
      </c>
      <c r="AF30" s="233">
        <f>IF(AO30="0",BH30,0)</f>
        <v>0</v>
      </c>
      <c r="AG30" s="229" t="s">
        <v>154</v>
      </c>
      <c r="AH30" s="233">
        <f>IF(AL30=0,J30,0)</f>
        <v>0</v>
      </c>
      <c r="AI30" s="233">
        <f>IF(AL30=15,J30,0)</f>
        <v>0</v>
      </c>
      <c r="AJ30" s="233">
        <f>IF(AL30=21,J30,0)</f>
        <v>0</v>
      </c>
      <c r="AL30" s="233">
        <v>15</v>
      </c>
      <c r="AM30" s="233">
        <f>G30*0</f>
        <v>0</v>
      </c>
      <c r="AN30" s="233">
        <f>G30*(1-0)</f>
        <v>0</v>
      </c>
      <c r="AO30" s="234" t="s">
        <v>157</v>
      </c>
      <c r="AT30" s="233">
        <f>AU30+AV30</f>
        <v>0</v>
      </c>
      <c r="AU30" s="233">
        <f>F30*AM30</f>
        <v>0</v>
      </c>
      <c r="AV30" s="233">
        <f>F30*AN30</f>
        <v>0</v>
      </c>
      <c r="AW30" s="234" t="s">
        <v>162</v>
      </c>
      <c r="AX30" s="234" t="s">
        <v>163</v>
      </c>
      <c r="AY30" s="229" t="s">
        <v>164</v>
      </c>
      <c r="BA30" s="233">
        <f>AU30+AV30</f>
        <v>0</v>
      </c>
      <c r="BB30" s="233">
        <f>G30/(100-BC30)*100</f>
        <v>0</v>
      </c>
      <c r="BC30" s="233">
        <v>0</v>
      </c>
      <c r="BD30" s="233">
        <f>L30</f>
        <v>21.588600000000003</v>
      </c>
      <c r="BF30" s="233">
        <f>F30*AM30</f>
        <v>0</v>
      </c>
      <c r="BG30" s="233">
        <f>F30*AN30</f>
        <v>0</v>
      </c>
      <c r="BH30" s="233">
        <f>F30*G30</f>
        <v>0</v>
      </c>
      <c r="BI30" s="233"/>
      <c r="BJ30" s="233">
        <v>11</v>
      </c>
      <c r="BU30" s="233" t="e">
        <f>#REF!</f>
        <v>#REF!</v>
      </c>
      <c r="BV30" s="225" t="s">
        <v>479</v>
      </c>
    </row>
    <row r="31" spans="1:74" ht="67.5" customHeight="1" x14ac:dyDescent="0.3">
      <c r="A31" s="241"/>
      <c r="B31" s="242" t="s">
        <v>165</v>
      </c>
      <c r="C31" s="530" t="s">
        <v>1602</v>
      </c>
      <c r="D31" s="531"/>
      <c r="E31" s="531"/>
      <c r="F31" s="531"/>
      <c r="G31" s="531"/>
      <c r="H31" s="531"/>
      <c r="I31" s="531"/>
      <c r="J31" s="531"/>
      <c r="K31" s="531"/>
      <c r="L31" s="531"/>
      <c r="M31" s="532"/>
    </row>
    <row r="32" spans="1:74" ht="14.4" x14ac:dyDescent="0.3">
      <c r="A32" s="239" t="s">
        <v>154</v>
      </c>
      <c r="B32" s="224" t="s">
        <v>191</v>
      </c>
      <c r="C32" s="526" t="s">
        <v>192</v>
      </c>
      <c r="D32" s="527"/>
      <c r="E32" s="223" t="s">
        <v>114</v>
      </c>
      <c r="F32" s="223" t="s">
        <v>114</v>
      </c>
      <c r="G32" s="223" t="s">
        <v>114</v>
      </c>
      <c r="H32" s="235">
        <f>SUM(H33:H33)</f>
        <v>0</v>
      </c>
      <c r="I32" s="235">
        <f>SUM(I33:I33)</f>
        <v>0</v>
      </c>
      <c r="J32" s="235">
        <f>SUM(J33:J33)</f>
        <v>0</v>
      </c>
      <c r="K32" s="230" t="s">
        <v>154</v>
      </c>
      <c r="L32" s="235">
        <f>SUM(L33:L33)</f>
        <v>0</v>
      </c>
      <c r="M32" s="243" t="s">
        <v>154</v>
      </c>
      <c r="AG32" s="229" t="s">
        <v>154</v>
      </c>
      <c r="AQ32" s="222">
        <f>SUM(AH33:AH33)</f>
        <v>0</v>
      </c>
      <c r="AR32" s="222">
        <f>SUM(AI33:AI33)</f>
        <v>0</v>
      </c>
      <c r="AS32" s="222">
        <f>SUM(AJ33:AJ33)</f>
        <v>0</v>
      </c>
    </row>
    <row r="33" spans="1:74" ht="14.4" x14ac:dyDescent="0.3">
      <c r="A33" s="239" t="s">
        <v>198</v>
      </c>
      <c r="B33" s="223" t="s">
        <v>199</v>
      </c>
      <c r="C33" s="521" t="s">
        <v>200</v>
      </c>
      <c r="D33" s="519"/>
      <c r="E33" s="223" t="s">
        <v>196</v>
      </c>
      <c r="F33" s="233">
        <v>2</v>
      </c>
      <c r="G33" s="311">
        <v>0</v>
      </c>
      <c r="H33" s="233">
        <f>F33*AM33</f>
        <v>0</v>
      </c>
      <c r="I33" s="233">
        <f>F33*AN33</f>
        <v>0</v>
      </c>
      <c r="J33" s="233">
        <f>F33*G33</f>
        <v>0</v>
      </c>
      <c r="K33" s="233">
        <v>0</v>
      </c>
      <c r="L33" s="233">
        <f>F33*K33</f>
        <v>0</v>
      </c>
      <c r="M33" s="240" t="s">
        <v>472</v>
      </c>
      <c r="X33" s="233">
        <f>IF(AO33="5",BH33,0)</f>
        <v>0</v>
      </c>
      <c r="Z33" s="233">
        <f>IF(AO33="1",BF33,0)</f>
        <v>0</v>
      </c>
      <c r="AA33" s="233">
        <f>IF(AO33="1",BG33,0)</f>
        <v>0</v>
      </c>
      <c r="AB33" s="233">
        <f>IF(AO33="7",BF33,0)</f>
        <v>0</v>
      </c>
      <c r="AC33" s="233">
        <f>IF(AO33="7",BG33,0)</f>
        <v>0</v>
      </c>
      <c r="AD33" s="233">
        <f>IF(AO33="2",BF33,0)</f>
        <v>0</v>
      </c>
      <c r="AE33" s="233">
        <f>IF(AO33="2",BG33,0)</f>
        <v>0</v>
      </c>
      <c r="AF33" s="233">
        <f>IF(AO33="0",BH33,0)</f>
        <v>0</v>
      </c>
      <c r="AG33" s="229" t="s">
        <v>154</v>
      </c>
      <c r="AH33" s="233">
        <f>IF(AL33=0,J33,0)</f>
        <v>0</v>
      </c>
      <c r="AI33" s="233">
        <f>IF(AL33=15,J33,0)</f>
        <v>0</v>
      </c>
      <c r="AJ33" s="233">
        <f>IF(AL33=21,J33,0)</f>
        <v>0</v>
      </c>
      <c r="AL33" s="233">
        <v>15</v>
      </c>
      <c r="AM33" s="233">
        <f>G33*0</f>
        <v>0</v>
      </c>
      <c r="AN33" s="233">
        <f>G33*(1-0)</f>
        <v>0</v>
      </c>
      <c r="AO33" s="234" t="s">
        <v>157</v>
      </c>
      <c r="AT33" s="233">
        <f>AU33+AV33</f>
        <v>0</v>
      </c>
      <c r="AU33" s="233">
        <f>F33*AM33</f>
        <v>0</v>
      </c>
      <c r="AV33" s="233">
        <f>F33*AN33</f>
        <v>0</v>
      </c>
      <c r="AW33" s="234" t="s">
        <v>197</v>
      </c>
      <c r="AX33" s="234" t="s">
        <v>163</v>
      </c>
      <c r="AY33" s="229" t="s">
        <v>164</v>
      </c>
      <c r="BA33" s="233">
        <f>AU33+AV33</f>
        <v>0</v>
      </c>
      <c r="BB33" s="233">
        <f>G33/(100-BC33)*100</f>
        <v>0</v>
      </c>
      <c r="BC33" s="233">
        <v>0</v>
      </c>
      <c r="BD33" s="233">
        <f>L33</f>
        <v>0</v>
      </c>
      <c r="BF33" s="233">
        <f>F33*AM33</f>
        <v>0</v>
      </c>
      <c r="BG33" s="233">
        <f>F33*AN33</f>
        <v>0</v>
      </c>
      <c r="BH33" s="233">
        <f>F33*G33</f>
        <v>0</v>
      </c>
      <c r="BI33" s="233"/>
      <c r="BJ33" s="233">
        <v>12</v>
      </c>
      <c r="BU33" s="233" t="e">
        <f>#REF!</f>
        <v>#REF!</v>
      </c>
      <c r="BV33" s="225" t="s">
        <v>200</v>
      </c>
    </row>
    <row r="34" spans="1:74" ht="13.5" customHeight="1" x14ac:dyDescent="0.3">
      <c r="A34" s="241"/>
      <c r="B34" s="242" t="s">
        <v>165</v>
      </c>
      <c r="C34" s="530" t="s">
        <v>480</v>
      </c>
      <c r="D34" s="531"/>
      <c r="E34" s="531"/>
      <c r="F34" s="531"/>
      <c r="G34" s="531"/>
      <c r="H34" s="531"/>
      <c r="I34" s="531"/>
      <c r="J34" s="531"/>
      <c r="K34" s="531"/>
      <c r="L34" s="531"/>
      <c r="M34" s="532"/>
    </row>
    <row r="35" spans="1:74" ht="14.4" x14ac:dyDescent="0.3">
      <c r="A35" s="239" t="s">
        <v>154</v>
      </c>
      <c r="B35" s="224" t="s">
        <v>201</v>
      </c>
      <c r="C35" s="526" t="s">
        <v>202</v>
      </c>
      <c r="D35" s="527"/>
      <c r="E35" s="223" t="s">
        <v>114</v>
      </c>
      <c r="F35" s="223" t="s">
        <v>114</v>
      </c>
      <c r="G35" s="223" t="s">
        <v>114</v>
      </c>
      <c r="H35" s="235">
        <f>SUM(H36:H50)</f>
        <v>0</v>
      </c>
      <c r="I35" s="235">
        <f>SUM(I36:I50)</f>
        <v>0</v>
      </c>
      <c r="J35" s="235">
        <f>SUM(J36:J50)</f>
        <v>0</v>
      </c>
      <c r="K35" s="230" t="s">
        <v>154</v>
      </c>
      <c r="L35" s="235">
        <f>SUM(L36:L50)</f>
        <v>0</v>
      </c>
      <c r="M35" s="243" t="s">
        <v>154</v>
      </c>
      <c r="AG35" s="229" t="s">
        <v>154</v>
      </c>
      <c r="AQ35" s="222">
        <f>SUM(AH36:AH50)</f>
        <v>0</v>
      </c>
      <c r="AR35" s="222">
        <f>SUM(AI36:AI50)</f>
        <v>0</v>
      </c>
      <c r="AS35" s="222">
        <f>SUM(AJ36:AJ50)</f>
        <v>0</v>
      </c>
    </row>
    <row r="36" spans="1:74" ht="14.4" x14ac:dyDescent="0.3">
      <c r="A36" s="239" t="s">
        <v>155</v>
      </c>
      <c r="B36" s="223" t="s">
        <v>203</v>
      </c>
      <c r="C36" s="521" t="s">
        <v>204</v>
      </c>
      <c r="D36" s="519"/>
      <c r="E36" s="223" t="s">
        <v>196</v>
      </c>
      <c r="F36" s="233">
        <v>174.99</v>
      </c>
      <c r="G36" s="311">
        <v>0</v>
      </c>
      <c r="H36" s="233">
        <f>F36*AM36</f>
        <v>0</v>
      </c>
      <c r="I36" s="233">
        <f>F36*AN36</f>
        <v>0</v>
      </c>
      <c r="J36" s="233">
        <f>F36*G36</f>
        <v>0</v>
      </c>
      <c r="K36" s="233">
        <v>0</v>
      </c>
      <c r="L36" s="233">
        <f>F36*K36</f>
        <v>0</v>
      </c>
      <c r="M36" s="240" t="s">
        <v>472</v>
      </c>
      <c r="X36" s="233">
        <f>IF(AO36="5",BH36,0)</f>
        <v>0</v>
      </c>
      <c r="Z36" s="233">
        <f>IF(AO36="1",BF36,0)</f>
        <v>0</v>
      </c>
      <c r="AA36" s="233">
        <f>IF(AO36="1",BG36,0)</f>
        <v>0</v>
      </c>
      <c r="AB36" s="233">
        <f>IF(AO36="7",BF36,0)</f>
        <v>0</v>
      </c>
      <c r="AC36" s="233">
        <f>IF(AO36="7",BG36,0)</f>
        <v>0</v>
      </c>
      <c r="AD36" s="233">
        <f>IF(AO36="2",BF36,0)</f>
        <v>0</v>
      </c>
      <c r="AE36" s="233">
        <f>IF(AO36="2",BG36,0)</f>
        <v>0</v>
      </c>
      <c r="AF36" s="233">
        <f>IF(AO36="0",BH36,0)</f>
        <v>0</v>
      </c>
      <c r="AG36" s="229" t="s">
        <v>154</v>
      </c>
      <c r="AH36" s="233">
        <f>IF(AL36=0,J36,0)</f>
        <v>0</v>
      </c>
      <c r="AI36" s="233">
        <f>IF(AL36=15,J36,0)</f>
        <v>0</v>
      </c>
      <c r="AJ36" s="233">
        <f>IF(AL36=21,J36,0)</f>
        <v>0</v>
      </c>
      <c r="AL36" s="233">
        <v>15</v>
      </c>
      <c r="AM36" s="233">
        <f>G36*0</f>
        <v>0</v>
      </c>
      <c r="AN36" s="233">
        <f>G36*(1-0)</f>
        <v>0</v>
      </c>
      <c r="AO36" s="234" t="s">
        <v>157</v>
      </c>
      <c r="AT36" s="233">
        <f>AU36+AV36</f>
        <v>0</v>
      </c>
      <c r="AU36" s="233">
        <f>F36*AM36</f>
        <v>0</v>
      </c>
      <c r="AV36" s="233">
        <f>F36*AN36</f>
        <v>0</v>
      </c>
      <c r="AW36" s="234" t="s">
        <v>205</v>
      </c>
      <c r="AX36" s="234" t="s">
        <v>163</v>
      </c>
      <c r="AY36" s="229" t="s">
        <v>164</v>
      </c>
      <c r="BA36" s="233">
        <f>AU36+AV36</f>
        <v>0</v>
      </c>
      <c r="BB36" s="233">
        <f>G36/(100-BC36)*100</f>
        <v>0</v>
      </c>
      <c r="BC36" s="233">
        <v>0</v>
      </c>
      <c r="BD36" s="233">
        <f>L36</f>
        <v>0</v>
      </c>
      <c r="BF36" s="233">
        <f>F36*AM36</f>
        <v>0</v>
      </c>
      <c r="BG36" s="233">
        <f>F36*AN36</f>
        <v>0</v>
      </c>
      <c r="BH36" s="233">
        <f>F36*G36</f>
        <v>0</v>
      </c>
      <c r="BI36" s="233"/>
      <c r="BJ36" s="233">
        <v>13</v>
      </c>
      <c r="BU36" s="233" t="e">
        <f>#REF!</f>
        <v>#REF!</v>
      </c>
      <c r="BV36" s="225" t="s">
        <v>204</v>
      </c>
    </row>
    <row r="37" spans="1:74" ht="94.5" customHeight="1" x14ac:dyDescent="0.3">
      <c r="A37" s="241"/>
      <c r="B37" s="242" t="s">
        <v>165</v>
      </c>
      <c r="C37" s="530" t="s">
        <v>1603</v>
      </c>
      <c r="D37" s="531"/>
      <c r="E37" s="531"/>
      <c r="F37" s="531"/>
      <c r="G37" s="531"/>
      <c r="H37" s="531"/>
      <c r="I37" s="531"/>
      <c r="J37" s="531"/>
      <c r="K37" s="531"/>
      <c r="L37" s="531"/>
      <c r="M37" s="532"/>
    </row>
    <row r="38" spans="1:74" ht="14.4" x14ac:dyDescent="0.3">
      <c r="A38" s="239" t="s">
        <v>191</v>
      </c>
      <c r="B38" s="223" t="s">
        <v>206</v>
      </c>
      <c r="C38" s="521" t="s">
        <v>481</v>
      </c>
      <c r="D38" s="519"/>
      <c r="E38" s="223" t="s">
        <v>196</v>
      </c>
      <c r="F38" s="233">
        <v>87.5</v>
      </c>
      <c r="G38" s="311">
        <v>0</v>
      </c>
      <c r="H38" s="233">
        <f>F38*AM38</f>
        <v>0</v>
      </c>
      <c r="I38" s="233">
        <f>F38*AN38</f>
        <v>0</v>
      </c>
      <c r="J38" s="233">
        <f>F38*G38</f>
        <v>0</v>
      </c>
      <c r="K38" s="233">
        <v>0</v>
      </c>
      <c r="L38" s="233">
        <f>F38*K38</f>
        <v>0</v>
      </c>
      <c r="M38" s="240" t="s">
        <v>472</v>
      </c>
      <c r="X38" s="233">
        <f>IF(AO38="5",BH38,0)</f>
        <v>0</v>
      </c>
      <c r="Z38" s="233">
        <f>IF(AO38="1",BF38,0)</f>
        <v>0</v>
      </c>
      <c r="AA38" s="233">
        <f>IF(AO38="1",BG38,0)</f>
        <v>0</v>
      </c>
      <c r="AB38" s="233">
        <f>IF(AO38="7",BF38,0)</f>
        <v>0</v>
      </c>
      <c r="AC38" s="233">
        <f>IF(AO38="7",BG38,0)</f>
        <v>0</v>
      </c>
      <c r="AD38" s="233">
        <f>IF(AO38="2",BF38,0)</f>
        <v>0</v>
      </c>
      <c r="AE38" s="233">
        <f>IF(AO38="2",BG38,0)</f>
        <v>0</v>
      </c>
      <c r="AF38" s="233">
        <f>IF(AO38="0",BH38,0)</f>
        <v>0</v>
      </c>
      <c r="AG38" s="229" t="s">
        <v>154</v>
      </c>
      <c r="AH38" s="233">
        <f>IF(AL38=0,J38,0)</f>
        <v>0</v>
      </c>
      <c r="AI38" s="233">
        <f>IF(AL38=15,J38,0)</f>
        <v>0</v>
      </c>
      <c r="AJ38" s="233">
        <f>IF(AL38=21,J38,0)</f>
        <v>0</v>
      </c>
      <c r="AL38" s="233">
        <v>15</v>
      </c>
      <c r="AM38" s="233">
        <f>G38*0</f>
        <v>0</v>
      </c>
      <c r="AN38" s="233">
        <f>G38*(1-0)</f>
        <v>0</v>
      </c>
      <c r="AO38" s="234" t="s">
        <v>157</v>
      </c>
      <c r="AT38" s="233">
        <f>AU38+AV38</f>
        <v>0</v>
      </c>
      <c r="AU38" s="233">
        <f>F38*AM38</f>
        <v>0</v>
      </c>
      <c r="AV38" s="233">
        <f>F38*AN38</f>
        <v>0</v>
      </c>
      <c r="AW38" s="234" t="s">
        <v>205</v>
      </c>
      <c r="AX38" s="234" t="s">
        <v>163</v>
      </c>
      <c r="AY38" s="229" t="s">
        <v>164</v>
      </c>
      <c r="BA38" s="233">
        <f>AU38+AV38</f>
        <v>0</v>
      </c>
      <c r="BB38" s="233">
        <f>G38/(100-BC38)*100</f>
        <v>0</v>
      </c>
      <c r="BC38" s="233">
        <v>0</v>
      </c>
      <c r="BD38" s="233">
        <f>L38</f>
        <v>0</v>
      </c>
      <c r="BF38" s="233">
        <f>F38*AM38</f>
        <v>0</v>
      </c>
      <c r="BG38" s="233">
        <f>F38*AN38</f>
        <v>0</v>
      </c>
      <c r="BH38" s="233">
        <f>F38*G38</f>
        <v>0</v>
      </c>
      <c r="BI38" s="233"/>
      <c r="BJ38" s="233">
        <v>13</v>
      </c>
      <c r="BU38" s="233" t="e">
        <f>#REF!</f>
        <v>#REF!</v>
      </c>
      <c r="BV38" s="225" t="s">
        <v>481</v>
      </c>
    </row>
    <row r="39" spans="1:74" ht="40.5" customHeight="1" x14ac:dyDescent="0.3">
      <c r="A39" s="241"/>
      <c r="B39" s="242" t="s">
        <v>165</v>
      </c>
      <c r="C39" s="530" t="s">
        <v>1604</v>
      </c>
      <c r="D39" s="531"/>
      <c r="E39" s="531"/>
      <c r="F39" s="531"/>
      <c r="G39" s="531"/>
      <c r="H39" s="531"/>
      <c r="I39" s="531"/>
      <c r="J39" s="531"/>
      <c r="K39" s="531"/>
      <c r="L39" s="531"/>
      <c r="M39" s="532"/>
    </row>
    <row r="40" spans="1:74" ht="14.4" x14ac:dyDescent="0.3">
      <c r="A40" s="239" t="s">
        <v>201</v>
      </c>
      <c r="B40" s="223" t="s">
        <v>208</v>
      </c>
      <c r="C40" s="521" t="s">
        <v>209</v>
      </c>
      <c r="D40" s="519"/>
      <c r="E40" s="223" t="s">
        <v>196</v>
      </c>
      <c r="F40" s="233">
        <v>139.99</v>
      </c>
      <c r="G40" s="311">
        <v>0</v>
      </c>
      <c r="H40" s="233">
        <f>F40*AM40</f>
        <v>0</v>
      </c>
      <c r="I40" s="233">
        <f>F40*AN40</f>
        <v>0</v>
      </c>
      <c r="J40" s="233">
        <f>F40*G40</f>
        <v>0</v>
      </c>
      <c r="K40" s="233">
        <v>0</v>
      </c>
      <c r="L40" s="233">
        <f>F40*K40</f>
        <v>0</v>
      </c>
      <c r="M40" s="240" t="s">
        <v>472</v>
      </c>
      <c r="X40" s="233">
        <f>IF(AO40="5",BH40,0)</f>
        <v>0</v>
      </c>
      <c r="Z40" s="233">
        <f>IF(AO40="1",BF40,0)</f>
        <v>0</v>
      </c>
      <c r="AA40" s="233">
        <f>IF(AO40="1",BG40,0)</f>
        <v>0</v>
      </c>
      <c r="AB40" s="233">
        <f>IF(AO40="7",BF40,0)</f>
        <v>0</v>
      </c>
      <c r="AC40" s="233">
        <f>IF(AO40="7",BG40,0)</f>
        <v>0</v>
      </c>
      <c r="AD40" s="233">
        <f>IF(AO40="2",BF40,0)</f>
        <v>0</v>
      </c>
      <c r="AE40" s="233">
        <f>IF(AO40="2",BG40,0)</f>
        <v>0</v>
      </c>
      <c r="AF40" s="233">
        <f>IF(AO40="0",BH40,0)</f>
        <v>0</v>
      </c>
      <c r="AG40" s="229" t="s">
        <v>154</v>
      </c>
      <c r="AH40" s="233">
        <f>IF(AL40=0,J40,0)</f>
        <v>0</v>
      </c>
      <c r="AI40" s="233">
        <f>IF(AL40=15,J40,0)</f>
        <v>0</v>
      </c>
      <c r="AJ40" s="233">
        <f>IF(AL40=21,J40,0)</f>
        <v>0</v>
      </c>
      <c r="AL40" s="233">
        <v>15</v>
      </c>
      <c r="AM40" s="233">
        <f>G40*0</f>
        <v>0</v>
      </c>
      <c r="AN40" s="233">
        <f>G40*(1-0)</f>
        <v>0</v>
      </c>
      <c r="AO40" s="234" t="s">
        <v>157</v>
      </c>
      <c r="AT40" s="233">
        <f>AU40+AV40</f>
        <v>0</v>
      </c>
      <c r="AU40" s="233">
        <f>F40*AM40</f>
        <v>0</v>
      </c>
      <c r="AV40" s="233">
        <f>F40*AN40</f>
        <v>0</v>
      </c>
      <c r="AW40" s="234" t="s">
        <v>205</v>
      </c>
      <c r="AX40" s="234" t="s">
        <v>163</v>
      </c>
      <c r="AY40" s="229" t="s">
        <v>164</v>
      </c>
      <c r="BA40" s="233">
        <f>AU40+AV40</f>
        <v>0</v>
      </c>
      <c r="BB40" s="233">
        <f>G40/(100-BC40)*100</f>
        <v>0</v>
      </c>
      <c r="BC40" s="233">
        <v>0</v>
      </c>
      <c r="BD40" s="233">
        <f>L40</f>
        <v>0</v>
      </c>
      <c r="BF40" s="233">
        <f>F40*AM40</f>
        <v>0</v>
      </c>
      <c r="BG40" s="233">
        <f>F40*AN40</f>
        <v>0</v>
      </c>
      <c r="BH40" s="233">
        <f>F40*G40</f>
        <v>0</v>
      </c>
      <c r="BI40" s="233"/>
      <c r="BJ40" s="233">
        <v>13</v>
      </c>
      <c r="BU40" s="233" t="e">
        <f>#REF!</f>
        <v>#REF!</v>
      </c>
      <c r="BV40" s="225" t="s">
        <v>209</v>
      </c>
    </row>
    <row r="41" spans="1:74" ht="94.5" customHeight="1" x14ac:dyDescent="0.3">
      <c r="A41" s="241"/>
      <c r="B41" s="242" t="s">
        <v>165</v>
      </c>
      <c r="C41" s="530" t="s">
        <v>1605</v>
      </c>
      <c r="D41" s="531"/>
      <c r="E41" s="531"/>
      <c r="F41" s="531"/>
      <c r="G41" s="531"/>
      <c r="H41" s="531"/>
      <c r="I41" s="531"/>
      <c r="J41" s="531"/>
      <c r="K41" s="531"/>
      <c r="L41" s="531"/>
      <c r="M41" s="532"/>
    </row>
    <row r="42" spans="1:74" ht="14.4" x14ac:dyDescent="0.3">
      <c r="A42" s="239" t="s">
        <v>210</v>
      </c>
      <c r="B42" s="223" t="s">
        <v>211</v>
      </c>
      <c r="C42" s="521" t="s">
        <v>482</v>
      </c>
      <c r="D42" s="519"/>
      <c r="E42" s="223" t="s">
        <v>196</v>
      </c>
      <c r="F42" s="233">
        <v>35</v>
      </c>
      <c r="G42" s="311">
        <v>0</v>
      </c>
      <c r="H42" s="233">
        <f>F42*AM42</f>
        <v>0</v>
      </c>
      <c r="I42" s="233">
        <f>F42*AN42</f>
        <v>0</v>
      </c>
      <c r="J42" s="233">
        <f>F42*G42</f>
        <v>0</v>
      </c>
      <c r="K42" s="233">
        <v>0</v>
      </c>
      <c r="L42" s="233">
        <f>F42*K42</f>
        <v>0</v>
      </c>
      <c r="M42" s="240" t="s">
        <v>472</v>
      </c>
      <c r="X42" s="233">
        <f>IF(AO42="5",BH42,0)</f>
        <v>0</v>
      </c>
      <c r="Z42" s="233">
        <f>IF(AO42="1",BF42,0)</f>
        <v>0</v>
      </c>
      <c r="AA42" s="233">
        <f>IF(AO42="1",BG42,0)</f>
        <v>0</v>
      </c>
      <c r="AB42" s="233">
        <f>IF(AO42="7",BF42,0)</f>
        <v>0</v>
      </c>
      <c r="AC42" s="233">
        <f>IF(AO42="7",BG42,0)</f>
        <v>0</v>
      </c>
      <c r="AD42" s="233">
        <f>IF(AO42="2",BF42,0)</f>
        <v>0</v>
      </c>
      <c r="AE42" s="233">
        <f>IF(AO42="2",BG42,0)</f>
        <v>0</v>
      </c>
      <c r="AF42" s="233">
        <f>IF(AO42="0",BH42,0)</f>
        <v>0</v>
      </c>
      <c r="AG42" s="229" t="s">
        <v>154</v>
      </c>
      <c r="AH42" s="233">
        <f>IF(AL42=0,J42,0)</f>
        <v>0</v>
      </c>
      <c r="AI42" s="233">
        <f>IF(AL42=15,J42,0)</f>
        <v>0</v>
      </c>
      <c r="AJ42" s="233">
        <f>IF(AL42=21,J42,0)</f>
        <v>0</v>
      </c>
      <c r="AL42" s="233">
        <v>15</v>
      </c>
      <c r="AM42" s="233">
        <f>G42*0</f>
        <v>0</v>
      </c>
      <c r="AN42" s="233">
        <f>G42*(1-0)</f>
        <v>0</v>
      </c>
      <c r="AO42" s="234" t="s">
        <v>157</v>
      </c>
      <c r="AT42" s="233">
        <f>AU42+AV42</f>
        <v>0</v>
      </c>
      <c r="AU42" s="233">
        <f>F42*AM42</f>
        <v>0</v>
      </c>
      <c r="AV42" s="233">
        <f>F42*AN42</f>
        <v>0</v>
      </c>
      <c r="AW42" s="234" t="s">
        <v>205</v>
      </c>
      <c r="AX42" s="234" t="s">
        <v>163</v>
      </c>
      <c r="AY42" s="229" t="s">
        <v>164</v>
      </c>
      <c r="BA42" s="233">
        <f>AU42+AV42</f>
        <v>0</v>
      </c>
      <c r="BB42" s="233">
        <f>G42/(100-BC42)*100</f>
        <v>0</v>
      </c>
      <c r="BC42" s="233">
        <v>0</v>
      </c>
      <c r="BD42" s="233">
        <f>L42</f>
        <v>0</v>
      </c>
      <c r="BF42" s="233">
        <f>F42*AM42</f>
        <v>0</v>
      </c>
      <c r="BG42" s="233">
        <f>F42*AN42</f>
        <v>0</v>
      </c>
      <c r="BH42" s="233">
        <f>F42*G42</f>
        <v>0</v>
      </c>
      <c r="BI42" s="233"/>
      <c r="BJ42" s="233">
        <v>13</v>
      </c>
      <c r="BU42" s="233" t="e">
        <f>#REF!</f>
        <v>#REF!</v>
      </c>
      <c r="BV42" s="225" t="s">
        <v>482</v>
      </c>
    </row>
    <row r="43" spans="1:74" ht="40.5" customHeight="1" x14ac:dyDescent="0.3">
      <c r="A43" s="244"/>
      <c r="B43" s="245" t="s">
        <v>165</v>
      </c>
      <c r="C43" s="540" t="s">
        <v>1606</v>
      </c>
      <c r="D43" s="541"/>
      <c r="E43" s="541"/>
      <c r="F43" s="541"/>
      <c r="G43" s="541"/>
      <c r="H43" s="541"/>
      <c r="I43" s="541"/>
      <c r="J43" s="541"/>
      <c r="K43" s="541"/>
      <c r="L43" s="541"/>
      <c r="M43" s="542"/>
    </row>
    <row r="44" spans="1:74" ht="14.4" x14ac:dyDescent="0.3">
      <c r="A44" s="237" t="s">
        <v>161</v>
      </c>
      <c r="B44" s="238" t="s">
        <v>213</v>
      </c>
      <c r="C44" s="543" t="s">
        <v>214</v>
      </c>
      <c r="D44" s="544"/>
      <c r="E44" s="238" t="s">
        <v>196</v>
      </c>
      <c r="F44" s="258">
        <v>35</v>
      </c>
      <c r="G44" s="311">
        <v>0</v>
      </c>
      <c r="H44" s="258">
        <f>F44*AM44</f>
        <v>0</v>
      </c>
      <c r="I44" s="258">
        <f>F44*AN44</f>
        <v>0</v>
      </c>
      <c r="J44" s="258">
        <f>F44*G44</f>
        <v>0</v>
      </c>
      <c r="K44" s="258">
        <v>0</v>
      </c>
      <c r="L44" s="258">
        <f>F44*K44</f>
        <v>0</v>
      </c>
      <c r="M44" s="259" t="s">
        <v>472</v>
      </c>
      <c r="X44" s="233">
        <f>IF(AO44="5",BH44,0)</f>
        <v>0</v>
      </c>
      <c r="Z44" s="233">
        <f>IF(AO44="1",BF44,0)</f>
        <v>0</v>
      </c>
      <c r="AA44" s="233">
        <f>IF(AO44="1",BG44,0)</f>
        <v>0</v>
      </c>
      <c r="AB44" s="233">
        <f>IF(AO44="7",BF44,0)</f>
        <v>0</v>
      </c>
      <c r="AC44" s="233">
        <f>IF(AO44="7",BG44,0)</f>
        <v>0</v>
      </c>
      <c r="AD44" s="233">
        <f>IF(AO44="2",BF44,0)</f>
        <v>0</v>
      </c>
      <c r="AE44" s="233">
        <f>IF(AO44="2",BG44,0)</f>
        <v>0</v>
      </c>
      <c r="AF44" s="233">
        <f>IF(AO44="0",BH44,0)</f>
        <v>0</v>
      </c>
      <c r="AG44" s="229" t="s">
        <v>154</v>
      </c>
      <c r="AH44" s="233">
        <f>IF(AL44=0,J44,0)</f>
        <v>0</v>
      </c>
      <c r="AI44" s="233">
        <f>IF(AL44=15,J44,0)</f>
        <v>0</v>
      </c>
      <c r="AJ44" s="233">
        <f>IF(AL44=21,J44,0)</f>
        <v>0</v>
      </c>
      <c r="AL44" s="233">
        <v>15</v>
      </c>
      <c r="AM44" s="233">
        <f>G44*0</f>
        <v>0</v>
      </c>
      <c r="AN44" s="233">
        <f>G44*(1-0)</f>
        <v>0</v>
      </c>
      <c r="AO44" s="234" t="s">
        <v>157</v>
      </c>
      <c r="AT44" s="233">
        <f>AU44+AV44</f>
        <v>0</v>
      </c>
      <c r="AU44" s="233">
        <f>F44*AM44</f>
        <v>0</v>
      </c>
      <c r="AV44" s="233">
        <f>F44*AN44</f>
        <v>0</v>
      </c>
      <c r="AW44" s="234" t="s">
        <v>205</v>
      </c>
      <c r="AX44" s="234" t="s">
        <v>163</v>
      </c>
      <c r="AY44" s="229" t="s">
        <v>164</v>
      </c>
      <c r="BA44" s="233">
        <f>AU44+AV44</f>
        <v>0</v>
      </c>
      <c r="BB44" s="233">
        <f>G44/(100-BC44)*100</f>
        <v>0</v>
      </c>
      <c r="BC44" s="233">
        <v>0</v>
      </c>
      <c r="BD44" s="233">
        <f>L44</f>
        <v>0</v>
      </c>
      <c r="BF44" s="233">
        <f>F44*AM44</f>
        <v>0</v>
      </c>
      <c r="BG44" s="233">
        <f>F44*AN44</f>
        <v>0</v>
      </c>
      <c r="BH44" s="233">
        <f>F44*G44</f>
        <v>0</v>
      </c>
      <c r="BI44" s="233"/>
      <c r="BJ44" s="233">
        <v>13</v>
      </c>
      <c r="BU44" s="233" t="e">
        <f>#REF!</f>
        <v>#REF!</v>
      </c>
      <c r="BV44" s="225" t="s">
        <v>214</v>
      </c>
    </row>
    <row r="45" spans="1:74" ht="108" customHeight="1" x14ac:dyDescent="0.3">
      <c r="A45" s="241"/>
      <c r="B45" s="242" t="s">
        <v>165</v>
      </c>
      <c r="C45" s="530" t="s">
        <v>1607</v>
      </c>
      <c r="D45" s="531"/>
      <c r="E45" s="531"/>
      <c r="F45" s="531"/>
      <c r="G45" s="531"/>
      <c r="H45" s="531"/>
      <c r="I45" s="531"/>
      <c r="J45" s="531"/>
      <c r="K45" s="531"/>
      <c r="L45" s="531"/>
      <c r="M45" s="532"/>
    </row>
    <row r="46" spans="1:74" ht="14.4" x14ac:dyDescent="0.3">
      <c r="A46" s="239" t="s">
        <v>215</v>
      </c>
      <c r="B46" s="223" t="s">
        <v>216</v>
      </c>
      <c r="C46" s="521" t="s">
        <v>217</v>
      </c>
      <c r="D46" s="519"/>
      <c r="E46" s="223" t="s">
        <v>196</v>
      </c>
      <c r="F46" s="233">
        <v>5</v>
      </c>
      <c r="G46" s="311">
        <v>0</v>
      </c>
      <c r="H46" s="233">
        <f>F46*AM46</f>
        <v>0</v>
      </c>
      <c r="I46" s="233">
        <f>F46*AN46</f>
        <v>0</v>
      </c>
      <c r="J46" s="233">
        <f>F46*G46</f>
        <v>0</v>
      </c>
      <c r="K46" s="233">
        <v>0</v>
      </c>
      <c r="L46" s="233">
        <f>F46*K46</f>
        <v>0</v>
      </c>
      <c r="M46" s="240" t="s">
        <v>472</v>
      </c>
      <c r="X46" s="233">
        <f>IF(AO46="5",BH46,0)</f>
        <v>0</v>
      </c>
      <c r="Z46" s="233">
        <f>IF(AO46="1",BF46,0)</f>
        <v>0</v>
      </c>
      <c r="AA46" s="233">
        <f>IF(AO46="1",BG46,0)</f>
        <v>0</v>
      </c>
      <c r="AB46" s="233">
        <f>IF(AO46="7",BF46,0)</f>
        <v>0</v>
      </c>
      <c r="AC46" s="233">
        <f>IF(AO46="7",BG46,0)</f>
        <v>0</v>
      </c>
      <c r="AD46" s="233">
        <f>IF(AO46="2",BF46,0)</f>
        <v>0</v>
      </c>
      <c r="AE46" s="233">
        <f>IF(AO46="2",BG46,0)</f>
        <v>0</v>
      </c>
      <c r="AF46" s="233">
        <f>IF(AO46="0",BH46,0)</f>
        <v>0</v>
      </c>
      <c r="AG46" s="229" t="s">
        <v>154</v>
      </c>
      <c r="AH46" s="233">
        <f>IF(AL46=0,J46,0)</f>
        <v>0</v>
      </c>
      <c r="AI46" s="233">
        <f>IF(AL46=15,J46,0)</f>
        <v>0</v>
      </c>
      <c r="AJ46" s="233">
        <f>IF(AL46=21,J46,0)</f>
        <v>0</v>
      </c>
      <c r="AL46" s="233">
        <v>15</v>
      </c>
      <c r="AM46" s="233">
        <f>G46*0</f>
        <v>0</v>
      </c>
      <c r="AN46" s="233">
        <f>G46*(1-0)</f>
        <v>0</v>
      </c>
      <c r="AO46" s="234" t="s">
        <v>157</v>
      </c>
      <c r="AT46" s="233">
        <f>AU46+AV46</f>
        <v>0</v>
      </c>
      <c r="AU46" s="233">
        <f>F46*AM46</f>
        <v>0</v>
      </c>
      <c r="AV46" s="233">
        <f>F46*AN46</f>
        <v>0</v>
      </c>
      <c r="AW46" s="234" t="s">
        <v>205</v>
      </c>
      <c r="AX46" s="234" t="s">
        <v>163</v>
      </c>
      <c r="AY46" s="229" t="s">
        <v>164</v>
      </c>
      <c r="BA46" s="233">
        <f>AU46+AV46</f>
        <v>0</v>
      </c>
      <c r="BB46" s="233">
        <f>G46/(100-BC46)*100</f>
        <v>0</v>
      </c>
      <c r="BC46" s="233">
        <v>0</v>
      </c>
      <c r="BD46" s="233">
        <f>L46</f>
        <v>0</v>
      </c>
      <c r="BF46" s="233">
        <f>F46*AM46</f>
        <v>0</v>
      </c>
      <c r="BG46" s="233">
        <f>F46*AN46</f>
        <v>0</v>
      </c>
      <c r="BH46" s="233">
        <f>F46*G46</f>
        <v>0</v>
      </c>
      <c r="BI46" s="233"/>
      <c r="BJ46" s="233">
        <v>13</v>
      </c>
      <c r="BU46" s="233" t="e">
        <f>#REF!</f>
        <v>#REF!</v>
      </c>
      <c r="BV46" s="225" t="s">
        <v>217</v>
      </c>
    </row>
    <row r="47" spans="1:74" ht="13.5" customHeight="1" x14ac:dyDescent="0.3">
      <c r="A47" s="241"/>
      <c r="B47" s="242" t="s">
        <v>165</v>
      </c>
      <c r="C47" s="530" t="s">
        <v>218</v>
      </c>
      <c r="D47" s="531"/>
      <c r="E47" s="531"/>
      <c r="F47" s="531"/>
      <c r="G47" s="531"/>
      <c r="H47" s="531"/>
      <c r="I47" s="531"/>
      <c r="J47" s="531"/>
      <c r="K47" s="531"/>
      <c r="L47" s="531"/>
      <c r="M47" s="532"/>
    </row>
    <row r="48" spans="1:74" ht="14.4" x14ac:dyDescent="0.3">
      <c r="A48" s="239" t="s">
        <v>220</v>
      </c>
      <c r="B48" s="223" t="s">
        <v>483</v>
      </c>
      <c r="C48" s="521" t="s">
        <v>484</v>
      </c>
      <c r="D48" s="519"/>
      <c r="E48" s="223" t="s">
        <v>196</v>
      </c>
      <c r="F48" s="233">
        <v>2.75</v>
      </c>
      <c r="G48" s="311">
        <v>0</v>
      </c>
      <c r="H48" s="233">
        <f>F48*AM48</f>
        <v>0</v>
      </c>
      <c r="I48" s="233">
        <f>F48*AN48</f>
        <v>0</v>
      </c>
      <c r="J48" s="233">
        <f>F48*G48</f>
        <v>0</v>
      </c>
      <c r="K48" s="233">
        <v>0</v>
      </c>
      <c r="L48" s="233">
        <f>F48*K48</f>
        <v>0</v>
      </c>
      <c r="M48" s="240" t="s">
        <v>472</v>
      </c>
      <c r="X48" s="233">
        <f>IF(AO48="5",BH48,0)</f>
        <v>0</v>
      </c>
      <c r="Z48" s="233">
        <f>IF(AO48="1",BF48,0)</f>
        <v>0</v>
      </c>
      <c r="AA48" s="233">
        <f>IF(AO48="1",BG48,0)</f>
        <v>0</v>
      </c>
      <c r="AB48" s="233">
        <f>IF(AO48="7",BF48,0)</f>
        <v>0</v>
      </c>
      <c r="AC48" s="233">
        <f>IF(AO48="7",BG48,0)</f>
        <v>0</v>
      </c>
      <c r="AD48" s="233">
        <f>IF(AO48="2",BF48,0)</f>
        <v>0</v>
      </c>
      <c r="AE48" s="233">
        <f>IF(AO48="2",BG48,0)</f>
        <v>0</v>
      </c>
      <c r="AF48" s="233">
        <f>IF(AO48="0",BH48,0)</f>
        <v>0</v>
      </c>
      <c r="AG48" s="229" t="s">
        <v>154</v>
      </c>
      <c r="AH48" s="233">
        <f>IF(AL48=0,J48,0)</f>
        <v>0</v>
      </c>
      <c r="AI48" s="233">
        <f>IF(AL48=15,J48,0)</f>
        <v>0</v>
      </c>
      <c r="AJ48" s="233">
        <f>IF(AL48=21,J48,0)</f>
        <v>0</v>
      </c>
      <c r="AL48" s="233">
        <v>15</v>
      </c>
      <c r="AM48" s="233">
        <f>G48*0</f>
        <v>0</v>
      </c>
      <c r="AN48" s="233">
        <f>G48*(1-0)</f>
        <v>0</v>
      </c>
      <c r="AO48" s="234" t="s">
        <v>157</v>
      </c>
      <c r="AT48" s="233">
        <f>AU48+AV48</f>
        <v>0</v>
      </c>
      <c r="AU48" s="233">
        <f>F48*AM48</f>
        <v>0</v>
      </c>
      <c r="AV48" s="233">
        <f>F48*AN48</f>
        <v>0</v>
      </c>
      <c r="AW48" s="234" t="s">
        <v>205</v>
      </c>
      <c r="AX48" s="234" t="s">
        <v>163</v>
      </c>
      <c r="AY48" s="229" t="s">
        <v>164</v>
      </c>
      <c r="BA48" s="233">
        <f>AU48+AV48</f>
        <v>0</v>
      </c>
      <c r="BB48" s="233">
        <f>G48/(100-BC48)*100</f>
        <v>0</v>
      </c>
      <c r="BC48" s="233">
        <v>0</v>
      </c>
      <c r="BD48" s="233">
        <f>L48</f>
        <v>0</v>
      </c>
      <c r="BF48" s="233">
        <f>F48*AM48</f>
        <v>0</v>
      </c>
      <c r="BG48" s="233">
        <f>F48*AN48</f>
        <v>0</v>
      </c>
      <c r="BH48" s="233">
        <f>F48*G48</f>
        <v>0</v>
      </c>
      <c r="BI48" s="233"/>
      <c r="BJ48" s="233">
        <v>13</v>
      </c>
      <c r="BU48" s="233" t="e">
        <f>#REF!</f>
        <v>#REF!</v>
      </c>
      <c r="BV48" s="225" t="s">
        <v>484</v>
      </c>
    </row>
    <row r="49" spans="1:74" ht="40.5" customHeight="1" x14ac:dyDescent="0.3">
      <c r="A49" s="241"/>
      <c r="B49" s="242" t="s">
        <v>165</v>
      </c>
      <c r="C49" s="530" t="s">
        <v>1404</v>
      </c>
      <c r="D49" s="531"/>
      <c r="E49" s="531"/>
      <c r="F49" s="531"/>
      <c r="G49" s="531"/>
      <c r="H49" s="531"/>
      <c r="I49" s="531"/>
      <c r="J49" s="531"/>
      <c r="K49" s="531"/>
      <c r="L49" s="531"/>
      <c r="M49" s="532"/>
    </row>
    <row r="50" spans="1:74" ht="14.4" x14ac:dyDescent="0.3">
      <c r="A50" s="239" t="s">
        <v>224</v>
      </c>
      <c r="B50" s="223" t="s">
        <v>888</v>
      </c>
      <c r="C50" s="521" t="s">
        <v>889</v>
      </c>
      <c r="D50" s="519"/>
      <c r="E50" s="223" t="s">
        <v>196</v>
      </c>
      <c r="F50" s="233">
        <v>357.73</v>
      </c>
      <c r="G50" s="311">
        <v>0</v>
      </c>
      <c r="H50" s="233">
        <f>F50*AM50</f>
        <v>0</v>
      </c>
      <c r="I50" s="233">
        <f>F50*AN50</f>
        <v>0</v>
      </c>
      <c r="J50" s="233">
        <f>F50*G50</f>
        <v>0</v>
      </c>
      <c r="K50" s="233">
        <v>0</v>
      </c>
      <c r="L50" s="233">
        <f>F50*K50</f>
        <v>0</v>
      </c>
      <c r="M50" s="240" t="s">
        <v>472</v>
      </c>
      <c r="X50" s="233">
        <f>IF(AO50="5",BH50,0)</f>
        <v>0</v>
      </c>
      <c r="Z50" s="233">
        <f>IF(AO50="1",BF50,0)</f>
        <v>0</v>
      </c>
      <c r="AA50" s="233">
        <f>IF(AO50="1",BG50,0)</f>
        <v>0</v>
      </c>
      <c r="AB50" s="233">
        <f>IF(AO50="7",BF50,0)</f>
        <v>0</v>
      </c>
      <c r="AC50" s="233">
        <f>IF(AO50="7",BG50,0)</f>
        <v>0</v>
      </c>
      <c r="AD50" s="233">
        <f>IF(AO50="2",BF50,0)</f>
        <v>0</v>
      </c>
      <c r="AE50" s="233">
        <f>IF(AO50="2",BG50,0)</f>
        <v>0</v>
      </c>
      <c r="AF50" s="233">
        <f>IF(AO50="0",BH50,0)</f>
        <v>0</v>
      </c>
      <c r="AG50" s="229" t="s">
        <v>154</v>
      </c>
      <c r="AH50" s="233">
        <f>IF(AL50=0,J50,0)</f>
        <v>0</v>
      </c>
      <c r="AI50" s="233">
        <f>IF(AL50=15,J50,0)</f>
        <v>0</v>
      </c>
      <c r="AJ50" s="233">
        <f>IF(AL50=21,J50,0)</f>
        <v>0</v>
      </c>
      <c r="AL50" s="233">
        <v>15</v>
      </c>
      <c r="AM50" s="233">
        <f>G50*0</f>
        <v>0</v>
      </c>
      <c r="AN50" s="233">
        <f>G50*(1-0)</f>
        <v>0</v>
      </c>
      <c r="AO50" s="234" t="s">
        <v>157</v>
      </c>
      <c r="AT50" s="233">
        <f>AU50+AV50</f>
        <v>0</v>
      </c>
      <c r="AU50" s="233">
        <f>F50*AM50</f>
        <v>0</v>
      </c>
      <c r="AV50" s="233">
        <f>F50*AN50</f>
        <v>0</v>
      </c>
      <c r="AW50" s="234" t="s">
        <v>205</v>
      </c>
      <c r="AX50" s="234" t="s">
        <v>163</v>
      </c>
      <c r="AY50" s="229" t="s">
        <v>164</v>
      </c>
      <c r="BA50" s="233">
        <f>AU50+AV50</f>
        <v>0</v>
      </c>
      <c r="BB50" s="233">
        <f>G50/(100-BC50)*100</f>
        <v>0</v>
      </c>
      <c r="BC50" s="233">
        <v>0</v>
      </c>
      <c r="BD50" s="233">
        <f>L50</f>
        <v>0</v>
      </c>
      <c r="BF50" s="233">
        <f>F50*AM50</f>
        <v>0</v>
      </c>
      <c r="BG50" s="233">
        <f>F50*AN50</f>
        <v>0</v>
      </c>
      <c r="BH50" s="233">
        <f>F50*G50</f>
        <v>0</v>
      </c>
      <c r="BI50" s="233"/>
      <c r="BJ50" s="233">
        <v>13</v>
      </c>
      <c r="BU50" s="233" t="e">
        <f>#REF!</f>
        <v>#REF!</v>
      </c>
      <c r="BV50" s="225" t="s">
        <v>889</v>
      </c>
    </row>
    <row r="51" spans="1:74" ht="40.5" customHeight="1" x14ac:dyDescent="0.3">
      <c r="A51" s="241"/>
      <c r="B51" s="242" t="s">
        <v>165</v>
      </c>
      <c r="C51" s="530" t="s">
        <v>1608</v>
      </c>
      <c r="D51" s="531"/>
      <c r="E51" s="531"/>
      <c r="F51" s="531"/>
      <c r="G51" s="531"/>
      <c r="H51" s="531"/>
      <c r="I51" s="531"/>
      <c r="J51" s="531"/>
      <c r="K51" s="531"/>
      <c r="L51" s="531"/>
      <c r="M51" s="532"/>
    </row>
    <row r="52" spans="1:74" ht="14.4" x14ac:dyDescent="0.3">
      <c r="A52" s="239" t="s">
        <v>154</v>
      </c>
      <c r="B52" s="224" t="s">
        <v>161</v>
      </c>
      <c r="C52" s="526" t="s">
        <v>219</v>
      </c>
      <c r="D52" s="527"/>
      <c r="E52" s="223" t="s">
        <v>114</v>
      </c>
      <c r="F52" s="223" t="s">
        <v>114</v>
      </c>
      <c r="G52" s="223" t="s">
        <v>114</v>
      </c>
      <c r="H52" s="235">
        <f>SUM(H53:H55)</f>
        <v>0</v>
      </c>
      <c r="I52" s="235">
        <f>SUM(I53:I55)</f>
        <v>0</v>
      </c>
      <c r="J52" s="235">
        <f>SUM(J53:J55)</f>
        <v>0</v>
      </c>
      <c r="K52" s="230" t="s">
        <v>154</v>
      </c>
      <c r="L52" s="235">
        <f>SUM(L53:L55)</f>
        <v>0.76749840000000003</v>
      </c>
      <c r="M52" s="243" t="s">
        <v>154</v>
      </c>
      <c r="AG52" s="229" t="s">
        <v>154</v>
      </c>
      <c r="AQ52" s="222">
        <f>SUM(AH53:AH55)</f>
        <v>0</v>
      </c>
      <c r="AR52" s="222">
        <f>SUM(AI53:AI55)</f>
        <v>0</v>
      </c>
      <c r="AS52" s="222">
        <f>SUM(AJ53:AJ55)</f>
        <v>0</v>
      </c>
    </row>
    <row r="53" spans="1:74" ht="14.4" x14ac:dyDescent="0.3">
      <c r="A53" s="239" t="s">
        <v>228</v>
      </c>
      <c r="B53" s="223" t="s">
        <v>221</v>
      </c>
      <c r="C53" s="521" t="s">
        <v>222</v>
      </c>
      <c r="D53" s="519"/>
      <c r="E53" s="223" t="s">
        <v>180</v>
      </c>
      <c r="F53" s="233">
        <v>892.44</v>
      </c>
      <c r="G53" s="311">
        <v>0</v>
      </c>
      <c r="H53" s="233">
        <f>F53*AM53</f>
        <v>0</v>
      </c>
      <c r="I53" s="233">
        <f>F53*AN53</f>
        <v>0</v>
      </c>
      <c r="J53" s="233">
        <f>F53*G53</f>
        <v>0</v>
      </c>
      <c r="K53" s="233">
        <v>8.5999999999999998E-4</v>
      </c>
      <c r="L53" s="233">
        <f>F53*K53</f>
        <v>0.76749840000000003</v>
      </c>
      <c r="M53" s="240" t="s">
        <v>472</v>
      </c>
      <c r="X53" s="233">
        <f>IF(AO53="5",BH53,0)</f>
        <v>0</v>
      </c>
      <c r="Z53" s="233">
        <f>IF(AO53="1",BF53,0)</f>
        <v>0</v>
      </c>
      <c r="AA53" s="233">
        <f>IF(AO53="1",BG53,0)</f>
        <v>0</v>
      </c>
      <c r="AB53" s="233">
        <f>IF(AO53="7",BF53,0)</f>
        <v>0</v>
      </c>
      <c r="AC53" s="233">
        <f>IF(AO53="7",BG53,0)</f>
        <v>0</v>
      </c>
      <c r="AD53" s="233">
        <f>IF(AO53="2",BF53,0)</f>
        <v>0</v>
      </c>
      <c r="AE53" s="233">
        <f>IF(AO53="2",BG53,0)</f>
        <v>0</v>
      </c>
      <c r="AF53" s="233">
        <f>IF(AO53="0",BH53,0)</f>
        <v>0</v>
      </c>
      <c r="AG53" s="229" t="s">
        <v>154</v>
      </c>
      <c r="AH53" s="233">
        <f>IF(AL53=0,J53,0)</f>
        <v>0</v>
      </c>
      <c r="AI53" s="233">
        <f>IF(AL53=15,J53,0)</f>
        <v>0</v>
      </c>
      <c r="AJ53" s="233">
        <f>IF(AL53=21,J53,0)</f>
        <v>0</v>
      </c>
      <c r="AL53" s="233">
        <v>15</v>
      </c>
      <c r="AM53" s="233">
        <f>G53*0.083527391</f>
        <v>0</v>
      </c>
      <c r="AN53" s="233">
        <f>G53*(1-0.083527391)</f>
        <v>0</v>
      </c>
      <c r="AO53" s="234" t="s">
        <v>157</v>
      </c>
      <c r="AT53" s="233">
        <f>AU53+AV53</f>
        <v>0</v>
      </c>
      <c r="AU53" s="233">
        <f>F53*AM53</f>
        <v>0</v>
      </c>
      <c r="AV53" s="233">
        <f>F53*AN53</f>
        <v>0</v>
      </c>
      <c r="AW53" s="234" t="s">
        <v>223</v>
      </c>
      <c r="AX53" s="234" t="s">
        <v>163</v>
      </c>
      <c r="AY53" s="229" t="s">
        <v>164</v>
      </c>
      <c r="BA53" s="233">
        <f>AU53+AV53</f>
        <v>0</v>
      </c>
      <c r="BB53" s="233">
        <f>G53/(100-BC53)*100</f>
        <v>0</v>
      </c>
      <c r="BC53" s="233">
        <v>0</v>
      </c>
      <c r="BD53" s="233">
        <f>L53</f>
        <v>0.76749840000000003</v>
      </c>
      <c r="BF53" s="233">
        <f>F53*AM53</f>
        <v>0</v>
      </c>
      <c r="BG53" s="233">
        <f>F53*AN53</f>
        <v>0</v>
      </c>
      <c r="BH53" s="233">
        <f>F53*G53</f>
        <v>0</v>
      </c>
      <c r="BI53" s="233"/>
      <c r="BJ53" s="233">
        <v>15</v>
      </c>
      <c r="BU53" s="233" t="e">
        <f>#REF!</f>
        <v>#REF!</v>
      </c>
      <c r="BV53" s="225" t="s">
        <v>222</v>
      </c>
    </row>
    <row r="54" spans="1:74" ht="40.5" customHeight="1" x14ac:dyDescent="0.3">
      <c r="A54" s="241"/>
      <c r="B54" s="242" t="s">
        <v>165</v>
      </c>
      <c r="C54" s="530" t="s">
        <v>1609</v>
      </c>
      <c r="D54" s="531"/>
      <c r="E54" s="531"/>
      <c r="F54" s="531"/>
      <c r="G54" s="531"/>
      <c r="H54" s="531"/>
      <c r="I54" s="531"/>
      <c r="J54" s="531"/>
      <c r="K54" s="531"/>
      <c r="L54" s="531"/>
      <c r="M54" s="532"/>
    </row>
    <row r="55" spans="1:74" ht="14.4" x14ac:dyDescent="0.3">
      <c r="A55" s="239" t="s">
        <v>232</v>
      </c>
      <c r="B55" s="223" t="s">
        <v>225</v>
      </c>
      <c r="C55" s="521" t="s">
        <v>226</v>
      </c>
      <c r="D55" s="519"/>
      <c r="E55" s="223" t="s">
        <v>180</v>
      </c>
      <c r="F55" s="233">
        <v>892.44</v>
      </c>
      <c r="G55" s="311">
        <v>0</v>
      </c>
      <c r="H55" s="233">
        <f>F55*AM55</f>
        <v>0</v>
      </c>
      <c r="I55" s="233">
        <f>F55*AN55</f>
        <v>0</v>
      </c>
      <c r="J55" s="233">
        <f>F55*G55</f>
        <v>0</v>
      </c>
      <c r="K55" s="233">
        <v>0</v>
      </c>
      <c r="L55" s="233">
        <f>F55*K55</f>
        <v>0</v>
      </c>
      <c r="M55" s="240" t="s">
        <v>472</v>
      </c>
      <c r="X55" s="233">
        <f>IF(AO55="5",BH55,0)</f>
        <v>0</v>
      </c>
      <c r="Z55" s="233">
        <f>IF(AO55="1",BF55,0)</f>
        <v>0</v>
      </c>
      <c r="AA55" s="233">
        <f>IF(AO55="1",BG55,0)</f>
        <v>0</v>
      </c>
      <c r="AB55" s="233">
        <f>IF(AO55="7",BF55,0)</f>
        <v>0</v>
      </c>
      <c r="AC55" s="233">
        <f>IF(AO55="7",BG55,0)</f>
        <v>0</v>
      </c>
      <c r="AD55" s="233">
        <f>IF(AO55="2",BF55,0)</f>
        <v>0</v>
      </c>
      <c r="AE55" s="233">
        <f>IF(AO55="2",BG55,0)</f>
        <v>0</v>
      </c>
      <c r="AF55" s="233">
        <f>IF(AO55="0",BH55,0)</f>
        <v>0</v>
      </c>
      <c r="AG55" s="229" t="s">
        <v>154</v>
      </c>
      <c r="AH55" s="233">
        <f>IF(AL55=0,J55,0)</f>
        <v>0</v>
      </c>
      <c r="AI55" s="233">
        <f>IF(AL55=15,J55,0)</f>
        <v>0</v>
      </c>
      <c r="AJ55" s="233">
        <f>IF(AL55=21,J55,0)</f>
        <v>0</v>
      </c>
      <c r="AL55" s="233">
        <v>15</v>
      </c>
      <c r="AM55" s="233">
        <f>G55*0</f>
        <v>0</v>
      </c>
      <c r="AN55" s="233">
        <f>G55*(1-0)</f>
        <v>0</v>
      </c>
      <c r="AO55" s="234" t="s">
        <v>157</v>
      </c>
      <c r="AT55" s="233">
        <f>AU55+AV55</f>
        <v>0</v>
      </c>
      <c r="AU55" s="233">
        <f>F55*AM55</f>
        <v>0</v>
      </c>
      <c r="AV55" s="233">
        <f>F55*AN55</f>
        <v>0</v>
      </c>
      <c r="AW55" s="234" t="s">
        <v>223</v>
      </c>
      <c r="AX55" s="234" t="s">
        <v>163</v>
      </c>
      <c r="AY55" s="229" t="s">
        <v>164</v>
      </c>
      <c r="BA55" s="233">
        <f>AU55+AV55</f>
        <v>0</v>
      </c>
      <c r="BB55" s="233">
        <f>G55/(100-BC55)*100</f>
        <v>0</v>
      </c>
      <c r="BC55" s="233">
        <v>0</v>
      </c>
      <c r="BD55" s="233">
        <f>L55</f>
        <v>0</v>
      </c>
      <c r="BF55" s="233">
        <f>F55*AM55</f>
        <v>0</v>
      </c>
      <c r="BG55" s="233">
        <f>F55*AN55</f>
        <v>0</v>
      </c>
      <c r="BH55" s="233">
        <f>F55*G55</f>
        <v>0</v>
      </c>
      <c r="BI55" s="233"/>
      <c r="BJ55" s="233">
        <v>15</v>
      </c>
      <c r="BU55" s="233" t="e">
        <f>#REF!</f>
        <v>#REF!</v>
      </c>
      <c r="BV55" s="225" t="s">
        <v>226</v>
      </c>
    </row>
    <row r="56" spans="1:74" ht="40.5" customHeight="1" x14ac:dyDescent="0.3">
      <c r="A56" s="241"/>
      <c r="B56" s="242" t="s">
        <v>165</v>
      </c>
      <c r="C56" s="530" t="s">
        <v>1610</v>
      </c>
      <c r="D56" s="531"/>
      <c r="E56" s="531"/>
      <c r="F56" s="531"/>
      <c r="G56" s="531"/>
      <c r="H56" s="531"/>
      <c r="I56" s="531"/>
      <c r="J56" s="531"/>
      <c r="K56" s="531"/>
      <c r="L56" s="531"/>
      <c r="M56" s="532"/>
    </row>
    <row r="57" spans="1:74" ht="14.4" x14ac:dyDescent="0.3">
      <c r="A57" s="239" t="s">
        <v>154</v>
      </c>
      <c r="B57" s="224" t="s">
        <v>215</v>
      </c>
      <c r="C57" s="526" t="s">
        <v>227</v>
      </c>
      <c r="D57" s="527"/>
      <c r="E57" s="223" t="s">
        <v>114</v>
      </c>
      <c r="F57" s="223" t="s">
        <v>114</v>
      </c>
      <c r="G57" s="223" t="s">
        <v>114</v>
      </c>
      <c r="H57" s="235">
        <f>SUM(H58:H72)</f>
        <v>0</v>
      </c>
      <c r="I57" s="235">
        <f>SUM(I58:I72)</f>
        <v>0</v>
      </c>
      <c r="J57" s="235">
        <f>SUM(J58:J72)</f>
        <v>0</v>
      </c>
      <c r="K57" s="230" t="s">
        <v>154</v>
      </c>
      <c r="L57" s="235">
        <f>SUM(L58:L72)</f>
        <v>0</v>
      </c>
      <c r="M57" s="243" t="s">
        <v>154</v>
      </c>
      <c r="AG57" s="229" t="s">
        <v>154</v>
      </c>
      <c r="AQ57" s="222">
        <f>SUM(AH58:AH72)</f>
        <v>0</v>
      </c>
      <c r="AR57" s="222">
        <f>SUM(AI58:AI72)</f>
        <v>0</v>
      </c>
      <c r="AS57" s="222">
        <f>SUM(AJ58:AJ72)</f>
        <v>0</v>
      </c>
    </row>
    <row r="58" spans="1:74" ht="14.4" x14ac:dyDescent="0.3">
      <c r="A58" s="239" t="s">
        <v>235</v>
      </c>
      <c r="B58" s="223" t="s">
        <v>229</v>
      </c>
      <c r="C58" s="521" t="s">
        <v>230</v>
      </c>
      <c r="D58" s="519"/>
      <c r="E58" s="223" t="s">
        <v>196</v>
      </c>
      <c r="F58" s="233">
        <v>9.4499999999999993</v>
      </c>
      <c r="G58" s="311">
        <v>0</v>
      </c>
      <c r="H58" s="233">
        <f>F58*AM58</f>
        <v>0</v>
      </c>
      <c r="I58" s="233">
        <f>F58*AN58</f>
        <v>0</v>
      </c>
      <c r="J58" s="233">
        <f>F58*G58</f>
        <v>0</v>
      </c>
      <c r="K58" s="233">
        <v>0</v>
      </c>
      <c r="L58" s="233">
        <f>F58*K58</f>
        <v>0</v>
      </c>
      <c r="M58" s="240" t="s">
        <v>472</v>
      </c>
      <c r="X58" s="233">
        <f>IF(AO58="5",BH58,0)</f>
        <v>0</v>
      </c>
      <c r="Z58" s="233">
        <f>IF(AO58="1",BF58,0)</f>
        <v>0</v>
      </c>
      <c r="AA58" s="233">
        <f>IF(AO58="1",BG58,0)</f>
        <v>0</v>
      </c>
      <c r="AB58" s="233">
        <f>IF(AO58="7",BF58,0)</f>
        <v>0</v>
      </c>
      <c r="AC58" s="233">
        <f>IF(AO58="7",BG58,0)</f>
        <v>0</v>
      </c>
      <c r="AD58" s="233">
        <f>IF(AO58="2",BF58,0)</f>
        <v>0</v>
      </c>
      <c r="AE58" s="233">
        <f>IF(AO58="2",BG58,0)</f>
        <v>0</v>
      </c>
      <c r="AF58" s="233">
        <f>IF(AO58="0",BH58,0)</f>
        <v>0</v>
      </c>
      <c r="AG58" s="229" t="s">
        <v>154</v>
      </c>
      <c r="AH58" s="233">
        <f>IF(AL58=0,J58,0)</f>
        <v>0</v>
      </c>
      <c r="AI58" s="233">
        <f>IF(AL58=15,J58,0)</f>
        <v>0</v>
      </c>
      <c r="AJ58" s="233">
        <f>IF(AL58=21,J58,0)</f>
        <v>0</v>
      </c>
      <c r="AL58" s="233">
        <v>15</v>
      </c>
      <c r="AM58" s="233">
        <f>G58*0</f>
        <v>0</v>
      </c>
      <c r="AN58" s="233">
        <f>G58*(1-0)</f>
        <v>0</v>
      </c>
      <c r="AO58" s="234" t="s">
        <v>157</v>
      </c>
      <c r="AT58" s="233">
        <f>AU58+AV58</f>
        <v>0</v>
      </c>
      <c r="AU58" s="233">
        <f>F58*AM58</f>
        <v>0</v>
      </c>
      <c r="AV58" s="233">
        <f>F58*AN58</f>
        <v>0</v>
      </c>
      <c r="AW58" s="234" t="s">
        <v>231</v>
      </c>
      <c r="AX58" s="234" t="s">
        <v>163</v>
      </c>
      <c r="AY58" s="229" t="s">
        <v>164</v>
      </c>
      <c r="BA58" s="233">
        <f>AU58+AV58</f>
        <v>0</v>
      </c>
      <c r="BB58" s="233">
        <f>G58/(100-BC58)*100</f>
        <v>0</v>
      </c>
      <c r="BC58" s="233">
        <v>0</v>
      </c>
      <c r="BD58" s="233">
        <f>L58</f>
        <v>0</v>
      </c>
      <c r="BF58" s="233">
        <f>F58*AM58</f>
        <v>0</v>
      </c>
      <c r="BG58" s="233">
        <f>F58*AN58</f>
        <v>0</v>
      </c>
      <c r="BH58" s="233">
        <f>F58*G58</f>
        <v>0</v>
      </c>
      <c r="BI58" s="233"/>
      <c r="BJ58" s="233">
        <v>16</v>
      </c>
      <c r="BU58" s="233" t="e">
        <f>#REF!</f>
        <v>#REF!</v>
      </c>
      <c r="BV58" s="225" t="s">
        <v>230</v>
      </c>
    </row>
    <row r="59" spans="1:74" ht="54" customHeight="1" x14ac:dyDescent="0.3">
      <c r="A59" s="241"/>
      <c r="B59" s="242" t="s">
        <v>165</v>
      </c>
      <c r="C59" s="530" t="s">
        <v>1611</v>
      </c>
      <c r="D59" s="531"/>
      <c r="E59" s="531"/>
      <c r="F59" s="531"/>
      <c r="G59" s="531"/>
      <c r="H59" s="531"/>
      <c r="I59" s="531"/>
      <c r="J59" s="531"/>
      <c r="K59" s="531"/>
      <c r="L59" s="531"/>
      <c r="M59" s="532"/>
    </row>
    <row r="60" spans="1:74" ht="14.4" x14ac:dyDescent="0.3">
      <c r="A60" s="239" t="s">
        <v>238</v>
      </c>
      <c r="B60" s="223" t="s">
        <v>233</v>
      </c>
      <c r="C60" s="521" t="s">
        <v>234</v>
      </c>
      <c r="D60" s="519"/>
      <c r="E60" s="223" t="s">
        <v>196</v>
      </c>
      <c r="F60" s="233">
        <v>1.28</v>
      </c>
      <c r="G60" s="311">
        <v>0</v>
      </c>
      <c r="H60" s="233">
        <f>F60*AM60</f>
        <v>0</v>
      </c>
      <c r="I60" s="233">
        <f>F60*AN60</f>
        <v>0</v>
      </c>
      <c r="J60" s="233">
        <f>F60*G60</f>
        <v>0</v>
      </c>
      <c r="K60" s="233">
        <v>0</v>
      </c>
      <c r="L60" s="233">
        <f>F60*K60</f>
        <v>0</v>
      </c>
      <c r="M60" s="240" t="s">
        <v>472</v>
      </c>
      <c r="X60" s="233">
        <f>IF(AO60="5",BH60,0)</f>
        <v>0</v>
      </c>
      <c r="Z60" s="233">
        <f>IF(AO60="1",BF60,0)</f>
        <v>0</v>
      </c>
      <c r="AA60" s="233">
        <f>IF(AO60="1",BG60,0)</f>
        <v>0</v>
      </c>
      <c r="AB60" s="233">
        <f>IF(AO60="7",BF60,0)</f>
        <v>0</v>
      </c>
      <c r="AC60" s="233">
        <f>IF(AO60="7",BG60,0)</f>
        <v>0</v>
      </c>
      <c r="AD60" s="233">
        <f>IF(AO60="2",BF60,0)</f>
        <v>0</v>
      </c>
      <c r="AE60" s="233">
        <f>IF(AO60="2",BG60,0)</f>
        <v>0</v>
      </c>
      <c r="AF60" s="233">
        <f>IF(AO60="0",BH60,0)</f>
        <v>0</v>
      </c>
      <c r="AG60" s="229" t="s">
        <v>154</v>
      </c>
      <c r="AH60" s="233">
        <f>IF(AL60=0,J60,0)</f>
        <v>0</v>
      </c>
      <c r="AI60" s="233">
        <f>IF(AL60=15,J60,0)</f>
        <v>0</v>
      </c>
      <c r="AJ60" s="233">
        <f>IF(AL60=21,J60,0)</f>
        <v>0</v>
      </c>
      <c r="AL60" s="233">
        <v>15</v>
      </c>
      <c r="AM60" s="233">
        <f>G60*0</f>
        <v>0</v>
      </c>
      <c r="AN60" s="233">
        <f>G60*(1-0)</f>
        <v>0</v>
      </c>
      <c r="AO60" s="234" t="s">
        <v>157</v>
      </c>
      <c r="AT60" s="233">
        <f>AU60+AV60</f>
        <v>0</v>
      </c>
      <c r="AU60" s="233">
        <f>F60*AM60</f>
        <v>0</v>
      </c>
      <c r="AV60" s="233">
        <f>F60*AN60</f>
        <v>0</v>
      </c>
      <c r="AW60" s="234" t="s">
        <v>231</v>
      </c>
      <c r="AX60" s="234" t="s">
        <v>163</v>
      </c>
      <c r="AY60" s="229" t="s">
        <v>164</v>
      </c>
      <c r="BA60" s="233">
        <f>AU60+AV60</f>
        <v>0</v>
      </c>
      <c r="BB60" s="233">
        <f>G60/(100-BC60)*100</f>
        <v>0</v>
      </c>
      <c r="BC60" s="233">
        <v>0</v>
      </c>
      <c r="BD60" s="233">
        <f>L60</f>
        <v>0</v>
      </c>
      <c r="BF60" s="233">
        <f>F60*AM60</f>
        <v>0</v>
      </c>
      <c r="BG60" s="233">
        <f>F60*AN60</f>
        <v>0</v>
      </c>
      <c r="BH60" s="233">
        <f>F60*G60</f>
        <v>0</v>
      </c>
      <c r="BI60" s="233"/>
      <c r="BJ60" s="233">
        <v>16</v>
      </c>
      <c r="BU60" s="233" t="e">
        <f>#REF!</f>
        <v>#REF!</v>
      </c>
      <c r="BV60" s="225" t="s">
        <v>234</v>
      </c>
    </row>
    <row r="61" spans="1:74" ht="67.5" customHeight="1" x14ac:dyDescent="0.3">
      <c r="A61" s="241"/>
      <c r="B61" s="242" t="s">
        <v>165</v>
      </c>
      <c r="C61" s="530" t="s">
        <v>1612</v>
      </c>
      <c r="D61" s="531"/>
      <c r="E61" s="531"/>
      <c r="F61" s="531"/>
      <c r="G61" s="531"/>
      <c r="H61" s="531"/>
      <c r="I61" s="531"/>
      <c r="J61" s="531"/>
      <c r="K61" s="531"/>
      <c r="L61" s="531"/>
      <c r="M61" s="532"/>
    </row>
    <row r="62" spans="1:74" ht="14.4" x14ac:dyDescent="0.3">
      <c r="A62" s="239" t="s">
        <v>241</v>
      </c>
      <c r="B62" s="223" t="s">
        <v>503</v>
      </c>
      <c r="C62" s="521" t="s">
        <v>237</v>
      </c>
      <c r="D62" s="519"/>
      <c r="E62" s="223" t="s">
        <v>196</v>
      </c>
      <c r="F62" s="233">
        <v>128.78</v>
      </c>
      <c r="G62" s="311">
        <v>0</v>
      </c>
      <c r="H62" s="233">
        <f>F62*AM62</f>
        <v>0</v>
      </c>
      <c r="I62" s="233">
        <f>F62*AN62</f>
        <v>0</v>
      </c>
      <c r="J62" s="233">
        <f>F62*G62</f>
        <v>0</v>
      </c>
      <c r="K62" s="233">
        <v>0</v>
      </c>
      <c r="L62" s="233">
        <f>F62*K62</f>
        <v>0</v>
      </c>
      <c r="M62" s="240" t="s">
        <v>472</v>
      </c>
      <c r="X62" s="233">
        <f>IF(AO62="5",BH62,0)</f>
        <v>0</v>
      </c>
      <c r="Z62" s="233">
        <f>IF(AO62="1",BF62,0)</f>
        <v>0</v>
      </c>
      <c r="AA62" s="233">
        <f>IF(AO62="1",BG62,0)</f>
        <v>0</v>
      </c>
      <c r="AB62" s="233">
        <f>IF(AO62="7",BF62,0)</f>
        <v>0</v>
      </c>
      <c r="AC62" s="233">
        <f>IF(AO62="7",BG62,0)</f>
        <v>0</v>
      </c>
      <c r="AD62" s="233">
        <f>IF(AO62="2",BF62,0)</f>
        <v>0</v>
      </c>
      <c r="AE62" s="233">
        <f>IF(AO62="2",BG62,0)</f>
        <v>0</v>
      </c>
      <c r="AF62" s="233">
        <f>IF(AO62="0",BH62,0)</f>
        <v>0</v>
      </c>
      <c r="AG62" s="229" t="s">
        <v>154</v>
      </c>
      <c r="AH62" s="233">
        <f>IF(AL62=0,J62,0)</f>
        <v>0</v>
      </c>
      <c r="AI62" s="233">
        <f>IF(AL62=15,J62,0)</f>
        <v>0</v>
      </c>
      <c r="AJ62" s="233">
        <f>IF(AL62=21,J62,0)</f>
        <v>0</v>
      </c>
      <c r="AL62" s="233">
        <v>15</v>
      </c>
      <c r="AM62" s="233">
        <f>G62*0</f>
        <v>0</v>
      </c>
      <c r="AN62" s="233">
        <f>G62*(1-0)</f>
        <v>0</v>
      </c>
      <c r="AO62" s="234" t="s">
        <v>157</v>
      </c>
      <c r="AT62" s="233">
        <f>AU62+AV62</f>
        <v>0</v>
      </c>
      <c r="AU62" s="233">
        <f>F62*AM62</f>
        <v>0</v>
      </c>
      <c r="AV62" s="233">
        <f>F62*AN62</f>
        <v>0</v>
      </c>
      <c r="AW62" s="234" t="s">
        <v>231</v>
      </c>
      <c r="AX62" s="234" t="s">
        <v>163</v>
      </c>
      <c r="AY62" s="229" t="s">
        <v>164</v>
      </c>
      <c r="BA62" s="233">
        <f>AU62+AV62</f>
        <v>0</v>
      </c>
      <c r="BB62" s="233">
        <f>G62/(100-BC62)*100</f>
        <v>0</v>
      </c>
      <c r="BC62" s="233">
        <v>0</v>
      </c>
      <c r="BD62" s="233">
        <f>L62</f>
        <v>0</v>
      </c>
      <c r="BF62" s="233">
        <f>F62*AM62</f>
        <v>0</v>
      </c>
      <c r="BG62" s="233">
        <f>F62*AN62</f>
        <v>0</v>
      </c>
      <c r="BH62" s="233">
        <f>F62*G62</f>
        <v>0</v>
      </c>
      <c r="BI62" s="233"/>
      <c r="BJ62" s="233">
        <v>16</v>
      </c>
      <c r="BU62" s="233" t="e">
        <f>#REF!</f>
        <v>#REF!</v>
      </c>
      <c r="BV62" s="225" t="s">
        <v>237</v>
      </c>
    </row>
    <row r="63" spans="1:74" ht="67.5" customHeight="1" x14ac:dyDescent="0.3">
      <c r="A63" s="241"/>
      <c r="B63" s="242" t="s">
        <v>165</v>
      </c>
      <c r="C63" s="530" t="s">
        <v>1613</v>
      </c>
      <c r="D63" s="531"/>
      <c r="E63" s="531"/>
      <c r="F63" s="531"/>
      <c r="G63" s="531"/>
      <c r="H63" s="531"/>
      <c r="I63" s="531"/>
      <c r="J63" s="531"/>
      <c r="K63" s="531"/>
      <c r="L63" s="531"/>
      <c r="M63" s="532"/>
    </row>
    <row r="64" spans="1:74" ht="14.4" x14ac:dyDescent="0.3">
      <c r="A64" s="239" t="s">
        <v>244</v>
      </c>
      <c r="B64" s="223" t="s">
        <v>504</v>
      </c>
      <c r="C64" s="521" t="s">
        <v>240</v>
      </c>
      <c r="D64" s="519"/>
      <c r="E64" s="223" t="s">
        <v>196</v>
      </c>
      <c r="F64" s="233">
        <v>1802.92</v>
      </c>
      <c r="G64" s="311">
        <v>0</v>
      </c>
      <c r="H64" s="233">
        <f>F64*AM64</f>
        <v>0</v>
      </c>
      <c r="I64" s="233">
        <f>F64*AN64</f>
        <v>0</v>
      </c>
      <c r="J64" s="233">
        <f>F64*G64</f>
        <v>0</v>
      </c>
      <c r="K64" s="233">
        <v>0</v>
      </c>
      <c r="L64" s="233">
        <f>F64*K64</f>
        <v>0</v>
      </c>
      <c r="M64" s="240" t="s">
        <v>472</v>
      </c>
      <c r="X64" s="233">
        <f>IF(AO64="5",BH64,0)</f>
        <v>0</v>
      </c>
      <c r="Z64" s="233">
        <f>IF(AO64="1",BF64,0)</f>
        <v>0</v>
      </c>
      <c r="AA64" s="233">
        <f>IF(AO64="1",BG64,0)</f>
        <v>0</v>
      </c>
      <c r="AB64" s="233">
        <f>IF(AO64="7",BF64,0)</f>
        <v>0</v>
      </c>
      <c r="AC64" s="233">
        <f>IF(AO64="7",BG64,0)</f>
        <v>0</v>
      </c>
      <c r="AD64" s="233">
        <f>IF(AO64="2",BF64,0)</f>
        <v>0</v>
      </c>
      <c r="AE64" s="233">
        <f>IF(AO64="2",BG64,0)</f>
        <v>0</v>
      </c>
      <c r="AF64" s="233">
        <f>IF(AO64="0",BH64,0)</f>
        <v>0</v>
      </c>
      <c r="AG64" s="229" t="s">
        <v>154</v>
      </c>
      <c r="AH64" s="233">
        <f>IF(AL64=0,J64,0)</f>
        <v>0</v>
      </c>
      <c r="AI64" s="233">
        <f>IF(AL64=15,J64,0)</f>
        <v>0</v>
      </c>
      <c r="AJ64" s="233">
        <f>IF(AL64=21,J64,0)</f>
        <v>0</v>
      </c>
      <c r="AL64" s="233">
        <v>15</v>
      </c>
      <c r="AM64" s="233">
        <f>G64*0</f>
        <v>0</v>
      </c>
      <c r="AN64" s="233">
        <f>G64*(1-0)</f>
        <v>0</v>
      </c>
      <c r="AO64" s="234" t="s">
        <v>157</v>
      </c>
      <c r="AT64" s="233">
        <f>AU64+AV64</f>
        <v>0</v>
      </c>
      <c r="AU64" s="233">
        <f>F64*AM64</f>
        <v>0</v>
      </c>
      <c r="AV64" s="233">
        <f>F64*AN64</f>
        <v>0</v>
      </c>
      <c r="AW64" s="234" t="s">
        <v>231</v>
      </c>
      <c r="AX64" s="234" t="s">
        <v>163</v>
      </c>
      <c r="AY64" s="229" t="s">
        <v>164</v>
      </c>
      <c r="BA64" s="233">
        <f>AU64+AV64</f>
        <v>0</v>
      </c>
      <c r="BB64" s="233">
        <f>G64/(100-BC64)*100</f>
        <v>0</v>
      </c>
      <c r="BC64" s="233">
        <v>0</v>
      </c>
      <c r="BD64" s="233">
        <f>L64</f>
        <v>0</v>
      </c>
      <c r="BF64" s="233">
        <f>F64*AM64</f>
        <v>0</v>
      </c>
      <c r="BG64" s="233">
        <f>F64*AN64</f>
        <v>0</v>
      </c>
      <c r="BH64" s="233">
        <f>F64*G64</f>
        <v>0</v>
      </c>
      <c r="BI64" s="233"/>
      <c r="BJ64" s="233">
        <v>16</v>
      </c>
      <c r="BU64" s="233" t="e">
        <f>#REF!</f>
        <v>#REF!</v>
      </c>
      <c r="BV64" s="225" t="s">
        <v>240</v>
      </c>
    </row>
    <row r="65" spans="1:74" ht="54" customHeight="1" x14ac:dyDescent="0.3">
      <c r="A65" s="241"/>
      <c r="B65" s="242" t="s">
        <v>165</v>
      </c>
      <c r="C65" s="530" t="s">
        <v>1614</v>
      </c>
      <c r="D65" s="531"/>
      <c r="E65" s="531"/>
      <c r="F65" s="531"/>
      <c r="G65" s="531"/>
      <c r="H65" s="531"/>
      <c r="I65" s="531"/>
      <c r="J65" s="531"/>
      <c r="K65" s="531"/>
      <c r="L65" s="531"/>
      <c r="M65" s="532"/>
    </row>
    <row r="66" spans="1:74" ht="14.4" x14ac:dyDescent="0.3">
      <c r="A66" s="239" t="s">
        <v>247</v>
      </c>
      <c r="B66" s="223" t="s">
        <v>505</v>
      </c>
      <c r="C66" s="521" t="s">
        <v>243</v>
      </c>
      <c r="D66" s="519"/>
      <c r="E66" s="223" t="s">
        <v>196</v>
      </c>
      <c r="F66" s="233">
        <v>42.75</v>
      </c>
      <c r="G66" s="311">
        <v>0</v>
      </c>
      <c r="H66" s="233">
        <f>F66*AM66</f>
        <v>0</v>
      </c>
      <c r="I66" s="233">
        <f>F66*AN66</f>
        <v>0</v>
      </c>
      <c r="J66" s="233">
        <f>F66*G66</f>
        <v>0</v>
      </c>
      <c r="K66" s="233">
        <v>0</v>
      </c>
      <c r="L66" s="233">
        <f>F66*K66</f>
        <v>0</v>
      </c>
      <c r="M66" s="240" t="s">
        <v>472</v>
      </c>
      <c r="X66" s="233">
        <f>IF(AO66="5",BH66,0)</f>
        <v>0</v>
      </c>
      <c r="Z66" s="233">
        <f>IF(AO66="1",BF66,0)</f>
        <v>0</v>
      </c>
      <c r="AA66" s="233">
        <f>IF(AO66="1",BG66,0)</f>
        <v>0</v>
      </c>
      <c r="AB66" s="233">
        <f>IF(AO66="7",BF66,0)</f>
        <v>0</v>
      </c>
      <c r="AC66" s="233">
        <f>IF(AO66="7",BG66,0)</f>
        <v>0</v>
      </c>
      <c r="AD66" s="233">
        <f>IF(AO66="2",BF66,0)</f>
        <v>0</v>
      </c>
      <c r="AE66" s="233">
        <f>IF(AO66="2",BG66,0)</f>
        <v>0</v>
      </c>
      <c r="AF66" s="233">
        <f>IF(AO66="0",BH66,0)</f>
        <v>0</v>
      </c>
      <c r="AG66" s="229" t="s">
        <v>154</v>
      </c>
      <c r="AH66" s="233">
        <f>IF(AL66=0,J66,0)</f>
        <v>0</v>
      </c>
      <c r="AI66" s="233">
        <f>IF(AL66=15,J66,0)</f>
        <v>0</v>
      </c>
      <c r="AJ66" s="233">
        <f>IF(AL66=21,J66,0)</f>
        <v>0</v>
      </c>
      <c r="AL66" s="233">
        <v>15</v>
      </c>
      <c r="AM66" s="233">
        <f>G66*0</f>
        <v>0</v>
      </c>
      <c r="AN66" s="233">
        <f>G66*(1-0)</f>
        <v>0</v>
      </c>
      <c r="AO66" s="234" t="s">
        <v>157</v>
      </c>
      <c r="AT66" s="233">
        <f>AU66+AV66</f>
        <v>0</v>
      </c>
      <c r="AU66" s="233">
        <f>F66*AM66</f>
        <v>0</v>
      </c>
      <c r="AV66" s="233">
        <f>F66*AN66</f>
        <v>0</v>
      </c>
      <c r="AW66" s="234" t="s">
        <v>231</v>
      </c>
      <c r="AX66" s="234" t="s">
        <v>163</v>
      </c>
      <c r="AY66" s="229" t="s">
        <v>164</v>
      </c>
      <c r="BA66" s="233">
        <f>AU66+AV66</f>
        <v>0</v>
      </c>
      <c r="BB66" s="233">
        <f>G66/(100-BC66)*100</f>
        <v>0</v>
      </c>
      <c r="BC66" s="233">
        <v>0</v>
      </c>
      <c r="BD66" s="233">
        <f>L66</f>
        <v>0</v>
      </c>
      <c r="BF66" s="233">
        <f>F66*AM66</f>
        <v>0</v>
      </c>
      <c r="BG66" s="233">
        <f>F66*AN66</f>
        <v>0</v>
      </c>
      <c r="BH66" s="233">
        <f>F66*G66</f>
        <v>0</v>
      </c>
      <c r="BI66" s="233"/>
      <c r="BJ66" s="233">
        <v>16</v>
      </c>
      <c r="BU66" s="233" t="e">
        <f>#REF!</f>
        <v>#REF!</v>
      </c>
      <c r="BV66" s="225" t="s">
        <v>243</v>
      </c>
    </row>
    <row r="67" spans="1:74" ht="54" customHeight="1" x14ac:dyDescent="0.3">
      <c r="A67" s="244"/>
      <c r="B67" s="245" t="s">
        <v>165</v>
      </c>
      <c r="C67" s="540" t="s">
        <v>1615</v>
      </c>
      <c r="D67" s="541"/>
      <c r="E67" s="541"/>
      <c r="F67" s="541"/>
      <c r="G67" s="541"/>
      <c r="H67" s="541"/>
      <c r="I67" s="541"/>
      <c r="J67" s="541"/>
      <c r="K67" s="541"/>
      <c r="L67" s="541"/>
      <c r="M67" s="542"/>
    </row>
    <row r="68" spans="1:74" ht="14.4" x14ac:dyDescent="0.3">
      <c r="A68" s="237" t="s">
        <v>250</v>
      </c>
      <c r="B68" s="238" t="s">
        <v>506</v>
      </c>
      <c r="C68" s="543" t="s">
        <v>246</v>
      </c>
      <c r="D68" s="544"/>
      <c r="E68" s="238" t="s">
        <v>196</v>
      </c>
      <c r="F68" s="258">
        <v>598.5</v>
      </c>
      <c r="G68" s="311">
        <v>0</v>
      </c>
      <c r="H68" s="258">
        <f>F68*AM68</f>
        <v>0</v>
      </c>
      <c r="I68" s="258">
        <f>F68*AN68</f>
        <v>0</v>
      </c>
      <c r="J68" s="258">
        <f>F68*G68</f>
        <v>0</v>
      </c>
      <c r="K68" s="258">
        <v>0</v>
      </c>
      <c r="L68" s="258">
        <f>F68*K68</f>
        <v>0</v>
      </c>
      <c r="M68" s="259" t="s">
        <v>472</v>
      </c>
      <c r="X68" s="233">
        <f>IF(AO68="5",BH68,0)</f>
        <v>0</v>
      </c>
      <c r="Z68" s="233">
        <f>IF(AO68="1",BF68,0)</f>
        <v>0</v>
      </c>
      <c r="AA68" s="233">
        <f>IF(AO68="1",BG68,0)</f>
        <v>0</v>
      </c>
      <c r="AB68" s="233">
        <f>IF(AO68="7",BF68,0)</f>
        <v>0</v>
      </c>
      <c r="AC68" s="233">
        <f>IF(AO68="7",BG68,0)</f>
        <v>0</v>
      </c>
      <c r="AD68" s="233">
        <f>IF(AO68="2",BF68,0)</f>
        <v>0</v>
      </c>
      <c r="AE68" s="233">
        <f>IF(AO68="2",BG68,0)</f>
        <v>0</v>
      </c>
      <c r="AF68" s="233">
        <f>IF(AO68="0",BH68,0)</f>
        <v>0</v>
      </c>
      <c r="AG68" s="229" t="s">
        <v>154</v>
      </c>
      <c r="AH68" s="233">
        <f>IF(AL68=0,J68,0)</f>
        <v>0</v>
      </c>
      <c r="AI68" s="233">
        <f>IF(AL68=15,J68,0)</f>
        <v>0</v>
      </c>
      <c r="AJ68" s="233">
        <f>IF(AL68=21,J68,0)</f>
        <v>0</v>
      </c>
      <c r="AL68" s="233">
        <v>15</v>
      </c>
      <c r="AM68" s="233">
        <f>G68*0</f>
        <v>0</v>
      </c>
      <c r="AN68" s="233">
        <f>G68*(1-0)</f>
        <v>0</v>
      </c>
      <c r="AO68" s="234" t="s">
        <v>157</v>
      </c>
      <c r="AT68" s="233">
        <f>AU68+AV68</f>
        <v>0</v>
      </c>
      <c r="AU68" s="233">
        <f>F68*AM68</f>
        <v>0</v>
      </c>
      <c r="AV68" s="233">
        <f>F68*AN68</f>
        <v>0</v>
      </c>
      <c r="AW68" s="234" t="s">
        <v>231</v>
      </c>
      <c r="AX68" s="234" t="s">
        <v>163</v>
      </c>
      <c r="AY68" s="229" t="s">
        <v>164</v>
      </c>
      <c r="BA68" s="233">
        <f>AU68+AV68</f>
        <v>0</v>
      </c>
      <c r="BB68" s="233">
        <f>G68/(100-BC68)*100</f>
        <v>0</v>
      </c>
      <c r="BC68" s="233">
        <v>0</v>
      </c>
      <c r="BD68" s="233">
        <f>L68</f>
        <v>0</v>
      </c>
      <c r="BF68" s="233">
        <f>F68*AM68</f>
        <v>0</v>
      </c>
      <c r="BG68" s="233">
        <f>F68*AN68</f>
        <v>0</v>
      </c>
      <c r="BH68" s="233">
        <f>F68*G68</f>
        <v>0</v>
      </c>
      <c r="BI68" s="233"/>
      <c r="BJ68" s="233">
        <v>16</v>
      </c>
      <c r="BU68" s="233" t="e">
        <f>#REF!</f>
        <v>#REF!</v>
      </c>
      <c r="BV68" s="225" t="s">
        <v>246</v>
      </c>
    </row>
    <row r="69" spans="1:74" ht="54" customHeight="1" x14ac:dyDescent="0.3">
      <c r="A69" s="241"/>
      <c r="B69" s="242" t="s">
        <v>165</v>
      </c>
      <c r="C69" s="530" t="s">
        <v>1616</v>
      </c>
      <c r="D69" s="531"/>
      <c r="E69" s="531"/>
      <c r="F69" s="531"/>
      <c r="G69" s="531"/>
      <c r="H69" s="531"/>
      <c r="I69" s="531"/>
      <c r="J69" s="531"/>
      <c r="K69" s="531"/>
      <c r="L69" s="531"/>
      <c r="M69" s="532"/>
    </row>
    <row r="70" spans="1:74" ht="14.4" x14ac:dyDescent="0.3">
      <c r="A70" s="239" t="s">
        <v>253</v>
      </c>
      <c r="B70" s="223" t="s">
        <v>248</v>
      </c>
      <c r="C70" s="521" t="s">
        <v>249</v>
      </c>
      <c r="D70" s="519"/>
      <c r="E70" s="223" t="s">
        <v>196</v>
      </c>
      <c r="F70" s="233">
        <v>372.4</v>
      </c>
      <c r="G70" s="311">
        <v>0</v>
      </c>
      <c r="H70" s="233">
        <f>F70*AM70</f>
        <v>0</v>
      </c>
      <c r="I70" s="233">
        <f>F70*AN70</f>
        <v>0</v>
      </c>
      <c r="J70" s="233">
        <f>F70*G70</f>
        <v>0</v>
      </c>
      <c r="K70" s="233">
        <v>0</v>
      </c>
      <c r="L70" s="233">
        <f>F70*K70</f>
        <v>0</v>
      </c>
      <c r="M70" s="240" t="s">
        <v>472</v>
      </c>
      <c r="X70" s="233">
        <f>IF(AO70="5",BH70,0)</f>
        <v>0</v>
      </c>
      <c r="Z70" s="233">
        <f>IF(AO70="1",BF70,0)</f>
        <v>0</v>
      </c>
      <c r="AA70" s="233">
        <f>IF(AO70="1",BG70,0)</f>
        <v>0</v>
      </c>
      <c r="AB70" s="233">
        <f>IF(AO70="7",BF70,0)</f>
        <v>0</v>
      </c>
      <c r="AC70" s="233">
        <f>IF(AO70="7",BG70,0)</f>
        <v>0</v>
      </c>
      <c r="AD70" s="233">
        <f>IF(AO70="2",BF70,0)</f>
        <v>0</v>
      </c>
      <c r="AE70" s="233">
        <f>IF(AO70="2",BG70,0)</f>
        <v>0</v>
      </c>
      <c r="AF70" s="233">
        <f>IF(AO70="0",BH70,0)</f>
        <v>0</v>
      </c>
      <c r="AG70" s="229" t="s">
        <v>154</v>
      </c>
      <c r="AH70" s="233">
        <f>IF(AL70=0,J70,0)</f>
        <v>0</v>
      </c>
      <c r="AI70" s="233">
        <f>IF(AL70=15,J70,0)</f>
        <v>0</v>
      </c>
      <c r="AJ70" s="233">
        <f>IF(AL70=21,J70,0)</f>
        <v>0</v>
      </c>
      <c r="AL70" s="233">
        <v>15</v>
      </c>
      <c r="AM70" s="233">
        <f>G70*0</f>
        <v>0</v>
      </c>
      <c r="AN70" s="233">
        <f>G70*(1-0)</f>
        <v>0</v>
      </c>
      <c r="AO70" s="234" t="s">
        <v>157</v>
      </c>
      <c r="AT70" s="233">
        <f>AU70+AV70</f>
        <v>0</v>
      </c>
      <c r="AU70" s="233">
        <f>F70*AM70</f>
        <v>0</v>
      </c>
      <c r="AV70" s="233">
        <f>F70*AN70</f>
        <v>0</v>
      </c>
      <c r="AW70" s="234" t="s">
        <v>231</v>
      </c>
      <c r="AX70" s="234" t="s">
        <v>163</v>
      </c>
      <c r="AY70" s="229" t="s">
        <v>164</v>
      </c>
      <c r="BA70" s="233">
        <f>AU70+AV70</f>
        <v>0</v>
      </c>
      <c r="BB70" s="233">
        <f>G70/(100-BC70)*100</f>
        <v>0</v>
      </c>
      <c r="BC70" s="233">
        <v>0</v>
      </c>
      <c r="BD70" s="233">
        <f>L70</f>
        <v>0</v>
      </c>
      <c r="BF70" s="233">
        <f>F70*AM70</f>
        <v>0</v>
      </c>
      <c r="BG70" s="233">
        <f>F70*AN70</f>
        <v>0</v>
      </c>
      <c r="BH70" s="233">
        <f>F70*G70</f>
        <v>0</v>
      </c>
      <c r="BI70" s="233"/>
      <c r="BJ70" s="233">
        <v>16</v>
      </c>
      <c r="BU70" s="233" t="e">
        <f>#REF!</f>
        <v>#REF!</v>
      </c>
      <c r="BV70" s="225" t="s">
        <v>249</v>
      </c>
    </row>
    <row r="71" spans="1:74" ht="40.5" customHeight="1" x14ac:dyDescent="0.3">
      <c r="A71" s="241"/>
      <c r="B71" s="242" t="s">
        <v>165</v>
      </c>
      <c r="C71" s="530" t="s">
        <v>1617</v>
      </c>
      <c r="D71" s="531"/>
      <c r="E71" s="531"/>
      <c r="F71" s="531"/>
      <c r="G71" s="531"/>
      <c r="H71" s="531"/>
      <c r="I71" s="531"/>
      <c r="J71" s="531"/>
      <c r="K71" s="531"/>
      <c r="L71" s="531"/>
      <c r="M71" s="532"/>
    </row>
    <row r="72" spans="1:74" ht="14.4" x14ac:dyDescent="0.3">
      <c r="A72" s="239" t="s">
        <v>256</v>
      </c>
      <c r="B72" s="223" t="s">
        <v>251</v>
      </c>
      <c r="C72" s="521" t="s">
        <v>252</v>
      </c>
      <c r="D72" s="519"/>
      <c r="E72" s="223" t="s">
        <v>196</v>
      </c>
      <c r="F72" s="233">
        <v>372.4</v>
      </c>
      <c r="G72" s="311">
        <v>0</v>
      </c>
      <c r="H72" s="233">
        <f>F72*AM72</f>
        <v>0</v>
      </c>
      <c r="I72" s="233">
        <f>F72*AN72</f>
        <v>0</v>
      </c>
      <c r="J72" s="233">
        <f>F72*G72</f>
        <v>0</v>
      </c>
      <c r="K72" s="233">
        <v>0</v>
      </c>
      <c r="L72" s="233">
        <f>F72*K72</f>
        <v>0</v>
      </c>
      <c r="M72" s="240" t="s">
        <v>472</v>
      </c>
      <c r="X72" s="233">
        <f>IF(AO72="5",BH72,0)</f>
        <v>0</v>
      </c>
      <c r="Z72" s="233">
        <f>IF(AO72="1",BF72,0)</f>
        <v>0</v>
      </c>
      <c r="AA72" s="233">
        <f>IF(AO72="1",BG72,0)</f>
        <v>0</v>
      </c>
      <c r="AB72" s="233">
        <f>IF(AO72="7",BF72,0)</f>
        <v>0</v>
      </c>
      <c r="AC72" s="233">
        <f>IF(AO72="7",BG72,0)</f>
        <v>0</v>
      </c>
      <c r="AD72" s="233">
        <f>IF(AO72="2",BF72,0)</f>
        <v>0</v>
      </c>
      <c r="AE72" s="233">
        <f>IF(AO72="2",BG72,0)</f>
        <v>0</v>
      </c>
      <c r="AF72" s="233">
        <f>IF(AO72="0",BH72,0)</f>
        <v>0</v>
      </c>
      <c r="AG72" s="229" t="s">
        <v>154</v>
      </c>
      <c r="AH72" s="233">
        <f>IF(AL72=0,J72,0)</f>
        <v>0</v>
      </c>
      <c r="AI72" s="233">
        <f>IF(AL72=15,J72,0)</f>
        <v>0</v>
      </c>
      <c r="AJ72" s="233">
        <f>IF(AL72=21,J72,0)</f>
        <v>0</v>
      </c>
      <c r="AL72" s="233">
        <v>15</v>
      </c>
      <c r="AM72" s="233">
        <f>G72*0</f>
        <v>0</v>
      </c>
      <c r="AN72" s="233">
        <f>G72*(1-0)</f>
        <v>0</v>
      </c>
      <c r="AO72" s="234" t="s">
        <v>157</v>
      </c>
      <c r="AT72" s="233">
        <f>AU72+AV72</f>
        <v>0</v>
      </c>
      <c r="AU72" s="233">
        <f>F72*AM72</f>
        <v>0</v>
      </c>
      <c r="AV72" s="233">
        <f>F72*AN72</f>
        <v>0</v>
      </c>
      <c r="AW72" s="234" t="s">
        <v>231</v>
      </c>
      <c r="AX72" s="234" t="s">
        <v>163</v>
      </c>
      <c r="AY72" s="229" t="s">
        <v>164</v>
      </c>
      <c r="BA72" s="233">
        <f>AU72+AV72</f>
        <v>0</v>
      </c>
      <c r="BB72" s="233">
        <f>G72/(100-BC72)*100</f>
        <v>0</v>
      </c>
      <c r="BC72" s="233">
        <v>0</v>
      </c>
      <c r="BD72" s="233">
        <f>L72</f>
        <v>0</v>
      </c>
      <c r="BF72" s="233">
        <f>F72*AM72</f>
        <v>0</v>
      </c>
      <c r="BG72" s="233">
        <f>F72*AN72</f>
        <v>0</v>
      </c>
      <c r="BH72" s="233">
        <f>F72*G72</f>
        <v>0</v>
      </c>
      <c r="BI72" s="233"/>
      <c r="BJ72" s="233">
        <v>16</v>
      </c>
      <c r="BU72" s="233" t="e">
        <f>#REF!</f>
        <v>#REF!</v>
      </c>
      <c r="BV72" s="225" t="s">
        <v>252</v>
      </c>
    </row>
    <row r="73" spans="1:74" ht="40.5" customHeight="1" x14ac:dyDescent="0.3">
      <c r="A73" s="241"/>
      <c r="B73" s="242" t="s">
        <v>165</v>
      </c>
      <c r="C73" s="530" t="s">
        <v>1618</v>
      </c>
      <c r="D73" s="531"/>
      <c r="E73" s="531"/>
      <c r="F73" s="531"/>
      <c r="G73" s="531"/>
      <c r="H73" s="531"/>
      <c r="I73" s="531"/>
      <c r="J73" s="531"/>
      <c r="K73" s="531"/>
      <c r="L73" s="531"/>
      <c r="M73" s="532"/>
    </row>
    <row r="74" spans="1:74" ht="14.4" x14ac:dyDescent="0.3">
      <c r="A74" s="239" t="s">
        <v>154</v>
      </c>
      <c r="B74" s="224" t="s">
        <v>220</v>
      </c>
      <c r="C74" s="526" t="s">
        <v>259</v>
      </c>
      <c r="D74" s="527"/>
      <c r="E74" s="223" t="s">
        <v>114</v>
      </c>
      <c r="F74" s="223" t="s">
        <v>114</v>
      </c>
      <c r="G74" s="223" t="s">
        <v>114</v>
      </c>
      <c r="H74" s="235">
        <f>SUM(H75:H78)</f>
        <v>0</v>
      </c>
      <c r="I74" s="235">
        <f>SUM(I75:I78)</f>
        <v>0</v>
      </c>
      <c r="J74" s="235">
        <f>SUM(J75:J78)</f>
        <v>0</v>
      </c>
      <c r="K74" s="230" t="s">
        <v>154</v>
      </c>
      <c r="L74" s="235">
        <f>SUM(L75:L78)</f>
        <v>175.066</v>
      </c>
      <c r="M74" s="243" t="s">
        <v>154</v>
      </c>
      <c r="AG74" s="229" t="s">
        <v>154</v>
      </c>
      <c r="AQ74" s="222">
        <f>SUM(AH75:AH78)</f>
        <v>0</v>
      </c>
      <c r="AR74" s="222">
        <f>SUM(AI75:AI78)</f>
        <v>0</v>
      </c>
      <c r="AS74" s="222">
        <f>SUM(AJ75:AJ78)</f>
        <v>0</v>
      </c>
    </row>
    <row r="75" spans="1:74" ht="14.4" x14ac:dyDescent="0.3">
      <c r="A75" s="239" t="s">
        <v>260</v>
      </c>
      <c r="B75" s="223" t="s">
        <v>261</v>
      </c>
      <c r="C75" s="521" t="s">
        <v>262</v>
      </c>
      <c r="D75" s="519"/>
      <c r="E75" s="223" t="s">
        <v>196</v>
      </c>
      <c r="F75" s="233">
        <v>102.98</v>
      </c>
      <c r="G75" s="311">
        <v>0</v>
      </c>
      <c r="H75" s="233">
        <f>F75*AM75</f>
        <v>0</v>
      </c>
      <c r="I75" s="233">
        <f>F75*AN75</f>
        <v>0</v>
      </c>
      <c r="J75" s="233">
        <f>F75*G75</f>
        <v>0</v>
      </c>
      <c r="K75" s="233">
        <v>1.7</v>
      </c>
      <c r="L75" s="233">
        <f>F75*K75</f>
        <v>175.066</v>
      </c>
      <c r="M75" s="240" t="s">
        <v>472</v>
      </c>
      <c r="X75" s="233">
        <f>IF(AO75="5",BH75,0)</f>
        <v>0</v>
      </c>
      <c r="Z75" s="233">
        <f>IF(AO75="1",BF75,0)</f>
        <v>0</v>
      </c>
      <c r="AA75" s="233">
        <f>IF(AO75="1",BG75,0)</f>
        <v>0</v>
      </c>
      <c r="AB75" s="233">
        <f>IF(AO75="7",BF75,0)</f>
        <v>0</v>
      </c>
      <c r="AC75" s="233">
        <f>IF(AO75="7",BG75,0)</f>
        <v>0</v>
      </c>
      <c r="AD75" s="233">
        <f>IF(AO75="2",BF75,0)</f>
        <v>0</v>
      </c>
      <c r="AE75" s="233">
        <f>IF(AO75="2",BG75,0)</f>
        <v>0</v>
      </c>
      <c r="AF75" s="233">
        <f>IF(AO75="0",BH75,0)</f>
        <v>0</v>
      </c>
      <c r="AG75" s="229" t="s">
        <v>154</v>
      </c>
      <c r="AH75" s="233">
        <f>IF(AL75=0,J75,0)</f>
        <v>0</v>
      </c>
      <c r="AI75" s="233">
        <f>IF(AL75=15,J75,0)</f>
        <v>0</v>
      </c>
      <c r="AJ75" s="233">
        <f>IF(AL75=21,J75,0)</f>
        <v>0</v>
      </c>
      <c r="AL75" s="233">
        <v>15</v>
      </c>
      <c r="AM75" s="233">
        <f>G75*0.517505264</f>
        <v>0</v>
      </c>
      <c r="AN75" s="233">
        <f>G75*(1-0.517505264)</f>
        <v>0</v>
      </c>
      <c r="AO75" s="234" t="s">
        <v>157</v>
      </c>
      <c r="AT75" s="233">
        <f>AU75+AV75</f>
        <v>0</v>
      </c>
      <c r="AU75" s="233">
        <f>F75*AM75</f>
        <v>0</v>
      </c>
      <c r="AV75" s="233">
        <f>F75*AN75</f>
        <v>0</v>
      </c>
      <c r="AW75" s="234" t="s">
        <v>263</v>
      </c>
      <c r="AX75" s="234" t="s">
        <v>163</v>
      </c>
      <c r="AY75" s="229" t="s">
        <v>164</v>
      </c>
      <c r="BA75" s="233">
        <f>AU75+AV75</f>
        <v>0</v>
      </c>
      <c r="BB75" s="233">
        <f>G75/(100-BC75)*100</f>
        <v>0</v>
      </c>
      <c r="BC75" s="233">
        <v>0</v>
      </c>
      <c r="BD75" s="233">
        <f>L75</f>
        <v>175.066</v>
      </c>
      <c r="BF75" s="233">
        <f>F75*AM75</f>
        <v>0</v>
      </c>
      <c r="BG75" s="233">
        <f>F75*AN75</f>
        <v>0</v>
      </c>
      <c r="BH75" s="233">
        <f>F75*G75</f>
        <v>0</v>
      </c>
      <c r="BI75" s="233"/>
      <c r="BJ75" s="233">
        <v>17</v>
      </c>
      <c r="BU75" s="233" t="e">
        <f>#REF!</f>
        <v>#REF!</v>
      </c>
      <c r="BV75" s="225" t="s">
        <v>262</v>
      </c>
    </row>
    <row r="76" spans="1:74" ht="81" customHeight="1" x14ac:dyDescent="0.3">
      <c r="A76" s="241"/>
      <c r="B76" s="242" t="s">
        <v>165</v>
      </c>
      <c r="C76" s="530" t="s">
        <v>1619</v>
      </c>
      <c r="D76" s="531"/>
      <c r="E76" s="531"/>
      <c r="F76" s="531"/>
      <c r="G76" s="531"/>
      <c r="H76" s="531"/>
      <c r="I76" s="531"/>
      <c r="J76" s="531"/>
      <c r="K76" s="531"/>
      <c r="L76" s="531"/>
      <c r="M76" s="532"/>
    </row>
    <row r="77" spans="1:74" ht="14.4" x14ac:dyDescent="0.3">
      <c r="A77" s="239" t="s">
        <v>264</v>
      </c>
      <c r="B77" s="223" t="s">
        <v>265</v>
      </c>
      <c r="C77" s="521" t="s">
        <v>266</v>
      </c>
      <c r="D77" s="519"/>
      <c r="E77" s="223" t="s">
        <v>196</v>
      </c>
      <c r="F77" s="233">
        <v>102.98</v>
      </c>
      <c r="G77" s="311">
        <v>0</v>
      </c>
      <c r="H77" s="233">
        <f>F77*AM77</f>
        <v>0</v>
      </c>
      <c r="I77" s="233">
        <f>F77*AN77</f>
        <v>0</v>
      </c>
      <c r="J77" s="233">
        <f>F77*G77</f>
        <v>0</v>
      </c>
      <c r="K77" s="233">
        <v>0</v>
      </c>
      <c r="L77" s="233">
        <f>F77*K77</f>
        <v>0</v>
      </c>
      <c r="M77" s="240" t="s">
        <v>472</v>
      </c>
      <c r="X77" s="233">
        <f>IF(AO77="5",BH77,0)</f>
        <v>0</v>
      </c>
      <c r="Z77" s="233">
        <f>IF(AO77="1",BF77,0)</f>
        <v>0</v>
      </c>
      <c r="AA77" s="233">
        <f>IF(AO77="1",BG77,0)</f>
        <v>0</v>
      </c>
      <c r="AB77" s="233">
        <f>IF(AO77="7",BF77,0)</f>
        <v>0</v>
      </c>
      <c r="AC77" s="233">
        <f>IF(AO77="7",BG77,0)</f>
        <v>0</v>
      </c>
      <c r="AD77" s="233">
        <f>IF(AO77="2",BF77,0)</f>
        <v>0</v>
      </c>
      <c r="AE77" s="233">
        <f>IF(AO77="2",BG77,0)</f>
        <v>0</v>
      </c>
      <c r="AF77" s="233">
        <f>IF(AO77="0",BH77,0)</f>
        <v>0</v>
      </c>
      <c r="AG77" s="229" t="s">
        <v>154</v>
      </c>
      <c r="AH77" s="233">
        <f>IF(AL77=0,J77,0)</f>
        <v>0</v>
      </c>
      <c r="AI77" s="233">
        <f>IF(AL77=15,J77,0)</f>
        <v>0</v>
      </c>
      <c r="AJ77" s="233">
        <f>IF(AL77=21,J77,0)</f>
        <v>0</v>
      </c>
      <c r="AL77" s="233">
        <v>15</v>
      </c>
      <c r="AM77" s="233">
        <f>G77*0</f>
        <v>0</v>
      </c>
      <c r="AN77" s="233">
        <f>G77*(1-0)</f>
        <v>0</v>
      </c>
      <c r="AO77" s="234" t="s">
        <v>157</v>
      </c>
      <c r="AT77" s="233">
        <f>AU77+AV77</f>
        <v>0</v>
      </c>
      <c r="AU77" s="233">
        <f>F77*AM77</f>
        <v>0</v>
      </c>
      <c r="AV77" s="233">
        <f>F77*AN77</f>
        <v>0</v>
      </c>
      <c r="AW77" s="234" t="s">
        <v>263</v>
      </c>
      <c r="AX77" s="234" t="s">
        <v>163</v>
      </c>
      <c r="AY77" s="229" t="s">
        <v>164</v>
      </c>
      <c r="BA77" s="233">
        <f>AU77+AV77</f>
        <v>0</v>
      </c>
      <c r="BB77" s="233">
        <f>G77/(100-BC77)*100</f>
        <v>0</v>
      </c>
      <c r="BC77" s="233">
        <v>0</v>
      </c>
      <c r="BD77" s="233">
        <f>L77</f>
        <v>0</v>
      </c>
      <c r="BF77" s="233">
        <f>F77*AM77</f>
        <v>0</v>
      </c>
      <c r="BG77" s="233">
        <f>F77*AN77</f>
        <v>0</v>
      </c>
      <c r="BH77" s="233">
        <f>F77*G77</f>
        <v>0</v>
      </c>
      <c r="BI77" s="233"/>
      <c r="BJ77" s="233">
        <v>17</v>
      </c>
      <c r="BU77" s="233" t="e">
        <f>#REF!</f>
        <v>#REF!</v>
      </c>
      <c r="BV77" s="225" t="s">
        <v>266</v>
      </c>
    </row>
    <row r="78" spans="1:74" ht="14.4" x14ac:dyDescent="0.3">
      <c r="A78" s="239" t="s">
        <v>267</v>
      </c>
      <c r="B78" s="223" t="s">
        <v>268</v>
      </c>
      <c r="C78" s="521" t="s">
        <v>269</v>
      </c>
      <c r="D78" s="519"/>
      <c r="E78" s="223" t="s">
        <v>196</v>
      </c>
      <c r="F78" s="233">
        <v>186.2</v>
      </c>
      <c r="G78" s="311">
        <v>0</v>
      </c>
      <c r="H78" s="233">
        <f>F78*AM78</f>
        <v>0</v>
      </c>
      <c r="I78" s="233">
        <f>F78*AN78</f>
        <v>0</v>
      </c>
      <c r="J78" s="233">
        <f>F78*G78</f>
        <v>0</v>
      </c>
      <c r="K78" s="233">
        <v>0</v>
      </c>
      <c r="L78" s="233">
        <f>F78*K78</f>
        <v>0</v>
      </c>
      <c r="M78" s="240" t="s">
        <v>472</v>
      </c>
      <c r="X78" s="233">
        <f>IF(AO78="5",BH78,0)</f>
        <v>0</v>
      </c>
      <c r="Z78" s="233">
        <f>IF(AO78="1",BF78,0)</f>
        <v>0</v>
      </c>
      <c r="AA78" s="233">
        <f>IF(AO78="1",BG78,0)</f>
        <v>0</v>
      </c>
      <c r="AB78" s="233">
        <f>IF(AO78="7",BF78,0)</f>
        <v>0</v>
      </c>
      <c r="AC78" s="233">
        <f>IF(AO78="7",BG78,0)</f>
        <v>0</v>
      </c>
      <c r="AD78" s="233">
        <f>IF(AO78="2",BF78,0)</f>
        <v>0</v>
      </c>
      <c r="AE78" s="233">
        <f>IF(AO78="2",BG78,0)</f>
        <v>0</v>
      </c>
      <c r="AF78" s="233">
        <f>IF(AO78="0",BH78,0)</f>
        <v>0</v>
      </c>
      <c r="AG78" s="229" t="s">
        <v>154</v>
      </c>
      <c r="AH78" s="233">
        <f>IF(AL78=0,J78,0)</f>
        <v>0</v>
      </c>
      <c r="AI78" s="233">
        <f>IF(AL78=15,J78,0)</f>
        <v>0</v>
      </c>
      <c r="AJ78" s="233">
        <f>IF(AL78=21,J78,0)</f>
        <v>0</v>
      </c>
      <c r="AL78" s="233">
        <v>15</v>
      </c>
      <c r="AM78" s="233">
        <f>G78*0</f>
        <v>0</v>
      </c>
      <c r="AN78" s="233">
        <f>G78*(1-0)</f>
        <v>0</v>
      </c>
      <c r="AO78" s="234" t="s">
        <v>157</v>
      </c>
      <c r="AT78" s="233">
        <f>AU78+AV78</f>
        <v>0</v>
      </c>
      <c r="AU78" s="233">
        <f>F78*AM78</f>
        <v>0</v>
      </c>
      <c r="AV78" s="233">
        <f>F78*AN78</f>
        <v>0</v>
      </c>
      <c r="AW78" s="234" t="s">
        <v>263</v>
      </c>
      <c r="AX78" s="234" t="s">
        <v>163</v>
      </c>
      <c r="AY78" s="229" t="s">
        <v>164</v>
      </c>
      <c r="BA78" s="233">
        <f>AU78+AV78</f>
        <v>0</v>
      </c>
      <c r="BB78" s="233">
        <f>G78/(100-BC78)*100</f>
        <v>0</v>
      </c>
      <c r="BC78" s="233">
        <v>0</v>
      </c>
      <c r="BD78" s="233">
        <f>L78</f>
        <v>0</v>
      </c>
      <c r="BF78" s="233">
        <f>F78*AM78</f>
        <v>0</v>
      </c>
      <c r="BG78" s="233">
        <f>F78*AN78</f>
        <v>0</v>
      </c>
      <c r="BH78" s="233">
        <f>F78*G78</f>
        <v>0</v>
      </c>
      <c r="BI78" s="233"/>
      <c r="BJ78" s="233">
        <v>17</v>
      </c>
      <c r="BU78" s="233" t="e">
        <f>#REF!</f>
        <v>#REF!</v>
      </c>
      <c r="BV78" s="225" t="s">
        <v>269</v>
      </c>
    </row>
    <row r="79" spans="1:74" ht="81" customHeight="1" x14ac:dyDescent="0.3">
      <c r="A79" s="241"/>
      <c r="B79" s="242" t="s">
        <v>165</v>
      </c>
      <c r="C79" s="530" t="s">
        <v>1620</v>
      </c>
      <c r="D79" s="531"/>
      <c r="E79" s="531"/>
      <c r="F79" s="531"/>
      <c r="G79" s="531"/>
      <c r="H79" s="531"/>
      <c r="I79" s="531"/>
      <c r="J79" s="531"/>
      <c r="K79" s="531"/>
      <c r="L79" s="531"/>
      <c r="M79" s="532"/>
    </row>
    <row r="80" spans="1:74" ht="14.4" x14ac:dyDescent="0.3">
      <c r="A80" s="239" t="s">
        <v>154</v>
      </c>
      <c r="B80" s="224" t="s">
        <v>228</v>
      </c>
      <c r="C80" s="526" t="s">
        <v>275</v>
      </c>
      <c r="D80" s="527"/>
      <c r="E80" s="223" t="s">
        <v>114</v>
      </c>
      <c r="F80" s="223" t="s">
        <v>114</v>
      </c>
      <c r="G80" s="223" t="s">
        <v>114</v>
      </c>
      <c r="H80" s="235">
        <f>SUM(H81:H83)</f>
        <v>0</v>
      </c>
      <c r="I80" s="235">
        <f>SUM(I81:I83)</f>
        <v>0</v>
      </c>
      <c r="J80" s="235">
        <f>SUM(J81:J83)</f>
        <v>0</v>
      </c>
      <c r="K80" s="230" t="s">
        <v>154</v>
      </c>
      <c r="L80" s="235">
        <f>SUM(L81:L83)</f>
        <v>0</v>
      </c>
      <c r="M80" s="243" t="s">
        <v>154</v>
      </c>
      <c r="AG80" s="229" t="s">
        <v>154</v>
      </c>
      <c r="AQ80" s="222">
        <f>SUM(AH81:AH83)</f>
        <v>0</v>
      </c>
      <c r="AR80" s="222">
        <f>SUM(AI81:AI83)</f>
        <v>0</v>
      </c>
      <c r="AS80" s="222">
        <f>SUM(AJ81:AJ83)</f>
        <v>0</v>
      </c>
    </row>
    <row r="81" spans="1:74" ht="14.4" x14ac:dyDescent="0.3">
      <c r="A81" s="239" t="s">
        <v>271</v>
      </c>
      <c r="B81" s="223" t="s">
        <v>277</v>
      </c>
      <c r="C81" s="521" t="s">
        <v>278</v>
      </c>
      <c r="D81" s="519"/>
      <c r="E81" s="223" t="s">
        <v>196</v>
      </c>
      <c r="F81" s="233">
        <v>128.78</v>
      </c>
      <c r="G81" s="311">
        <v>0</v>
      </c>
      <c r="H81" s="233">
        <f>F81*AM81</f>
        <v>0</v>
      </c>
      <c r="I81" s="233">
        <f>F81*AN81</f>
        <v>0</v>
      </c>
      <c r="J81" s="233">
        <f>F81*G81</f>
        <v>0</v>
      </c>
      <c r="K81" s="233">
        <v>0</v>
      </c>
      <c r="L81" s="233">
        <f>F81*K81</f>
        <v>0</v>
      </c>
      <c r="M81" s="240" t="s">
        <v>472</v>
      </c>
      <c r="X81" s="233">
        <f>IF(AO81="5",BH81,0)</f>
        <v>0</v>
      </c>
      <c r="Z81" s="233">
        <f>IF(AO81="1",BF81,0)</f>
        <v>0</v>
      </c>
      <c r="AA81" s="233">
        <f>IF(AO81="1",BG81,0)</f>
        <v>0</v>
      </c>
      <c r="AB81" s="233">
        <f>IF(AO81="7",BF81,0)</f>
        <v>0</v>
      </c>
      <c r="AC81" s="233">
        <f>IF(AO81="7",BG81,0)</f>
        <v>0</v>
      </c>
      <c r="AD81" s="233">
        <f>IF(AO81="2",BF81,0)</f>
        <v>0</v>
      </c>
      <c r="AE81" s="233">
        <f>IF(AO81="2",BG81,0)</f>
        <v>0</v>
      </c>
      <c r="AF81" s="233">
        <f>IF(AO81="0",BH81,0)</f>
        <v>0</v>
      </c>
      <c r="AG81" s="229" t="s">
        <v>154</v>
      </c>
      <c r="AH81" s="233">
        <f>IF(AL81=0,J81,0)</f>
        <v>0</v>
      </c>
      <c r="AI81" s="233">
        <f>IF(AL81=15,J81,0)</f>
        <v>0</v>
      </c>
      <c r="AJ81" s="233">
        <f>IF(AL81=21,J81,0)</f>
        <v>0</v>
      </c>
      <c r="AL81" s="233">
        <v>15</v>
      </c>
      <c r="AM81" s="233">
        <f>G81*0</f>
        <v>0</v>
      </c>
      <c r="AN81" s="233">
        <f>G81*(1-0)</f>
        <v>0</v>
      </c>
      <c r="AO81" s="234" t="s">
        <v>157</v>
      </c>
      <c r="AT81" s="233">
        <f>AU81+AV81</f>
        <v>0</v>
      </c>
      <c r="AU81" s="233">
        <f>F81*AM81</f>
        <v>0</v>
      </c>
      <c r="AV81" s="233">
        <f>F81*AN81</f>
        <v>0</v>
      </c>
      <c r="AW81" s="234" t="s">
        <v>279</v>
      </c>
      <c r="AX81" s="234" t="s">
        <v>163</v>
      </c>
      <c r="AY81" s="229" t="s">
        <v>164</v>
      </c>
      <c r="BA81" s="233">
        <f>AU81+AV81</f>
        <v>0</v>
      </c>
      <c r="BB81" s="233">
        <f>G81/(100-BC81)*100</f>
        <v>0</v>
      </c>
      <c r="BC81" s="233">
        <v>0</v>
      </c>
      <c r="BD81" s="233">
        <f>L81</f>
        <v>0</v>
      </c>
      <c r="BF81" s="233">
        <f>F81*AM81</f>
        <v>0</v>
      </c>
      <c r="BG81" s="233">
        <f>F81*AN81</f>
        <v>0</v>
      </c>
      <c r="BH81" s="233">
        <f>F81*G81</f>
        <v>0</v>
      </c>
      <c r="BI81" s="233"/>
      <c r="BJ81" s="233">
        <v>19</v>
      </c>
      <c r="BU81" s="233" t="e">
        <f>#REF!</f>
        <v>#REF!</v>
      </c>
      <c r="BV81" s="225" t="s">
        <v>278</v>
      </c>
    </row>
    <row r="82" spans="1:74" ht="27" customHeight="1" x14ac:dyDescent="0.3">
      <c r="A82" s="241"/>
      <c r="B82" s="242" t="s">
        <v>165</v>
      </c>
      <c r="C82" s="530" t="s">
        <v>1621</v>
      </c>
      <c r="D82" s="531"/>
      <c r="E82" s="531"/>
      <c r="F82" s="531"/>
      <c r="G82" s="531"/>
      <c r="H82" s="531"/>
      <c r="I82" s="531"/>
      <c r="J82" s="531"/>
      <c r="K82" s="531"/>
      <c r="L82" s="531"/>
      <c r="M82" s="532"/>
    </row>
    <row r="83" spans="1:74" ht="14.4" x14ac:dyDescent="0.3">
      <c r="A83" s="239" t="s">
        <v>276</v>
      </c>
      <c r="B83" s="223" t="s">
        <v>282</v>
      </c>
      <c r="C83" s="521" t="s">
        <v>283</v>
      </c>
      <c r="D83" s="519"/>
      <c r="E83" s="223" t="s">
        <v>196</v>
      </c>
      <c r="F83" s="233">
        <v>42.75</v>
      </c>
      <c r="G83" s="311">
        <v>0</v>
      </c>
      <c r="H83" s="233">
        <f>F83*AM83</f>
        <v>0</v>
      </c>
      <c r="I83" s="233">
        <f>F83*AN83</f>
        <v>0</v>
      </c>
      <c r="J83" s="233">
        <f>F83*G83</f>
        <v>0</v>
      </c>
      <c r="K83" s="233">
        <v>0</v>
      </c>
      <c r="L83" s="233">
        <f>F83*K83</f>
        <v>0</v>
      </c>
      <c r="M83" s="240" t="s">
        <v>472</v>
      </c>
      <c r="X83" s="233">
        <f>IF(AO83="5",BH83,0)</f>
        <v>0</v>
      </c>
      <c r="Z83" s="233">
        <f>IF(AO83="1",BF83,0)</f>
        <v>0</v>
      </c>
      <c r="AA83" s="233">
        <f>IF(AO83="1",BG83,0)</f>
        <v>0</v>
      </c>
      <c r="AB83" s="233">
        <f>IF(AO83="7",BF83,0)</f>
        <v>0</v>
      </c>
      <c r="AC83" s="233">
        <f>IF(AO83="7",BG83,0)</f>
        <v>0</v>
      </c>
      <c r="AD83" s="233">
        <f>IF(AO83="2",BF83,0)</f>
        <v>0</v>
      </c>
      <c r="AE83" s="233">
        <f>IF(AO83="2",BG83,0)</f>
        <v>0</v>
      </c>
      <c r="AF83" s="233">
        <f>IF(AO83="0",BH83,0)</f>
        <v>0</v>
      </c>
      <c r="AG83" s="229" t="s">
        <v>154</v>
      </c>
      <c r="AH83" s="233">
        <f>IF(AL83=0,J83,0)</f>
        <v>0</v>
      </c>
      <c r="AI83" s="233">
        <f>IF(AL83=15,J83,0)</f>
        <v>0</v>
      </c>
      <c r="AJ83" s="233">
        <f>IF(AL83=21,J83,0)</f>
        <v>0</v>
      </c>
      <c r="AL83" s="233">
        <v>15</v>
      </c>
      <c r="AM83" s="233">
        <f>G83*0</f>
        <v>0</v>
      </c>
      <c r="AN83" s="233">
        <f>G83*(1-0)</f>
        <v>0</v>
      </c>
      <c r="AO83" s="234" t="s">
        <v>157</v>
      </c>
      <c r="AT83" s="233">
        <f>AU83+AV83</f>
        <v>0</v>
      </c>
      <c r="AU83" s="233">
        <f>F83*AM83</f>
        <v>0</v>
      </c>
      <c r="AV83" s="233">
        <f>F83*AN83</f>
        <v>0</v>
      </c>
      <c r="AW83" s="234" t="s">
        <v>279</v>
      </c>
      <c r="AX83" s="234" t="s">
        <v>163</v>
      </c>
      <c r="AY83" s="229" t="s">
        <v>164</v>
      </c>
      <c r="BA83" s="233">
        <f>AU83+AV83</f>
        <v>0</v>
      </c>
      <c r="BB83" s="233">
        <f>G83/(100-BC83)*100</f>
        <v>0</v>
      </c>
      <c r="BC83" s="233">
        <v>0</v>
      </c>
      <c r="BD83" s="233">
        <f>L83</f>
        <v>0</v>
      </c>
      <c r="BF83" s="233">
        <f>F83*AM83</f>
        <v>0</v>
      </c>
      <c r="BG83" s="233">
        <f>F83*AN83</f>
        <v>0</v>
      </c>
      <c r="BH83" s="233">
        <f>F83*G83</f>
        <v>0</v>
      </c>
      <c r="BI83" s="233"/>
      <c r="BJ83" s="233">
        <v>19</v>
      </c>
      <c r="BU83" s="233" t="e">
        <f>#REF!</f>
        <v>#REF!</v>
      </c>
      <c r="BV83" s="225" t="s">
        <v>283</v>
      </c>
    </row>
    <row r="84" spans="1:74" ht="27" customHeight="1" x14ac:dyDescent="0.3">
      <c r="A84" s="241"/>
      <c r="B84" s="242" t="s">
        <v>165</v>
      </c>
      <c r="C84" s="530" t="s">
        <v>1622</v>
      </c>
      <c r="D84" s="531"/>
      <c r="E84" s="531"/>
      <c r="F84" s="531"/>
      <c r="G84" s="531"/>
      <c r="H84" s="531"/>
      <c r="I84" s="531"/>
      <c r="J84" s="531"/>
      <c r="K84" s="531"/>
      <c r="L84" s="531"/>
      <c r="M84" s="532"/>
    </row>
    <row r="85" spans="1:74" ht="14.4" x14ac:dyDescent="0.3">
      <c r="A85" s="239" t="s">
        <v>154</v>
      </c>
      <c r="B85" s="224" t="s">
        <v>235</v>
      </c>
      <c r="C85" s="526" t="s">
        <v>284</v>
      </c>
      <c r="D85" s="527"/>
      <c r="E85" s="223" t="s">
        <v>114</v>
      </c>
      <c r="F85" s="223" t="s">
        <v>114</v>
      </c>
      <c r="G85" s="223" t="s">
        <v>114</v>
      </c>
      <c r="H85" s="235">
        <f>SUM(H86:H90)</f>
        <v>0</v>
      </c>
      <c r="I85" s="235">
        <f>SUM(I86:I90)</f>
        <v>0</v>
      </c>
      <c r="J85" s="235">
        <f>SUM(J86:J90)</f>
        <v>0</v>
      </c>
      <c r="K85" s="230" t="s">
        <v>154</v>
      </c>
      <c r="L85" s="235">
        <f>SUM(L86:L90)</f>
        <v>4.3625000000000007</v>
      </c>
      <c r="M85" s="243" t="s">
        <v>154</v>
      </c>
      <c r="AG85" s="229" t="s">
        <v>154</v>
      </c>
      <c r="AQ85" s="222">
        <f>SUM(AH86:AH90)</f>
        <v>0</v>
      </c>
      <c r="AR85" s="222">
        <f>SUM(AI86:AI90)</f>
        <v>0</v>
      </c>
      <c r="AS85" s="222">
        <f>SUM(AJ86:AJ90)</f>
        <v>0</v>
      </c>
    </row>
    <row r="86" spans="1:74" ht="14.4" x14ac:dyDescent="0.3">
      <c r="A86" s="239" t="s">
        <v>281</v>
      </c>
      <c r="B86" s="223" t="s">
        <v>507</v>
      </c>
      <c r="C86" s="521" t="s">
        <v>287</v>
      </c>
      <c r="D86" s="519"/>
      <c r="E86" s="223" t="s">
        <v>180</v>
      </c>
      <c r="F86" s="233">
        <v>170.94</v>
      </c>
      <c r="G86" s="311">
        <v>0</v>
      </c>
      <c r="H86" s="233">
        <f>F86*AM86</f>
        <v>0</v>
      </c>
      <c r="I86" s="233">
        <f>F86*AN86</f>
        <v>0</v>
      </c>
      <c r="J86" s="233">
        <f>F86*G86</f>
        <v>0</v>
      </c>
      <c r="K86" s="233">
        <v>0</v>
      </c>
      <c r="L86" s="233">
        <f>F86*K86</f>
        <v>0</v>
      </c>
      <c r="M86" s="240" t="s">
        <v>472</v>
      </c>
      <c r="X86" s="233">
        <f>IF(AO86="5",BH86,0)</f>
        <v>0</v>
      </c>
      <c r="Z86" s="233">
        <f>IF(AO86="1",BF86,0)</f>
        <v>0</v>
      </c>
      <c r="AA86" s="233">
        <f>IF(AO86="1",BG86,0)</f>
        <v>0</v>
      </c>
      <c r="AB86" s="233">
        <f>IF(AO86="7",BF86,0)</f>
        <v>0</v>
      </c>
      <c r="AC86" s="233">
        <f>IF(AO86="7",BG86,0)</f>
        <v>0</v>
      </c>
      <c r="AD86" s="233">
        <f>IF(AO86="2",BF86,0)</f>
        <v>0</v>
      </c>
      <c r="AE86" s="233">
        <f>IF(AO86="2",BG86,0)</f>
        <v>0</v>
      </c>
      <c r="AF86" s="233">
        <f>IF(AO86="0",BH86,0)</f>
        <v>0</v>
      </c>
      <c r="AG86" s="229" t="s">
        <v>154</v>
      </c>
      <c r="AH86" s="233">
        <f>IF(AL86=0,J86,0)</f>
        <v>0</v>
      </c>
      <c r="AI86" s="233">
        <f>IF(AL86=15,J86,0)</f>
        <v>0</v>
      </c>
      <c r="AJ86" s="233">
        <f>IF(AL86=21,J86,0)</f>
        <v>0</v>
      </c>
      <c r="AL86" s="233">
        <v>15</v>
      </c>
      <c r="AM86" s="233">
        <f>G86*0</f>
        <v>0</v>
      </c>
      <c r="AN86" s="233">
        <f>G86*(1-0)</f>
        <v>0</v>
      </c>
      <c r="AO86" s="234" t="s">
        <v>157</v>
      </c>
      <c r="AT86" s="233">
        <f>AU86+AV86</f>
        <v>0</v>
      </c>
      <c r="AU86" s="233">
        <f>F86*AM86</f>
        <v>0</v>
      </c>
      <c r="AV86" s="233">
        <f>F86*AN86</f>
        <v>0</v>
      </c>
      <c r="AW86" s="234" t="s">
        <v>288</v>
      </c>
      <c r="AX86" s="234" t="s">
        <v>289</v>
      </c>
      <c r="AY86" s="229" t="s">
        <v>164</v>
      </c>
      <c r="BA86" s="233">
        <f>AU86+AV86</f>
        <v>0</v>
      </c>
      <c r="BB86" s="233">
        <f>G86/(100-BC86)*100</f>
        <v>0</v>
      </c>
      <c r="BC86" s="233">
        <v>0</v>
      </c>
      <c r="BD86" s="233">
        <f>L86</f>
        <v>0</v>
      </c>
      <c r="BF86" s="233">
        <f>F86*AM86</f>
        <v>0</v>
      </c>
      <c r="BG86" s="233">
        <f>F86*AN86</f>
        <v>0</v>
      </c>
      <c r="BH86" s="233">
        <f>F86*G86</f>
        <v>0</v>
      </c>
      <c r="BI86" s="233"/>
      <c r="BJ86" s="233">
        <v>21</v>
      </c>
      <c r="BU86" s="233" t="e">
        <f>#REF!</f>
        <v>#REF!</v>
      </c>
      <c r="BV86" s="225" t="s">
        <v>287</v>
      </c>
    </row>
    <row r="87" spans="1:74" ht="40.5" customHeight="1" x14ac:dyDescent="0.3">
      <c r="A87" s="241"/>
      <c r="B87" s="242" t="s">
        <v>165</v>
      </c>
      <c r="C87" s="530" t="s">
        <v>1623</v>
      </c>
      <c r="D87" s="531"/>
      <c r="E87" s="531"/>
      <c r="F87" s="531"/>
      <c r="G87" s="531"/>
      <c r="H87" s="531"/>
      <c r="I87" s="531"/>
      <c r="J87" s="531"/>
      <c r="K87" s="531"/>
      <c r="L87" s="531"/>
      <c r="M87" s="532"/>
    </row>
    <row r="88" spans="1:74" ht="14.4" x14ac:dyDescent="0.3">
      <c r="A88" s="239" t="s">
        <v>285</v>
      </c>
      <c r="B88" s="223" t="s">
        <v>291</v>
      </c>
      <c r="C88" s="521" t="s">
        <v>292</v>
      </c>
      <c r="D88" s="519"/>
      <c r="E88" s="223" t="s">
        <v>160</v>
      </c>
      <c r="F88" s="233">
        <v>10</v>
      </c>
      <c r="G88" s="311">
        <v>0</v>
      </c>
      <c r="H88" s="233">
        <f>F88*AM88</f>
        <v>0</v>
      </c>
      <c r="I88" s="233">
        <f>F88*AN88</f>
        <v>0</v>
      </c>
      <c r="J88" s="233">
        <f>F88*G88</f>
        <v>0</v>
      </c>
      <c r="K88" s="233">
        <v>0.43625000000000003</v>
      </c>
      <c r="L88" s="233">
        <f>F88*K88</f>
        <v>4.3625000000000007</v>
      </c>
      <c r="M88" s="240" t="s">
        <v>472</v>
      </c>
      <c r="X88" s="233">
        <f>IF(AO88="5",BH88,0)</f>
        <v>0</v>
      </c>
      <c r="Z88" s="233">
        <f>IF(AO88="1",BF88,0)</f>
        <v>0</v>
      </c>
      <c r="AA88" s="233">
        <f>IF(AO88="1",BG88,0)</f>
        <v>0</v>
      </c>
      <c r="AB88" s="233">
        <f>IF(AO88="7",BF88,0)</f>
        <v>0</v>
      </c>
      <c r="AC88" s="233">
        <f>IF(AO88="7",BG88,0)</f>
        <v>0</v>
      </c>
      <c r="AD88" s="233">
        <f>IF(AO88="2",BF88,0)</f>
        <v>0</v>
      </c>
      <c r="AE88" s="233">
        <f>IF(AO88="2",BG88,0)</f>
        <v>0</v>
      </c>
      <c r="AF88" s="233">
        <f>IF(AO88="0",BH88,0)</f>
        <v>0</v>
      </c>
      <c r="AG88" s="229" t="s">
        <v>154</v>
      </c>
      <c r="AH88" s="233">
        <f>IF(AL88=0,J88,0)</f>
        <v>0</v>
      </c>
      <c r="AI88" s="233">
        <f>IF(AL88=15,J88,0)</f>
        <v>0</v>
      </c>
      <c r="AJ88" s="233">
        <f>IF(AL88=21,J88,0)</f>
        <v>0</v>
      </c>
      <c r="AL88" s="233">
        <v>15</v>
      </c>
      <c r="AM88" s="233">
        <f>G88*0.447203746</f>
        <v>0</v>
      </c>
      <c r="AN88" s="233">
        <f>G88*(1-0.447203746)</f>
        <v>0</v>
      </c>
      <c r="AO88" s="234" t="s">
        <v>157</v>
      </c>
      <c r="AT88" s="233">
        <f>AU88+AV88</f>
        <v>0</v>
      </c>
      <c r="AU88" s="233">
        <f>F88*AM88</f>
        <v>0</v>
      </c>
      <c r="AV88" s="233">
        <f>F88*AN88</f>
        <v>0</v>
      </c>
      <c r="AW88" s="234" t="s">
        <v>288</v>
      </c>
      <c r="AX88" s="234" t="s">
        <v>289</v>
      </c>
      <c r="AY88" s="229" t="s">
        <v>164</v>
      </c>
      <c r="BA88" s="233">
        <f>AU88+AV88</f>
        <v>0</v>
      </c>
      <c r="BB88" s="233">
        <f>G88/(100-BC88)*100</f>
        <v>0</v>
      </c>
      <c r="BC88" s="233">
        <v>0</v>
      </c>
      <c r="BD88" s="233">
        <f>L88</f>
        <v>4.3625000000000007</v>
      </c>
      <c r="BF88" s="233">
        <f>F88*AM88</f>
        <v>0</v>
      </c>
      <c r="BG88" s="233">
        <f>F88*AN88</f>
        <v>0</v>
      </c>
      <c r="BH88" s="233">
        <f>F88*G88</f>
        <v>0</v>
      </c>
      <c r="BI88" s="233"/>
      <c r="BJ88" s="233">
        <v>21</v>
      </c>
      <c r="BU88" s="233" t="e">
        <f>#REF!</f>
        <v>#REF!</v>
      </c>
      <c r="BV88" s="225" t="s">
        <v>292</v>
      </c>
    </row>
    <row r="89" spans="1:74" ht="27" customHeight="1" x14ac:dyDescent="0.3">
      <c r="A89" s="241"/>
      <c r="B89" s="242" t="s">
        <v>165</v>
      </c>
      <c r="C89" s="530" t="s">
        <v>1567</v>
      </c>
      <c r="D89" s="531"/>
      <c r="E89" s="531"/>
      <c r="F89" s="531"/>
      <c r="G89" s="531"/>
      <c r="H89" s="531"/>
      <c r="I89" s="531"/>
      <c r="J89" s="531"/>
      <c r="K89" s="531"/>
      <c r="L89" s="531"/>
      <c r="M89" s="532"/>
    </row>
    <row r="90" spans="1:74" ht="14.4" x14ac:dyDescent="0.3">
      <c r="A90" s="239" t="s">
        <v>290</v>
      </c>
      <c r="B90" s="223" t="s">
        <v>414</v>
      </c>
      <c r="C90" s="521" t="s">
        <v>415</v>
      </c>
      <c r="D90" s="519"/>
      <c r="E90" s="223" t="s">
        <v>380</v>
      </c>
      <c r="F90" s="233">
        <v>4.3600000000000003</v>
      </c>
      <c r="G90" s="311">
        <v>0</v>
      </c>
      <c r="H90" s="233">
        <f>F90*AM90</f>
        <v>0</v>
      </c>
      <c r="I90" s="233">
        <f>F90*AN90</f>
        <v>0</v>
      </c>
      <c r="J90" s="233">
        <f>F90*G90</f>
        <v>0</v>
      </c>
      <c r="K90" s="233">
        <v>0</v>
      </c>
      <c r="L90" s="233">
        <f>F90*K90</f>
        <v>0</v>
      </c>
      <c r="M90" s="240" t="s">
        <v>472</v>
      </c>
      <c r="X90" s="233">
        <f>IF(AO90="5",BH90,0)</f>
        <v>0</v>
      </c>
      <c r="Z90" s="233">
        <f>IF(AO90="1",BF90,0)</f>
        <v>0</v>
      </c>
      <c r="AA90" s="233">
        <f>IF(AO90="1",BG90,0)</f>
        <v>0</v>
      </c>
      <c r="AB90" s="233">
        <f>IF(AO90="7",BF90,0)</f>
        <v>0</v>
      </c>
      <c r="AC90" s="233">
        <f>IF(AO90="7",BG90,0)</f>
        <v>0</v>
      </c>
      <c r="AD90" s="233">
        <f>IF(AO90="2",BF90,0)</f>
        <v>0</v>
      </c>
      <c r="AE90" s="233">
        <f>IF(AO90="2",BG90,0)</f>
        <v>0</v>
      </c>
      <c r="AF90" s="233">
        <f>IF(AO90="0",BH90,0)</f>
        <v>0</v>
      </c>
      <c r="AG90" s="229" t="s">
        <v>154</v>
      </c>
      <c r="AH90" s="233">
        <f>IF(AL90=0,J90,0)</f>
        <v>0</v>
      </c>
      <c r="AI90" s="233">
        <f>IF(AL90=15,J90,0)</f>
        <v>0</v>
      </c>
      <c r="AJ90" s="233">
        <f>IF(AL90=21,J90,0)</f>
        <v>0</v>
      </c>
      <c r="AL90" s="233">
        <v>15</v>
      </c>
      <c r="AM90" s="233">
        <f>G90*0</f>
        <v>0</v>
      </c>
      <c r="AN90" s="233">
        <f>G90*(1-0)</f>
        <v>0</v>
      </c>
      <c r="AO90" s="234" t="s">
        <v>177</v>
      </c>
      <c r="AT90" s="233">
        <f>AU90+AV90</f>
        <v>0</v>
      </c>
      <c r="AU90" s="233">
        <f>F90*AM90</f>
        <v>0</v>
      </c>
      <c r="AV90" s="233">
        <f>F90*AN90</f>
        <v>0</v>
      </c>
      <c r="AW90" s="234" t="s">
        <v>288</v>
      </c>
      <c r="AX90" s="234" t="s">
        <v>289</v>
      </c>
      <c r="AY90" s="229" t="s">
        <v>164</v>
      </c>
      <c r="BA90" s="233">
        <f>AU90+AV90</f>
        <v>0</v>
      </c>
      <c r="BB90" s="233">
        <f>G90/(100-BC90)*100</f>
        <v>0</v>
      </c>
      <c r="BC90" s="233">
        <v>0</v>
      </c>
      <c r="BD90" s="233">
        <f>L90</f>
        <v>0</v>
      </c>
      <c r="BF90" s="233">
        <f>F90*AM90</f>
        <v>0</v>
      </c>
      <c r="BG90" s="233">
        <f>F90*AN90</f>
        <v>0</v>
      </c>
      <c r="BH90" s="233">
        <f>F90*G90</f>
        <v>0</v>
      </c>
      <c r="BI90" s="233"/>
      <c r="BJ90" s="233">
        <v>21</v>
      </c>
      <c r="BU90" s="233" t="e">
        <f>#REF!</f>
        <v>#REF!</v>
      </c>
      <c r="BV90" s="225" t="s">
        <v>415</v>
      </c>
    </row>
    <row r="91" spans="1:74" ht="14.4" x14ac:dyDescent="0.3">
      <c r="A91" s="239" t="s">
        <v>154</v>
      </c>
      <c r="B91" s="224" t="s">
        <v>253</v>
      </c>
      <c r="C91" s="526" t="s">
        <v>293</v>
      </c>
      <c r="D91" s="527"/>
      <c r="E91" s="223" t="s">
        <v>114</v>
      </c>
      <c r="F91" s="223" t="s">
        <v>114</v>
      </c>
      <c r="G91" s="223" t="s">
        <v>114</v>
      </c>
      <c r="H91" s="235">
        <f>SUM(H92:H92)</f>
        <v>0</v>
      </c>
      <c r="I91" s="235">
        <f>SUM(I92:I92)</f>
        <v>0</v>
      </c>
      <c r="J91" s="235">
        <f>SUM(J92:J92)</f>
        <v>0</v>
      </c>
      <c r="K91" s="230" t="s">
        <v>154</v>
      </c>
      <c r="L91" s="235">
        <f>SUM(L92:L92)</f>
        <v>4.3684921999999995</v>
      </c>
      <c r="M91" s="243" t="s">
        <v>154</v>
      </c>
      <c r="AG91" s="229" t="s">
        <v>154</v>
      </c>
      <c r="AQ91" s="222">
        <f>SUM(AH92:AH92)</f>
        <v>0</v>
      </c>
      <c r="AR91" s="222">
        <f>SUM(AI92:AI92)</f>
        <v>0</v>
      </c>
      <c r="AS91" s="222">
        <f>SUM(AJ92:AJ92)</f>
        <v>0</v>
      </c>
    </row>
    <row r="92" spans="1:74" ht="14.4" x14ac:dyDescent="0.3">
      <c r="A92" s="239" t="s">
        <v>294</v>
      </c>
      <c r="B92" s="223" t="s">
        <v>890</v>
      </c>
      <c r="C92" s="521" t="s">
        <v>296</v>
      </c>
      <c r="D92" s="519"/>
      <c r="E92" s="223" t="s">
        <v>196</v>
      </c>
      <c r="F92" s="233">
        <v>1.73</v>
      </c>
      <c r="G92" s="311">
        <v>0</v>
      </c>
      <c r="H92" s="233">
        <f>F92*AM92</f>
        <v>0</v>
      </c>
      <c r="I92" s="233">
        <f>F92*AN92</f>
        <v>0</v>
      </c>
      <c r="J92" s="233">
        <f>F92*G92</f>
        <v>0</v>
      </c>
      <c r="K92" s="233">
        <v>2.5251399999999999</v>
      </c>
      <c r="L92" s="233">
        <f>F92*K92</f>
        <v>4.3684921999999995</v>
      </c>
      <c r="M92" s="240" t="s">
        <v>472</v>
      </c>
      <c r="X92" s="233">
        <f>IF(AO92="5",BH92,0)</f>
        <v>0</v>
      </c>
      <c r="Z92" s="233">
        <f>IF(AO92="1",BF92,0)</f>
        <v>0</v>
      </c>
      <c r="AA92" s="233">
        <f>IF(AO92="1",BG92,0)</f>
        <v>0</v>
      </c>
      <c r="AB92" s="233">
        <f>IF(AO92="7",BF92,0)</f>
        <v>0</v>
      </c>
      <c r="AC92" s="233">
        <f>IF(AO92="7",BG92,0)</f>
        <v>0</v>
      </c>
      <c r="AD92" s="233">
        <f>IF(AO92="2",BF92,0)</f>
        <v>0</v>
      </c>
      <c r="AE92" s="233">
        <f>IF(AO92="2",BG92,0)</f>
        <v>0</v>
      </c>
      <c r="AF92" s="233">
        <f>IF(AO92="0",BH92,0)</f>
        <v>0</v>
      </c>
      <c r="AG92" s="229" t="s">
        <v>154</v>
      </c>
      <c r="AH92" s="233">
        <f>IF(AL92=0,J92,0)</f>
        <v>0</v>
      </c>
      <c r="AI92" s="233">
        <f>IF(AL92=15,J92,0)</f>
        <v>0</v>
      </c>
      <c r="AJ92" s="233">
        <f>IF(AL92=21,J92,0)</f>
        <v>0</v>
      </c>
      <c r="AL92" s="233">
        <v>15</v>
      </c>
      <c r="AM92" s="233">
        <f>G92*0.848048678</f>
        <v>0</v>
      </c>
      <c r="AN92" s="233">
        <f>G92*(1-0.848048678)</f>
        <v>0</v>
      </c>
      <c r="AO92" s="234" t="s">
        <v>157</v>
      </c>
      <c r="AT92" s="233">
        <f>AU92+AV92</f>
        <v>0</v>
      </c>
      <c r="AU92" s="233">
        <f>F92*AM92</f>
        <v>0</v>
      </c>
      <c r="AV92" s="233">
        <f>F92*AN92</f>
        <v>0</v>
      </c>
      <c r="AW92" s="234" t="s">
        <v>297</v>
      </c>
      <c r="AX92" s="234" t="s">
        <v>289</v>
      </c>
      <c r="AY92" s="229" t="s">
        <v>164</v>
      </c>
      <c r="BA92" s="233">
        <f>AU92+AV92</f>
        <v>0</v>
      </c>
      <c r="BB92" s="233">
        <f>G92/(100-BC92)*100</f>
        <v>0</v>
      </c>
      <c r="BC92" s="233">
        <v>0</v>
      </c>
      <c r="BD92" s="233">
        <f>L92</f>
        <v>4.3684921999999995</v>
      </c>
      <c r="BF92" s="233">
        <f>F92*AM92</f>
        <v>0</v>
      </c>
      <c r="BG92" s="233">
        <f>F92*AN92</f>
        <v>0</v>
      </c>
      <c r="BH92" s="233">
        <f>F92*G92</f>
        <v>0</v>
      </c>
      <c r="BI92" s="233"/>
      <c r="BJ92" s="233">
        <v>27</v>
      </c>
      <c r="BU92" s="233" t="e">
        <f>#REF!</f>
        <v>#REF!</v>
      </c>
      <c r="BV92" s="225" t="s">
        <v>296</v>
      </c>
    </row>
    <row r="93" spans="1:74" ht="40.5" customHeight="1" x14ac:dyDescent="0.3">
      <c r="A93" s="241"/>
      <c r="B93" s="242" t="s">
        <v>165</v>
      </c>
      <c r="C93" s="530" t="s">
        <v>1624</v>
      </c>
      <c r="D93" s="531"/>
      <c r="E93" s="531"/>
      <c r="F93" s="531"/>
      <c r="G93" s="531"/>
      <c r="H93" s="531"/>
      <c r="I93" s="531"/>
      <c r="J93" s="531"/>
      <c r="K93" s="531"/>
      <c r="L93" s="531"/>
      <c r="M93" s="532"/>
    </row>
    <row r="94" spans="1:74" ht="14.4" x14ac:dyDescent="0.3">
      <c r="A94" s="239" t="s">
        <v>154</v>
      </c>
      <c r="B94" s="224" t="s">
        <v>298</v>
      </c>
      <c r="C94" s="526" t="s">
        <v>299</v>
      </c>
      <c r="D94" s="527"/>
      <c r="E94" s="223" t="s">
        <v>114</v>
      </c>
      <c r="F94" s="223" t="s">
        <v>114</v>
      </c>
      <c r="G94" s="223" t="s">
        <v>114</v>
      </c>
      <c r="H94" s="235">
        <f>SUM(H95:H95)</f>
        <v>0</v>
      </c>
      <c r="I94" s="235">
        <f>SUM(I95:I95)</f>
        <v>0</v>
      </c>
      <c r="J94" s="235">
        <f>SUM(J95:J95)</f>
        <v>0</v>
      </c>
      <c r="K94" s="230" t="s">
        <v>154</v>
      </c>
      <c r="L94" s="235">
        <f>SUM(L95:L95)</f>
        <v>53.092821600000001</v>
      </c>
      <c r="M94" s="243" t="s">
        <v>154</v>
      </c>
      <c r="AG94" s="229" t="s">
        <v>154</v>
      </c>
      <c r="AQ94" s="222">
        <f>SUM(AH95:AH95)</f>
        <v>0</v>
      </c>
      <c r="AR94" s="222">
        <f>SUM(AI95:AI95)</f>
        <v>0</v>
      </c>
      <c r="AS94" s="222">
        <f>SUM(AJ95:AJ95)</f>
        <v>0</v>
      </c>
    </row>
    <row r="95" spans="1:74" ht="14.4" x14ac:dyDescent="0.3">
      <c r="A95" s="239" t="s">
        <v>300</v>
      </c>
      <c r="B95" s="223" t="s">
        <v>301</v>
      </c>
      <c r="C95" s="521" t="s">
        <v>891</v>
      </c>
      <c r="D95" s="519"/>
      <c r="E95" s="223" t="s">
        <v>196</v>
      </c>
      <c r="F95" s="233">
        <v>28.08</v>
      </c>
      <c r="G95" s="311">
        <v>0</v>
      </c>
      <c r="H95" s="233">
        <f>F95*AM95</f>
        <v>0</v>
      </c>
      <c r="I95" s="233">
        <f>F95*AN95</f>
        <v>0</v>
      </c>
      <c r="J95" s="233">
        <f>F95*G95</f>
        <v>0</v>
      </c>
      <c r="K95" s="233">
        <v>1.8907700000000001</v>
      </c>
      <c r="L95" s="233">
        <f>F95*K95</f>
        <v>53.092821600000001</v>
      </c>
      <c r="M95" s="240" t="s">
        <v>472</v>
      </c>
      <c r="X95" s="233">
        <f>IF(AO95="5",BH95,0)</f>
        <v>0</v>
      </c>
      <c r="Z95" s="233">
        <f>IF(AO95="1",BF95,0)</f>
        <v>0</v>
      </c>
      <c r="AA95" s="233">
        <f>IF(AO95="1",BG95,0)</f>
        <v>0</v>
      </c>
      <c r="AB95" s="233">
        <f>IF(AO95="7",BF95,0)</f>
        <v>0</v>
      </c>
      <c r="AC95" s="233">
        <f>IF(AO95="7",BG95,0)</f>
        <v>0</v>
      </c>
      <c r="AD95" s="233">
        <f>IF(AO95="2",BF95,0)</f>
        <v>0</v>
      </c>
      <c r="AE95" s="233">
        <f>IF(AO95="2",BG95,0)</f>
        <v>0</v>
      </c>
      <c r="AF95" s="233">
        <f>IF(AO95="0",BH95,0)</f>
        <v>0</v>
      </c>
      <c r="AG95" s="229" t="s">
        <v>154</v>
      </c>
      <c r="AH95" s="233">
        <f>IF(AL95=0,J95,0)</f>
        <v>0</v>
      </c>
      <c r="AI95" s="233">
        <f>IF(AL95=15,J95,0)</f>
        <v>0</v>
      </c>
      <c r="AJ95" s="233">
        <f>IF(AL95=21,J95,0)</f>
        <v>0</v>
      </c>
      <c r="AL95" s="233">
        <v>15</v>
      </c>
      <c r="AM95" s="233">
        <f>G95*0.492383319</f>
        <v>0</v>
      </c>
      <c r="AN95" s="233">
        <f>G95*(1-0.492383319)</f>
        <v>0</v>
      </c>
      <c r="AO95" s="234" t="s">
        <v>157</v>
      </c>
      <c r="AT95" s="233">
        <f>AU95+AV95</f>
        <v>0</v>
      </c>
      <c r="AU95" s="233">
        <f>F95*AM95</f>
        <v>0</v>
      </c>
      <c r="AV95" s="233">
        <f>F95*AN95</f>
        <v>0</v>
      </c>
      <c r="AW95" s="234" t="s">
        <v>303</v>
      </c>
      <c r="AX95" s="234" t="s">
        <v>304</v>
      </c>
      <c r="AY95" s="229" t="s">
        <v>164</v>
      </c>
      <c r="BA95" s="233">
        <f>AU95+AV95</f>
        <v>0</v>
      </c>
      <c r="BB95" s="233">
        <f>G95/(100-BC95)*100</f>
        <v>0</v>
      </c>
      <c r="BC95" s="233">
        <v>0</v>
      </c>
      <c r="BD95" s="233">
        <f>L95</f>
        <v>53.092821600000001</v>
      </c>
      <c r="BF95" s="233">
        <f>F95*AM95</f>
        <v>0</v>
      </c>
      <c r="BG95" s="233">
        <f>F95*AN95</f>
        <v>0</v>
      </c>
      <c r="BH95" s="233">
        <f>F95*G95</f>
        <v>0</v>
      </c>
      <c r="BI95" s="233"/>
      <c r="BJ95" s="233">
        <v>45</v>
      </c>
      <c r="BU95" s="233" t="e">
        <f>#REF!</f>
        <v>#REF!</v>
      </c>
      <c r="BV95" s="225" t="s">
        <v>891</v>
      </c>
    </row>
    <row r="96" spans="1:74" ht="40.5" customHeight="1" x14ac:dyDescent="0.3">
      <c r="A96" s="244"/>
      <c r="B96" s="245" t="s">
        <v>165</v>
      </c>
      <c r="C96" s="540" t="s">
        <v>1625</v>
      </c>
      <c r="D96" s="541"/>
      <c r="E96" s="541"/>
      <c r="F96" s="541"/>
      <c r="G96" s="541"/>
      <c r="H96" s="541"/>
      <c r="I96" s="541"/>
      <c r="J96" s="541"/>
      <c r="K96" s="541"/>
      <c r="L96" s="541"/>
      <c r="M96" s="542"/>
    </row>
    <row r="97" spans="1:74" ht="14.4" x14ac:dyDescent="0.3">
      <c r="A97" s="237" t="s">
        <v>154</v>
      </c>
      <c r="B97" s="260" t="s">
        <v>305</v>
      </c>
      <c r="C97" s="545" t="s">
        <v>306</v>
      </c>
      <c r="D97" s="546"/>
      <c r="E97" s="238" t="s">
        <v>114</v>
      </c>
      <c r="F97" s="238" t="s">
        <v>114</v>
      </c>
      <c r="G97" s="238" t="s">
        <v>114</v>
      </c>
      <c r="H97" s="261">
        <f>SUM(H98:H118)</f>
        <v>0</v>
      </c>
      <c r="I97" s="261">
        <f>SUM(I98:I118)</f>
        <v>0</v>
      </c>
      <c r="J97" s="261">
        <f>SUM(J98:J118)</f>
        <v>0</v>
      </c>
      <c r="K97" s="262" t="s">
        <v>154</v>
      </c>
      <c r="L97" s="261">
        <f>SUM(L98:L118)</f>
        <v>604.10103509999999</v>
      </c>
      <c r="M97" s="263" t="s">
        <v>154</v>
      </c>
      <c r="AG97" s="229" t="s">
        <v>154</v>
      </c>
      <c r="AQ97" s="222">
        <f>SUM(AH98:AH118)</f>
        <v>0</v>
      </c>
      <c r="AR97" s="222">
        <f>SUM(AI98:AI118)</f>
        <v>0</v>
      </c>
      <c r="AS97" s="222">
        <f>SUM(AJ98:AJ118)</f>
        <v>0</v>
      </c>
    </row>
    <row r="98" spans="1:74" ht="14.4" x14ac:dyDescent="0.3">
      <c r="A98" s="239" t="s">
        <v>307</v>
      </c>
      <c r="B98" s="223" t="s">
        <v>308</v>
      </c>
      <c r="C98" s="521" t="s">
        <v>309</v>
      </c>
      <c r="D98" s="519"/>
      <c r="E98" s="223" t="s">
        <v>180</v>
      </c>
      <c r="F98" s="233">
        <v>172.49</v>
      </c>
      <c r="G98" s="311">
        <v>0</v>
      </c>
      <c r="H98" s="233">
        <f>F98*AM98</f>
        <v>0</v>
      </c>
      <c r="I98" s="233">
        <f>F98*AN98</f>
        <v>0</v>
      </c>
      <c r="J98" s="233">
        <f>F98*G98</f>
        <v>0</v>
      </c>
      <c r="K98" s="233">
        <v>0.4284</v>
      </c>
      <c r="L98" s="233">
        <f>F98*K98</f>
        <v>73.894716000000003</v>
      </c>
      <c r="M98" s="240" t="s">
        <v>472</v>
      </c>
      <c r="X98" s="233">
        <f>IF(AO98="5",BH98,0)</f>
        <v>0</v>
      </c>
      <c r="Z98" s="233">
        <f>IF(AO98="1",BF98,0)</f>
        <v>0</v>
      </c>
      <c r="AA98" s="233">
        <f>IF(AO98="1",BG98,0)</f>
        <v>0</v>
      </c>
      <c r="AB98" s="233">
        <f>IF(AO98="7",BF98,0)</f>
        <v>0</v>
      </c>
      <c r="AC98" s="233">
        <f>IF(AO98="7",BG98,0)</f>
        <v>0</v>
      </c>
      <c r="AD98" s="233">
        <f>IF(AO98="2",BF98,0)</f>
        <v>0</v>
      </c>
      <c r="AE98" s="233">
        <f>IF(AO98="2",BG98,0)</f>
        <v>0</v>
      </c>
      <c r="AF98" s="233">
        <f>IF(AO98="0",BH98,0)</f>
        <v>0</v>
      </c>
      <c r="AG98" s="229" t="s">
        <v>154</v>
      </c>
      <c r="AH98" s="233">
        <f>IF(AL98=0,J98,0)</f>
        <v>0</v>
      </c>
      <c r="AI98" s="233">
        <f>IF(AL98=15,J98,0)</f>
        <v>0</v>
      </c>
      <c r="AJ98" s="233">
        <f>IF(AL98=21,J98,0)</f>
        <v>0</v>
      </c>
      <c r="AL98" s="233">
        <v>15</v>
      </c>
      <c r="AM98" s="233">
        <f>G98*0.84797078</f>
        <v>0</v>
      </c>
      <c r="AN98" s="233">
        <f>G98*(1-0.84797078)</f>
        <v>0</v>
      </c>
      <c r="AO98" s="234" t="s">
        <v>157</v>
      </c>
      <c r="AT98" s="233">
        <f>AU98+AV98</f>
        <v>0</v>
      </c>
      <c r="AU98" s="233">
        <f>F98*AM98</f>
        <v>0</v>
      </c>
      <c r="AV98" s="233">
        <f>F98*AN98</f>
        <v>0</v>
      </c>
      <c r="AW98" s="234" t="s">
        <v>310</v>
      </c>
      <c r="AX98" s="234" t="s">
        <v>311</v>
      </c>
      <c r="AY98" s="229" t="s">
        <v>164</v>
      </c>
      <c r="BA98" s="233">
        <f>AU98+AV98</f>
        <v>0</v>
      </c>
      <c r="BB98" s="233">
        <f>G98/(100-BC98)*100</f>
        <v>0</v>
      </c>
      <c r="BC98" s="233">
        <v>0</v>
      </c>
      <c r="BD98" s="233">
        <f>L98</f>
        <v>73.894716000000003</v>
      </c>
      <c r="BF98" s="233">
        <f>F98*AM98</f>
        <v>0</v>
      </c>
      <c r="BG98" s="233">
        <f>F98*AN98</f>
        <v>0</v>
      </c>
      <c r="BH98" s="233">
        <f>F98*G98</f>
        <v>0</v>
      </c>
      <c r="BI98" s="233"/>
      <c r="BJ98" s="233">
        <v>56</v>
      </c>
      <c r="BU98" s="233" t="e">
        <f>#REF!</f>
        <v>#REF!</v>
      </c>
      <c r="BV98" s="225" t="s">
        <v>309</v>
      </c>
    </row>
    <row r="99" spans="1:74" ht="54" customHeight="1" x14ac:dyDescent="0.3">
      <c r="A99" s="241"/>
      <c r="B99" s="242" t="s">
        <v>165</v>
      </c>
      <c r="C99" s="530" t="s">
        <v>1626</v>
      </c>
      <c r="D99" s="531"/>
      <c r="E99" s="531"/>
      <c r="F99" s="531"/>
      <c r="G99" s="531"/>
      <c r="H99" s="531"/>
      <c r="I99" s="531"/>
      <c r="J99" s="531"/>
      <c r="K99" s="531"/>
      <c r="L99" s="531"/>
      <c r="M99" s="532"/>
    </row>
    <row r="100" spans="1:74" ht="14.4" x14ac:dyDescent="0.3">
      <c r="A100" s="239" t="s">
        <v>312</v>
      </c>
      <c r="B100" s="223" t="s">
        <v>313</v>
      </c>
      <c r="C100" s="521" t="s">
        <v>314</v>
      </c>
      <c r="D100" s="519"/>
      <c r="E100" s="223" t="s">
        <v>180</v>
      </c>
      <c r="F100" s="233">
        <v>188.73</v>
      </c>
      <c r="G100" s="311">
        <v>0</v>
      </c>
      <c r="H100" s="233">
        <f>F100*AM100</f>
        <v>0</v>
      </c>
      <c r="I100" s="233">
        <f>F100*AN100</f>
        <v>0</v>
      </c>
      <c r="J100" s="233">
        <f>F100*G100</f>
        <v>0</v>
      </c>
      <c r="K100" s="233">
        <v>0.60104000000000002</v>
      </c>
      <c r="L100" s="233">
        <f>F100*K100</f>
        <v>113.43427919999999</v>
      </c>
      <c r="M100" s="240" t="s">
        <v>472</v>
      </c>
      <c r="X100" s="233">
        <f>IF(AO100="5",BH100,0)</f>
        <v>0</v>
      </c>
      <c r="Z100" s="233">
        <f>IF(AO100="1",BF100,0)</f>
        <v>0</v>
      </c>
      <c r="AA100" s="233">
        <f>IF(AO100="1",BG100,0)</f>
        <v>0</v>
      </c>
      <c r="AB100" s="233">
        <f>IF(AO100="7",BF100,0)</f>
        <v>0</v>
      </c>
      <c r="AC100" s="233">
        <f>IF(AO100="7",BG100,0)</f>
        <v>0</v>
      </c>
      <c r="AD100" s="233">
        <f>IF(AO100="2",BF100,0)</f>
        <v>0</v>
      </c>
      <c r="AE100" s="233">
        <f>IF(AO100="2",BG100,0)</f>
        <v>0</v>
      </c>
      <c r="AF100" s="233">
        <f>IF(AO100="0",BH100,0)</f>
        <v>0</v>
      </c>
      <c r="AG100" s="229" t="s">
        <v>154</v>
      </c>
      <c r="AH100" s="233">
        <f>IF(AL100=0,J100,0)</f>
        <v>0</v>
      </c>
      <c r="AI100" s="233">
        <f>IF(AL100=15,J100,0)</f>
        <v>0</v>
      </c>
      <c r="AJ100" s="233">
        <f>IF(AL100=21,J100,0)</f>
        <v>0</v>
      </c>
      <c r="AL100" s="233">
        <v>15</v>
      </c>
      <c r="AM100" s="233">
        <f>G100*0.832421312</f>
        <v>0</v>
      </c>
      <c r="AN100" s="233">
        <f>G100*(1-0.832421312)</f>
        <v>0</v>
      </c>
      <c r="AO100" s="234" t="s">
        <v>157</v>
      </c>
      <c r="AT100" s="233">
        <f>AU100+AV100</f>
        <v>0</v>
      </c>
      <c r="AU100" s="233">
        <f>F100*AM100</f>
        <v>0</v>
      </c>
      <c r="AV100" s="233">
        <f>F100*AN100</f>
        <v>0</v>
      </c>
      <c r="AW100" s="234" t="s">
        <v>310</v>
      </c>
      <c r="AX100" s="234" t="s">
        <v>311</v>
      </c>
      <c r="AY100" s="229" t="s">
        <v>164</v>
      </c>
      <c r="BA100" s="233">
        <f>AU100+AV100</f>
        <v>0</v>
      </c>
      <c r="BB100" s="233">
        <f>G100/(100-BC100)*100</f>
        <v>0</v>
      </c>
      <c r="BC100" s="233">
        <v>0</v>
      </c>
      <c r="BD100" s="233">
        <f>L100</f>
        <v>113.43427919999999</v>
      </c>
      <c r="BF100" s="233">
        <f>F100*AM100</f>
        <v>0</v>
      </c>
      <c r="BG100" s="233">
        <f>F100*AN100</f>
        <v>0</v>
      </c>
      <c r="BH100" s="233">
        <f>F100*G100</f>
        <v>0</v>
      </c>
      <c r="BI100" s="233"/>
      <c r="BJ100" s="233">
        <v>56</v>
      </c>
      <c r="BU100" s="233" t="e">
        <f>#REF!</f>
        <v>#REF!</v>
      </c>
      <c r="BV100" s="225" t="s">
        <v>314</v>
      </c>
    </row>
    <row r="101" spans="1:74" ht="54" customHeight="1" x14ac:dyDescent="0.3">
      <c r="A101" s="241"/>
      <c r="B101" s="242" t="s">
        <v>165</v>
      </c>
      <c r="C101" s="530" t="s">
        <v>1627</v>
      </c>
      <c r="D101" s="531"/>
      <c r="E101" s="531"/>
      <c r="F101" s="531"/>
      <c r="G101" s="531"/>
      <c r="H101" s="531"/>
      <c r="I101" s="531"/>
      <c r="J101" s="531"/>
      <c r="K101" s="531"/>
      <c r="L101" s="531"/>
      <c r="M101" s="532"/>
    </row>
    <row r="102" spans="1:74" ht="14.4" x14ac:dyDescent="0.3">
      <c r="A102" s="239" t="s">
        <v>315</v>
      </c>
      <c r="B102" s="223" t="s">
        <v>316</v>
      </c>
      <c r="C102" s="521" t="s">
        <v>317</v>
      </c>
      <c r="D102" s="519"/>
      <c r="E102" s="223" t="s">
        <v>180</v>
      </c>
      <c r="F102" s="233">
        <v>188.73</v>
      </c>
      <c r="G102" s="311">
        <v>0</v>
      </c>
      <c r="H102" s="233">
        <f>F102*AM102</f>
        <v>0</v>
      </c>
      <c r="I102" s="233">
        <f>F102*AN102</f>
        <v>0</v>
      </c>
      <c r="J102" s="233">
        <f>F102*G102</f>
        <v>0</v>
      </c>
      <c r="K102" s="233">
        <v>0.48574000000000001</v>
      </c>
      <c r="L102" s="233">
        <f>F102*K102</f>
        <v>91.673710200000002</v>
      </c>
      <c r="M102" s="240" t="s">
        <v>472</v>
      </c>
      <c r="X102" s="233">
        <f>IF(AO102="5",BH102,0)</f>
        <v>0</v>
      </c>
      <c r="Z102" s="233">
        <f>IF(AO102="1",BF102,0)</f>
        <v>0</v>
      </c>
      <c r="AA102" s="233">
        <f>IF(AO102="1",BG102,0)</f>
        <v>0</v>
      </c>
      <c r="AB102" s="233">
        <f>IF(AO102="7",BF102,0)</f>
        <v>0</v>
      </c>
      <c r="AC102" s="233">
        <f>IF(AO102="7",BG102,0)</f>
        <v>0</v>
      </c>
      <c r="AD102" s="233">
        <f>IF(AO102="2",BF102,0)</f>
        <v>0</v>
      </c>
      <c r="AE102" s="233">
        <f>IF(AO102="2",BG102,0)</f>
        <v>0</v>
      </c>
      <c r="AF102" s="233">
        <f>IF(AO102="0",BH102,0)</f>
        <v>0</v>
      </c>
      <c r="AG102" s="229" t="s">
        <v>154</v>
      </c>
      <c r="AH102" s="233">
        <f>IF(AL102=0,J102,0)</f>
        <v>0</v>
      </c>
      <c r="AI102" s="233">
        <f>IF(AL102=15,J102,0)</f>
        <v>0</v>
      </c>
      <c r="AJ102" s="233">
        <f>IF(AL102=21,J102,0)</f>
        <v>0</v>
      </c>
      <c r="AL102" s="233">
        <v>15</v>
      </c>
      <c r="AM102" s="233">
        <f>G102*0.812875559</f>
        <v>0</v>
      </c>
      <c r="AN102" s="233">
        <f>G102*(1-0.812875559)</f>
        <v>0</v>
      </c>
      <c r="AO102" s="234" t="s">
        <v>157</v>
      </c>
      <c r="AT102" s="233">
        <f>AU102+AV102</f>
        <v>0</v>
      </c>
      <c r="AU102" s="233">
        <f>F102*AM102</f>
        <v>0</v>
      </c>
      <c r="AV102" s="233">
        <f>F102*AN102</f>
        <v>0</v>
      </c>
      <c r="AW102" s="234" t="s">
        <v>310</v>
      </c>
      <c r="AX102" s="234" t="s">
        <v>311</v>
      </c>
      <c r="AY102" s="229" t="s">
        <v>164</v>
      </c>
      <c r="BA102" s="233">
        <f>AU102+AV102</f>
        <v>0</v>
      </c>
      <c r="BB102" s="233">
        <f>G102/(100-BC102)*100</f>
        <v>0</v>
      </c>
      <c r="BC102" s="233">
        <v>0</v>
      </c>
      <c r="BD102" s="233">
        <f>L102</f>
        <v>91.673710200000002</v>
      </c>
      <c r="BF102" s="233">
        <f>F102*AM102</f>
        <v>0</v>
      </c>
      <c r="BG102" s="233">
        <f>F102*AN102</f>
        <v>0</v>
      </c>
      <c r="BH102" s="233">
        <f>F102*G102</f>
        <v>0</v>
      </c>
      <c r="BI102" s="233"/>
      <c r="BJ102" s="233">
        <v>56</v>
      </c>
      <c r="BU102" s="233" t="e">
        <f>#REF!</f>
        <v>#REF!</v>
      </c>
      <c r="BV102" s="225" t="s">
        <v>317</v>
      </c>
    </row>
    <row r="103" spans="1:74" ht="54" customHeight="1" x14ac:dyDescent="0.3">
      <c r="A103" s="241"/>
      <c r="B103" s="242" t="s">
        <v>165</v>
      </c>
      <c r="C103" s="530" t="s">
        <v>1628</v>
      </c>
      <c r="D103" s="531"/>
      <c r="E103" s="531"/>
      <c r="F103" s="531"/>
      <c r="G103" s="531"/>
      <c r="H103" s="531"/>
      <c r="I103" s="531"/>
      <c r="J103" s="531"/>
      <c r="K103" s="531"/>
      <c r="L103" s="531"/>
      <c r="M103" s="532"/>
    </row>
    <row r="104" spans="1:74" ht="14.4" x14ac:dyDescent="0.3">
      <c r="A104" s="239" t="s">
        <v>318</v>
      </c>
      <c r="B104" s="223" t="s">
        <v>316</v>
      </c>
      <c r="C104" s="521" t="s">
        <v>317</v>
      </c>
      <c r="D104" s="519"/>
      <c r="E104" s="223" t="s">
        <v>180</v>
      </c>
      <c r="F104" s="233">
        <v>188.73</v>
      </c>
      <c r="G104" s="311">
        <v>0</v>
      </c>
      <c r="H104" s="233">
        <f>F104*AM104</f>
        <v>0</v>
      </c>
      <c r="I104" s="233">
        <f>F104*AN104</f>
        <v>0</v>
      </c>
      <c r="J104" s="233">
        <f>F104*G104</f>
        <v>0</v>
      </c>
      <c r="K104" s="233">
        <v>0.48574000000000001</v>
      </c>
      <c r="L104" s="233">
        <f>F104*K104</f>
        <v>91.673710200000002</v>
      </c>
      <c r="M104" s="240" t="s">
        <v>472</v>
      </c>
      <c r="X104" s="233">
        <f>IF(AO104="5",BH104,0)</f>
        <v>0</v>
      </c>
      <c r="Z104" s="233">
        <f>IF(AO104="1",BF104,0)</f>
        <v>0</v>
      </c>
      <c r="AA104" s="233">
        <f>IF(AO104="1",BG104,0)</f>
        <v>0</v>
      </c>
      <c r="AB104" s="233">
        <f>IF(AO104="7",BF104,0)</f>
        <v>0</v>
      </c>
      <c r="AC104" s="233">
        <f>IF(AO104="7",BG104,0)</f>
        <v>0</v>
      </c>
      <c r="AD104" s="233">
        <f>IF(AO104="2",BF104,0)</f>
        <v>0</v>
      </c>
      <c r="AE104" s="233">
        <f>IF(AO104="2",BG104,0)</f>
        <v>0</v>
      </c>
      <c r="AF104" s="233">
        <f>IF(AO104="0",BH104,0)</f>
        <v>0</v>
      </c>
      <c r="AG104" s="229" t="s">
        <v>154</v>
      </c>
      <c r="AH104" s="233">
        <f>IF(AL104=0,J104,0)</f>
        <v>0</v>
      </c>
      <c r="AI104" s="233">
        <f>IF(AL104=15,J104,0)</f>
        <v>0</v>
      </c>
      <c r="AJ104" s="233">
        <f>IF(AL104=21,J104,0)</f>
        <v>0</v>
      </c>
      <c r="AL104" s="233">
        <v>15</v>
      </c>
      <c r="AM104" s="233">
        <f>G104*0.812875559</f>
        <v>0</v>
      </c>
      <c r="AN104" s="233">
        <f>G104*(1-0.812875559)</f>
        <v>0</v>
      </c>
      <c r="AO104" s="234" t="s">
        <v>157</v>
      </c>
      <c r="AT104" s="233">
        <f>AU104+AV104</f>
        <v>0</v>
      </c>
      <c r="AU104" s="233">
        <f>F104*AM104</f>
        <v>0</v>
      </c>
      <c r="AV104" s="233">
        <f>F104*AN104</f>
        <v>0</v>
      </c>
      <c r="AW104" s="234" t="s">
        <v>310</v>
      </c>
      <c r="AX104" s="234" t="s">
        <v>311</v>
      </c>
      <c r="AY104" s="229" t="s">
        <v>164</v>
      </c>
      <c r="BA104" s="233">
        <f>AU104+AV104</f>
        <v>0</v>
      </c>
      <c r="BB104" s="233">
        <f>G104/(100-BC104)*100</f>
        <v>0</v>
      </c>
      <c r="BC104" s="233">
        <v>0</v>
      </c>
      <c r="BD104" s="233">
        <f>L104</f>
        <v>91.673710200000002</v>
      </c>
      <c r="BF104" s="233">
        <f>F104*AM104</f>
        <v>0</v>
      </c>
      <c r="BG104" s="233">
        <f>F104*AN104</f>
        <v>0</v>
      </c>
      <c r="BH104" s="233">
        <f>F104*G104</f>
        <v>0</v>
      </c>
      <c r="BI104" s="233"/>
      <c r="BJ104" s="233">
        <v>56</v>
      </c>
      <c r="BU104" s="233" t="e">
        <f>#REF!</f>
        <v>#REF!</v>
      </c>
      <c r="BV104" s="225" t="s">
        <v>317</v>
      </c>
    </row>
    <row r="105" spans="1:74" ht="54" customHeight="1" x14ac:dyDescent="0.3">
      <c r="A105" s="241"/>
      <c r="B105" s="242" t="s">
        <v>165</v>
      </c>
      <c r="C105" s="530" t="s">
        <v>1628</v>
      </c>
      <c r="D105" s="531"/>
      <c r="E105" s="531"/>
      <c r="F105" s="531"/>
      <c r="G105" s="531"/>
      <c r="H105" s="531"/>
      <c r="I105" s="531"/>
      <c r="J105" s="531"/>
      <c r="K105" s="531"/>
      <c r="L105" s="531"/>
      <c r="M105" s="532"/>
    </row>
    <row r="106" spans="1:74" ht="14.4" x14ac:dyDescent="0.3">
      <c r="A106" s="239" t="s">
        <v>319</v>
      </c>
      <c r="B106" s="223" t="s">
        <v>320</v>
      </c>
      <c r="C106" s="521" t="s">
        <v>321</v>
      </c>
      <c r="D106" s="519"/>
      <c r="E106" s="223" t="s">
        <v>180</v>
      </c>
      <c r="F106" s="233">
        <v>196.3</v>
      </c>
      <c r="G106" s="311">
        <v>0</v>
      </c>
      <c r="H106" s="233">
        <f>F106*AM106</f>
        <v>0</v>
      </c>
      <c r="I106" s="233">
        <f>F106*AN106</f>
        <v>0</v>
      </c>
      <c r="J106" s="233">
        <f>F106*G106</f>
        <v>0</v>
      </c>
      <c r="K106" s="233">
        <v>0.4536</v>
      </c>
      <c r="L106" s="233">
        <f>F106*K106</f>
        <v>89.041679999999999</v>
      </c>
      <c r="M106" s="240" t="s">
        <v>472</v>
      </c>
      <c r="X106" s="233">
        <f>IF(AO106="5",BH106,0)</f>
        <v>0</v>
      </c>
      <c r="Z106" s="233">
        <f>IF(AO106="1",BF106,0)</f>
        <v>0</v>
      </c>
      <c r="AA106" s="233">
        <f>IF(AO106="1",BG106,0)</f>
        <v>0</v>
      </c>
      <c r="AB106" s="233">
        <f>IF(AO106="7",BF106,0)</f>
        <v>0</v>
      </c>
      <c r="AC106" s="233">
        <f>IF(AO106="7",BG106,0)</f>
        <v>0</v>
      </c>
      <c r="AD106" s="233">
        <f>IF(AO106="2",BF106,0)</f>
        <v>0</v>
      </c>
      <c r="AE106" s="233">
        <f>IF(AO106="2",BG106,0)</f>
        <v>0</v>
      </c>
      <c r="AF106" s="233">
        <f>IF(AO106="0",BH106,0)</f>
        <v>0</v>
      </c>
      <c r="AG106" s="229" t="s">
        <v>154</v>
      </c>
      <c r="AH106" s="233">
        <f>IF(AL106=0,J106,0)</f>
        <v>0</v>
      </c>
      <c r="AI106" s="233">
        <f>IF(AL106=15,J106,0)</f>
        <v>0</v>
      </c>
      <c r="AJ106" s="233">
        <f>IF(AL106=21,J106,0)</f>
        <v>0</v>
      </c>
      <c r="AL106" s="233">
        <v>15</v>
      </c>
      <c r="AM106" s="233">
        <f>G106*0.842955665</f>
        <v>0</v>
      </c>
      <c r="AN106" s="233">
        <f>G106*(1-0.842955665)</f>
        <v>0</v>
      </c>
      <c r="AO106" s="234" t="s">
        <v>157</v>
      </c>
      <c r="AT106" s="233">
        <f>AU106+AV106</f>
        <v>0</v>
      </c>
      <c r="AU106" s="233">
        <f>F106*AM106</f>
        <v>0</v>
      </c>
      <c r="AV106" s="233">
        <f>F106*AN106</f>
        <v>0</v>
      </c>
      <c r="AW106" s="234" t="s">
        <v>310</v>
      </c>
      <c r="AX106" s="234" t="s">
        <v>311</v>
      </c>
      <c r="AY106" s="229" t="s">
        <v>164</v>
      </c>
      <c r="BA106" s="233">
        <f>AU106+AV106</f>
        <v>0</v>
      </c>
      <c r="BB106" s="233">
        <f>G106/(100-BC106)*100</f>
        <v>0</v>
      </c>
      <c r="BC106" s="233">
        <v>0</v>
      </c>
      <c r="BD106" s="233">
        <f>L106</f>
        <v>89.041679999999999</v>
      </c>
      <c r="BF106" s="233">
        <f>F106*AM106</f>
        <v>0</v>
      </c>
      <c r="BG106" s="233">
        <f>F106*AN106</f>
        <v>0</v>
      </c>
      <c r="BH106" s="233">
        <f>F106*G106</f>
        <v>0</v>
      </c>
      <c r="BI106" s="233"/>
      <c r="BJ106" s="233">
        <v>56</v>
      </c>
      <c r="BU106" s="233" t="e">
        <f>#REF!</f>
        <v>#REF!</v>
      </c>
      <c r="BV106" s="225" t="s">
        <v>321</v>
      </c>
    </row>
    <row r="107" spans="1:74" ht="54" customHeight="1" x14ac:dyDescent="0.3">
      <c r="A107" s="241"/>
      <c r="B107" s="242" t="s">
        <v>165</v>
      </c>
      <c r="C107" s="530" t="s">
        <v>1629</v>
      </c>
      <c r="D107" s="531"/>
      <c r="E107" s="531"/>
      <c r="F107" s="531"/>
      <c r="G107" s="531"/>
      <c r="H107" s="531"/>
      <c r="I107" s="531"/>
      <c r="J107" s="531"/>
      <c r="K107" s="531"/>
      <c r="L107" s="531"/>
      <c r="M107" s="532"/>
    </row>
    <row r="108" spans="1:74" ht="14.4" x14ac:dyDescent="0.3">
      <c r="A108" s="239" t="s">
        <v>322</v>
      </c>
      <c r="B108" s="223" t="s">
        <v>323</v>
      </c>
      <c r="C108" s="521" t="s">
        <v>324</v>
      </c>
      <c r="D108" s="519"/>
      <c r="E108" s="223" t="s">
        <v>180</v>
      </c>
      <c r="F108" s="233">
        <v>196.3</v>
      </c>
      <c r="G108" s="311">
        <v>0</v>
      </c>
      <c r="H108" s="233">
        <f>F108*AM108</f>
        <v>0</v>
      </c>
      <c r="I108" s="233">
        <f>F108*AN108</f>
        <v>0</v>
      </c>
      <c r="J108" s="233">
        <f>F108*G108</f>
        <v>0</v>
      </c>
      <c r="K108" s="233">
        <v>0.21099999999999999</v>
      </c>
      <c r="L108" s="233">
        <f>F108*K108</f>
        <v>41.4193</v>
      </c>
      <c r="M108" s="240" t="s">
        <v>472</v>
      </c>
      <c r="X108" s="233">
        <f>IF(AO108="5",BH108,0)</f>
        <v>0</v>
      </c>
      <c r="Z108" s="233">
        <f>IF(AO108="1",BF108,0)</f>
        <v>0</v>
      </c>
      <c r="AA108" s="233">
        <f>IF(AO108="1",BG108,0)</f>
        <v>0</v>
      </c>
      <c r="AB108" s="233">
        <f>IF(AO108="7",BF108,0)</f>
        <v>0</v>
      </c>
      <c r="AC108" s="233">
        <f>IF(AO108="7",BG108,0)</f>
        <v>0</v>
      </c>
      <c r="AD108" s="233">
        <f>IF(AO108="2",BF108,0)</f>
        <v>0</v>
      </c>
      <c r="AE108" s="233">
        <f>IF(AO108="2",BG108,0)</f>
        <v>0</v>
      </c>
      <c r="AF108" s="233">
        <f>IF(AO108="0",BH108,0)</f>
        <v>0</v>
      </c>
      <c r="AG108" s="229" t="s">
        <v>154</v>
      </c>
      <c r="AH108" s="233">
        <f>IF(AL108=0,J108,0)</f>
        <v>0</v>
      </c>
      <c r="AI108" s="233">
        <f>IF(AL108=15,J108,0)</f>
        <v>0</v>
      </c>
      <c r="AJ108" s="233">
        <f>IF(AL108=21,J108,0)</f>
        <v>0</v>
      </c>
      <c r="AL108" s="233">
        <v>15</v>
      </c>
      <c r="AM108" s="233">
        <f>G108*0.593949483</f>
        <v>0</v>
      </c>
      <c r="AN108" s="233">
        <f>G108*(1-0.593949483)</f>
        <v>0</v>
      </c>
      <c r="AO108" s="234" t="s">
        <v>157</v>
      </c>
      <c r="AT108" s="233">
        <f>AU108+AV108</f>
        <v>0</v>
      </c>
      <c r="AU108" s="233">
        <f>F108*AM108</f>
        <v>0</v>
      </c>
      <c r="AV108" s="233">
        <f>F108*AN108</f>
        <v>0</v>
      </c>
      <c r="AW108" s="234" t="s">
        <v>310</v>
      </c>
      <c r="AX108" s="234" t="s">
        <v>311</v>
      </c>
      <c r="AY108" s="229" t="s">
        <v>164</v>
      </c>
      <c r="BA108" s="233">
        <f>AU108+AV108</f>
        <v>0</v>
      </c>
      <c r="BB108" s="233">
        <f>G108/(100-BC108)*100</f>
        <v>0</v>
      </c>
      <c r="BC108" s="233">
        <v>0</v>
      </c>
      <c r="BD108" s="233">
        <f>L108</f>
        <v>41.4193</v>
      </c>
      <c r="BF108" s="233">
        <f>F108*AM108</f>
        <v>0</v>
      </c>
      <c r="BG108" s="233">
        <f>F108*AN108</f>
        <v>0</v>
      </c>
      <c r="BH108" s="233">
        <f>F108*G108</f>
        <v>0</v>
      </c>
      <c r="BI108" s="233"/>
      <c r="BJ108" s="233">
        <v>56</v>
      </c>
      <c r="BU108" s="233" t="e">
        <f>#REF!</f>
        <v>#REF!</v>
      </c>
      <c r="BV108" s="225" t="s">
        <v>324</v>
      </c>
    </row>
    <row r="109" spans="1:74" ht="54" customHeight="1" x14ac:dyDescent="0.3">
      <c r="A109" s="241"/>
      <c r="B109" s="242" t="s">
        <v>165</v>
      </c>
      <c r="C109" s="530" t="s">
        <v>1630</v>
      </c>
      <c r="D109" s="531"/>
      <c r="E109" s="531"/>
      <c r="F109" s="531"/>
      <c r="G109" s="531"/>
      <c r="H109" s="531"/>
      <c r="I109" s="531"/>
      <c r="J109" s="531"/>
      <c r="K109" s="531"/>
      <c r="L109" s="531"/>
      <c r="M109" s="532"/>
    </row>
    <row r="110" spans="1:74" ht="14.4" x14ac:dyDescent="0.3">
      <c r="A110" s="239" t="s">
        <v>298</v>
      </c>
      <c r="B110" s="223" t="s">
        <v>1436</v>
      </c>
      <c r="C110" s="521" t="s">
        <v>1437</v>
      </c>
      <c r="D110" s="519"/>
      <c r="E110" s="223" t="s">
        <v>180</v>
      </c>
      <c r="F110" s="233">
        <v>188.73</v>
      </c>
      <c r="G110" s="311">
        <v>0</v>
      </c>
      <c r="H110" s="233">
        <f>F110*AM110</f>
        <v>0</v>
      </c>
      <c r="I110" s="233">
        <f>F110*AN110</f>
        <v>0</v>
      </c>
      <c r="J110" s="233">
        <f>F110*G110</f>
        <v>0</v>
      </c>
      <c r="K110" s="233">
        <v>0</v>
      </c>
      <c r="L110" s="233">
        <f>F110*K110</f>
        <v>0</v>
      </c>
      <c r="M110" s="240" t="s">
        <v>472</v>
      </c>
      <c r="X110" s="233">
        <f>IF(AO110="5",BH110,0)</f>
        <v>0</v>
      </c>
      <c r="Z110" s="233">
        <f>IF(AO110="1",BF110,0)</f>
        <v>0</v>
      </c>
      <c r="AA110" s="233">
        <f>IF(AO110="1",BG110,0)</f>
        <v>0</v>
      </c>
      <c r="AB110" s="233">
        <f>IF(AO110="7",BF110,0)</f>
        <v>0</v>
      </c>
      <c r="AC110" s="233">
        <f>IF(AO110="7",BG110,0)</f>
        <v>0</v>
      </c>
      <c r="AD110" s="233">
        <f>IF(AO110="2",BF110,0)</f>
        <v>0</v>
      </c>
      <c r="AE110" s="233">
        <f>IF(AO110="2",BG110,0)</f>
        <v>0</v>
      </c>
      <c r="AF110" s="233">
        <f>IF(AO110="0",BH110,0)</f>
        <v>0</v>
      </c>
      <c r="AG110" s="229" t="s">
        <v>154</v>
      </c>
      <c r="AH110" s="233">
        <f>IF(AL110=0,J110,0)</f>
        <v>0</v>
      </c>
      <c r="AI110" s="233">
        <f>IF(AL110=15,J110,0)</f>
        <v>0</v>
      </c>
      <c r="AJ110" s="233">
        <f>IF(AL110=21,J110,0)</f>
        <v>0</v>
      </c>
      <c r="AL110" s="233">
        <v>15</v>
      </c>
      <c r="AM110" s="233">
        <f>G110*0.898975213</f>
        <v>0</v>
      </c>
      <c r="AN110" s="233">
        <f>G110*(1-0.898975213)</f>
        <v>0</v>
      </c>
      <c r="AO110" s="234" t="s">
        <v>157</v>
      </c>
      <c r="AT110" s="233">
        <f>AU110+AV110</f>
        <v>0</v>
      </c>
      <c r="AU110" s="233">
        <f>F110*AM110</f>
        <v>0</v>
      </c>
      <c r="AV110" s="233">
        <f>F110*AN110</f>
        <v>0</v>
      </c>
      <c r="AW110" s="234" t="s">
        <v>310</v>
      </c>
      <c r="AX110" s="234" t="s">
        <v>311</v>
      </c>
      <c r="AY110" s="229" t="s">
        <v>164</v>
      </c>
      <c r="BA110" s="233">
        <f>AU110+AV110</f>
        <v>0</v>
      </c>
      <c r="BB110" s="233">
        <f>G110/(100-BC110)*100</f>
        <v>0</v>
      </c>
      <c r="BC110" s="233">
        <v>0</v>
      </c>
      <c r="BD110" s="233">
        <f>L110</f>
        <v>0</v>
      </c>
      <c r="BF110" s="233">
        <f>F110*AM110</f>
        <v>0</v>
      </c>
      <c r="BG110" s="233">
        <f>F110*AN110</f>
        <v>0</v>
      </c>
      <c r="BH110" s="233">
        <f>F110*G110</f>
        <v>0</v>
      </c>
      <c r="BI110" s="233"/>
      <c r="BJ110" s="233">
        <v>56</v>
      </c>
      <c r="BU110" s="233" t="e">
        <f>#REF!</f>
        <v>#REF!</v>
      </c>
      <c r="BV110" s="225" t="s">
        <v>1437</v>
      </c>
    </row>
    <row r="111" spans="1:74" ht="54" customHeight="1" x14ac:dyDescent="0.3">
      <c r="A111" s="241"/>
      <c r="B111" s="242" t="s">
        <v>165</v>
      </c>
      <c r="C111" s="530" t="s">
        <v>1631</v>
      </c>
      <c r="D111" s="531"/>
      <c r="E111" s="531"/>
      <c r="F111" s="531"/>
      <c r="G111" s="531"/>
      <c r="H111" s="531"/>
      <c r="I111" s="531"/>
      <c r="J111" s="531"/>
      <c r="K111" s="531"/>
      <c r="L111" s="531"/>
      <c r="M111" s="532"/>
    </row>
    <row r="112" spans="1:74" ht="14.4" x14ac:dyDescent="0.3">
      <c r="A112" s="239" t="s">
        <v>327</v>
      </c>
      <c r="B112" s="223" t="s">
        <v>325</v>
      </c>
      <c r="C112" s="521" t="s">
        <v>859</v>
      </c>
      <c r="D112" s="519"/>
      <c r="E112" s="223" t="s">
        <v>180</v>
      </c>
      <c r="F112" s="233">
        <v>64.349999999999994</v>
      </c>
      <c r="G112" s="311">
        <v>0</v>
      </c>
      <c r="H112" s="233">
        <f>F112*AM112</f>
        <v>0</v>
      </c>
      <c r="I112" s="233">
        <f>F112*AN112</f>
        <v>0</v>
      </c>
      <c r="J112" s="233">
        <f>F112*G112</f>
        <v>0</v>
      </c>
      <c r="K112" s="233">
        <v>0.55125000000000002</v>
      </c>
      <c r="L112" s="233">
        <f>F112*K112</f>
        <v>35.4729375</v>
      </c>
      <c r="M112" s="240" t="s">
        <v>472</v>
      </c>
      <c r="X112" s="233">
        <f>IF(AO112="5",BH112,0)</f>
        <v>0</v>
      </c>
      <c r="Z112" s="233">
        <f>IF(AO112="1",BF112,0)</f>
        <v>0</v>
      </c>
      <c r="AA112" s="233">
        <f>IF(AO112="1",BG112,0)</f>
        <v>0</v>
      </c>
      <c r="AB112" s="233">
        <f>IF(AO112="7",BF112,0)</f>
        <v>0</v>
      </c>
      <c r="AC112" s="233">
        <f>IF(AO112="7",BG112,0)</f>
        <v>0</v>
      </c>
      <c r="AD112" s="233">
        <f>IF(AO112="2",BF112,0)</f>
        <v>0</v>
      </c>
      <c r="AE112" s="233">
        <f>IF(AO112="2",BG112,0)</f>
        <v>0</v>
      </c>
      <c r="AF112" s="233">
        <f>IF(AO112="0",BH112,0)</f>
        <v>0</v>
      </c>
      <c r="AG112" s="229" t="s">
        <v>154</v>
      </c>
      <c r="AH112" s="233">
        <f>IF(AL112=0,J112,0)</f>
        <v>0</v>
      </c>
      <c r="AI112" s="233">
        <f>IF(AL112=15,J112,0)</f>
        <v>0</v>
      </c>
      <c r="AJ112" s="233">
        <f>IF(AL112=21,J112,0)</f>
        <v>0</v>
      </c>
      <c r="AL112" s="233">
        <v>15</v>
      </c>
      <c r="AM112" s="233">
        <f>G112*0.875289759</f>
        <v>0</v>
      </c>
      <c r="AN112" s="233">
        <f>G112*(1-0.875289759)</f>
        <v>0</v>
      </c>
      <c r="AO112" s="234" t="s">
        <v>157</v>
      </c>
      <c r="AT112" s="233">
        <f>AU112+AV112</f>
        <v>0</v>
      </c>
      <c r="AU112" s="233">
        <f>F112*AM112</f>
        <v>0</v>
      </c>
      <c r="AV112" s="233">
        <f>F112*AN112</f>
        <v>0</v>
      </c>
      <c r="AW112" s="234" t="s">
        <v>310</v>
      </c>
      <c r="AX112" s="234" t="s">
        <v>311</v>
      </c>
      <c r="AY112" s="229" t="s">
        <v>164</v>
      </c>
      <c r="BA112" s="233">
        <f>AU112+AV112</f>
        <v>0</v>
      </c>
      <c r="BB112" s="233">
        <f>G112/(100-BC112)*100</f>
        <v>0</v>
      </c>
      <c r="BC112" s="233">
        <v>0</v>
      </c>
      <c r="BD112" s="233">
        <f>L112</f>
        <v>35.4729375</v>
      </c>
      <c r="BF112" s="233">
        <f>F112*AM112</f>
        <v>0</v>
      </c>
      <c r="BG112" s="233">
        <f>F112*AN112</f>
        <v>0</v>
      </c>
      <c r="BH112" s="233">
        <f>F112*G112</f>
        <v>0</v>
      </c>
      <c r="BI112" s="233"/>
      <c r="BJ112" s="233">
        <v>56</v>
      </c>
      <c r="BU112" s="233" t="e">
        <f>#REF!</f>
        <v>#REF!</v>
      </c>
      <c r="BV112" s="225" t="s">
        <v>859</v>
      </c>
    </row>
    <row r="113" spans="1:74" ht="40.5" customHeight="1" x14ac:dyDescent="0.3">
      <c r="A113" s="241"/>
      <c r="B113" s="242" t="s">
        <v>165</v>
      </c>
      <c r="C113" s="530" t="s">
        <v>1632</v>
      </c>
      <c r="D113" s="531"/>
      <c r="E113" s="531"/>
      <c r="F113" s="531"/>
      <c r="G113" s="531"/>
      <c r="H113" s="531"/>
      <c r="I113" s="531"/>
      <c r="J113" s="531"/>
      <c r="K113" s="531"/>
      <c r="L113" s="531"/>
      <c r="M113" s="532"/>
    </row>
    <row r="114" spans="1:74" ht="14.4" x14ac:dyDescent="0.3">
      <c r="A114" s="239" t="s">
        <v>329</v>
      </c>
      <c r="B114" s="223" t="s">
        <v>316</v>
      </c>
      <c r="C114" s="521" t="s">
        <v>328</v>
      </c>
      <c r="D114" s="519"/>
      <c r="E114" s="223" t="s">
        <v>180</v>
      </c>
      <c r="F114" s="233">
        <v>66.72</v>
      </c>
      <c r="G114" s="311">
        <v>0</v>
      </c>
      <c r="H114" s="233">
        <f>F114*AM114</f>
        <v>0</v>
      </c>
      <c r="I114" s="233">
        <f>F114*AN114</f>
        <v>0</v>
      </c>
      <c r="J114" s="233">
        <f>F114*G114</f>
        <v>0</v>
      </c>
      <c r="K114" s="233">
        <v>0.48574000000000001</v>
      </c>
      <c r="L114" s="233">
        <f>F114*K114</f>
        <v>32.408572800000002</v>
      </c>
      <c r="M114" s="240" t="s">
        <v>472</v>
      </c>
      <c r="X114" s="233">
        <f>IF(AO114="5",BH114,0)</f>
        <v>0</v>
      </c>
      <c r="Z114" s="233">
        <f>IF(AO114="1",BF114,0)</f>
        <v>0</v>
      </c>
      <c r="AA114" s="233">
        <f>IF(AO114="1",BG114,0)</f>
        <v>0</v>
      </c>
      <c r="AB114" s="233">
        <f>IF(AO114="7",BF114,0)</f>
        <v>0</v>
      </c>
      <c r="AC114" s="233">
        <f>IF(AO114="7",BG114,0)</f>
        <v>0</v>
      </c>
      <c r="AD114" s="233">
        <f>IF(AO114="2",BF114,0)</f>
        <v>0</v>
      </c>
      <c r="AE114" s="233">
        <f>IF(AO114="2",BG114,0)</f>
        <v>0</v>
      </c>
      <c r="AF114" s="233">
        <f>IF(AO114="0",BH114,0)</f>
        <v>0</v>
      </c>
      <c r="AG114" s="229" t="s">
        <v>154</v>
      </c>
      <c r="AH114" s="233">
        <f>IF(AL114=0,J114,0)</f>
        <v>0</v>
      </c>
      <c r="AI114" s="233">
        <f>IF(AL114=15,J114,0)</f>
        <v>0</v>
      </c>
      <c r="AJ114" s="233">
        <f>IF(AL114=21,J114,0)</f>
        <v>0</v>
      </c>
      <c r="AL114" s="233">
        <v>15</v>
      </c>
      <c r="AM114" s="233">
        <f>G114*0.812874568</f>
        <v>0</v>
      </c>
      <c r="AN114" s="233">
        <f>G114*(1-0.812874568)</f>
        <v>0</v>
      </c>
      <c r="AO114" s="234" t="s">
        <v>157</v>
      </c>
      <c r="AT114" s="233">
        <f>AU114+AV114</f>
        <v>0</v>
      </c>
      <c r="AU114" s="233">
        <f>F114*AM114</f>
        <v>0</v>
      </c>
      <c r="AV114" s="233">
        <f>F114*AN114</f>
        <v>0</v>
      </c>
      <c r="AW114" s="234" t="s">
        <v>310</v>
      </c>
      <c r="AX114" s="234" t="s">
        <v>311</v>
      </c>
      <c r="AY114" s="229" t="s">
        <v>164</v>
      </c>
      <c r="BA114" s="233">
        <f>AU114+AV114</f>
        <v>0</v>
      </c>
      <c r="BB114" s="233">
        <f>G114/(100-BC114)*100</f>
        <v>0</v>
      </c>
      <c r="BC114" s="233">
        <v>0</v>
      </c>
      <c r="BD114" s="233">
        <f>L114</f>
        <v>32.408572800000002</v>
      </c>
      <c r="BF114" s="233">
        <f>F114*AM114</f>
        <v>0</v>
      </c>
      <c r="BG114" s="233">
        <f>F114*AN114</f>
        <v>0</v>
      </c>
      <c r="BH114" s="233">
        <f>F114*G114</f>
        <v>0</v>
      </c>
      <c r="BI114" s="233"/>
      <c r="BJ114" s="233">
        <v>56</v>
      </c>
      <c r="BU114" s="233" t="e">
        <f>#REF!</f>
        <v>#REF!</v>
      </c>
      <c r="BV114" s="225" t="s">
        <v>328</v>
      </c>
    </row>
    <row r="115" spans="1:74" ht="40.5" customHeight="1" x14ac:dyDescent="0.3">
      <c r="A115" s="241"/>
      <c r="B115" s="242" t="s">
        <v>165</v>
      </c>
      <c r="C115" s="530" t="s">
        <v>1633</v>
      </c>
      <c r="D115" s="531"/>
      <c r="E115" s="531"/>
      <c r="F115" s="531"/>
      <c r="G115" s="531"/>
      <c r="H115" s="531"/>
      <c r="I115" s="531"/>
      <c r="J115" s="531"/>
      <c r="K115" s="531"/>
      <c r="L115" s="531"/>
      <c r="M115" s="532"/>
    </row>
    <row r="116" spans="1:74" ht="14.4" x14ac:dyDescent="0.3">
      <c r="A116" s="239" t="s">
        <v>332</v>
      </c>
      <c r="B116" s="223" t="s">
        <v>330</v>
      </c>
      <c r="C116" s="521" t="s">
        <v>331</v>
      </c>
      <c r="D116" s="519"/>
      <c r="E116" s="223" t="s">
        <v>180</v>
      </c>
      <c r="F116" s="233">
        <v>65.42</v>
      </c>
      <c r="G116" s="311">
        <v>0</v>
      </c>
      <c r="H116" s="233">
        <f>F116*AM116</f>
        <v>0</v>
      </c>
      <c r="I116" s="233">
        <f>F116*AN116</f>
        <v>0</v>
      </c>
      <c r="J116" s="233">
        <f>F116*G116</f>
        <v>0</v>
      </c>
      <c r="K116" s="233">
        <v>0.378</v>
      </c>
      <c r="L116" s="233">
        <f>F116*K116</f>
        <v>24.728760000000001</v>
      </c>
      <c r="M116" s="240" t="s">
        <v>472</v>
      </c>
      <c r="X116" s="233">
        <f>IF(AO116="5",BH116,0)</f>
        <v>0</v>
      </c>
      <c r="Z116" s="233">
        <f>IF(AO116="1",BF116,0)</f>
        <v>0</v>
      </c>
      <c r="AA116" s="233">
        <f>IF(AO116="1",BG116,0)</f>
        <v>0</v>
      </c>
      <c r="AB116" s="233">
        <f>IF(AO116="7",BF116,0)</f>
        <v>0</v>
      </c>
      <c r="AC116" s="233">
        <f>IF(AO116="7",BG116,0)</f>
        <v>0</v>
      </c>
      <c r="AD116" s="233">
        <f>IF(AO116="2",BF116,0)</f>
        <v>0</v>
      </c>
      <c r="AE116" s="233">
        <f>IF(AO116="2",BG116,0)</f>
        <v>0</v>
      </c>
      <c r="AF116" s="233">
        <f>IF(AO116="0",BH116,0)</f>
        <v>0</v>
      </c>
      <c r="AG116" s="229" t="s">
        <v>154</v>
      </c>
      <c r="AH116" s="233">
        <f>IF(AL116=0,J116,0)</f>
        <v>0</v>
      </c>
      <c r="AI116" s="233">
        <f>IF(AL116=15,J116,0)</f>
        <v>0</v>
      </c>
      <c r="AJ116" s="233">
        <f>IF(AL116=21,J116,0)</f>
        <v>0</v>
      </c>
      <c r="AL116" s="233">
        <v>15</v>
      </c>
      <c r="AM116" s="233">
        <f>G116*0.825271706</f>
        <v>0</v>
      </c>
      <c r="AN116" s="233">
        <f>G116*(1-0.825271706)</f>
        <v>0</v>
      </c>
      <c r="AO116" s="234" t="s">
        <v>157</v>
      </c>
      <c r="AT116" s="233">
        <f>AU116+AV116</f>
        <v>0</v>
      </c>
      <c r="AU116" s="233">
        <f>F116*AM116</f>
        <v>0</v>
      </c>
      <c r="AV116" s="233">
        <f>F116*AN116</f>
        <v>0</v>
      </c>
      <c r="AW116" s="234" t="s">
        <v>310</v>
      </c>
      <c r="AX116" s="234" t="s">
        <v>311</v>
      </c>
      <c r="AY116" s="229" t="s">
        <v>164</v>
      </c>
      <c r="BA116" s="233">
        <f>AU116+AV116</f>
        <v>0</v>
      </c>
      <c r="BB116" s="233">
        <f>G116/(100-BC116)*100</f>
        <v>0</v>
      </c>
      <c r="BC116" s="233">
        <v>0</v>
      </c>
      <c r="BD116" s="233">
        <f>L116</f>
        <v>24.728760000000001</v>
      </c>
      <c r="BF116" s="233">
        <f>F116*AM116</f>
        <v>0</v>
      </c>
      <c r="BG116" s="233">
        <f>F116*AN116</f>
        <v>0</v>
      </c>
      <c r="BH116" s="233">
        <f>F116*G116</f>
        <v>0</v>
      </c>
      <c r="BI116" s="233"/>
      <c r="BJ116" s="233">
        <v>56</v>
      </c>
      <c r="BU116" s="233" t="e">
        <f>#REF!</f>
        <v>#REF!</v>
      </c>
      <c r="BV116" s="225" t="s">
        <v>331</v>
      </c>
    </row>
    <row r="117" spans="1:74" ht="40.5" customHeight="1" x14ac:dyDescent="0.3">
      <c r="A117" s="241"/>
      <c r="B117" s="242" t="s">
        <v>165</v>
      </c>
      <c r="C117" s="530" t="s">
        <v>1634</v>
      </c>
      <c r="D117" s="531"/>
      <c r="E117" s="531"/>
      <c r="F117" s="531"/>
      <c r="G117" s="531"/>
      <c r="H117" s="531"/>
      <c r="I117" s="531"/>
      <c r="J117" s="531"/>
      <c r="K117" s="531"/>
      <c r="L117" s="531"/>
      <c r="M117" s="532"/>
    </row>
    <row r="118" spans="1:74" ht="14.4" x14ac:dyDescent="0.3">
      <c r="A118" s="239" t="s">
        <v>337</v>
      </c>
      <c r="B118" s="223" t="s">
        <v>333</v>
      </c>
      <c r="C118" s="521" t="s">
        <v>334</v>
      </c>
      <c r="D118" s="519"/>
      <c r="E118" s="223" t="s">
        <v>180</v>
      </c>
      <c r="F118" s="233">
        <v>65.42</v>
      </c>
      <c r="G118" s="311">
        <v>0</v>
      </c>
      <c r="H118" s="233">
        <f>F118*AM118</f>
        <v>0</v>
      </c>
      <c r="I118" s="233">
        <f>F118*AN118</f>
        <v>0</v>
      </c>
      <c r="J118" s="233">
        <f>F118*G118</f>
        <v>0</v>
      </c>
      <c r="K118" s="233">
        <v>0.15826000000000001</v>
      </c>
      <c r="L118" s="233">
        <f>F118*K118</f>
        <v>10.353369200000001</v>
      </c>
      <c r="M118" s="240" t="s">
        <v>472</v>
      </c>
      <c r="X118" s="233">
        <f>IF(AO118="5",BH118,0)</f>
        <v>0</v>
      </c>
      <c r="Z118" s="233">
        <f>IF(AO118="1",BF118,0)</f>
        <v>0</v>
      </c>
      <c r="AA118" s="233">
        <f>IF(AO118="1",BG118,0)</f>
        <v>0</v>
      </c>
      <c r="AB118" s="233">
        <f>IF(AO118="7",BF118,0)</f>
        <v>0</v>
      </c>
      <c r="AC118" s="233">
        <f>IF(AO118="7",BG118,0)</f>
        <v>0</v>
      </c>
      <c r="AD118" s="233">
        <f>IF(AO118="2",BF118,0)</f>
        <v>0</v>
      </c>
      <c r="AE118" s="233">
        <f>IF(AO118="2",BG118,0)</f>
        <v>0</v>
      </c>
      <c r="AF118" s="233">
        <f>IF(AO118="0",BH118,0)</f>
        <v>0</v>
      </c>
      <c r="AG118" s="229" t="s">
        <v>154</v>
      </c>
      <c r="AH118" s="233">
        <f>IF(AL118=0,J118,0)</f>
        <v>0</v>
      </c>
      <c r="AI118" s="233">
        <f>IF(AL118=15,J118,0)</f>
        <v>0</v>
      </c>
      <c r="AJ118" s="233">
        <f>IF(AL118=21,J118,0)</f>
        <v>0</v>
      </c>
      <c r="AL118" s="233">
        <v>15</v>
      </c>
      <c r="AM118" s="233">
        <f>G118*0.80034766</f>
        <v>0</v>
      </c>
      <c r="AN118" s="233">
        <f>G118*(1-0.80034766)</f>
        <v>0</v>
      </c>
      <c r="AO118" s="234" t="s">
        <v>157</v>
      </c>
      <c r="AT118" s="233">
        <f>AU118+AV118</f>
        <v>0</v>
      </c>
      <c r="AU118" s="233">
        <f>F118*AM118</f>
        <v>0</v>
      </c>
      <c r="AV118" s="233">
        <f>F118*AN118</f>
        <v>0</v>
      </c>
      <c r="AW118" s="234" t="s">
        <v>310</v>
      </c>
      <c r="AX118" s="234" t="s">
        <v>311</v>
      </c>
      <c r="AY118" s="229" t="s">
        <v>164</v>
      </c>
      <c r="BA118" s="233">
        <f>AU118+AV118</f>
        <v>0</v>
      </c>
      <c r="BB118" s="233">
        <f>G118/(100-BC118)*100</f>
        <v>0</v>
      </c>
      <c r="BC118" s="233">
        <v>0</v>
      </c>
      <c r="BD118" s="233">
        <f>L118</f>
        <v>10.353369200000001</v>
      </c>
      <c r="BF118" s="233">
        <f>F118*AM118</f>
        <v>0</v>
      </c>
      <c r="BG118" s="233">
        <f>F118*AN118</f>
        <v>0</v>
      </c>
      <c r="BH118" s="233">
        <f>F118*G118</f>
        <v>0</v>
      </c>
      <c r="BI118" s="233"/>
      <c r="BJ118" s="233">
        <v>56</v>
      </c>
      <c r="BU118" s="233" t="e">
        <f>#REF!</f>
        <v>#REF!</v>
      </c>
      <c r="BV118" s="225" t="s">
        <v>334</v>
      </c>
    </row>
    <row r="119" spans="1:74" ht="40.5" customHeight="1" x14ac:dyDescent="0.3">
      <c r="A119" s="241"/>
      <c r="B119" s="242" t="s">
        <v>165</v>
      </c>
      <c r="C119" s="530" t="s">
        <v>1635</v>
      </c>
      <c r="D119" s="531"/>
      <c r="E119" s="531"/>
      <c r="F119" s="531"/>
      <c r="G119" s="531"/>
      <c r="H119" s="531"/>
      <c r="I119" s="531"/>
      <c r="J119" s="531"/>
      <c r="K119" s="531"/>
      <c r="L119" s="531"/>
      <c r="M119" s="532"/>
    </row>
    <row r="120" spans="1:74" ht="14.4" x14ac:dyDescent="0.3">
      <c r="A120" s="239" t="s">
        <v>154</v>
      </c>
      <c r="B120" s="224" t="s">
        <v>335</v>
      </c>
      <c r="C120" s="526" t="s">
        <v>336</v>
      </c>
      <c r="D120" s="527"/>
      <c r="E120" s="223" t="s">
        <v>114</v>
      </c>
      <c r="F120" s="223" t="s">
        <v>114</v>
      </c>
      <c r="G120" s="223" t="s">
        <v>114</v>
      </c>
      <c r="H120" s="235">
        <f>SUM(H121:H123)</f>
        <v>0</v>
      </c>
      <c r="I120" s="235">
        <f>SUM(I121:I123)</f>
        <v>0</v>
      </c>
      <c r="J120" s="235">
        <f>SUM(J121:J123)</f>
        <v>0</v>
      </c>
      <c r="K120" s="230" t="s">
        <v>154</v>
      </c>
      <c r="L120" s="235">
        <f>SUM(L121:L123)</f>
        <v>0.18320400000000001</v>
      </c>
      <c r="M120" s="243" t="s">
        <v>154</v>
      </c>
      <c r="AG120" s="229" t="s">
        <v>154</v>
      </c>
      <c r="AQ120" s="222">
        <f>SUM(AH121:AH123)</f>
        <v>0</v>
      </c>
      <c r="AR120" s="222">
        <f>SUM(AI121:AI123)</f>
        <v>0</v>
      </c>
      <c r="AS120" s="222">
        <f>SUM(AJ121:AJ123)</f>
        <v>0</v>
      </c>
    </row>
    <row r="121" spans="1:74" ht="14.4" x14ac:dyDescent="0.3">
      <c r="A121" s="239" t="s">
        <v>341</v>
      </c>
      <c r="B121" s="223" t="s">
        <v>342</v>
      </c>
      <c r="C121" s="521" t="s">
        <v>427</v>
      </c>
      <c r="D121" s="519"/>
      <c r="E121" s="223" t="s">
        <v>180</v>
      </c>
      <c r="F121" s="233">
        <v>196.3</v>
      </c>
      <c r="G121" s="311">
        <v>0</v>
      </c>
      <c r="H121" s="233">
        <f>F121*AM121</f>
        <v>0</v>
      </c>
      <c r="I121" s="233">
        <f>F121*AN121</f>
        <v>0</v>
      </c>
      <c r="J121" s="233">
        <f>F121*G121</f>
        <v>0</v>
      </c>
      <c r="K121" s="233">
        <v>6.9999999999999999E-4</v>
      </c>
      <c r="L121" s="233">
        <f>F121*K121</f>
        <v>0.13741</v>
      </c>
      <c r="M121" s="240" t="s">
        <v>472</v>
      </c>
      <c r="X121" s="233">
        <f>IF(AO121="5",BH121,0)</f>
        <v>0</v>
      </c>
      <c r="Z121" s="233">
        <f>IF(AO121="1",BF121,0)</f>
        <v>0</v>
      </c>
      <c r="AA121" s="233">
        <f>IF(AO121="1",BG121,0)</f>
        <v>0</v>
      </c>
      <c r="AB121" s="233">
        <f>IF(AO121="7",BF121,0)</f>
        <v>0</v>
      </c>
      <c r="AC121" s="233">
        <f>IF(AO121="7",BG121,0)</f>
        <v>0</v>
      </c>
      <c r="AD121" s="233">
        <f>IF(AO121="2",BF121,0)</f>
        <v>0</v>
      </c>
      <c r="AE121" s="233">
        <f>IF(AO121="2",BG121,0)</f>
        <v>0</v>
      </c>
      <c r="AF121" s="233">
        <f>IF(AO121="0",BH121,0)</f>
        <v>0</v>
      </c>
      <c r="AG121" s="229" t="s">
        <v>154</v>
      </c>
      <c r="AH121" s="233">
        <f>IF(AL121=0,J121,0)</f>
        <v>0</v>
      </c>
      <c r="AI121" s="233">
        <f>IF(AL121=15,J121,0)</f>
        <v>0</v>
      </c>
      <c r="AJ121" s="233">
        <f>IF(AL121=21,J121,0)</f>
        <v>0</v>
      </c>
      <c r="AL121" s="233">
        <v>15</v>
      </c>
      <c r="AM121" s="233">
        <f>G121*0.931524756</f>
        <v>0</v>
      </c>
      <c r="AN121" s="233">
        <f>G121*(1-0.931524756)</f>
        <v>0</v>
      </c>
      <c r="AO121" s="234" t="s">
        <v>157</v>
      </c>
      <c r="AT121" s="233">
        <f>AU121+AV121</f>
        <v>0</v>
      </c>
      <c r="AU121" s="233">
        <f>F121*AM121</f>
        <v>0</v>
      </c>
      <c r="AV121" s="233">
        <f>F121*AN121</f>
        <v>0</v>
      </c>
      <c r="AW121" s="234" t="s">
        <v>340</v>
      </c>
      <c r="AX121" s="234" t="s">
        <v>311</v>
      </c>
      <c r="AY121" s="229" t="s">
        <v>164</v>
      </c>
      <c r="BA121" s="233">
        <f>AU121+AV121</f>
        <v>0</v>
      </c>
      <c r="BB121" s="233">
        <f>G121/(100-BC121)*100</f>
        <v>0</v>
      </c>
      <c r="BC121" s="233">
        <v>0</v>
      </c>
      <c r="BD121" s="233">
        <f>L121</f>
        <v>0.13741</v>
      </c>
      <c r="BF121" s="233">
        <f>F121*AM121</f>
        <v>0</v>
      </c>
      <c r="BG121" s="233">
        <f>F121*AN121</f>
        <v>0</v>
      </c>
      <c r="BH121" s="233">
        <f>F121*G121</f>
        <v>0</v>
      </c>
      <c r="BI121" s="233"/>
      <c r="BJ121" s="233">
        <v>57</v>
      </c>
      <c r="BU121" s="233" t="e">
        <f>#REF!</f>
        <v>#REF!</v>
      </c>
      <c r="BV121" s="225" t="s">
        <v>427</v>
      </c>
    </row>
    <row r="122" spans="1:74" ht="54" customHeight="1" x14ac:dyDescent="0.3">
      <c r="A122" s="244"/>
      <c r="B122" s="245" t="s">
        <v>165</v>
      </c>
      <c r="C122" s="540" t="s">
        <v>1636</v>
      </c>
      <c r="D122" s="541"/>
      <c r="E122" s="541"/>
      <c r="F122" s="541"/>
      <c r="G122" s="541"/>
      <c r="H122" s="541"/>
      <c r="I122" s="541"/>
      <c r="J122" s="541"/>
      <c r="K122" s="541"/>
      <c r="L122" s="541"/>
      <c r="M122" s="542"/>
    </row>
    <row r="123" spans="1:74" ht="14.4" x14ac:dyDescent="0.3">
      <c r="A123" s="237" t="s">
        <v>346</v>
      </c>
      <c r="B123" s="238" t="s">
        <v>342</v>
      </c>
      <c r="C123" s="543" t="s">
        <v>343</v>
      </c>
      <c r="D123" s="544"/>
      <c r="E123" s="238" t="s">
        <v>180</v>
      </c>
      <c r="F123" s="258">
        <v>65.42</v>
      </c>
      <c r="G123" s="311">
        <v>0</v>
      </c>
      <c r="H123" s="258">
        <f>F123*AM123</f>
        <v>0</v>
      </c>
      <c r="I123" s="258">
        <f>F123*AN123</f>
        <v>0</v>
      </c>
      <c r="J123" s="258">
        <f>F123*G123</f>
        <v>0</v>
      </c>
      <c r="K123" s="258">
        <v>6.9999999999999999E-4</v>
      </c>
      <c r="L123" s="258">
        <f>F123*K123</f>
        <v>4.5794000000000001E-2</v>
      </c>
      <c r="M123" s="259" t="s">
        <v>472</v>
      </c>
      <c r="X123" s="233">
        <f>IF(AO123="5",BH123,0)</f>
        <v>0</v>
      </c>
      <c r="Z123" s="233">
        <f>IF(AO123="1",BF123,0)</f>
        <v>0</v>
      </c>
      <c r="AA123" s="233">
        <f>IF(AO123="1",BG123,0)</f>
        <v>0</v>
      </c>
      <c r="AB123" s="233">
        <f>IF(AO123="7",BF123,0)</f>
        <v>0</v>
      </c>
      <c r="AC123" s="233">
        <f>IF(AO123="7",BG123,0)</f>
        <v>0</v>
      </c>
      <c r="AD123" s="233">
        <f>IF(AO123="2",BF123,0)</f>
        <v>0</v>
      </c>
      <c r="AE123" s="233">
        <f>IF(AO123="2",BG123,0)</f>
        <v>0</v>
      </c>
      <c r="AF123" s="233">
        <f>IF(AO123="0",BH123,0)</f>
        <v>0</v>
      </c>
      <c r="AG123" s="229" t="s">
        <v>154</v>
      </c>
      <c r="AH123" s="233">
        <f>IF(AL123=0,J123,0)</f>
        <v>0</v>
      </c>
      <c r="AI123" s="233">
        <f>IF(AL123=15,J123,0)</f>
        <v>0</v>
      </c>
      <c r="AJ123" s="233">
        <f>IF(AL123=21,J123,0)</f>
        <v>0</v>
      </c>
      <c r="AL123" s="233">
        <v>15</v>
      </c>
      <c r="AM123" s="233">
        <f>G123*0.931545331</f>
        <v>0</v>
      </c>
      <c r="AN123" s="233">
        <f>G123*(1-0.931545331)</f>
        <v>0</v>
      </c>
      <c r="AO123" s="234" t="s">
        <v>157</v>
      </c>
      <c r="AT123" s="233">
        <f>AU123+AV123</f>
        <v>0</v>
      </c>
      <c r="AU123" s="233">
        <f>F123*AM123</f>
        <v>0</v>
      </c>
      <c r="AV123" s="233">
        <f>F123*AN123</f>
        <v>0</v>
      </c>
      <c r="AW123" s="234" t="s">
        <v>340</v>
      </c>
      <c r="AX123" s="234" t="s">
        <v>311</v>
      </c>
      <c r="AY123" s="229" t="s">
        <v>164</v>
      </c>
      <c r="BA123" s="233">
        <f>AU123+AV123</f>
        <v>0</v>
      </c>
      <c r="BB123" s="233">
        <f>G123/(100-BC123)*100</f>
        <v>0</v>
      </c>
      <c r="BC123" s="233">
        <v>0</v>
      </c>
      <c r="BD123" s="233">
        <f>L123</f>
        <v>4.5794000000000001E-2</v>
      </c>
      <c r="BF123" s="233">
        <f>F123*AM123</f>
        <v>0</v>
      </c>
      <c r="BG123" s="233">
        <f>F123*AN123</f>
        <v>0</v>
      </c>
      <c r="BH123" s="233">
        <f>F123*G123</f>
        <v>0</v>
      </c>
      <c r="BI123" s="233"/>
      <c r="BJ123" s="233">
        <v>57</v>
      </c>
      <c r="BU123" s="233" t="e">
        <f>#REF!</f>
        <v>#REF!</v>
      </c>
      <c r="BV123" s="225" t="s">
        <v>343</v>
      </c>
    </row>
    <row r="124" spans="1:74" ht="40.5" customHeight="1" x14ac:dyDescent="0.3">
      <c r="A124" s="241"/>
      <c r="B124" s="242" t="s">
        <v>165</v>
      </c>
      <c r="C124" s="530" t="s">
        <v>1637</v>
      </c>
      <c r="D124" s="531"/>
      <c r="E124" s="531"/>
      <c r="F124" s="531"/>
      <c r="G124" s="531"/>
      <c r="H124" s="531"/>
      <c r="I124" s="531"/>
      <c r="J124" s="531"/>
      <c r="K124" s="531"/>
      <c r="L124" s="531"/>
      <c r="M124" s="532"/>
    </row>
    <row r="125" spans="1:74" ht="14.4" x14ac:dyDescent="0.3">
      <c r="A125" s="239" t="s">
        <v>154</v>
      </c>
      <c r="B125" s="224" t="s">
        <v>539</v>
      </c>
      <c r="C125" s="526" t="s">
        <v>540</v>
      </c>
      <c r="D125" s="527"/>
      <c r="E125" s="223" t="s">
        <v>114</v>
      </c>
      <c r="F125" s="223" t="s">
        <v>114</v>
      </c>
      <c r="G125" s="223" t="s">
        <v>114</v>
      </c>
      <c r="H125" s="235">
        <f>SUM(H126:H134)</f>
        <v>0</v>
      </c>
      <c r="I125" s="235">
        <f>SUM(I126:I134)</f>
        <v>0</v>
      </c>
      <c r="J125" s="235">
        <f>SUM(J126:J134)</f>
        <v>0</v>
      </c>
      <c r="K125" s="230" t="s">
        <v>154</v>
      </c>
      <c r="L125" s="235">
        <f>SUM(L126:L134)</f>
        <v>2.4350000000000004E-2</v>
      </c>
      <c r="M125" s="243" t="s">
        <v>154</v>
      </c>
      <c r="AG125" s="229" t="s">
        <v>154</v>
      </c>
      <c r="AQ125" s="222">
        <f>SUM(AH126:AH134)</f>
        <v>0</v>
      </c>
      <c r="AR125" s="222">
        <f>SUM(AI126:AI134)</f>
        <v>0</v>
      </c>
      <c r="AS125" s="222">
        <f>SUM(AJ126:AJ134)</f>
        <v>0</v>
      </c>
    </row>
    <row r="126" spans="1:74" ht="14.4" x14ac:dyDescent="0.3">
      <c r="A126" s="239" t="s">
        <v>352</v>
      </c>
      <c r="B126" s="223" t="s">
        <v>892</v>
      </c>
      <c r="C126" s="521" t="s">
        <v>893</v>
      </c>
      <c r="D126" s="519"/>
      <c r="E126" s="223" t="s">
        <v>160</v>
      </c>
      <c r="F126" s="233">
        <v>147</v>
      </c>
      <c r="G126" s="311">
        <v>0</v>
      </c>
      <c r="H126" s="233">
        <f>F126*AM126</f>
        <v>0</v>
      </c>
      <c r="I126" s="233">
        <f>F126*AN126</f>
        <v>0</v>
      </c>
      <c r="J126" s="233">
        <f>F126*G126</f>
        <v>0</v>
      </c>
      <c r="K126" s="233">
        <v>1.6000000000000001E-4</v>
      </c>
      <c r="L126" s="233">
        <f>F126*K126</f>
        <v>2.3520000000000003E-2</v>
      </c>
      <c r="M126" s="240" t="s">
        <v>472</v>
      </c>
      <c r="X126" s="233">
        <f>IF(AO126="5",BH126,0)</f>
        <v>0</v>
      </c>
      <c r="Z126" s="233">
        <f>IF(AO126="1",BF126,0)</f>
        <v>0</v>
      </c>
      <c r="AA126" s="233">
        <f>IF(AO126="1",BG126,0)</f>
        <v>0</v>
      </c>
      <c r="AB126" s="233">
        <f>IF(AO126="7",BF126,0)</f>
        <v>0</v>
      </c>
      <c r="AC126" s="233">
        <f>IF(AO126="7",BG126,0)</f>
        <v>0</v>
      </c>
      <c r="AD126" s="233">
        <f>IF(AO126="2",BF126,0)</f>
        <v>0</v>
      </c>
      <c r="AE126" s="233">
        <f>IF(AO126="2",BG126,0)</f>
        <v>0</v>
      </c>
      <c r="AF126" s="233">
        <f>IF(AO126="0",BH126,0)</f>
        <v>0</v>
      </c>
      <c r="AG126" s="229" t="s">
        <v>154</v>
      </c>
      <c r="AH126" s="233">
        <f>IF(AL126=0,J126,0)</f>
        <v>0</v>
      </c>
      <c r="AI126" s="233">
        <f>IF(AL126=15,J126,0)</f>
        <v>0</v>
      </c>
      <c r="AJ126" s="233">
        <f>IF(AL126=21,J126,0)</f>
        <v>0</v>
      </c>
      <c r="AL126" s="233">
        <v>15</v>
      </c>
      <c r="AM126" s="233">
        <f>G126*0.065980583</f>
        <v>0</v>
      </c>
      <c r="AN126" s="233">
        <f>G126*(1-0.065980583)</f>
        <v>0</v>
      </c>
      <c r="AO126" s="234" t="s">
        <v>157</v>
      </c>
      <c r="AT126" s="233">
        <f>AU126+AV126</f>
        <v>0</v>
      </c>
      <c r="AU126" s="233">
        <f>F126*AM126</f>
        <v>0</v>
      </c>
      <c r="AV126" s="233">
        <f>F126*AN126</f>
        <v>0</v>
      </c>
      <c r="AW126" s="234" t="s">
        <v>543</v>
      </c>
      <c r="AX126" s="234" t="s">
        <v>356</v>
      </c>
      <c r="AY126" s="229" t="s">
        <v>164</v>
      </c>
      <c r="BA126" s="233">
        <f>AU126+AV126</f>
        <v>0</v>
      </c>
      <c r="BB126" s="233">
        <f>G126/(100-BC126)*100</f>
        <v>0</v>
      </c>
      <c r="BC126" s="233">
        <v>0</v>
      </c>
      <c r="BD126" s="233">
        <f>L126</f>
        <v>2.3520000000000003E-2</v>
      </c>
      <c r="BF126" s="233">
        <f>F126*AM126</f>
        <v>0</v>
      </c>
      <c r="BG126" s="233">
        <f>F126*AN126</f>
        <v>0</v>
      </c>
      <c r="BH126" s="233">
        <f>F126*G126</f>
        <v>0</v>
      </c>
      <c r="BI126" s="233"/>
      <c r="BJ126" s="233">
        <v>87</v>
      </c>
      <c r="BU126" s="233" t="e">
        <f>#REF!</f>
        <v>#REF!</v>
      </c>
      <c r="BV126" s="225" t="s">
        <v>893</v>
      </c>
    </row>
    <row r="127" spans="1:74" ht="54" customHeight="1" x14ac:dyDescent="0.3">
      <c r="A127" s="241"/>
      <c r="B127" s="242" t="s">
        <v>165</v>
      </c>
      <c r="C127" s="530" t="s">
        <v>1638</v>
      </c>
      <c r="D127" s="531"/>
      <c r="E127" s="531"/>
      <c r="F127" s="531"/>
      <c r="G127" s="531"/>
      <c r="H127" s="531"/>
      <c r="I127" s="531"/>
      <c r="J127" s="531"/>
      <c r="K127" s="531"/>
      <c r="L127" s="531"/>
      <c r="M127" s="532"/>
    </row>
    <row r="128" spans="1:74" ht="14.4" x14ac:dyDescent="0.3">
      <c r="A128" s="239" t="s">
        <v>357</v>
      </c>
      <c r="B128" s="223" t="s">
        <v>894</v>
      </c>
      <c r="C128" s="521" t="s">
        <v>895</v>
      </c>
      <c r="D128" s="519"/>
      <c r="E128" s="223" t="s">
        <v>365</v>
      </c>
      <c r="F128" s="233">
        <v>8</v>
      </c>
      <c r="G128" s="311">
        <v>0</v>
      </c>
      <c r="H128" s="233">
        <f>F128*AM128</f>
        <v>0</v>
      </c>
      <c r="I128" s="233">
        <f>F128*AN128</f>
        <v>0</v>
      </c>
      <c r="J128" s="233">
        <f>F128*G128</f>
        <v>0</v>
      </c>
      <c r="K128" s="233">
        <v>4.0000000000000003E-5</v>
      </c>
      <c r="L128" s="233">
        <f>F128*K128</f>
        <v>3.2000000000000003E-4</v>
      </c>
      <c r="M128" s="240" t="s">
        <v>472</v>
      </c>
      <c r="X128" s="233">
        <f>IF(AO128="5",BH128,0)</f>
        <v>0</v>
      </c>
      <c r="Z128" s="233">
        <f>IF(AO128="1",BF128,0)</f>
        <v>0</v>
      </c>
      <c r="AA128" s="233">
        <f>IF(AO128="1",BG128,0)</f>
        <v>0</v>
      </c>
      <c r="AB128" s="233">
        <f>IF(AO128="7",BF128,0)</f>
        <v>0</v>
      </c>
      <c r="AC128" s="233">
        <f>IF(AO128="7",BG128,0)</f>
        <v>0</v>
      </c>
      <c r="AD128" s="233">
        <f>IF(AO128="2",BF128,0)</f>
        <v>0</v>
      </c>
      <c r="AE128" s="233">
        <f>IF(AO128="2",BG128,0)</f>
        <v>0</v>
      </c>
      <c r="AF128" s="233">
        <f>IF(AO128="0",BH128,0)</f>
        <v>0</v>
      </c>
      <c r="AG128" s="229" t="s">
        <v>154</v>
      </c>
      <c r="AH128" s="233">
        <f>IF(AL128=0,J128,0)</f>
        <v>0</v>
      </c>
      <c r="AI128" s="233">
        <f>IF(AL128=15,J128,0)</f>
        <v>0</v>
      </c>
      <c r="AJ128" s="233">
        <f>IF(AL128=21,J128,0)</f>
        <v>0</v>
      </c>
      <c r="AL128" s="233">
        <v>15</v>
      </c>
      <c r="AM128" s="233">
        <f>G128*0.007338129</f>
        <v>0</v>
      </c>
      <c r="AN128" s="233">
        <f>G128*(1-0.007338129)</f>
        <v>0</v>
      </c>
      <c r="AO128" s="234" t="s">
        <v>157</v>
      </c>
      <c r="AT128" s="233">
        <f>AU128+AV128</f>
        <v>0</v>
      </c>
      <c r="AU128" s="233">
        <f>F128*AM128</f>
        <v>0</v>
      </c>
      <c r="AV128" s="233">
        <f>F128*AN128</f>
        <v>0</v>
      </c>
      <c r="AW128" s="234" t="s">
        <v>543</v>
      </c>
      <c r="AX128" s="234" t="s">
        <v>356</v>
      </c>
      <c r="AY128" s="229" t="s">
        <v>164</v>
      </c>
      <c r="BA128" s="233">
        <f>AU128+AV128</f>
        <v>0</v>
      </c>
      <c r="BB128" s="233">
        <f>G128/(100-BC128)*100</f>
        <v>0</v>
      </c>
      <c r="BC128" s="233">
        <v>0</v>
      </c>
      <c r="BD128" s="233">
        <f>L128</f>
        <v>3.2000000000000003E-4</v>
      </c>
      <c r="BF128" s="233">
        <f>F128*AM128</f>
        <v>0</v>
      </c>
      <c r="BG128" s="233">
        <f>F128*AN128</f>
        <v>0</v>
      </c>
      <c r="BH128" s="233">
        <f>F128*G128</f>
        <v>0</v>
      </c>
      <c r="BI128" s="233"/>
      <c r="BJ128" s="233">
        <v>87</v>
      </c>
      <c r="BU128" s="233" t="e">
        <f>#REF!</f>
        <v>#REF!</v>
      </c>
      <c r="BV128" s="225" t="s">
        <v>895</v>
      </c>
    </row>
    <row r="129" spans="1:74" ht="54" customHeight="1" x14ac:dyDescent="0.3">
      <c r="A129" s="241"/>
      <c r="B129" s="242" t="s">
        <v>165</v>
      </c>
      <c r="C129" s="530" t="s">
        <v>1639</v>
      </c>
      <c r="D129" s="531"/>
      <c r="E129" s="531"/>
      <c r="F129" s="531"/>
      <c r="G129" s="531"/>
      <c r="H129" s="531"/>
      <c r="I129" s="531"/>
      <c r="J129" s="531"/>
      <c r="K129" s="531"/>
      <c r="L129" s="531"/>
      <c r="M129" s="532"/>
    </row>
    <row r="130" spans="1:74" ht="14.4" x14ac:dyDescent="0.3">
      <c r="A130" s="239" t="s">
        <v>362</v>
      </c>
      <c r="B130" s="223" t="s">
        <v>896</v>
      </c>
      <c r="C130" s="521" t="s">
        <v>897</v>
      </c>
      <c r="D130" s="519"/>
      <c r="E130" s="223" t="s">
        <v>365</v>
      </c>
      <c r="F130" s="233">
        <v>15</v>
      </c>
      <c r="G130" s="311">
        <v>0</v>
      </c>
      <c r="H130" s="233">
        <f>F130*AM130</f>
        <v>0</v>
      </c>
      <c r="I130" s="233">
        <f>F130*AN130</f>
        <v>0</v>
      </c>
      <c r="J130" s="233">
        <f>F130*G130</f>
        <v>0</v>
      </c>
      <c r="K130" s="233">
        <v>3.0000000000000001E-5</v>
      </c>
      <c r="L130" s="233">
        <f>F130*K130</f>
        <v>4.4999999999999999E-4</v>
      </c>
      <c r="M130" s="240" t="s">
        <v>472</v>
      </c>
      <c r="X130" s="233">
        <f>IF(AO130="5",BH130,0)</f>
        <v>0</v>
      </c>
      <c r="Z130" s="233">
        <f>IF(AO130="1",BF130,0)</f>
        <v>0</v>
      </c>
      <c r="AA130" s="233">
        <f>IF(AO130="1",BG130,0)</f>
        <v>0</v>
      </c>
      <c r="AB130" s="233">
        <f>IF(AO130="7",BF130,0)</f>
        <v>0</v>
      </c>
      <c r="AC130" s="233">
        <f>IF(AO130="7",BG130,0)</f>
        <v>0</v>
      </c>
      <c r="AD130" s="233">
        <f>IF(AO130="2",BF130,0)</f>
        <v>0</v>
      </c>
      <c r="AE130" s="233">
        <f>IF(AO130="2",BG130,0)</f>
        <v>0</v>
      </c>
      <c r="AF130" s="233">
        <f>IF(AO130="0",BH130,0)</f>
        <v>0</v>
      </c>
      <c r="AG130" s="229" t="s">
        <v>154</v>
      </c>
      <c r="AH130" s="233">
        <f>IF(AL130=0,J130,0)</f>
        <v>0</v>
      </c>
      <c r="AI130" s="233">
        <f>IF(AL130=15,J130,0)</f>
        <v>0</v>
      </c>
      <c r="AJ130" s="233">
        <f>IF(AL130=21,J130,0)</f>
        <v>0</v>
      </c>
      <c r="AL130" s="233">
        <v>15</v>
      </c>
      <c r="AM130" s="233">
        <f>G130*0.007120493</f>
        <v>0</v>
      </c>
      <c r="AN130" s="233">
        <f>G130*(1-0.007120493)</f>
        <v>0</v>
      </c>
      <c r="AO130" s="234" t="s">
        <v>157</v>
      </c>
      <c r="AT130" s="233">
        <f>AU130+AV130</f>
        <v>0</v>
      </c>
      <c r="AU130" s="233">
        <f>F130*AM130</f>
        <v>0</v>
      </c>
      <c r="AV130" s="233">
        <f>F130*AN130</f>
        <v>0</v>
      </c>
      <c r="AW130" s="234" t="s">
        <v>543</v>
      </c>
      <c r="AX130" s="234" t="s">
        <v>356</v>
      </c>
      <c r="AY130" s="229" t="s">
        <v>164</v>
      </c>
      <c r="BA130" s="233">
        <f>AU130+AV130</f>
        <v>0</v>
      </c>
      <c r="BB130" s="233">
        <f>G130/(100-BC130)*100</f>
        <v>0</v>
      </c>
      <c r="BC130" s="233">
        <v>0</v>
      </c>
      <c r="BD130" s="233">
        <f>L130</f>
        <v>4.4999999999999999E-4</v>
      </c>
      <c r="BF130" s="233">
        <f>F130*AM130</f>
        <v>0</v>
      </c>
      <c r="BG130" s="233">
        <f>F130*AN130</f>
        <v>0</v>
      </c>
      <c r="BH130" s="233">
        <f>F130*G130</f>
        <v>0</v>
      </c>
      <c r="BI130" s="233"/>
      <c r="BJ130" s="233">
        <v>87</v>
      </c>
      <c r="BU130" s="233" t="e">
        <f>#REF!</f>
        <v>#REF!</v>
      </c>
      <c r="BV130" s="225" t="s">
        <v>897</v>
      </c>
    </row>
    <row r="131" spans="1:74" ht="40.5" customHeight="1" x14ac:dyDescent="0.3">
      <c r="A131" s="241"/>
      <c r="B131" s="242" t="s">
        <v>165</v>
      </c>
      <c r="C131" s="530" t="s">
        <v>1640</v>
      </c>
      <c r="D131" s="531"/>
      <c r="E131" s="531"/>
      <c r="F131" s="531"/>
      <c r="G131" s="531"/>
      <c r="H131" s="531"/>
      <c r="I131" s="531"/>
      <c r="J131" s="531"/>
      <c r="K131" s="531"/>
      <c r="L131" s="531"/>
      <c r="M131" s="532"/>
    </row>
    <row r="132" spans="1:74" ht="14.4" x14ac:dyDescent="0.3">
      <c r="A132" s="239" t="s">
        <v>367</v>
      </c>
      <c r="B132" s="223" t="s">
        <v>898</v>
      </c>
      <c r="C132" s="521" t="s">
        <v>899</v>
      </c>
      <c r="D132" s="519"/>
      <c r="E132" s="223" t="s">
        <v>160</v>
      </c>
      <c r="F132" s="233">
        <v>1</v>
      </c>
      <c r="G132" s="311">
        <v>0</v>
      </c>
      <c r="H132" s="233">
        <f>F132*AM132</f>
        <v>0</v>
      </c>
      <c r="I132" s="233">
        <f>F132*AN132</f>
        <v>0</v>
      </c>
      <c r="J132" s="233">
        <f>F132*G132</f>
        <v>0</v>
      </c>
      <c r="K132" s="233">
        <v>1.0000000000000001E-5</v>
      </c>
      <c r="L132" s="233">
        <f>F132*K132</f>
        <v>1.0000000000000001E-5</v>
      </c>
      <c r="M132" s="240" t="s">
        <v>472</v>
      </c>
      <c r="X132" s="233">
        <f>IF(AO132="5",BH132,0)</f>
        <v>0</v>
      </c>
      <c r="Z132" s="233">
        <f>IF(AO132="1",BF132,0)</f>
        <v>0</v>
      </c>
      <c r="AA132" s="233">
        <f>IF(AO132="1",BG132,0)</f>
        <v>0</v>
      </c>
      <c r="AB132" s="233">
        <f>IF(AO132="7",BF132,0)</f>
        <v>0</v>
      </c>
      <c r="AC132" s="233">
        <f>IF(AO132="7",BG132,0)</f>
        <v>0</v>
      </c>
      <c r="AD132" s="233">
        <f>IF(AO132="2",BF132,0)</f>
        <v>0</v>
      </c>
      <c r="AE132" s="233">
        <f>IF(AO132="2",BG132,0)</f>
        <v>0</v>
      </c>
      <c r="AF132" s="233">
        <f>IF(AO132="0",BH132,0)</f>
        <v>0</v>
      </c>
      <c r="AG132" s="229" t="s">
        <v>154</v>
      </c>
      <c r="AH132" s="233">
        <f>IF(AL132=0,J132,0)</f>
        <v>0</v>
      </c>
      <c r="AI132" s="233">
        <f>IF(AL132=15,J132,0)</f>
        <v>0</v>
      </c>
      <c r="AJ132" s="233">
        <f>IF(AL132=21,J132,0)</f>
        <v>0</v>
      </c>
      <c r="AL132" s="233">
        <v>15</v>
      </c>
      <c r="AM132" s="233">
        <f>G132*0.005096263</f>
        <v>0</v>
      </c>
      <c r="AN132" s="233">
        <f>G132*(1-0.005096263)</f>
        <v>0</v>
      </c>
      <c r="AO132" s="234" t="s">
        <v>157</v>
      </c>
      <c r="AT132" s="233">
        <f>AU132+AV132</f>
        <v>0</v>
      </c>
      <c r="AU132" s="233">
        <f>F132*AM132</f>
        <v>0</v>
      </c>
      <c r="AV132" s="233">
        <f>F132*AN132</f>
        <v>0</v>
      </c>
      <c r="AW132" s="234" t="s">
        <v>543</v>
      </c>
      <c r="AX132" s="234" t="s">
        <v>356</v>
      </c>
      <c r="AY132" s="229" t="s">
        <v>164</v>
      </c>
      <c r="BA132" s="233">
        <f>AU132+AV132</f>
        <v>0</v>
      </c>
      <c r="BB132" s="233">
        <f>G132/(100-BC132)*100</f>
        <v>0</v>
      </c>
      <c r="BC132" s="233">
        <v>0</v>
      </c>
      <c r="BD132" s="233">
        <f>L132</f>
        <v>1.0000000000000001E-5</v>
      </c>
      <c r="BF132" s="233">
        <f>F132*AM132</f>
        <v>0</v>
      </c>
      <c r="BG132" s="233">
        <f>F132*AN132</f>
        <v>0</v>
      </c>
      <c r="BH132" s="233">
        <f>F132*G132</f>
        <v>0</v>
      </c>
      <c r="BI132" s="233"/>
      <c r="BJ132" s="233">
        <v>87</v>
      </c>
      <c r="BU132" s="233" t="e">
        <f>#REF!</f>
        <v>#REF!</v>
      </c>
      <c r="BV132" s="225" t="s">
        <v>899</v>
      </c>
    </row>
    <row r="133" spans="1:74" ht="54" customHeight="1" x14ac:dyDescent="0.3">
      <c r="A133" s="241"/>
      <c r="B133" s="242" t="s">
        <v>165</v>
      </c>
      <c r="C133" s="530" t="s">
        <v>1641</v>
      </c>
      <c r="D133" s="531"/>
      <c r="E133" s="531"/>
      <c r="F133" s="531"/>
      <c r="G133" s="531"/>
      <c r="H133" s="531"/>
      <c r="I133" s="531"/>
      <c r="J133" s="531"/>
      <c r="K133" s="531"/>
      <c r="L133" s="531"/>
      <c r="M133" s="532"/>
    </row>
    <row r="134" spans="1:74" ht="14.4" x14ac:dyDescent="0.3">
      <c r="A134" s="239" t="s">
        <v>305</v>
      </c>
      <c r="B134" s="223" t="s">
        <v>900</v>
      </c>
      <c r="C134" s="521" t="s">
        <v>901</v>
      </c>
      <c r="D134" s="519"/>
      <c r="E134" s="223" t="s">
        <v>365</v>
      </c>
      <c r="F134" s="233">
        <v>1</v>
      </c>
      <c r="G134" s="311">
        <v>0</v>
      </c>
      <c r="H134" s="233">
        <f>F134*AM134</f>
        <v>0</v>
      </c>
      <c r="I134" s="233">
        <f>F134*AN134</f>
        <v>0</v>
      </c>
      <c r="J134" s="233">
        <f>F134*G134</f>
        <v>0</v>
      </c>
      <c r="K134" s="233">
        <v>5.0000000000000002E-5</v>
      </c>
      <c r="L134" s="233">
        <f>F134*K134</f>
        <v>5.0000000000000002E-5</v>
      </c>
      <c r="M134" s="240" t="s">
        <v>472</v>
      </c>
      <c r="X134" s="233">
        <f>IF(AO134="5",BH134,0)</f>
        <v>0</v>
      </c>
      <c r="Z134" s="233">
        <f>IF(AO134="1",BF134,0)</f>
        <v>0</v>
      </c>
      <c r="AA134" s="233">
        <f>IF(AO134="1",BG134,0)</f>
        <v>0</v>
      </c>
      <c r="AB134" s="233">
        <f>IF(AO134="7",BF134,0)</f>
        <v>0</v>
      </c>
      <c r="AC134" s="233">
        <f>IF(AO134="7",BG134,0)</f>
        <v>0</v>
      </c>
      <c r="AD134" s="233">
        <f>IF(AO134="2",BF134,0)</f>
        <v>0</v>
      </c>
      <c r="AE134" s="233">
        <f>IF(AO134="2",BG134,0)</f>
        <v>0</v>
      </c>
      <c r="AF134" s="233">
        <f>IF(AO134="0",BH134,0)</f>
        <v>0</v>
      </c>
      <c r="AG134" s="229" t="s">
        <v>154</v>
      </c>
      <c r="AH134" s="233">
        <f>IF(AL134=0,J134,0)</f>
        <v>0</v>
      </c>
      <c r="AI134" s="233">
        <f>IF(AL134=15,J134,0)</f>
        <v>0</v>
      </c>
      <c r="AJ134" s="233">
        <f>IF(AL134=21,J134,0)</f>
        <v>0</v>
      </c>
      <c r="AL134" s="233">
        <v>15</v>
      </c>
      <c r="AM134" s="233">
        <f>G134*0.001921691</f>
        <v>0</v>
      </c>
      <c r="AN134" s="233">
        <f>G134*(1-0.001921691)</f>
        <v>0</v>
      </c>
      <c r="AO134" s="234" t="s">
        <v>157</v>
      </c>
      <c r="AT134" s="233">
        <f>AU134+AV134</f>
        <v>0</v>
      </c>
      <c r="AU134" s="233">
        <f>F134*AM134</f>
        <v>0</v>
      </c>
      <c r="AV134" s="233">
        <f>F134*AN134</f>
        <v>0</v>
      </c>
      <c r="AW134" s="234" t="s">
        <v>543</v>
      </c>
      <c r="AX134" s="234" t="s">
        <v>356</v>
      </c>
      <c r="AY134" s="229" t="s">
        <v>164</v>
      </c>
      <c r="BA134" s="233">
        <f>AU134+AV134</f>
        <v>0</v>
      </c>
      <c r="BB134" s="233">
        <f>G134/(100-BC134)*100</f>
        <v>0</v>
      </c>
      <c r="BC134" s="233">
        <v>0</v>
      </c>
      <c r="BD134" s="233">
        <f>L134</f>
        <v>5.0000000000000002E-5</v>
      </c>
      <c r="BF134" s="233">
        <f>F134*AM134</f>
        <v>0</v>
      </c>
      <c r="BG134" s="233">
        <f>F134*AN134</f>
        <v>0</v>
      </c>
      <c r="BH134" s="233">
        <f>F134*G134</f>
        <v>0</v>
      </c>
      <c r="BI134" s="233"/>
      <c r="BJ134" s="233">
        <v>87</v>
      </c>
      <c r="BU134" s="233" t="e">
        <f>#REF!</f>
        <v>#REF!</v>
      </c>
      <c r="BV134" s="225" t="s">
        <v>901</v>
      </c>
    </row>
    <row r="135" spans="1:74" ht="54" customHeight="1" x14ac:dyDescent="0.3">
      <c r="A135" s="241"/>
      <c r="B135" s="242" t="s">
        <v>165</v>
      </c>
      <c r="C135" s="530" t="s">
        <v>1642</v>
      </c>
      <c r="D135" s="531"/>
      <c r="E135" s="531"/>
      <c r="F135" s="531"/>
      <c r="G135" s="531"/>
      <c r="H135" s="531"/>
      <c r="I135" s="531"/>
      <c r="J135" s="531"/>
      <c r="K135" s="531"/>
      <c r="L135" s="531"/>
      <c r="M135" s="532"/>
    </row>
    <row r="136" spans="1:74" ht="14.4" x14ac:dyDescent="0.3">
      <c r="A136" s="239" t="s">
        <v>154</v>
      </c>
      <c r="B136" s="224" t="s">
        <v>360</v>
      </c>
      <c r="C136" s="526" t="s">
        <v>361</v>
      </c>
      <c r="D136" s="527"/>
      <c r="E136" s="223" t="s">
        <v>114</v>
      </c>
      <c r="F136" s="223" t="s">
        <v>114</v>
      </c>
      <c r="G136" s="223" t="s">
        <v>114</v>
      </c>
      <c r="H136" s="235">
        <f>SUM(H137:H157)</f>
        <v>0</v>
      </c>
      <c r="I136" s="235">
        <f>SUM(I137:I157)</f>
        <v>0</v>
      </c>
      <c r="J136" s="235">
        <f>SUM(J137:J157)</f>
        <v>0</v>
      </c>
      <c r="K136" s="230" t="s">
        <v>154</v>
      </c>
      <c r="L136" s="235">
        <f>SUM(L137:L157)</f>
        <v>7.2249999999999995E-2</v>
      </c>
      <c r="M136" s="243" t="s">
        <v>154</v>
      </c>
      <c r="AG136" s="229" t="s">
        <v>154</v>
      </c>
      <c r="AQ136" s="222">
        <f>SUM(AH137:AH157)</f>
        <v>0</v>
      </c>
      <c r="AR136" s="222">
        <f>SUM(AI137:AI157)</f>
        <v>0</v>
      </c>
      <c r="AS136" s="222">
        <f>SUM(AJ137:AJ157)</f>
        <v>0</v>
      </c>
    </row>
    <row r="137" spans="1:74" ht="14.4" x14ac:dyDescent="0.3">
      <c r="A137" s="239" t="s">
        <v>335</v>
      </c>
      <c r="B137" s="223" t="s">
        <v>902</v>
      </c>
      <c r="C137" s="521" t="s">
        <v>903</v>
      </c>
      <c r="D137" s="519"/>
      <c r="E137" s="223" t="s">
        <v>365</v>
      </c>
      <c r="F137" s="233">
        <v>3</v>
      </c>
      <c r="G137" s="311">
        <v>0</v>
      </c>
      <c r="H137" s="233">
        <f>F137*AM137</f>
        <v>0</v>
      </c>
      <c r="I137" s="233">
        <f>F137*AN137</f>
        <v>0</v>
      </c>
      <c r="J137" s="233">
        <f>F137*G137</f>
        <v>0</v>
      </c>
      <c r="K137" s="233">
        <v>0</v>
      </c>
      <c r="L137" s="233">
        <f>F137*K137</f>
        <v>0</v>
      </c>
      <c r="M137" s="240" t="s">
        <v>472</v>
      </c>
      <c r="X137" s="233">
        <f>IF(AO137="5",BH137,0)</f>
        <v>0</v>
      </c>
      <c r="Z137" s="233">
        <f>IF(AO137="1",BF137,0)</f>
        <v>0</v>
      </c>
      <c r="AA137" s="233">
        <f>IF(AO137="1",BG137,0)</f>
        <v>0</v>
      </c>
      <c r="AB137" s="233">
        <f>IF(AO137="7",BF137,0)</f>
        <v>0</v>
      </c>
      <c r="AC137" s="233">
        <f>IF(AO137="7",BG137,0)</f>
        <v>0</v>
      </c>
      <c r="AD137" s="233">
        <f>IF(AO137="2",BF137,0)</f>
        <v>0</v>
      </c>
      <c r="AE137" s="233">
        <f>IF(AO137="2",BG137,0)</f>
        <v>0</v>
      </c>
      <c r="AF137" s="233">
        <f>IF(AO137="0",BH137,0)</f>
        <v>0</v>
      </c>
      <c r="AG137" s="229" t="s">
        <v>154</v>
      </c>
      <c r="AH137" s="233">
        <f>IF(AL137=0,J137,0)</f>
        <v>0</v>
      </c>
      <c r="AI137" s="233">
        <f>IF(AL137=15,J137,0)</f>
        <v>0</v>
      </c>
      <c r="AJ137" s="233">
        <f>IF(AL137=21,J137,0)</f>
        <v>0</v>
      </c>
      <c r="AL137" s="233">
        <v>15</v>
      </c>
      <c r="AM137" s="233">
        <f>G137*0</f>
        <v>0</v>
      </c>
      <c r="AN137" s="233">
        <f>G137*(1-0)</f>
        <v>0</v>
      </c>
      <c r="AO137" s="234" t="s">
        <v>157</v>
      </c>
      <c r="AT137" s="233">
        <f>AU137+AV137</f>
        <v>0</v>
      </c>
      <c r="AU137" s="233">
        <f>F137*AM137</f>
        <v>0</v>
      </c>
      <c r="AV137" s="233">
        <f>F137*AN137</f>
        <v>0</v>
      </c>
      <c r="AW137" s="234" t="s">
        <v>366</v>
      </c>
      <c r="AX137" s="234" t="s">
        <v>356</v>
      </c>
      <c r="AY137" s="229" t="s">
        <v>164</v>
      </c>
      <c r="BA137" s="233">
        <f>AU137+AV137</f>
        <v>0</v>
      </c>
      <c r="BB137" s="233">
        <f>G137/(100-BC137)*100</f>
        <v>0</v>
      </c>
      <c r="BC137" s="233">
        <v>0</v>
      </c>
      <c r="BD137" s="233">
        <f>L137</f>
        <v>0</v>
      </c>
      <c r="BF137" s="233">
        <f>F137*AM137</f>
        <v>0</v>
      </c>
      <c r="BG137" s="233">
        <f>F137*AN137</f>
        <v>0</v>
      </c>
      <c r="BH137" s="233">
        <f>F137*G137</f>
        <v>0</v>
      </c>
      <c r="BI137" s="233"/>
      <c r="BJ137" s="233">
        <v>89</v>
      </c>
      <c r="BU137" s="233" t="e">
        <f>#REF!</f>
        <v>#REF!</v>
      </c>
      <c r="BV137" s="225" t="s">
        <v>903</v>
      </c>
    </row>
    <row r="138" spans="1:74" ht="13.5" customHeight="1" x14ac:dyDescent="0.3">
      <c r="A138" s="241"/>
      <c r="B138" s="242" t="s">
        <v>165</v>
      </c>
      <c r="C138" s="530" t="s">
        <v>904</v>
      </c>
      <c r="D138" s="531"/>
      <c r="E138" s="531"/>
      <c r="F138" s="531"/>
      <c r="G138" s="531"/>
      <c r="H138" s="531"/>
      <c r="I138" s="531"/>
      <c r="J138" s="531"/>
      <c r="K138" s="531"/>
      <c r="L138" s="531"/>
      <c r="M138" s="532"/>
    </row>
    <row r="139" spans="1:74" ht="14.4" x14ac:dyDescent="0.3">
      <c r="A139" s="239" t="s">
        <v>384</v>
      </c>
      <c r="B139" s="223" t="s">
        <v>905</v>
      </c>
      <c r="C139" s="521" t="s">
        <v>906</v>
      </c>
      <c r="D139" s="519"/>
      <c r="E139" s="223" t="s">
        <v>365</v>
      </c>
      <c r="F139" s="233">
        <v>3</v>
      </c>
      <c r="G139" s="311">
        <v>0</v>
      </c>
      <c r="H139" s="233">
        <f>F139*AM139</f>
        <v>0</v>
      </c>
      <c r="I139" s="233">
        <f>F139*AN139</f>
        <v>0</v>
      </c>
      <c r="J139" s="233">
        <f>F139*G139</f>
        <v>0</v>
      </c>
      <c r="K139" s="233">
        <v>0</v>
      </c>
      <c r="L139" s="233">
        <f>F139*K139</f>
        <v>0</v>
      </c>
      <c r="M139" s="240" t="s">
        <v>472</v>
      </c>
      <c r="X139" s="233">
        <f>IF(AO139="5",BH139,0)</f>
        <v>0</v>
      </c>
      <c r="Z139" s="233">
        <f>IF(AO139="1",BF139,0)</f>
        <v>0</v>
      </c>
      <c r="AA139" s="233">
        <f>IF(AO139="1",BG139,0)</f>
        <v>0</v>
      </c>
      <c r="AB139" s="233">
        <f>IF(AO139="7",BF139,0)</f>
        <v>0</v>
      </c>
      <c r="AC139" s="233">
        <f>IF(AO139="7",BG139,0)</f>
        <v>0</v>
      </c>
      <c r="AD139" s="233">
        <f>IF(AO139="2",BF139,0)</f>
        <v>0</v>
      </c>
      <c r="AE139" s="233">
        <f>IF(AO139="2",BG139,0)</f>
        <v>0</v>
      </c>
      <c r="AF139" s="233">
        <f>IF(AO139="0",BH139,0)</f>
        <v>0</v>
      </c>
      <c r="AG139" s="229" t="s">
        <v>154</v>
      </c>
      <c r="AH139" s="233">
        <f>IF(AL139=0,J139,0)</f>
        <v>0</v>
      </c>
      <c r="AI139" s="233">
        <f>IF(AL139=15,J139,0)</f>
        <v>0</v>
      </c>
      <c r="AJ139" s="233">
        <f>IF(AL139=21,J139,0)</f>
        <v>0</v>
      </c>
      <c r="AL139" s="233">
        <v>15</v>
      </c>
      <c r="AM139" s="233">
        <f>G139*0</f>
        <v>0</v>
      </c>
      <c r="AN139" s="233">
        <f>G139*(1-0)</f>
        <v>0</v>
      </c>
      <c r="AO139" s="234" t="s">
        <v>157</v>
      </c>
      <c r="AT139" s="233">
        <f>AU139+AV139</f>
        <v>0</v>
      </c>
      <c r="AU139" s="233">
        <f>F139*AM139</f>
        <v>0</v>
      </c>
      <c r="AV139" s="233">
        <f>F139*AN139</f>
        <v>0</v>
      </c>
      <c r="AW139" s="234" t="s">
        <v>366</v>
      </c>
      <c r="AX139" s="234" t="s">
        <v>356</v>
      </c>
      <c r="AY139" s="229" t="s">
        <v>164</v>
      </c>
      <c r="BA139" s="233">
        <f>AU139+AV139</f>
        <v>0</v>
      </c>
      <c r="BB139" s="233">
        <f>G139/(100-BC139)*100</f>
        <v>0</v>
      </c>
      <c r="BC139" s="233">
        <v>0</v>
      </c>
      <c r="BD139" s="233">
        <f>L139</f>
        <v>0</v>
      </c>
      <c r="BF139" s="233">
        <f>F139*AM139</f>
        <v>0</v>
      </c>
      <c r="BG139" s="233">
        <f>F139*AN139</f>
        <v>0</v>
      </c>
      <c r="BH139" s="233">
        <f>F139*G139</f>
        <v>0</v>
      </c>
      <c r="BI139" s="233"/>
      <c r="BJ139" s="233">
        <v>89</v>
      </c>
      <c r="BU139" s="233" t="e">
        <f>#REF!</f>
        <v>#REF!</v>
      </c>
      <c r="BV139" s="225" t="s">
        <v>906</v>
      </c>
    </row>
    <row r="140" spans="1:74" ht="13.5" customHeight="1" x14ac:dyDescent="0.3">
      <c r="A140" s="241"/>
      <c r="B140" s="242" t="s">
        <v>165</v>
      </c>
      <c r="C140" s="530" t="s">
        <v>907</v>
      </c>
      <c r="D140" s="531"/>
      <c r="E140" s="531"/>
      <c r="F140" s="531"/>
      <c r="G140" s="531"/>
      <c r="H140" s="531"/>
      <c r="I140" s="531"/>
      <c r="J140" s="531"/>
      <c r="K140" s="531"/>
      <c r="L140" s="531"/>
      <c r="M140" s="532"/>
    </row>
    <row r="141" spans="1:74" ht="14.4" x14ac:dyDescent="0.3">
      <c r="A141" s="239" t="s">
        <v>344</v>
      </c>
      <c r="B141" s="223" t="s">
        <v>908</v>
      </c>
      <c r="C141" s="521" t="s">
        <v>909</v>
      </c>
      <c r="D141" s="519"/>
      <c r="E141" s="223" t="s">
        <v>365</v>
      </c>
      <c r="F141" s="233">
        <v>6</v>
      </c>
      <c r="G141" s="311">
        <v>0</v>
      </c>
      <c r="H141" s="233">
        <f>F141*AM141</f>
        <v>0</v>
      </c>
      <c r="I141" s="233">
        <f>F141*AN141</f>
        <v>0</v>
      </c>
      <c r="J141" s="233">
        <f>F141*G141</f>
        <v>0</v>
      </c>
      <c r="K141" s="233">
        <v>0</v>
      </c>
      <c r="L141" s="233">
        <f>F141*K141</f>
        <v>0</v>
      </c>
      <c r="M141" s="240" t="s">
        <v>472</v>
      </c>
      <c r="X141" s="233">
        <f>IF(AO141="5",BH141,0)</f>
        <v>0</v>
      </c>
      <c r="Z141" s="233">
        <f>IF(AO141="1",BF141,0)</f>
        <v>0</v>
      </c>
      <c r="AA141" s="233">
        <f>IF(AO141="1",BG141,0)</f>
        <v>0</v>
      </c>
      <c r="AB141" s="233">
        <f>IF(AO141="7",BF141,0)</f>
        <v>0</v>
      </c>
      <c r="AC141" s="233">
        <f>IF(AO141="7",BG141,0)</f>
        <v>0</v>
      </c>
      <c r="AD141" s="233">
        <f>IF(AO141="2",BF141,0)</f>
        <v>0</v>
      </c>
      <c r="AE141" s="233">
        <f>IF(AO141="2",BG141,0)</f>
        <v>0</v>
      </c>
      <c r="AF141" s="233">
        <f>IF(AO141="0",BH141,0)</f>
        <v>0</v>
      </c>
      <c r="AG141" s="229" t="s">
        <v>154</v>
      </c>
      <c r="AH141" s="233">
        <f>IF(AL141=0,J141,0)</f>
        <v>0</v>
      </c>
      <c r="AI141" s="233">
        <f>IF(AL141=15,J141,0)</f>
        <v>0</v>
      </c>
      <c r="AJ141" s="233">
        <f>IF(AL141=21,J141,0)</f>
        <v>0</v>
      </c>
      <c r="AL141" s="233">
        <v>15</v>
      </c>
      <c r="AM141" s="233">
        <f>G141*0</f>
        <v>0</v>
      </c>
      <c r="AN141" s="233">
        <f>G141*(1-0)</f>
        <v>0</v>
      </c>
      <c r="AO141" s="234" t="s">
        <v>157</v>
      </c>
      <c r="AT141" s="233">
        <f>AU141+AV141</f>
        <v>0</v>
      </c>
      <c r="AU141" s="233">
        <f>F141*AM141</f>
        <v>0</v>
      </c>
      <c r="AV141" s="233">
        <f>F141*AN141</f>
        <v>0</v>
      </c>
      <c r="AW141" s="234" t="s">
        <v>366</v>
      </c>
      <c r="AX141" s="234" t="s">
        <v>356</v>
      </c>
      <c r="AY141" s="229" t="s">
        <v>164</v>
      </c>
      <c r="BA141" s="233">
        <f>AU141+AV141</f>
        <v>0</v>
      </c>
      <c r="BB141" s="233">
        <f>G141/(100-BC141)*100</f>
        <v>0</v>
      </c>
      <c r="BC141" s="233">
        <v>0</v>
      </c>
      <c r="BD141" s="233">
        <f>L141</f>
        <v>0</v>
      </c>
      <c r="BF141" s="233">
        <f>F141*AM141</f>
        <v>0</v>
      </c>
      <c r="BG141" s="233">
        <f>F141*AN141</f>
        <v>0</v>
      </c>
      <c r="BH141" s="233">
        <f>F141*G141</f>
        <v>0</v>
      </c>
      <c r="BI141" s="233"/>
      <c r="BJ141" s="233">
        <v>89</v>
      </c>
      <c r="BU141" s="233" t="e">
        <f>#REF!</f>
        <v>#REF!</v>
      </c>
      <c r="BV141" s="225" t="s">
        <v>909</v>
      </c>
    </row>
    <row r="142" spans="1:74" ht="13.5" customHeight="1" x14ac:dyDescent="0.3">
      <c r="A142" s="241"/>
      <c r="B142" s="242" t="s">
        <v>165</v>
      </c>
      <c r="C142" s="530" t="s">
        <v>910</v>
      </c>
      <c r="D142" s="531"/>
      <c r="E142" s="531"/>
      <c r="F142" s="531"/>
      <c r="G142" s="531"/>
      <c r="H142" s="531"/>
      <c r="I142" s="531"/>
      <c r="J142" s="531"/>
      <c r="K142" s="531"/>
      <c r="L142" s="531"/>
      <c r="M142" s="532"/>
    </row>
    <row r="143" spans="1:74" ht="14.4" x14ac:dyDescent="0.3">
      <c r="A143" s="239" t="s">
        <v>390</v>
      </c>
      <c r="B143" s="223" t="s">
        <v>911</v>
      </c>
      <c r="C143" s="521" t="s">
        <v>912</v>
      </c>
      <c r="D143" s="519"/>
      <c r="E143" s="223" t="s">
        <v>365</v>
      </c>
      <c r="F143" s="233">
        <v>6</v>
      </c>
      <c r="G143" s="311">
        <v>0</v>
      </c>
      <c r="H143" s="233">
        <f>F143*AM143</f>
        <v>0</v>
      </c>
      <c r="I143" s="233">
        <f>F143*AN143</f>
        <v>0</v>
      </c>
      <c r="J143" s="233">
        <f>F143*G143</f>
        <v>0</v>
      </c>
      <c r="K143" s="233">
        <v>0</v>
      </c>
      <c r="L143" s="233">
        <f>F143*K143</f>
        <v>0</v>
      </c>
      <c r="M143" s="240" t="s">
        <v>472</v>
      </c>
      <c r="X143" s="233">
        <f>IF(AO143="5",BH143,0)</f>
        <v>0</v>
      </c>
      <c r="Z143" s="233">
        <f>IF(AO143="1",BF143,0)</f>
        <v>0</v>
      </c>
      <c r="AA143" s="233">
        <f>IF(AO143="1",BG143,0)</f>
        <v>0</v>
      </c>
      <c r="AB143" s="233">
        <f>IF(AO143="7",BF143,0)</f>
        <v>0</v>
      </c>
      <c r="AC143" s="233">
        <f>IF(AO143="7",BG143,0)</f>
        <v>0</v>
      </c>
      <c r="AD143" s="233">
        <f>IF(AO143="2",BF143,0)</f>
        <v>0</v>
      </c>
      <c r="AE143" s="233">
        <f>IF(AO143="2",BG143,0)</f>
        <v>0</v>
      </c>
      <c r="AF143" s="233">
        <f>IF(AO143="0",BH143,0)</f>
        <v>0</v>
      </c>
      <c r="AG143" s="229" t="s">
        <v>154</v>
      </c>
      <c r="AH143" s="233">
        <f>IF(AL143=0,J143,0)</f>
        <v>0</v>
      </c>
      <c r="AI143" s="233">
        <f>IF(AL143=15,J143,0)</f>
        <v>0</v>
      </c>
      <c r="AJ143" s="233">
        <f>IF(AL143=21,J143,0)</f>
        <v>0</v>
      </c>
      <c r="AL143" s="233">
        <v>15</v>
      </c>
      <c r="AM143" s="233">
        <f>G143*0</f>
        <v>0</v>
      </c>
      <c r="AN143" s="233">
        <f>G143*(1-0)</f>
        <v>0</v>
      </c>
      <c r="AO143" s="234" t="s">
        <v>157</v>
      </c>
      <c r="AT143" s="233">
        <f>AU143+AV143</f>
        <v>0</v>
      </c>
      <c r="AU143" s="233">
        <f>F143*AM143</f>
        <v>0</v>
      </c>
      <c r="AV143" s="233">
        <f>F143*AN143</f>
        <v>0</v>
      </c>
      <c r="AW143" s="234" t="s">
        <v>366</v>
      </c>
      <c r="AX143" s="234" t="s">
        <v>356</v>
      </c>
      <c r="AY143" s="229" t="s">
        <v>164</v>
      </c>
      <c r="BA143" s="233">
        <f>AU143+AV143</f>
        <v>0</v>
      </c>
      <c r="BB143" s="233">
        <f>G143/(100-BC143)*100</f>
        <v>0</v>
      </c>
      <c r="BC143" s="233">
        <v>0</v>
      </c>
      <c r="BD143" s="233">
        <f>L143</f>
        <v>0</v>
      </c>
      <c r="BF143" s="233">
        <f>F143*AM143</f>
        <v>0</v>
      </c>
      <c r="BG143" s="233">
        <f>F143*AN143</f>
        <v>0</v>
      </c>
      <c r="BH143" s="233">
        <f>F143*G143</f>
        <v>0</v>
      </c>
      <c r="BI143" s="233"/>
      <c r="BJ143" s="233">
        <v>89</v>
      </c>
      <c r="BU143" s="233" t="e">
        <f>#REF!</f>
        <v>#REF!</v>
      </c>
      <c r="BV143" s="225" t="s">
        <v>912</v>
      </c>
    </row>
    <row r="144" spans="1:74" ht="13.5" customHeight="1" x14ac:dyDescent="0.3">
      <c r="A144" s="241"/>
      <c r="B144" s="242" t="s">
        <v>165</v>
      </c>
      <c r="C144" s="530" t="s">
        <v>913</v>
      </c>
      <c r="D144" s="531"/>
      <c r="E144" s="531"/>
      <c r="F144" s="531"/>
      <c r="G144" s="531"/>
      <c r="H144" s="531"/>
      <c r="I144" s="531"/>
      <c r="J144" s="531"/>
      <c r="K144" s="531"/>
      <c r="L144" s="531"/>
      <c r="M144" s="532"/>
    </row>
    <row r="145" spans="1:74" ht="14.4" x14ac:dyDescent="0.3">
      <c r="A145" s="239" t="s">
        <v>393</v>
      </c>
      <c r="B145" s="223" t="s">
        <v>914</v>
      </c>
      <c r="C145" s="521" t="s">
        <v>915</v>
      </c>
      <c r="D145" s="519"/>
      <c r="E145" s="223" t="s">
        <v>365</v>
      </c>
      <c r="F145" s="233">
        <v>12</v>
      </c>
      <c r="G145" s="311">
        <v>0</v>
      </c>
      <c r="H145" s="233">
        <f>F145*AM145</f>
        <v>0</v>
      </c>
      <c r="I145" s="233">
        <f>F145*AN145</f>
        <v>0</v>
      </c>
      <c r="J145" s="233">
        <f>F145*G145</f>
        <v>0</v>
      </c>
      <c r="K145" s="233">
        <v>0</v>
      </c>
      <c r="L145" s="233">
        <f>F145*K145</f>
        <v>0</v>
      </c>
      <c r="M145" s="240" t="s">
        <v>472</v>
      </c>
      <c r="X145" s="233">
        <f>IF(AO145="5",BH145,0)</f>
        <v>0</v>
      </c>
      <c r="Z145" s="233">
        <f>IF(AO145="1",BF145,0)</f>
        <v>0</v>
      </c>
      <c r="AA145" s="233">
        <f>IF(AO145="1",BG145,0)</f>
        <v>0</v>
      </c>
      <c r="AB145" s="233">
        <f>IF(AO145="7",BF145,0)</f>
        <v>0</v>
      </c>
      <c r="AC145" s="233">
        <f>IF(AO145="7",BG145,0)</f>
        <v>0</v>
      </c>
      <c r="AD145" s="233">
        <f>IF(AO145="2",BF145,0)</f>
        <v>0</v>
      </c>
      <c r="AE145" s="233">
        <f>IF(AO145="2",BG145,0)</f>
        <v>0</v>
      </c>
      <c r="AF145" s="233">
        <f>IF(AO145="0",BH145,0)</f>
        <v>0</v>
      </c>
      <c r="AG145" s="229" t="s">
        <v>154</v>
      </c>
      <c r="AH145" s="233">
        <f>IF(AL145=0,J145,0)</f>
        <v>0</v>
      </c>
      <c r="AI145" s="233">
        <f>IF(AL145=15,J145,0)</f>
        <v>0</v>
      </c>
      <c r="AJ145" s="233">
        <f>IF(AL145=21,J145,0)</f>
        <v>0</v>
      </c>
      <c r="AL145" s="233">
        <v>15</v>
      </c>
      <c r="AM145" s="233">
        <f>G145*0</f>
        <v>0</v>
      </c>
      <c r="AN145" s="233">
        <f>G145*(1-0)</f>
        <v>0</v>
      </c>
      <c r="AO145" s="234" t="s">
        <v>157</v>
      </c>
      <c r="AT145" s="233">
        <f>AU145+AV145</f>
        <v>0</v>
      </c>
      <c r="AU145" s="233">
        <f>F145*AM145</f>
        <v>0</v>
      </c>
      <c r="AV145" s="233">
        <f>F145*AN145</f>
        <v>0</v>
      </c>
      <c r="AW145" s="234" t="s">
        <v>366</v>
      </c>
      <c r="AX145" s="234" t="s">
        <v>356</v>
      </c>
      <c r="AY145" s="229" t="s">
        <v>164</v>
      </c>
      <c r="BA145" s="233">
        <f>AU145+AV145</f>
        <v>0</v>
      </c>
      <c r="BB145" s="233">
        <f>G145/(100-BC145)*100</f>
        <v>0</v>
      </c>
      <c r="BC145" s="233">
        <v>0</v>
      </c>
      <c r="BD145" s="233">
        <f>L145</f>
        <v>0</v>
      </c>
      <c r="BF145" s="233">
        <f>F145*AM145</f>
        <v>0</v>
      </c>
      <c r="BG145" s="233">
        <f>F145*AN145</f>
        <v>0</v>
      </c>
      <c r="BH145" s="233">
        <f>F145*G145</f>
        <v>0</v>
      </c>
      <c r="BI145" s="233"/>
      <c r="BJ145" s="233">
        <v>89</v>
      </c>
      <c r="BU145" s="233" t="e">
        <f>#REF!</f>
        <v>#REF!</v>
      </c>
      <c r="BV145" s="225" t="s">
        <v>915</v>
      </c>
    </row>
    <row r="146" spans="1:74" ht="13.5" customHeight="1" x14ac:dyDescent="0.3">
      <c r="A146" s="241"/>
      <c r="B146" s="242" t="s">
        <v>165</v>
      </c>
      <c r="C146" s="530" t="s">
        <v>916</v>
      </c>
      <c r="D146" s="531"/>
      <c r="E146" s="531"/>
      <c r="F146" s="531"/>
      <c r="G146" s="531"/>
      <c r="H146" s="531"/>
      <c r="I146" s="531"/>
      <c r="J146" s="531"/>
      <c r="K146" s="531"/>
      <c r="L146" s="531"/>
      <c r="M146" s="532"/>
    </row>
    <row r="147" spans="1:74" ht="14.4" x14ac:dyDescent="0.3">
      <c r="A147" s="239" t="s">
        <v>396</v>
      </c>
      <c r="B147" s="223" t="s">
        <v>917</v>
      </c>
      <c r="C147" s="521" t="s">
        <v>918</v>
      </c>
      <c r="D147" s="519"/>
      <c r="E147" s="223" t="s">
        <v>365</v>
      </c>
      <c r="F147" s="233">
        <v>6</v>
      </c>
      <c r="G147" s="311">
        <v>0</v>
      </c>
      <c r="H147" s="233">
        <f>F147*AM147</f>
        <v>0</v>
      </c>
      <c r="I147" s="233">
        <f>F147*AN147</f>
        <v>0</v>
      </c>
      <c r="J147" s="233">
        <f>F147*G147</f>
        <v>0</v>
      </c>
      <c r="K147" s="233">
        <v>1.17E-2</v>
      </c>
      <c r="L147" s="233">
        <f>F147*K147</f>
        <v>7.0199999999999999E-2</v>
      </c>
      <c r="M147" s="240" t="s">
        <v>472</v>
      </c>
      <c r="X147" s="233">
        <f>IF(AO147="5",BH147,0)</f>
        <v>0</v>
      </c>
      <c r="Z147" s="233">
        <f>IF(AO147="1",BF147,0)</f>
        <v>0</v>
      </c>
      <c r="AA147" s="233">
        <f>IF(AO147="1",BG147,0)</f>
        <v>0</v>
      </c>
      <c r="AB147" s="233">
        <f>IF(AO147="7",BF147,0)</f>
        <v>0</v>
      </c>
      <c r="AC147" s="233">
        <f>IF(AO147="7",BG147,0)</f>
        <v>0</v>
      </c>
      <c r="AD147" s="233">
        <f>IF(AO147="2",BF147,0)</f>
        <v>0</v>
      </c>
      <c r="AE147" s="233">
        <f>IF(AO147="2",BG147,0)</f>
        <v>0</v>
      </c>
      <c r="AF147" s="233">
        <f>IF(AO147="0",BH147,0)</f>
        <v>0</v>
      </c>
      <c r="AG147" s="229" t="s">
        <v>154</v>
      </c>
      <c r="AH147" s="233">
        <f>IF(AL147=0,J147,0)</f>
        <v>0</v>
      </c>
      <c r="AI147" s="233">
        <f>IF(AL147=15,J147,0)</f>
        <v>0</v>
      </c>
      <c r="AJ147" s="233">
        <f>IF(AL147=21,J147,0)</f>
        <v>0</v>
      </c>
      <c r="AL147" s="233">
        <v>15</v>
      </c>
      <c r="AM147" s="233">
        <f>G147*0.018124281</f>
        <v>0</v>
      </c>
      <c r="AN147" s="233">
        <f>G147*(1-0.018124281)</f>
        <v>0</v>
      </c>
      <c r="AO147" s="234" t="s">
        <v>157</v>
      </c>
      <c r="AT147" s="233">
        <f>AU147+AV147</f>
        <v>0</v>
      </c>
      <c r="AU147" s="233">
        <f>F147*AM147</f>
        <v>0</v>
      </c>
      <c r="AV147" s="233">
        <f>F147*AN147</f>
        <v>0</v>
      </c>
      <c r="AW147" s="234" t="s">
        <v>366</v>
      </c>
      <c r="AX147" s="234" t="s">
        <v>356</v>
      </c>
      <c r="AY147" s="229" t="s">
        <v>164</v>
      </c>
      <c r="BA147" s="233">
        <f>AU147+AV147</f>
        <v>0</v>
      </c>
      <c r="BB147" s="233">
        <f>G147/(100-BC147)*100</f>
        <v>0</v>
      </c>
      <c r="BC147" s="233">
        <v>0</v>
      </c>
      <c r="BD147" s="233">
        <f>L147</f>
        <v>7.0199999999999999E-2</v>
      </c>
      <c r="BF147" s="233">
        <f>F147*AM147</f>
        <v>0</v>
      </c>
      <c r="BG147" s="233">
        <f>F147*AN147</f>
        <v>0</v>
      </c>
      <c r="BH147" s="233">
        <f>F147*G147</f>
        <v>0</v>
      </c>
      <c r="BI147" s="233"/>
      <c r="BJ147" s="233">
        <v>89</v>
      </c>
      <c r="BU147" s="233" t="e">
        <f>#REF!</f>
        <v>#REF!</v>
      </c>
      <c r="BV147" s="225" t="s">
        <v>918</v>
      </c>
    </row>
    <row r="148" spans="1:74" ht="13.5" customHeight="1" x14ac:dyDescent="0.3">
      <c r="A148" s="241"/>
      <c r="B148" s="242" t="s">
        <v>165</v>
      </c>
      <c r="C148" s="530" t="s">
        <v>919</v>
      </c>
      <c r="D148" s="531"/>
      <c r="E148" s="531"/>
      <c r="F148" s="531"/>
      <c r="G148" s="531"/>
      <c r="H148" s="531"/>
      <c r="I148" s="531"/>
      <c r="J148" s="531"/>
      <c r="K148" s="531"/>
      <c r="L148" s="531"/>
      <c r="M148" s="532"/>
    </row>
    <row r="149" spans="1:74" ht="14.4" x14ac:dyDescent="0.3">
      <c r="A149" s="239" t="s">
        <v>401</v>
      </c>
      <c r="B149" s="223" t="s">
        <v>920</v>
      </c>
      <c r="C149" s="521" t="s">
        <v>921</v>
      </c>
      <c r="D149" s="519"/>
      <c r="E149" s="223" t="s">
        <v>160</v>
      </c>
      <c r="F149" s="233">
        <v>148</v>
      </c>
      <c r="G149" s="311">
        <v>0</v>
      </c>
      <c r="H149" s="233">
        <f>F149*AM149</f>
        <v>0</v>
      </c>
      <c r="I149" s="233">
        <f>F149*AN149</f>
        <v>0</v>
      </c>
      <c r="J149" s="233">
        <f>F149*G149</f>
        <v>0</v>
      </c>
      <c r="K149" s="233">
        <v>0</v>
      </c>
      <c r="L149" s="233">
        <f>F149*K149</f>
        <v>0</v>
      </c>
      <c r="M149" s="240" t="s">
        <v>472</v>
      </c>
      <c r="X149" s="233">
        <f>IF(AO149="5",BH149,0)</f>
        <v>0</v>
      </c>
      <c r="Z149" s="233">
        <f>IF(AO149="1",BF149,0)</f>
        <v>0</v>
      </c>
      <c r="AA149" s="233">
        <f>IF(AO149="1",BG149,0)</f>
        <v>0</v>
      </c>
      <c r="AB149" s="233">
        <f>IF(AO149="7",BF149,0)</f>
        <v>0</v>
      </c>
      <c r="AC149" s="233">
        <f>IF(AO149="7",BG149,0)</f>
        <v>0</v>
      </c>
      <c r="AD149" s="233">
        <f>IF(AO149="2",BF149,0)</f>
        <v>0</v>
      </c>
      <c r="AE149" s="233">
        <f>IF(AO149="2",BG149,0)</f>
        <v>0</v>
      </c>
      <c r="AF149" s="233">
        <f>IF(AO149="0",BH149,0)</f>
        <v>0</v>
      </c>
      <c r="AG149" s="229" t="s">
        <v>154</v>
      </c>
      <c r="AH149" s="233">
        <f>IF(AL149=0,J149,0)</f>
        <v>0</v>
      </c>
      <c r="AI149" s="233">
        <f>IF(AL149=15,J149,0)</f>
        <v>0</v>
      </c>
      <c r="AJ149" s="233">
        <f>IF(AL149=21,J149,0)</f>
        <v>0</v>
      </c>
      <c r="AL149" s="233">
        <v>15</v>
      </c>
      <c r="AM149" s="233">
        <f>G149*0.008105438</f>
        <v>0</v>
      </c>
      <c r="AN149" s="233">
        <f>G149*(1-0.008105438)</f>
        <v>0</v>
      </c>
      <c r="AO149" s="234" t="s">
        <v>157</v>
      </c>
      <c r="AT149" s="233">
        <f>AU149+AV149</f>
        <v>0</v>
      </c>
      <c r="AU149" s="233">
        <f>F149*AM149</f>
        <v>0</v>
      </c>
      <c r="AV149" s="233">
        <f>F149*AN149</f>
        <v>0</v>
      </c>
      <c r="AW149" s="234" t="s">
        <v>366</v>
      </c>
      <c r="AX149" s="234" t="s">
        <v>356</v>
      </c>
      <c r="AY149" s="229" t="s">
        <v>164</v>
      </c>
      <c r="BA149" s="233">
        <f>AU149+AV149</f>
        <v>0</v>
      </c>
      <c r="BB149" s="233">
        <f>G149/(100-BC149)*100</f>
        <v>0</v>
      </c>
      <c r="BC149" s="233">
        <v>0</v>
      </c>
      <c r="BD149" s="233">
        <f>L149</f>
        <v>0</v>
      </c>
      <c r="BF149" s="233">
        <f>F149*AM149</f>
        <v>0</v>
      </c>
      <c r="BG149" s="233">
        <f>F149*AN149</f>
        <v>0</v>
      </c>
      <c r="BH149" s="233">
        <f>F149*G149</f>
        <v>0</v>
      </c>
      <c r="BI149" s="233"/>
      <c r="BJ149" s="233">
        <v>89</v>
      </c>
      <c r="BU149" s="233" t="e">
        <f>#REF!</f>
        <v>#REF!</v>
      </c>
      <c r="BV149" s="225" t="s">
        <v>921</v>
      </c>
    </row>
    <row r="150" spans="1:74" ht="40.5" customHeight="1" x14ac:dyDescent="0.3">
      <c r="A150" s="241"/>
      <c r="B150" s="242" t="s">
        <v>165</v>
      </c>
      <c r="C150" s="530" t="s">
        <v>1643</v>
      </c>
      <c r="D150" s="531"/>
      <c r="E150" s="531"/>
      <c r="F150" s="531"/>
      <c r="G150" s="531"/>
      <c r="H150" s="531"/>
      <c r="I150" s="531"/>
      <c r="J150" s="531"/>
      <c r="K150" s="531"/>
      <c r="L150" s="531"/>
      <c r="M150" s="532"/>
    </row>
    <row r="151" spans="1:74" ht="14.4" x14ac:dyDescent="0.3">
      <c r="A151" s="239" t="s">
        <v>405</v>
      </c>
      <c r="B151" s="223" t="s">
        <v>922</v>
      </c>
      <c r="C151" s="521" t="s">
        <v>923</v>
      </c>
      <c r="D151" s="519"/>
      <c r="E151" s="223" t="s">
        <v>924</v>
      </c>
      <c r="F151" s="233">
        <v>5</v>
      </c>
      <c r="G151" s="311">
        <v>0</v>
      </c>
      <c r="H151" s="233">
        <f>F151*AM151</f>
        <v>0</v>
      </c>
      <c r="I151" s="233">
        <f>F151*AN151</f>
        <v>0</v>
      </c>
      <c r="J151" s="233">
        <f>F151*G151</f>
        <v>0</v>
      </c>
      <c r="K151" s="233">
        <v>4.0999999999999999E-4</v>
      </c>
      <c r="L151" s="233">
        <f>F151*K151</f>
        <v>2.0499999999999997E-3</v>
      </c>
      <c r="M151" s="240" t="s">
        <v>472</v>
      </c>
      <c r="X151" s="233">
        <f>IF(AO151="5",BH151,0)</f>
        <v>0</v>
      </c>
      <c r="Z151" s="233">
        <f>IF(AO151="1",BF151,0)</f>
        <v>0</v>
      </c>
      <c r="AA151" s="233">
        <f>IF(AO151="1",BG151,0)</f>
        <v>0</v>
      </c>
      <c r="AB151" s="233">
        <f>IF(AO151="7",BF151,0)</f>
        <v>0</v>
      </c>
      <c r="AC151" s="233">
        <f>IF(AO151="7",BG151,0)</f>
        <v>0</v>
      </c>
      <c r="AD151" s="233">
        <f>IF(AO151="2",BF151,0)</f>
        <v>0</v>
      </c>
      <c r="AE151" s="233">
        <f>IF(AO151="2",BG151,0)</f>
        <v>0</v>
      </c>
      <c r="AF151" s="233">
        <f>IF(AO151="0",BH151,0)</f>
        <v>0</v>
      </c>
      <c r="AG151" s="229" t="s">
        <v>154</v>
      </c>
      <c r="AH151" s="233">
        <f>IF(AL151=0,J151,0)</f>
        <v>0</v>
      </c>
      <c r="AI151" s="233">
        <f>IF(AL151=15,J151,0)</f>
        <v>0</v>
      </c>
      <c r="AJ151" s="233">
        <f>IF(AL151=21,J151,0)</f>
        <v>0</v>
      </c>
      <c r="AL151" s="233">
        <v>15</v>
      </c>
      <c r="AM151" s="233">
        <f>G151*0.120871568</f>
        <v>0</v>
      </c>
      <c r="AN151" s="233">
        <f>G151*(1-0.120871568)</f>
        <v>0</v>
      </c>
      <c r="AO151" s="234" t="s">
        <v>157</v>
      </c>
      <c r="AT151" s="233">
        <f>AU151+AV151</f>
        <v>0</v>
      </c>
      <c r="AU151" s="233">
        <f>F151*AM151</f>
        <v>0</v>
      </c>
      <c r="AV151" s="233">
        <f>F151*AN151</f>
        <v>0</v>
      </c>
      <c r="AW151" s="234" t="s">
        <v>366</v>
      </c>
      <c r="AX151" s="234" t="s">
        <v>356</v>
      </c>
      <c r="AY151" s="229" t="s">
        <v>164</v>
      </c>
      <c r="BA151" s="233">
        <f>AU151+AV151</f>
        <v>0</v>
      </c>
      <c r="BB151" s="233">
        <f>G151/(100-BC151)*100</f>
        <v>0</v>
      </c>
      <c r="BC151" s="233">
        <v>0</v>
      </c>
      <c r="BD151" s="233">
        <f>L151</f>
        <v>2.0499999999999997E-3</v>
      </c>
      <c r="BF151" s="233">
        <f>F151*AM151</f>
        <v>0</v>
      </c>
      <c r="BG151" s="233">
        <f>F151*AN151</f>
        <v>0</v>
      </c>
      <c r="BH151" s="233">
        <f>F151*G151</f>
        <v>0</v>
      </c>
      <c r="BI151" s="233"/>
      <c r="BJ151" s="233">
        <v>89</v>
      </c>
      <c r="BU151" s="233" t="e">
        <f>#REF!</f>
        <v>#REF!</v>
      </c>
      <c r="BV151" s="225" t="s">
        <v>923</v>
      </c>
    </row>
    <row r="152" spans="1:74" ht="55.5" customHeight="1" x14ac:dyDescent="0.3">
      <c r="A152" s="241"/>
      <c r="B152" s="242" t="s">
        <v>165</v>
      </c>
      <c r="C152" s="530" t="s">
        <v>1644</v>
      </c>
      <c r="D152" s="531"/>
      <c r="E152" s="531"/>
      <c r="F152" s="531"/>
      <c r="G152" s="531"/>
      <c r="H152" s="531"/>
      <c r="I152" s="531"/>
      <c r="J152" s="531"/>
      <c r="K152" s="531"/>
      <c r="L152" s="531"/>
      <c r="M152" s="532"/>
    </row>
    <row r="153" spans="1:74" ht="14.4" x14ac:dyDescent="0.3">
      <c r="A153" s="239" t="s">
        <v>408</v>
      </c>
      <c r="B153" s="223" t="s">
        <v>925</v>
      </c>
      <c r="C153" s="521" t="s">
        <v>926</v>
      </c>
      <c r="D153" s="519"/>
      <c r="E153" s="223" t="s">
        <v>160</v>
      </c>
      <c r="F153" s="233">
        <v>147</v>
      </c>
      <c r="G153" s="311">
        <v>0</v>
      </c>
      <c r="H153" s="233">
        <f>F153*AM153</f>
        <v>0</v>
      </c>
      <c r="I153" s="233">
        <f>F153*AN153</f>
        <v>0</v>
      </c>
      <c r="J153" s="233">
        <f>F153*G153</f>
        <v>0</v>
      </c>
      <c r="K153" s="233">
        <v>0</v>
      </c>
      <c r="L153" s="233">
        <f>F153*K153</f>
        <v>0</v>
      </c>
      <c r="M153" s="240" t="s">
        <v>472</v>
      </c>
      <c r="X153" s="233">
        <f>IF(AO153="5",BH153,0)</f>
        <v>0</v>
      </c>
      <c r="Z153" s="233">
        <f>IF(AO153="1",BF153,0)</f>
        <v>0</v>
      </c>
      <c r="AA153" s="233">
        <f>IF(AO153="1",BG153,0)</f>
        <v>0</v>
      </c>
      <c r="AB153" s="233">
        <f>IF(AO153="7",BF153,0)</f>
        <v>0</v>
      </c>
      <c r="AC153" s="233">
        <f>IF(AO153="7",BG153,0)</f>
        <v>0</v>
      </c>
      <c r="AD153" s="233">
        <f>IF(AO153="2",BF153,0)</f>
        <v>0</v>
      </c>
      <c r="AE153" s="233">
        <f>IF(AO153="2",BG153,0)</f>
        <v>0</v>
      </c>
      <c r="AF153" s="233">
        <f>IF(AO153="0",BH153,0)</f>
        <v>0</v>
      </c>
      <c r="AG153" s="229" t="s">
        <v>154</v>
      </c>
      <c r="AH153" s="233">
        <f>IF(AL153=0,J153,0)</f>
        <v>0</v>
      </c>
      <c r="AI153" s="233">
        <f>IF(AL153=15,J153,0)</f>
        <v>0</v>
      </c>
      <c r="AJ153" s="233">
        <f>IF(AL153=21,J153,0)</f>
        <v>0</v>
      </c>
      <c r="AL153" s="233">
        <v>15</v>
      </c>
      <c r="AM153" s="233">
        <f>G153*0.092260692</f>
        <v>0</v>
      </c>
      <c r="AN153" s="233">
        <f>G153*(1-0.092260692)</f>
        <v>0</v>
      </c>
      <c r="AO153" s="234" t="s">
        <v>157</v>
      </c>
      <c r="AT153" s="233">
        <f>AU153+AV153</f>
        <v>0</v>
      </c>
      <c r="AU153" s="233">
        <f>F153*AM153</f>
        <v>0</v>
      </c>
      <c r="AV153" s="233">
        <f>F153*AN153</f>
        <v>0</v>
      </c>
      <c r="AW153" s="234" t="s">
        <v>366</v>
      </c>
      <c r="AX153" s="234" t="s">
        <v>356</v>
      </c>
      <c r="AY153" s="229" t="s">
        <v>164</v>
      </c>
      <c r="BA153" s="233">
        <f>AU153+AV153</f>
        <v>0</v>
      </c>
      <c r="BB153" s="233">
        <f>G153/(100-BC153)*100</f>
        <v>0</v>
      </c>
      <c r="BC153" s="233">
        <v>0</v>
      </c>
      <c r="BD153" s="233">
        <f>L153</f>
        <v>0</v>
      </c>
      <c r="BF153" s="233">
        <f>F153*AM153</f>
        <v>0</v>
      </c>
      <c r="BG153" s="233">
        <f>F153*AN153</f>
        <v>0</v>
      </c>
      <c r="BH153" s="233">
        <f>F153*G153</f>
        <v>0</v>
      </c>
      <c r="BI153" s="233"/>
      <c r="BJ153" s="233">
        <v>89</v>
      </c>
      <c r="BU153" s="233" t="e">
        <f>#REF!</f>
        <v>#REF!</v>
      </c>
      <c r="BV153" s="225" t="s">
        <v>926</v>
      </c>
    </row>
    <row r="154" spans="1:74" ht="40.5" customHeight="1" x14ac:dyDescent="0.3">
      <c r="A154" s="244"/>
      <c r="B154" s="245" t="s">
        <v>165</v>
      </c>
      <c r="C154" s="540" t="s">
        <v>1645</v>
      </c>
      <c r="D154" s="541"/>
      <c r="E154" s="541"/>
      <c r="F154" s="541"/>
      <c r="G154" s="541"/>
      <c r="H154" s="541"/>
      <c r="I154" s="541"/>
      <c r="J154" s="541"/>
      <c r="K154" s="541"/>
      <c r="L154" s="541"/>
      <c r="M154" s="542"/>
    </row>
    <row r="155" spans="1:74" ht="14.4" x14ac:dyDescent="0.3">
      <c r="A155" s="237" t="s">
        <v>413</v>
      </c>
      <c r="B155" s="238" t="s">
        <v>927</v>
      </c>
      <c r="C155" s="543" t="s">
        <v>928</v>
      </c>
      <c r="D155" s="544"/>
      <c r="E155" s="238" t="s">
        <v>160</v>
      </c>
      <c r="F155" s="258">
        <v>148</v>
      </c>
      <c r="G155" s="311">
        <v>0</v>
      </c>
      <c r="H155" s="258">
        <f>F155*AM155</f>
        <v>0</v>
      </c>
      <c r="I155" s="258">
        <f>F155*AN155</f>
        <v>0</v>
      </c>
      <c r="J155" s="258">
        <f>F155*G155</f>
        <v>0</v>
      </c>
      <c r="K155" s="258">
        <v>0</v>
      </c>
      <c r="L155" s="258">
        <f>F155*K155</f>
        <v>0</v>
      </c>
      <c r="M155" s="259" t="s">
        <v>472</v>
      </c>
      <c r="X155" s="233">
        <f>IF(AO155="5",BH155,0)</f>
        <v>0</v>
      </c>
      <c r="Z155" s="233">
        <f>IF(AO155="1",BF155,0)</f>
        <v>0</v>
      </c>
      <c r="AA155" s="233">
        <f>IF(AO155="1",BG155,0)</f>
        <v>0</v>
      </c>
      <c r="AB155" s="233">
        <f>IF(AO155="7",BF155,0)</f>
        <v>0</v>
      </c>
      <c r="AC155" s="233">
        <f>IF(AO155="7",BG155,0)</f>
        <v>0</v>
      </c>
      <c r="AD155" s="233">
        <f>IF(AO155="2",BF155,0)</f>
        <v>0</v>
      </c>
      <c r="AE155" s="233">
        <f>IF(AO155="2",BG155,0)</f>
        <v>0</v>
      </c>
      <c r="AF155" s="233">
        <f>IF(AO155="0",BH155,0)</f>
        <v>0</v>
      </c>
      <c r="AG155" s="229" t="s">
        <v>154</v>
      </c>
      <c r="AH155" s="233">
        <f>IF(AL155=0,J155,0)</f>
        <v>0</v>
      </c>
      <c r="AI155" s="233">
        <f>IF(AL155=15,J155,0)</f>
        <v>0</v>
      </c>
      <c r="AJ155" s="233">
        <f>IF(AL155=21,J155,0)</f>
        <v>0</v>
      </c>
      <c r="AL155" s="233">
        <v>15</v>
      </c>
      <c r="AM155" s="233">
        <f>G155*0</f>
        <v>0</v>
      </c>
      <c r="AN155" s="233">
        <f>G155*(1-0)</f>
        <v>0</v>
      </c>
      <c r="AO155" s="234" t="s">
        <v>157</v>
      </c>
      <c r="AT155" s="233">
        <f>AU155+AV155</f>
        <v>0</v>
      </c>
      <c r="AU155" s="233">
        <f>F155*AM155</f>
        <v>0</v>
      </c>
      <c r="AV155" s="233">
        <f>F155*AN155</f>
        <v>0</v>
      </c>
      <c r="AW155" s="234" t="s">
        <v>366</v>
      </c>
      <c r="AX155" s="234" t="s">
        <v>356</v>
      </c>
      <c r="AY155" s="229" t="s">
        <v>164</v>
      </c>
      <c r="BA155" s="233">
        <f>AU155+AV155</f>
        <v>0</v>
      </c>
      <c r="BB155" s="233">
        <f>G155/(100-BC155)*100</f>
        <v>0</v>
      </c>
      <c r="BC155" s="233">
        <v>0</v>
      </c>
      <c r="BD155" s="233">
        <f>L155</f>
        <v>0</v>
      </c>
      <c r="BF155" s="233">
        <f>F155*AM155</f>
        <v>0</v>
      </c>
      <c r="BG155" s="233">
        <f>F155*AN155</f>
        <v>0</v>
      </c>
      <c r="BH155" s="233">
        <f>F155*G155</f>
        <v>0</v>
      </c>
      <c r="BI155" s="233"/>
      <c r="BJ155" s="233">
        <v>89</v>
      </c>
      <c r="BU155" s="233" t="e">
        <f>#REF!</f>
        <v>#REF!</v>
      </c>
      <c r="BV155" s="225" t="s">
        <v>928</v>
      </c>
    </row>
    <row r="156" spans="1:74" ht="40.5" customHeight="1" x14ac:dyDescent="0.3">
      <c r="A156" s="241"/>
      <c r="B156" s="242" t="s">
        <v>165</v>
      </c>
      <c r="C156" s="530" t="s">
        <v>1646</v>
      </c>
      <c r="D156" s="531"/>
      <c r="E156" s="531"/>
      <c r="F156" s="531"/>
      <c r="G156" s="531"/>
      <c r="H156" s="531"/>
      <c r="I156" s="531"/>
      <c r="J156" s="531"/>
      <c r="K156" s="531"/>
      <c r="L156" s="531"/>
      <c r="M156" s="532"/>
    </row>
    <row r="157" spans="1:74" ht="14.4" x14ac:dyDescent="0.3">
      <c r="A157" s="239" t="s">
        <v>419</v>
      </c>
      <c r="B157" s="223" t="s">
        <v>438</v>
      </c>
      <c r="C157" s="521" t="s">
        <v>439</v>
      </c>
      <c r="D157" s="519"/>
      <c r="E157" s="223" t="s">
        <v>160</v>
      </c>
      <c r="F157" s="233">
        <v>162.80000000000001</v>
      </c>
      <c r="G157" s="311">
        <v>0</v>
      </c>
      <c r="H157" s="233">
        <f>F157*AM157</f>
        <v>0</v>
      </c>
      <c r="I157" s="233">
        <f>F157*AN157</f>
        <v>0</v>
      </c>
      <c r="J157" s="233">
        <f>F157*G157</f>
        <v>0</v>
      </c>
      <c r="K157" s="233">
        <v>0</v>
      </c>
      <c r="L157" s="233">
        <f>F157*K157</f>
        <v>0</v>
      </c>
      <c r="M157" s="240" t="s">
        <v>472</v>
      </c>
      <c r="X157" s="233">
        <f>IF(AO157="5",BH157,0)</f>
        <v>0</v>
      </c>
      <c r="Z157" s="233">
        <f>IF(AO157="1",BF157,0)</f>
        <v>0</v>
      </c>
      <c r="AA157" s="233">
        <f>IF(AO157="1",BG157,0)</f>
        <v>0</v>
      </c>
      <c r="AB157" s="233">
        <f>IF(AO157="7",BF157,0)</f>
        <v>0</v>
      </c>
      <c r="AC157" s="233">
        <f>IF(AO157="7",BG157,0)</f>
        <v>0</v>
      </c>
      <c r="AD157" s="233">
        <f>IF(AO157="2",BF157,0)</f>
        <v>0</v>
      </c>
      <c r="AE157" s="233">
        <f>IF(AO157="2",BG157,0)</f>
        <v>0</v>
      </c>
      <c r="AF157" s="233">
        <f>IF(AO157="0",BH157,0)</f>
        <v>0</v>
      </c>
      <c r="AG157" s="229" t="s">
        <v>154</v>
      </c>
      <c r="AH157" s="233">
        <f>IF(AL157=0,J157,0)</f>
        <v>0</v>
      </c>
      <c r="AI157" s="233">
        <f>IF(AL157=15,J157,0)</f>
        <v>0</v>
      </c>
      <c r="AJ157" s="233">
        <f>IF(AL157=21,J157,0)</f>
        <v>0</v>
      </c>
      <c r="AL157" s="233">
        <v>15</v>
      </c>
      <c r="AM157" s="233">
        <f>G157*0.353998011</f>
        <v>0</v>
      </c>
      <c r="AN157" s="233">
        <f>G157*(1-0.353998011)</f>
        <v>0</v>
      </c>
      <c r="AO157" s="234" t="s">
        <v>157</v>
      </c>
      <c r="AT157" s="233">
        <f>AU157+AV157</f>
        <v>0</v>
      </c>
      <c r="AU157" s="233">
        <f>F157*AM157</f>
        <v>0</v>
      </c>
      <c r="AV157" s="233">
        <f>F157*AN157</f>
        <v>0</v>
      </c>
      <c r="AW157" s="234" t="s">
        <v>366</v>
      </c>
      <c r="AX157" s="234" t="s">
        <v>356</v>
      </c>
      <c r="AY157" s="229" t="s">
        <v>164</v>
      </c>
      <c r="BA157" s="233">
        <f>AU157+AV157</f>
        <v>0</v>
      </c>
      <c r="BB157" s="233">
        <f>G157/(100-BC157)*100</f>
        <v>0</v>
      </c>
      <c r="BC157" s="233">
        <v>0</v>
      </c>
      <c r="BD157" s="233">
        <f>L157</f>
        <v>0</v>
      </c>
      <c r="BF157" s="233">
        <f>F157*AM157</f>
        <v>0</v>
      </c>
      <c r="BG157" s="233">
        <f>F157*AN157</f>
        <v>0</v>
      </c>
      <c r="BH157" s="233">
        <f>F157*G157</f>
        <v>0</v>
      </c>
      <c r="BI157" s="233"/>
      <c r="BJ157" s="233">
        <v>89</v>
      </c>
      <c r="BU157" s="233" t="e">
        <f>#REF!</f>
        <v>#REF!</v>
      </c>
      <c r="BV157" s="225" t="s">
        <v>439</v>
      </c>
    </row>
    <row r="158" spans="1:74" ht="54" customHeight="1" x14ac:dyDescent="0.3">
      <c r="A158" s="241"/>
      <c r="B158" s="242" t="s">
        <v>165</v>
      </c>
      <c r="C158" s="530" t="s">
        <v>1647</v>
      </c>
      <c r="D158" s="531"/>
      <c r="E158" s="531"/>
      <c r="F158" s="531"/>
      <c r="G158" s="531"/>
      <c r="H158" s="531"/>
      <c r="I158" s="531"/>
      <c r="J158" s="531"/>
      <c r="K158" s="531"/>
      <c r="L158" s="531"/>
      <c r="M158" s="532"/>
    </row>
    <row r="159" spans="1:74" ht="14.4" x14ac:dyDescent="0.3">
      <c r="A159" s="239" t="s">
        <v>154</v>
      </c>
      <c r="B159" s="224" t="s">
        <v>370</v>
      </c>
      <c r="C159" s="526" t="s">
        <v>371</v>
      </c>
      <c r="D159" s="527"/>
      <c r="E159" s="223" t="s">
        <v>114</v>
      </c>
      <c r="F159" s="223" t="s">
        <v>114</v>
      </c>
      <c r="G159" s="223" t="s">
        <v>114</v>
      </c>
      <c r="H159" s="235">
        <f>SUM(H160:H160)</f>
        <v>0</v>
      </c>
      <c r="I159" s="235">
        <f>SUM(I160:I160)</f>
        <v>0</v>
      </c>
      <c r="J159" s="235">
        <f>SUM(J160:J160)</f>
        <v>0</v>
      </c>
      <c r="K159" s="230" t="s">
        <v>154</v>
      </c>
      <c r="L159" s="235">
        <f>SUM(L160:L160)</f>
        <v>0.1036</v>
      </c>
      <c r="M159" s="243" t="s">
        <v>154</v>
      </c>
      <c r="AG159" s="229" t="s">
        <v>154</v>
      </c>
      <c r="AQ159" s="222">
        <f>SUM(AH160:AH160)</f>
        <v>0</v>
      </c>
      <c r="AR159" s="222">
        <f>SUM(AI160:AI160)</f>
        <v>0</v>
      </c>
      <c r="AS159" s="222">
        <f>SUM(AJ160:AJ160)</f>
        <v>0</v>
      </c>
    </row>
    <row r="160" spans="1:74" ht="14.4" x14ac:dyDescent="0.3">
      <c r="A160" s="239" t="s">
        <v>548</v>
      </c>
      <c r="B160" s="223" t="s">
        <v>372</v>
      </c>
      <c r="C160" s="521" t="s">
        <v>373</v>
      </c>
      <c r="D160" s="519"/>
      <c r="E160" s="223" t="s">
        <v>160</v>
      </c>
      <c r="F160" s="233">
        <v>148</v>
      </c>
      <c r="G160" s="311">
        <v>0</v>
      </c>
      <c r="H160" s="233">
        <f>F160*AM160</f>
        <v>0</v>
      </c>
      <c r="I160" s="233">
        <f>F160*AN160</f>
        <v>0</v>
      </c>
      <c r="J160" s="233">
        <f>F160*G160</f>
        <v>0</v>
      </c>
      <c r="K160" s="233">
        <v>6.9999999999999999E-4</v>
      </c>
      <c r="L160" s="233">
        <f>F160*K160</f>
        <v>0.1036</v>
      </c>
      <c r="M160" s="240" t="s">
        <v>472</v>
      </c>
      <c r="X160" s="233">
        <f>IF(AO160="5",BH160,0)</f>
        <v>0</v>
      </c>
      <c r="Z160" s="233">
        <f>IF(AO160="1",BF160,0)</f>
        <v>0</v>
      </c>
      <c r="AA160" s="233">
        <f>IF(AO160="1",BG160,0)</f>
        <v>0</v>
      </c>
      <c r="AB160" s="233">
        <f>IF(AO160="7",BF160,0)</f>
        <v>0</v>
      </c>
      <c r="AC160" s="233">
        <f>IF(AO160="7",BG160,0)</f>
        <v>0</v>
      </c>
      <c r="AD160" s="233">
        <f>IF(AO160="2",BF160,0)</f>
        <v>0</v>
      </c>
      <c r="AE160" s="233">
        <f>IF(AO160="2",BG160,0)</f>
        <v>0</v>
      </c>
      <c r="AF160" s="233">
        <f>IF(AO160="0",BH160,0)</f>
        <v>0</v>
      </c>
      <c r="AG160" s="229" t="s">
        <v>154</v>
      </c>
      <c r="AH160" s="233">
        <f>IF(AL160=0,J160,0)</f>
        <v>0</v>
      </c>
      <c r="AI160" s="233">
        <f>IF(AL160=15,J160,0)</f>
        <v>0</v>
      </c>
      <c r="AJ160" s="233">
        <f>IF(AL160=21,J160,0)</f>
        <v>0</v>
      </c>
      <c r="AL160" s="233">
        <v>15</v>
      </c>
      <c r="AM160" s="233">
        <f>G160*0.071213612</f>
        <v>0</v>
      </c>
      <c r="AN160" s="233">
        <f>G160*(1-0.071213612)</f>
        <v>0</v>
      </c>
      <c r="AO160" s="234" t="s">
        <v>157</v>
      </c>
      <c r="AT160" s="233">
        <f>AU160+AV160</f>
        <v>0</v>
      </c>
      <c r="AU160" s="233">
        <f>F160*AM160</f>
        <v>0</v>
      </c>
      <c r="AV160" s="233">
        <f>F160*AN160</f>
        <v>0</v>
      </c>
      <c r="AW160" s="234" t="s">
        <v>374</v>
      </c>
      <c r="AX160" s="234" t="s">
        <v>375</v>
      </c>
      <c r="AY160" s="229" t="s">
        <v>164</v>
      </c>
      <c r="BA160" s="233">
        <f>AU160+AV160</f>
        <v>0</v>
      </c>
      <c r="BB160" s="233">
        <f>G160/(100-BC160)*100</f>
        <v>0</v>
      </c>
      <c r="BC160" s="233">
        <v>0</v>
      </c>
      <c r="BD160" s="233">
        <f>L160</f>
        <v>0.1036</v>
      </c>
      <c r="BF160" s="233">
        <f>F160*AM160</f>
        <v>0</v>
      </c>
      <c r="BG160" s="233">
        <f>F160*AN160</f>
        <v>0</v>
      </c>
      <c r="BH160" s="233">
        <f>F160*G160</f>
        <v>0</v>
      </c>
      <c r="BI160" s="233"/>
      <c r="BJ160" s="233">
        <v>93</v>
      </c>
      <c r="BU160" s="233" t="e">
        <f>#REF!</f>
        <v>#REF!</v>
      </c>
      <c r="BV160" s="225" t="s">
        <v>373</v>
      </c>
    </row>
    <row r="161" spans="1:74" ht="40.5" customHeight="1" x14ac:dyDescent="0.3">
      <c r="A161" s="241"/>
      <c r="B161" s="242" t="s">
        <v>165</v>
      </c>
      <c r="C161" s="530" t="s">
        <v>1648</v>
      </c>
      <c r="D161" s="531"/>
      <c r="E161" s="531"/>
      <c r="F161" s="531"/>
      <c r="G161" s="531"/>
      <c r="H161" s="531"/>
      <c r="I161" s="531"/>
      <c r="J161" s="531"/>
      <c r="K161" s="531"/>
      <c r="L161" s="531"/>
      <c r="M161" s="532"/>
    </row>
    <row r="162" spans="1:74" ht="14.4" x14ac:dyDescent="0.3">
      <c r="A162" s="239" t="s">
        <v>154</v>
      </c>
      <c r="B162" s="224" t="s">
        <v>376</v>
      </c>
      <c r="C162" s="526" t="s">
        <v>377</v>
      </c>
      <c r="D162" s="527"/>
      <c r="E162" s="223" t="s">
        <v>114</v>
      </c>
      <c r="F162" s="223" t="s">
        <v>114</v>
      </c>
      <c r="G162" s="223" t="s">
        <v>114</v>
      </c>
      <c r="H162" s="235">
        <f>SUM(H163:H163)</f>
        <v>0</v>
      </c>
      <c r="I162" s="235">
        <f>SUM(I163:I163)</f>
        <v>0</v>
      </c>
      <c r="J162" s="235">
        <f>SUM(J163:J163)</f>
        <v>0</v>
      </c>
      <c r="K162" s="230" t="s">
        <v>154</v>
      </c>
      <c r="L162" s="235">
        <f>SUM(L163:L163)</f>
        <v>0</v>
      </c>
      <c r="M162" s="243" t="s">
        <v>154</v>
      </c>
      <c r="AG162" s="229" t="s">
        <v>154</v>
      </c>
      <c r="AQ162" s="222">
        <f>SUM(AH163:AH163)</f>
        <v>0</v>
      </c>
      <c r="AR162" s="222">
        <f>SUM(AI163:AI163)</f>
        <v>0</v>
      </c>
      <c r="AS162" s="222">
        <f>SUM(AJ163:AJ163)</f>
        <v>0</v>
      </c>
    </row>
    <row r="163" spans="1:74" ht="14.4" x14ac:dyDescent="0.3">
      <c r="A163" s="239" t="s">
        <v>551</v>
      </c>
      <c r="B163" s="223" t="s">
        <v>378</v>
      </c>
      <c r="C163" s="521" t="s">
        <v>379</v>
      </c>
      <c r="D163" s="519"/>
      <c r="E163" s="223" t="s">
        <v>380</v>
      </c>
      <c r="F163" s="233">
        <v>260.10000000000002</v>
      </c>
      <c r="G163" s="311">
        <v>0</v>
      </c>
      <c r="H163" s="233">
        <f>F163*AM163</f>
        <v>0</v>
      </c>
      <c r="I163" s="233">
        <f>F163*AN163</f>
        <v>0</v>
      </c>
      <c r="J163" s="233">
        <f>F163*G163</f>
        <v>0</v>
      </c>
      <c r="K163" s="233">
        <v>0</v>
      </c>
      <c r="L163" s="233">
        <f>F163*K163</f>
        <v>0</v>
      </c>
      <c r="M163" s="240" t="s">
        <v>472</v>
      </c>
      <c r="X163" s="233">
        <f>IF(AO163="5",BH163,0)</f>
        <v>0</v>
      </c>
      <c r="Z163" s="233">
        <f>IF(AO163="1",BF163,0)</f>
        <v>0</v>
      </c>
      <c r="AA163" s="233">
        <f>IF(AO163="1",BG163,0)</f>
        <v>0</v>
      </c>
      <c r="AB163" s="233">
        <f>IF(AO163="7",BF163,0)</f>
        <v>0</v>
      </c>
      <c r="AC163" s="233">
        <f>IF(AO163="7",BG163,0)</f>
        <v>0</v>
      </c>
      <c r="AD163" s="233">
        <f>IF(AO163="2",BF163,0)</f>
        <v>0</v>
      </c>
      <c r="AE163" s="233">
        <f>IF(AO163="2",BG163,0)</f>
        <v>0</v>
      </c>
      <c r="AF163" s="233">
        <f>IF(AO163="0",BH163,0)</f>
        <v>0</v>
      </c>
      <c r="AG163" s="229" t="s">
        <v>154</v>
      </c>
      <c r="AH163" s="233">
        <f>IF(AL163=0,J163,0)</f>
        <v>0</v>
      </c>
      <c r="AI163" s="233">
        <f>IF(AL163=15,J163,0)</f>
        <v>0</v>
      </c>
      <c r="AJ163" s="233">
        <f>IF(AL163=21,J163,0)</f>
        <v>0</v>
      </c>
      <c r="AL163" s="233">
        <v>15</v>
      </c>
      <c r="AM163" s="233">
        <f>G163*0</f>
        <v>0</v>
      </c>
      <c r="AN163" s="233">
        <f>G163*(1-0)</f>
        <v>0</v>
      </c>
      <c r="AO163" s="234" t="s">
        <v>157</v>
      </c>
      <c r="AT163" s="233">
        <f>AU163+AV163</f>
        <v>0</v>
      </c>
      <c r="AU163" s="233">
        <f>F163*AM163</f>
        <v>0</v>
      </c>
      <c r="AV163" s="233">
        <f>F163*AN163</f>
        <v>0</v>
      </c>
      <c r="AW163" s="234" t="s">
        <v>381</v>
      </c>
      <c r="AX163" s="234" t="s">
        <v>375</v>
      </c>
      <c r="AY163" s="229" t="s">
        <v>164</v>
      </c>
      <c r="BA163" s="233">
        <f>AU163+AV163</f>
        <v>0</v>
      </c>
      <c r="BB163" s="233">
        <f>G163/(100-BC163)*100</f>
        <v>0</v>
      </c>
      <c r="BC163" s="233">
        <v>0</v>
      </c>
      <c r="BD163" s="233">
        <f>L163</f>
        <v>0</v>
      </c>
      <c r="BF163" s="233">
        <f>F163*AM163</f>
        <v>0</v>
      </c>
      <c r="BG163" s="233">
        <f>F163*AN163</f>
        <v>0</v>
      </c>
      <c r="BH163" s="233">
        <f>F163*G163</f>
        <v>0</v>
      </c>
      <c r="BI163" s="233"/>
      <c r="BJ163" s="233">
        <v>97</v>
      </c>
      <c r="BU163" s="233" t="e">
        <f>#REF!</f>
        <v>#REF!</v>
      </c>
      <c r="BV163" s="225" t="s">
        <v>379</v>
      </c>
    </row>
    <row r="164" spans="1:74" ht="27" customHeight="1" x14ac:dyDescent="0.3">
      <c r="A164" s="241"/>
      <c r="B164" s="242" t="s">
        <v>165</v>
      </c>
      <c r="C164" s="530" t="s">
        <v>1649</v>
      </c>
      <c r="D164" s="531"/>
      <c r="E164" s="531"/>
      <c r="F164" s="531"/>
      <c r="G164" s="531"/>
      <c r="H164" s="531"/>
      <c r="I164" s="531"/>
      <c r="J164" s="531"/>
      <c r="K164" s="531"/>
      <c r="L164" s="531"/>
      <c r="M164" s="532"/>
    </row>
    <row r="165" spans="1:74" ht="14.4" x14ac:dyDescent="0.3">
      <c r="A165" s="239" t="s">
        <v>154</v>
      </c>
      <c r="B165" s="224" t="s">
        <v>382</v>
      </c>
      <c r="C165" s="526" t="s">
        <v>383</v>
      </c>
      <c r="D165" s="527"/>
      <c r="E165" s="223" t="s">
        <v>114</v>
      </c>
      <c r="F165" s="223" t="s">
        <v>114</v>
      </c>
      <c r="G165" s="223" t="s">
        <v>114</v>
      </c>
      <c r="H165" s="235">
        <f>SUM(H166:H171)</f>
        <v>0</v>
      </c>
      <c r="I165" s="235">
        <f>SUM(I166:I171)</f>
        <v>0</v>
      </c>
      <c r="J165" s="235">
        <f>SUM(J166:J171)</f>
        <v>0</v>
      </c>
      <c r="K165" s="230" t="s">
        <v>154</v>
      </c>
      <c r="L165" s="235">
        <f>SUM(L166:L171)</f>
        <v>0</v>
      </c>
      <c r="M165" s="243" t="s">
        <v>154</v>
      </c>
      <c r="AG165" s="229" t="s">
        <v>154</v>
      </c>
      <c r="AQ165" s="222">
        <f>SUM(AH166:AH171)</f>
        <v>0</v>
      </c>
      <c r="AR165" s="222">
        <f>SUM(AI166:AI171)</f>
        <v>0</v>
      </c>
      <c r="AS165" s="222">
        <f>SUM(AJ166:AJ171)</f>
        <v>0</v>
      </c>
    </row>
    <row r="166" spans="1:74" ht="14.4" x14ac:dyDescent="0.3">
      <c r="A166" s="239" t="s">
        <v>555</v>
      </c>
      <c r="B166" s="223" t="s">
        <v>385</v>
      </c>
      <c r="C166" s="521" t="s">
        <v>386</v>
      </c>
      <c r="D166" s="519"/>
      <c r="E166" s="223" t="s">
        <v>380</v>
      </c>
      <c r="F166" s="233">
        <v>346.8</v>
      </c>
      <c r="G166" s="311">
        <v>0</v>
      </c>
      <c r="H166" s="233">
        <f>F166*AM166</f>
        <v>0</v>
      </c>
      <c r="I166" s="233">
        <f>F166*AN166</f>
        <v>0</v>
      </c>
      <c r="J166" s="233">
        <f>F166*G166</f>
        <v>0</v>
      </c>
      <c r="K166" s="233">
        <v>0</v>
      </c>
      <c r="L166" s="233">
        <f>F166*K166</f>
        <v>0</v>
      </c>
      <c r="M166" s="240" t="s">
        <v>472</v>
      </c>
      <c r="X166" s="233">
        <f>IF(AO166="5",BH166,0)</f>
        <v>0</v>
      </c>
      <c r="Z166" s="233">
        <f>IF(AO166="1",BF166,0)</f>
        <v>0</v>
      </c>
      <c r="AA166" s="233">
        <f>IF(AO166="1",BG166,0)</f>
        <v>0</v>
      </c>
      <c r="AB166" s="233">
        <f>IF(AO166="7",BF166,0)</f>
        <v>0</v>
      </c>
      <c r="AC166" s="233">
        <f>IF(AO166="7",BG166,0)</f>
        <v>0</v>
      </c>
      <c r="AD166" s="233">
        <f>IF(AO166="2",BF166,0)</f>
        <v>0</v>
      </c>
      <c r="AE166" s="233">
        <f>IF(AO166="2",BG166,0)</f>
        <v>0</v>
      </c>
      <c r="AF166" s="233">
        <f>IF(AO166="0",BH166,0)</f>
        <v>0</v>
      </c>
      <c r="AG166" s="229" t="s">
        <v>154</v>
      </c>
      <c r="AH166" s="233">
        <f>IF(AL166=0,J166,0)</f>
        <v>0</v>
      </c>
      <c r="AI166" s="233">
        <f>IF(AL166=15,J166,0)</f>
        <v>0</v>
      </c>
      <c r="AJ166" s="233">
        <f>IF(AL166=21,J166,0)</f>
        <v>0</v>
      </c>
      <c r="AL166" s="233">
        <v>15</v>
      </c>
      <c r="AM166" s="233">
        <f>G166*0</f>
        <v>0</v>
      </c>
      <c r="AN166" s="233">
        <f>G166*(1-0)</f>
        <v>0</v>
      </c>
      <c r="AO166" s="234" t="s">
        <v>177</v>
      </c>
      <c r="AT166" s="233">
        <f>AU166+AV166</f>
        <v>0</v>
      </c>
      <c r="AU166" s="233">
        <f>F166*AM166</f>
        <v>0</v>
      </c>
      <c r="AV166" s="233">
        <f>F166*AN166</f>
        <v>0</v>
      </c>
      <c r="AW166" s="234" t="s">
        <v>387</v>
      </c>
      <c r="AX166" s="234" t="s">
        <v>375</v>
      </c>
      <c r="AY166" s="229" t="s">
        <v>164</v>
      </c>
      <c r="BA166" s="233">
        <f>AU166+AV166</f>
        <v>0</v>
      </c>
      <c r="BB166" s="233">
        <f>G166/(100-BC166)*100</f>
        <v>0</v>
      </c>
      <c r="BC166" s="233">
        <v>0</v>
      </c>
      <c r="BD166" s="233">
        <f>L166</f>
        <v>0</v>
      </c>
      <c r="BF166" s="233">
        <f>F166*AM166</f>
        <v>0</v>
      </c>
      <c r="BG166" s="233">
        <f>F166*AN166</f>
        <v>0</v>
      </c>
      <c r="BH166" s="233">
        <f>F166*G166</f>
        <v>0</v>
      </c>
      <c r="BI166" s="233"/>
      <c r="BJ166" s="233"/>
      <c r="BU166" s="233" t="e">
        <f>#REF!</f>
        <v>#REF!</v>
      </c>
      <c r="BV166" s="225" t="s">
        <v>386</v>
      </c>
    </row>
    <row r="167" spans="1:74" ht="14.4" x14ac:dyDescent="0.3">
      <c r="A167" s="239" t="s">
        <v>559</v>
      </c>
      <c r="B167" s="223" t="s">
        <v>388</v>
      </c>
      <c r="C167" s="521" t="s">
        <v>389</v>
      </c>
      <c r="D167" s="519"/>
      <c r="E167" s="223" t="s">
        <v>380</v>
      </c>
      <c r="F167" s="233">
        <v>5982.3</v>
      </c>
      <c r="G167" s="311">
        <v>0</v>
      </c>
      <c r="H167" s="233">
        <f>F167*AM167</f>
        <v>0</v>
      </c>
      <c r="I167" s="233">
        <f>F167*AN167</f>
        <v>0</v>
      </c>
      <c r="J167" s="233">
        <f>F167*G167</f>
        <v>0</v>
      </c>
      <c r="K167" s="233">
        <v>0</v>
      </c>
      <c r="L167" s="233">
        <f>F167*K167</f>
        <v>0</v>
      </c>
      <c r="M167" s="240" t="s">
        <v>472</v>
      </c>
      <c r="X167" s="233">
        <f>IF(AO167="5",BH167,0)</f>
        <v>0</v>
      </c>
      <c r="Z167" s="233">
        <f>IF(AO167="1",BF167,0)</f>
        <v>0</v>
      </c>
      <c r="AA167" s="233">
        <f>IF(AO167="1",BG167,0)</f>
        <v>0</v>
      </c>
      <c r="AB167" s="233">
        <f>IF(AO167="7",BF167,0)</f>
        <v>0</v>
      </c>
      <c r="AC167" s="233">
        <f>IF(AO167="7",BG167,0)</f>
        <v>0</v>
      </c>
      <c r="AD167" s="233">
        <f>IF(AO167="2",BF167,0)</f>
        <v>0</v>
      </c>
      <c r="AE167" s="233">
        <f>IF(AO167="2",BG167,0)</f>
        <v>0</v>
      </c>
      <c r="AF167" s="233">
        <f>IF(AO167="0",BH167,0)</f>
        <v>0</v>
      </c>
      <c r="AG167" s="229" t="s">
        <v>154</v>
      </c>
      <c r="AH167" s="233">
        <f>IF(AL167=0,J167,0)</f>
        <v>0</v>
      </c>
      <c r="AI167" s="233">
        <f>IF(AL167=15,J167,0)</f>
        <v>0</v>
      </c>
      <c r="AJ167" s="233">
        <f>IF(AL167=21,J167,0)</f>
        <v>0</v>
      </c>
      <c r="AL167" s="233">
        <v>15</v>
      </c>
      <c r="AM167" s="233">
        <f>G167*0</f>
        <v>0</v>
      </c>
      <c r="AN167" s="233">
        <f>G167*(1-0)</f>
        <v>0</v>
      </c>
      <c r="AO167" s="234" t="s">
        <v>177</v>
      </c>
      <c r="AT167" s="233">
        <f>AU167+AV167</f>
        <v>0</v>
      </c>
      <c r="AU167" s="233">
        <f>F167*AM167</f>
        <v>0</v>
      </c>
      <c r="AV167" s="233">
        <f>F167*AN167</f>
        <v>0</v>
      </c>
      <c r="AW167" s="234" t="s">
        <v>387</v>
      </c>
      <c r="AX167" s="234" t="s">
        <v>375</v>
      </c>
      <c r="AY167" s="229" t="s">
        <v>164</v>
      </c>
      <c r="BA167" s="233">
        <f>AU167+AV167</f>
        <v>0</v>
      </c>
      <c r="BB167" s="233">
        <f>G167/(100-BC167)*100</f>
        <v>0</v>
      </c>
      <c r="BC167" s="233">
        <v>0</v>
      </c>
      <c r="BD167" s="233">
        <f>L167</f>
        <v>0</v>
      </c>
      <c r="BF167" s="233">
        <f>F167*AM167</f>
        <v>0</v>
      </c>
      <c r="BG167" s="233">
        <f>F167*AN167</f>
        <v>0</v>
      </c>
      <c r="BH167" s="233">
        <f>F167*G167</f>
        <v>0</v>
      </c>
      <c r="BI167" s="233"/>
      <c r="BJ167" s="233"/>
      <c r="BU167" s="233" t="e">
        <f>#REF!</f>
        <v>#REF!</v>
      </c>
      <c r="BV167" s="225" t="s">
        <v>389</v>
      </c>
    </row>
    <row r="168" spans="1:74" ht="40.5" customHeight="1" x14ac:dyDescent="0.3">
      <c r="A168" s="241"/>
      <c r="B168" s="242" t="s">
        <v>165</v>
      </c>
      <c r="C168" s="530" t="s">
        <v>1650</v>
      </c>
      <c r="D168" s="531"/>
      <c r="E168" s="531"/>
      <c r="F168" s="531"/>
      <c r="G168" s="531"/>
      <c r="H168" s="531"/>
      <c r="I168" s="531"/>
      <c r="J168" s="531"/>
      <c r="K168" s="531"/>
      <c r="L168" s="531"/>
      <c r="M168" s="532"/>
    </row>
    <row r="169" spans="1:74" ht="14.4" x14ac:dyDescent="0.3">
      <c r="A169" s="239" t="s">
        <v>562</v>
      </c>
      <c r="B169" s="223" t="s">
        <v>391</v>
      </c>
      <c r="C169" s="521" t="s">
        <v>392</v>
      </c>
      <c r="D169" s="519"/>
      <c r="E169" s="223" t="s">
        <v>380</v>
      </c>
      <c r="F169" s="233">
        <v>86.7</v>
      </c>
      <c r="G169" s="311">
        <v>0</v>
      </c>
      <c r="H169" s="233">
        <f>F169*AM169</f>
        <v>0</v>
      </c>
      <c r="I169" s="233">
        <f>F169*AN169</f>
        <v>0</v>
      </c>
      <c r="J169" s="233">
        <f>F169*G169</f>
        <v>0</v>
      </c>
      <c r="K169" s="233">
        <v>0</v>
      </c>
      <c r="L169" s="233">
        <f>F169*K169</f>
        <v>0</v>
      </c>
      <c r="M169" s="240" t="s">
        <v>472</v>
      </c>
      <c r="X169" s="233">
        <f>IF(AO169="5",BH169,0)</f>
        <v>0</v>
      </c>
      <c r="Z169" s="233">
        <f>IF(AO169="1",BF169,0)</f>
        <v>0</v>
      </c>
      <c r="AA169" s="233">
        <f>IF(AO169="1",BG169,0)</f>
        <v>0</v>
      </c>
      <c r="AB169" s="233">
        <f>IF(AO169="7",BF169,0)</f>
        <v>0</v>
      </c>
      <c r="AC169" s="233">
        <f>IF(AO169="7",BG169,0)</f>
        <v>0</v>
      </c>
      <c r="AD169" s="233">
        <f>IF(AO169="2",BF169,0)</f>
        <v>0</v>
      </c>
      <c r="AE169" s="233">
        <f>IF(AO169="2",BG169,0)</f>
        <v>0</v>
      </c>
      <c r="AF169" s="233">
        <f>IF(AO169="0",BH169,0)</f>
        <v>0</v>
      </c>
      <c r="AG169" s="229" t="s">
        <v>154</v>
      </c>
      <c r="AH169" s="233">
        <f>IF(AL169=0,J169,0)</f>
        <v>0</v>
      </c>
      <c r="AI169" s="233">
        <f>IF(AL169=15,J169,0)</f>
        <v>0</v>
      </c>
      <c r="AJ169" s="233">
        <f>IF(AL169=21,J169,0)</f>
        <v>0</v>
      </c>
      <c r="AL169" s="233">
        <v>15</v>
      </c>
      <c r="AM169" s="233">
        <f>G169*0</f>
        <v>0</v>
      </c>
      <c r="AN169" s="233">
        <f>G169*(1-0)</f>
        <v>0</v>
      </c>
      <c r="AO169" s="234" t="s">
        <v>177</v>
      </c>
      <c r="AT169" s="233">
        <f>AU169+AV169</f>
        <v>0</v>
      </c>
      <c r="AU169" s="233">
        <f>F169*AM169</f>
        <v>0</v>
      </c>
      <c r="AV169" s="233">
        <f>F169*AN169</f>
        <v>0</v>
      </c>
      <c r="AW169" s="234" t="s">
        <v>387</v>
      </c>
      <c r="AX169" s="234" t="s">
        <v>375</v>
      </c>
      <c r="AY169" s="229" t="s">
        <v>164</v>
      </c>
      <c r="BA169" s="233">
        <f>AU169+AV169</f>
        <v>0</v>
      </c>
      <c r="BB169" s="233">
        <f>G169/(100-BC169)*100</f>
        <v>0</v>
      </c>
      <c r="BC169" s="233">
        <v>0</v>
      </c>
      <c r="BD169" s="233">
        <f>L169</f>
        <v>0</v>
      </c>
      <c r="BF169" s="233">
        <f>F169*AM169</f>
        <v>0</v>
      </c>
      <c r="BG169" s="233">
        <f>F169*AN169</f>
        <v>0</v>
      </c>
      <c r="BH169" s="233">
        <f>F169*G169</f>
        <v>0</v>
      </c>
      <c r="BI169" s="233"/>
      <c r="BJ169" s="233"/>
      <c r="BU169" s="233" t="e">
        <f>#REF!</f>
        <v>#REF!</v>
      </c>
      <c r="BV169" s="225" t="s">
        <v>392</v>
      </c>
    </row>
    <row r="170" spans="1:74" ht="40.5" customHeight="1" x14ac:dyDescent="0.3">
      <c r="A170" s="241"/>
      <c r="B170" s="242" t="s">
        <v>165</v>
      </c>
      <c r="C170" s="530" t="s">
        <v>1651</v>
      </c>
      <c r="D170" s="531"/>
      <c r="E170" s="531"/>
      <c r="F170" s="531"/>
      <c r="G170" s="531"/>
      <c r="H170" s="531"/>
      <c r="I170" s="531"/>
      <c r="J170" s="531"/>
      <c r="K170" s="531"/>
      <c r="L170" s="531"/>
      <c r="M170" s="532"/>
    </row>
    <row r="171" spans="1:74" ht="26.4" x14ac:dyDescent="0.3">
      <c r="A171" s="239" t="s">
        <v>566</v>
      </c>
      <c r="B171" s="223" t="s">
        <v>385</v>
      </c>
      <c r="C171" s="521" t="s">
        <v>443</v>
      </c>
      <c r="D171" s="519"/>
      <c r="E171" s="223" t="s">
        <v>380</v>
      </c>
      <c r="F171" s="233">
        <v>604.28</v>
      </c>
      <c r="G171" s="311">
        <v>0</v>
      </c>
      <c r="H171" s="233">
        <f>F171*AM171</f>
        <v>0</v>
      </c>
      <c r="I171" s="233">
        <f>F171*AN171</f>
        <v>0</v>
      </c>
      <c r="J171" s="233">
        <f>F171*G171</f>
        <v>0</v>
      </c>
      <c r="K171" s="233">
        <v>0</v>
      </c>
      <c r="L171" s="233">
        <f>F171*K171</f>
        <v>0</v>
      </c>
      <c r="M171" s="240" t="s">
        <v>472</v>
      </c>
      <c r="X171" s="233">
        <f>IF(AO171="5",BH171,0)</f>
        <v>0</v>
      </c>
      <c r="Z171" s="233">
        <f>IF(AO171="1",BF171,0)</f>
        <v>0</v>
      </c>
      <c r="AA171" s="233">
        <f>IF(AO171="1",BG171,0)</f>
        <v>0</v>
      </c>
      <c r="AB171" s="233">
        <f>IF(AO171="7",BF171,0)</f>
        <v>0</v>
      </c>
      <c r="AC171" s="233">
        <f>IF(AO171="7",BG171,0)</f>
        <v>0</v>
      </c>
      <c r="AD171" s="233">
        <f>IF(AO171="2",BF171,0)</f>
        <v>0</v>
      </c>
      <c r="AE171" s="233">
        <f>IF(AO171="2",BG171,0)</f>
        <v>0</v>
      </c>
      <c r="AF171" s="233">
        <f>IF(AO171="0",BH171,0)</f>
        <v>0</v>
      </c>
      <c r="AG171" s="229" t="s">
        <v>154</v>
      </c>
      <c r="AH171" s="233">
        <f>IF(AL171=0,J171,0)</f>
        <v>0</v>
      </c>
      <c r="AI171" s="233">
        <f>IF(AL171=15,J171,0)</f>
        <v>0</v>
      </c>
      <c r="AJ171" s="233">
        <f>IF(AL171=21,J171,0)</f>
        <v>0</v>
      </c>
      <c r="AL171" s="233">
        <v>15</v>
      </c>
      <c r="AM171" s="233">
        <f>G171*0</f>
        <v>0</v>
      </c>
      <c r="AN171" s="233">
        <f>G171*(1-0)</f>
        <v>0</v>
      </c>
      <c r="AO171" s="234" t="s">
        <v>177</v>
      </c>
      <c r="AT171" s="233">
        <f>AU171+AV171</f>
        <v>0</v>
      </c>
      <c r="AU171" s="233">
        <f>F171*AM171</f>
        <v>0</v>
      </c>
      <c r="AV171" s="233">
        <f>F171*AN171</f>
        <v>0</v>
      </c>
      <c r="AW171" s="234" t="s">
        <v>387</v>
      </c>
      <c r="AX171" s="234" t="s">
        <v>375</v>
      </c>
      <c r="AY171" s="229" t="s">
        <v>164</v>
      </c>
      <c r="BA171" s="233">
        <f>AU171+AV171</f>
        <v>0</v>
      </c>
      <c r="BB171" s="233">
        <f>G171/(100-BC171)*100</f>
        <v>0</v>
      </c>
      <c r="BC171" s="233">
        <v>0</v>
      </c>
      <c r="BD171" s="233">
        <f>L171</f>
        <v>0</v>
      </c>
      <c r="BF171" s="233">
        <f>F171*AM171</f>
        <v>0</v>
      </c>
      <c r="BG171" s="233">
        <f>F171*AN171</f>
        <v>0</v>
      </c>
      <c r="BH171" s="233">
        <f>F171*G171</f>
        <v>0</v>
      </c>
      <c r="BI171" s="233"/>
      <c r="BJ171" s="233"/>
      <c r="BU171" s="233" t="e">
        <f>#REF!</f>
        <v>#REF!</v>
      </c>
      <c r="BV171" s="225" t="s">
        <v>443</v>
      </c>
    </row>
    <row r="172" spans="1:74" ht="14.4" x14ac:dyDescent="0.3">
      <c r="A172" s="239" t="s">
        <v>154</v>
      </c>
      <c r="B172" s="224" t="s">
        <v>399</v>
      </c>
      <c r="C172" s="526" t="s">
        <v>400</v>
      </c>
      <c r="D172" s="527"/>
      <c r="E172" s="223" t="s">
        <v>114</v>
      </c>
      <c r="F172" s="223" t="s">
        <v>114</v>
      </c>
      <c r="G172" s="223" t="s">
        <v>114</v>
      </c>
      <c r="H172" s="235">
        <f>SUM(H173:H175)</f>
        <v>0</v>
      </c>
      <c r="I172" s="235">
        <f>SUM(I173:I175)</f>
        <v>0</v>
      </c>
      <c r="J172" s="235">
        <f>SUM(J173:J175)</f>
        <v>0</v>
      </c>
      <c r="K172" s="230" t="s">
        <v>154</v>
      </c>
      <c r="L172" s="235">
        <f>SUM(L173:L175)</f>
        <v>0</v>
      </c>
      <c r="M172" s="243" t="s">
        <v>154</v>
      </c>
      <c r="AG172" s="229" t="s">
        <v>154</v>
      </c>
      <c r="AQ172" s="222">
        <f>SUM(AH173:AH175)</f>
        <v>0</v>
      </c>
      <c r="AR172" s="222">
        <f>SUM(AI173:AI175)</f>
        <v>0</v>
      </c>
      <c r="AS172" s="222">
        <f>SUM(AJ173:AJ175)</f>
        <v>0</v>
      </c>
    </row>
    <row r="173" spans="1:74" ht="14.4" x14ac:dyDescent="0.3">
      <c r="A173" s="239" t="s">
        <v>570</v>
      </c>
      <c r="B173" s="223" t="s">
        <v>402</v>
      </c>
      <c r="C173" s="521" t="s">
        <v>403</v>
      </c>
      <c r="D173" s="519"/>
      <c r="E173" s="223" t="s">
        <v>380</v>
      </c>
      <c r="F173" s="233">
        <v>1.66</v>
      </c>
      <c r="G173" s="311">
        <v>0</v>
      </c>
      <c r="H173" s="233">
        <f>F173*AM173</f>
        <v>0</v>
      </c>
      <c r="I173" s="233">
        <f>F173*AN173</f>
        <v>0</v>
      </c>
      <c r="J173" s="233">
        <f>F173*G173</f>
        <v>0</v>
      </c>
      <c r="K173" s="233">
        <v>0</v>
      </c>
      <c r="L173" s="233">
        <f>F173*K173</f>
        <v>0</v>
      </c>
      <c r="M173" s="240" t="s">
        <v>472</v>
      </c>
      <c r="X173" s="233">
        <f>IF(AO173="5",BH173,0)</f>
        <v>0</v>
      </c>
      <c r="Z173" s="233">
        <f>IF(AO173="1",BF173,0)</f>
        <v>0</v>
      </c>
      <c r="AA173" s="233">
        <f>IF(AO173="1",BG173,0)</f>
        <v>0</v>
      </c>
      <c r="AB173" s="233">
        <f>IF(AO173="7",BF173,0)</f>
        <v>0</v>
      </c>
      <c r="AC173" s="233">
        <f>IF(AO173="7",BG173,0)</f>
        <v>0</v>
      </c>
      <c r="AD173" s="233">
        <f>IF(AO173="2",BF173,0)</f>
        <v>0</v>
      </c>
      <c r="AE173" s="233">
        <f>IF(AO173="2",BG173,0)</f>
        <v>0</v>
      </c>
      <c r="AF173" s="233">
        <f>IF(AO173="0",BH173,0)</f>
        <v>0</v>
      </c>
      <c r="AG173" s="229" t="s">
        <v>154</v>
      </c>
      <c r="AH173" s="233">
        <f>IF(AL173=0,J173,0)</f>
        <v>0</v>
      </c>
      <c r="AI173" s="233">
        <f>IF(AL173=15,J173,0)</f>
        <v>0</v>
      </c>
      <c r="AJ173" s="233">
        <f>IF(AL173=21,J173,0)</f>
        <v>0</v>
      </c>
      <c r="AL173" s="233">
        <v>15</v>
      </c>
      <c r="AM173" s="233">
        <f>G173*0</f>
        <v>0</v>
      </c>
      <c r="AN173" s="233">
        <f>G173*(1-0)</f>
        <v>0</v>
      </c>
      <c r="AO173" s="234" t="s">
        <v>177</v>
      </c>
      <c r="AT173" s="233">
        <f>AU173+AV173</f>
        <v>0</v>
      </c>
      <c r="AU173" s="233">
        <f>F173*AM173</f>
        <v>0</v>
      </c>
      <c r="AV173" s="233">
        <f>F173*AN173</f>
        <v>0</v>
      </c>
      <c r="AW173" s="234" t="s">
        <v>404</v>
      </c>
      <c r="AX173" s="234" t="s">
        <v>375</v>
      </c>
      <c r="AY173" s="229" t="s">
        <v>164</v>
      </c>
      <c r="BA173" s="233">
        <f>AU173+AV173</f>
        <v>0</v>
      </c>
      <c r="BB173" s="233">
        <f>G173/(100-BC173)*100</f>
        <v>0</v>
      </c>
      <c r="BC173" s="233">
        <v>0</v>
      </c>
      <c r="BD173" s="233">
        <f>L173</f>
        <v>0</v>
      </c>
      <c r="BF173" s="233">
        <f>F173*AM173</f>
        <v>0</v>
      </c>
      <c r="BG173" s="233">
        <f>F173*AN173</f>
        <v>0</v>
      </c>
      <c r="BH173" s="233">
        <f>F173*G173</f>
        <v>0</v>
      </c>
      <c r="BI173" s="233"/>
      <c r="BJ173" s="233"/>
      <c r="BU173" s="233" t="e">
        <f>#REF!</f>
        <v>#REF!</v>
      </c>
      <c r="BV173" s="225" t="s">
        <v>403</v>
      </c>
    </row>
    <row r="174" spans="1:74" ht="14.4" x14ac:dyDescent="0.3">
      <c r="A174" s="239" t="s">
        <v>573</v>
      </c>
      <c r="B174" s="223" t="s">
        <v>406</v>
      </c>
      <c r="C174" s="521" t="s">
        <v>407</v>
      </c>
      <c r="D174" s="519"/>
      <c r="E174" s="223" t="s">
        <v>380</v>
      </c>
      <c r="F174" s="233">
        <v>228.16</v>
      </c>
      <c r="G174" s="311">
        <v>0</v>
      </c>
      <c r="H174" s="233">
        <f>F174*AM174</f>
        <v>0</v>
      </c>
      <c r="I174" s="233">
        <f>F174*AN174</f>
        <v>0</v>
      </c>
      <c r="J174" s="233">
        <f>F174*G174</f>
        <v>0</v>
      </c>
      <c r="K174" s="233">
        <v>0</v>
      </c>
      <c r="L174" s="233">
        <f>F174*K174</f>
        <v>0</v>
      </c>
      <c r="M174" s="240" t="s">
        <v>472</v>
      </c>
      <c r="X174" s="233">
        <f>IF(AO174="5",BH174,0)</f>
        <v>0</v>
      </c>
      <c r="Z174" s="233">
        <f>IF(AO174="1",BF174,0)</f>
        <v>0</v>
      </c>
      <c r="AA174" s="233">
        <f>IF(AO174="1",BG174,0)</f>
        <v>0</v>
      </c>
      <c r="AB174" s="233">
        <f>IF(AO174="7",BF174,0)</f>
        <v>0</v>
      </c>
      <c r="AC174" s="233">
        <f>IF(AO174="7",BG174,0)</f>
        <v>0</v>
      </c>
      <c r="AD174" s="233">
        <f>IF(AO174="2",BF174,0)</f>
        <v>0</v>
      </c>
      <c r="AE174" s="233">
        <f>IF(AO174="2",BG174,0)</f>
        <v>0</v>
      </c>
      <c r="AF174" s="233">
        <f>IF(AO174="0",BH174,0)</f>
        <v>0</v>
      </c>
      <c r="AG174" s="229" t="s">
        <v>154</v>
      </c>
      <c r="AH174" s="233">
        <f>IF(AL174=0,J174,0)</f>
        <v>0</v>
      </c>
      <c r="AI174" s="233">
        <f>IF(AL174=15,J174,0)</f>
        <v>0</v>
      </c>
      <c r="AJ174" s="233">
        <f>IF(AL174=21,J174,0)</f>
        <v>0</v>
      </c>
      <c r="AL174" s="233">
        <v>15</v>
      </c>
      <c r="AM174" s="233">
        <f>G174*0</f>
        <v>0</v>
      </c>
      <c r="AN174" s="233">
        <f>G174*(1-0)</f>
        <v>0</v>
      </c>
      <c r="AO174" s="234" t="s">
        <v>177</v>
      </c>
      <c r="AT174" s="233">
        <f>AU174+AV174</f>
        <v>0</v>
      </c>
      <c r="AU174" s="233">
        <f>F174*AM174</f>
        <v>0</v>
      </c>
      <c r="AV174" s="233">
        <f>F174*AN174</f>
        <v>0</v>
      </c>
      <c r="AW174" s="234" t="s">
        <v>404</v>
      </c>
      <c r="AX174" s="234" t="s">
        <v>375</v>
      </c>
      <c r="AY174" s="229" t="s">
        <v>164</v>
      </c>
      <c r="BA174" s="233">
        <f>AU174+AV174</f>
        <v>0</v>
      </c>
      <c r="BB174" s="233">
        <f>G174/(100-BC174)*100</f>
        <v>0</v>
      </c>
      <c r="BC174" s="233">
        <v>0</v>
      </c>
      <c r="BD174" s="233">
        <f>L174</f>
        <v>0</v>
      </c>
      <c r="BF174" s="233">
        <f>F174*AM174</f>
        <v>0</v>
      </c>
      <c r="BG174" s="233">
        <f>F174*AN174</f>
        <v>0</v>
      </c>
      <c r="BH174" s="233">
        <f>F174*G174</f>
        <v>0</v>
      </c>
      <c r="BI174" s="233"/>
      <c r="BJ174" s="233"/>
      <c r="BU174" s="233" t="e">
        <f>#REF!</f>
        <v>#REF!</v>
      </c>
      <c r="BV174" s="225" t="s">
        <v>407</v>
      </c>
    </row>
    <row r="175" spans="1:74" ht="14.4" x14ac:dyDescent="0.3">
      <c r="A175" s="239" t="s">
        <v>576</v>
      </c>
      <c r="B175" s="223" t="s">
        <v>409</v>
      </c>
      <c r="C175" s="521" t="s">
        <v>410</v>
      </c>
      <c r="D175" s="519"/>
      <c r="E175" s="223" t="s">
        <v>380</v>
      </c>
      <c r="F175" s="233">
        <v>24.47</v>
      </c>
      <c r="G175" s="311">
        <v>0</v>
      </c>
      <c r="H175" s="233">
        <f>F175*AM175</f>
        <v>0</v>
      </c>
      <c r="I175" s="233">
        <f>F175*AN175</f>
        <v>0</v>
      </c>
      <c r="J175" s="233">
        <f>F175*G175</f>
        <v>0</v>
      </c>
      <c r="K175" s="233">
        <v>0</v>
      </c>
      <c r="L175" s="233">
        <f>F175*K175</f>
        <v>0</v>
      </c>
      <c r="M175" s="240" t="s">
        <v>472</v>
      </c>
      <c r="X175" s="233">
        <f>IF(AO175="5",BH175,0)</f>
        <v>0</v>
      </c>
      <c r="Z175" s="233">
        <f>IF(AO175="1",BF175,0)</f>
        <v>0</v>
      </c>
      <c r="AA175" s="233">
        <f>IF(AO175="1",BG175,0)</f>
        <v>0</v>
      </c>
      <c r="AB175" s="233">
        <f>IF(AO175="7",BF175,0)</f>
        <v>0</v>
      </c>
      <c r="AC175" s="233">
        <f>IF(AO175="7",BG175,0)</f>
        <v>0</v>
      </c>
      <c r="AD175" s="233">
        <f>IF(AO175="2",BF175,0)</f>
        <v>0</v>
      </c>
      <c r="AE175" s="233">
        <f>IF(AO175="2",BG175,0)</f>
        <v>0</v>
      </c>
      <c r="AF175" s="233">
        <f>IF(AO175="0",BH175,0)</f>
        <v>0</v>
      </c>
      <c r="AG175" s="229" t="s">
        <v>154</v>
      </c>
      <c r="AH175" s="233">
        <f>IF(AL175=0,J175,0)</f>
        <v>0</v>
      </c>
      <c r="AI175" s="233">
        <f>IF(AL175=15,J175,0)</f>
        <v>0</v>
      </c>
      <c r="AJ175" s="233">
        <f>IF(AL175=21,J175,0)</f>
        <v>0</v>
      </c>
      <c r="AL175" s="233">
        <v>15</v>
      </c>
      <c r="AM175" s="233">
        <f>G175*0</f>
        <v>0</v>
      </c>
      <c r="AN175" s="233">
        <f>G175*(1-0)</f>
        <v>0</v>
      </c>
      <c r="AO175" s="234" t="s">
        <v>177</v>
      </c>
      <c r="AT175" s="233">
        <f>AU175+AV175</f>
        <v>0</v>
      </c>
      <c r="AU175" s="233">
        <f>F175*AM175</f>
        <v>0</v>
      </c>
      <c r="AV175" s="233">
        <f>F175*AN175</f>
        <v>0</v>
      </c>
      <c r="AW175" s="234" t="s">
        <v>404</v>
      </c>
      <c r="AX175" s="234" t="s">
        <v>375</v>
      </c>
      <c r="AY175" s="229" t="s">
        <v>164</v>
      </c>
      <c r="BA175" s="233">
        <f>AU175+AV175</f>
        <v>0</v>
      </c>
      <c r="BB175" s="233">
        <f>G175/(100-BC175)*100</f>
        <v>0</v>
      </c>
      <c r="BC175" s="233">
        <v>0</v>
      </c>
      <c r="BD175" s="233">
        <f>L175</f>
        <v>0</v>
      </c>
      <c r="BF175" s="233">
        <f>F175*AM175</f>
        <v>0</v>
      </c>
      <c r="BG175" s="233">
        <f>F175*AN175</f>
        <v>0</v>
      </c>
      <c r="BH175" s="233">
        <f>F175*G175</f>
        <v>0</v>
      </c>
      <c r="BI175" s="233"/>
      <c r="BJ175" s="233"/>
      <c r="BU175" s="233" t="e">
        <f>#REF!</f>
        <v>#REF!</v>
      </c>
      <c r="BV175" s="225" t="s">
        <v>410</v>
      </c>
    </row>
    <row r="176" spans="1:74" ht="14.4" x14ac:dyDescent="0.3">
      <c r="A176" s="239" t="s">
        <v>154</v>
      </c>
      <c r="B176" s="224" t="s">
        <v>1383</v>
      </c>
      <c r="C176" s="526" t="s">
        <v>449</v>
      </c>
      <c r="D176" s="527"/>
      <c r="E176" s="223" t="s">
        <v>114</v>
      </c>
      <c r="F176" s="223" t="s">
        <v>114</v>
      </c>
      <c r="G176" s="223" t="s">
        <v>114</v>
      </c>
      <c r="H176" s="235">
        <f>SUM(H177:H206)</f>
        <v>0</v>
      </c>
      <c r="I176" s="235">
        <f>SUM(I177:I206)</f>
        <v>0</v>
      </c>
      <c r="J176" s="235">
        <f>SUM(J177:J206)</f>
        <v>0</v>
      </c>
      <c r="K176" s="230" t="s">
        <v>154</v>
      </c>
      <c r="L176" s="235">
        <f>SUM(L177:L206)</f>
        <v>21.662378600000004</v>
      </c>
      <c r="M176" s="243" t="s">
        <v>154</v>
      </c>
      <c r="AG176" s="229" t="s">
        <v>154</v>
      </c>
      <c r="AQ176" s="222">
        <f>SUM(AH177:AH206)</f>
        <v>0</v>
      </c>
      <c r="AR176" s="222">
        <f>SUM(AI177:AI206)</f>
        <v>0</v>
      </c>
      <c r="AS176" s="222">
        <f>SUM(AJ177:AJ206)</f>
        <v>0</v>
      </c>
    </row>
    <row r="177" spans="1:74" ht="14.4" x14ac:dyDescent="0.3">
      <c r="A177" s="239" t="s">
        <v>580</v>
      </c>
      <c r="B177" s="223" t="s">
        <v>929</v>
      </c>
      <c r="C177" s="521" t="s">
        <v>930</v>
      </c>
      <c r="D177" s="519"/>
      <c r="E177" s="223" t="s">
        <v>365</v>
      </c>
      <c r="F177" s="233">
        <v>20.22</v>
      </c>
      <c r="G177" s="311">
        <v>0</v>
      </c>
      <c r="H177" s="233">
        <f>F177*AM177</f>
        <v>0</v>
      </c>
      <c r="I177" s="233">
        <f>F177*AN177</f>
        <v>0</v>
      </c>
      <c r="J177" s="233">
        <f>F177*G177</f>
        <v>0</v>
      </c>
      <c r="K177" s="233">
        <v>5.8200000000000002E-2</v>
      </c>
      <c r="L177" s="233">
        <f>F177*K177</f>
        <v>1.176804</v>
      </c>
      <c r="M177" s="240" t="s">
        <v>472</v>
      </c>
      <c r="X177" s="233">
        <f>IF(AO177="5",BH177,0)</f>
        <v>0</v>
      </c>
      <c r="Z177" s="233">
        <f>IF(AO177="1",BF177,0)</f>
        <v>0</v>
      </c>
      <c r="AA177" s="233">
        <f>IF(AO177="1",BG177,0)</f>
        <v>0</v>
      </c>
      <c r="AB177" s="233">
        <f>IF(AO177="7",BF177,0)</f>
        <v>0</v>
      </c>
      <c r="AC177" s="233">
        <f>IF(AO177="7",BG177,0)</f>
        <v>0</v>
      </c>
      <c r="AD177" s="233">
        <f>IF(AO177="2",BF177,0)</f>
        <v>0</v>
      </c>
      <c r="AE177" s="233">
        <f>IF(AO177="2",BG177,0)</f>
        <v>0</v>
      </c>
      <c r="AF177" s="233">
        <f>IF(AO177="0",BH177,0)</f>
        <v>0</v>
      </c>
      <c r="AG177" s="229" t="s">
        <v>154</v>
      </c>
      <c r="AH177" s="233">
        <f>IF(AL177=0,J177,0)</f>
        <v>0</v>
      </c>
      <c r="AI177" s="233">
        <f>IF(AL177=15,J177,0)</f>
        <v>0</v>
      </c>
      <c r="AJ177" s="233">
        <f>IF(AL177=21,J177,0)</f>
        <v>0</v>
      </c>
      <c r="AL177" s="233">
        <v>15</v>
      </c>
      <c r="AM177" s="233">
        <f>G177*1</f>
        <v>0</v>
      </c>
      <c r="AN177" s="233">
        <f>G177*(1-1)</f>
        <v>0</v>
      </c>
      <c r="AO177" s="234" t="s">
        <v>453</v>
      </c>
      <c r="AT177" s="233">
        <f>AU177+AV177</f>
        <v>0</v>
      </c>
      <c r="AU177" s="233">
        <f>F177*AM177</f>
        <v>0</v>
      </c>
      <c r="AV177" s="233">
        <f>F177*AN177</f>
        <v>0</v>
      </c>
      <c r="AW177" s="234" t="s">
        <v>454</v>
      </c>
      <c r="AX177" s="234" t="s">
        <v>455</v>
      </c>
      <c r="AY177" s="229" t="s">
        <v>164</v>
      </c>
      <c r="BA177" s="233">
        <f>AU177+AV177</f>
        <v>0</v>
      </c>
      <c r="BB177" s="233">
        <f>G177/(100-BC177)*100</f>
        <v>0</v>
      </c>
      <c r="BC177" s="233">
        <v>0</v>
      </c>
      <c r="BD177" s="233">
        <f>L177</f>
        <v>1.176804</v>
      </c>
      <c r="BF177" s="233">
        <f>F177*AM177</f>
        <v>0</v>
      </c>
      <c r="BG177" s="233">
        <f>F177*AN177</f>
        <v>0</v>
      </c>
      <c r="BH177" s="233">
        <f>F177*G177</f>
        <v>0</v>
      </c>
      <c r="BI177" s="233"/>
      <c r="BJ177" s="233"/>
      <c r="BU177" s="233" t="e">
        <f>#REF!</f>
        <v>#REF!</v>
      </c>
      <c r="BV177" s="225" t="s">
        <v>930</v>
      </c>
    </row>
    <row r="178" spans="1:74" ht="67.5" customHeight="1" x14ac:dyDescent="0.3">
      <c r="A178" s="241"/>
      <c r="B178" s="242" t="s">
        <v>165</v>
      </c>
      <c r="C178" s="530" t="s">
        <v>1652</v>
      </c>
      <c r="D178" s="531"/>
      <c r="E178" s="531"/>
      <c r="F178" s="531"/>
      <c r="G178" s="531"/>
      <c r="H178" s="531"/>
      <c r="I178" s="531"/>
      <c r="J178" s="531"/>
      <c r="K178" s="531"/>
      <c r="L178" s="531"/>
      <c r="M178" s="532"/>
    </row>
    <row r="179" spans="1:74" ht="14.4" x14ac:dyDescent="0.3">
      <c r="A179" s="239" t="s">
        <v>584</v>
      </c>
      <c r="B179" s="223" t="s">
        <v>931</v>
      </c>
      <c r="C179" s="521" t="s">
        <v>932</v>
      </c>
      <c r="D179" s="519"/>
      <c r="E179" s="223" t="s">
        <v>365</v>
      </c>
      <c r="F179" s="233">
        <v>13.48</v>
      </c>
      <c r="G179" s="311">
        <v>0</v>
      </c>
      <c r="H179" s="233">
        <f>F179*AM179</f>
        <v>0</v>
      </c>
      <c r="I179" s="233">
        <f>F179*AN179</f>
        <v>0</v>
      </c>
      <c r="J179" s="233">
        <f>F179*G179</f>
        <v>0</v>
      </c>
      <c r="K179" s="233">
        <v>2.9100000000000001E-2</v>
      </c>
      <c r="L179" s="233">
        <f>F179*K179</f>
        <v>0.39226800000000001</v>
      </c>
      <c r="M179" s="240" t="s">
        <v>472</v>
      </c>
      <c r="X179" s="233">
        <f>IF(AO179="5",BH179,0)</f>
        <v>0</v>
      </c>
      <c r="Z179" s="233">
        <f>IF(AO179="1",BF179,0)</f>
        <v>0</v>
      </c>
      <c r="AA179" s="233">
        <f>IF(AO179="1",BG179,0)</f>
        <v>0</v>
      </c>
      <c r="AB179" s="233">
        <f>IF(AO179="7",BF179,0)</f>
        <v>0</v>
      </c>
      <c r="AC179" s="233">
        <f>IF(AO179="7",BG179,0)</f>
        <v>0</v>
      </c>
      <c r="AD179" s="233">
        <f>IF(AO179="2",BF179,0)</f>
        <v>0</v>
      </c>
      <c r="AE179" s="233">
        <f>IF(AO179="2",BG179,0)</f>
        <v>0</v>
      </c>
      <c r="AF179" s="233">
        <f>IF(AO179="0",BH179,0)</f>
        <v>0</v>
      </c>
      <c r="AG179" s="229" t="s">
        <v>154</v>
      </c>
      <c r="AH179" s="233">
        <f>IF(AL179=0,J179,0)</f>
        <v>0</v>
      </c>
      <c r="AI179" s="233">
        <f>IF(AL179=15,J179,0)</f>
        <v>0</v>
      </c>
      <c r="AJ179" s="233">
        <f>IF(AL179=21,J179,0)</f>
        <v>0</v>
      </c>
      <c r="AL179" s="233">
        <v>15</v>
      </c>
      <c r="AM179" s="233">
        <f>G179*1</f>
        <v>0</v>
      </c>
      <c r="AN179" s="233">
        <f>G179*(1-1)</f>
        <v>0</v>
      </c>
      <c r="AO179" s="234" t="s">
        <v>453</v>
      </c>
      <c r="AT179" s="233">
        <f>AU179+AV179</f>
        <v>0</v>
      </c>
      <c r="AU179" s="233">
        <f>F179*AM179</f>
        <v>0</v>
      </c>
      <c r="AV179" s="233">
        <f>F179*AN179</f>
        <v>0</v>
      </c>
      <c r="AW179" s="234" t="s">
        <v>454</v>
      </c>
      <c r="AX179" s="234" t="s">
        <v>455</v>
      </c>
      <c r="AY179" s="229" t="s">
        <v>164</v>
      </c>
      <c r="BA179" s="233">
        <f>AU179+AV179</f>
        <v>0</v>
      </c>
      <c r="BB179" s="233">
        <f>G179/(100-BC179)*100</f>
        <v>0</v>
      </c>
      <c r="BC179" s="233">
        <v>0</v>
      </c>
      <c r="BD179" s="233">
        <f>L179</f>
        <v>0.39226800000000001</v>
      </c>
      <c r="BF179" s="233">
        <f>F179*AM179</f>
        <v>0</v>
      </c>
      <c r="BG179" s="233">
        <f>F179*AN179</f>
        <v>0</v>
      </c>
      <c r="BH179" s="233">
        <f>F179*G179</f>
        <v>0</v>
      </c>
      <c r="BI179" s="233"/>
      <c r="BJ179" s="233"/>
      <c r="BU179" s="233" t="e">
        <f>#REF!</f>
        <v>#REF!</v>
      </c>
      <c r="BV179" s="225" t="s">
        <v>932</v>
      </c>
    </row>
    <row r="180" spans="1:74" ht="67.5" customHeight="1" x14ac:dyDescent="0.3">
      <c r="A180" s="241"/>
      <c r="B180" s="242" t="s">
        <v>165</v>
      </c>
      <c r="C180" s="530" t="s">
        <v>1653</v>
      </c>
      <c r="D180" s="531"/>
      <c r="E180" s="531"/>
      <c r="F180" s="531"/>
      <c r="G180" s="531"/>
      <c r="H180" s="531"/>
      <c r="I180" s="531"/>
      <c r="J180" s="531"/>
      <c r="K180" s="531"/>
      <c r="L180" s="531"/>
      <c r="M180" s="532"/>
    </row>
    <row r="181" spans="1:74" ht="14.4" x14ac:dyDescent="0.3">
      <c r="A181" s="239" t="s">
        <v>585</v>
      </c>
      <c r="B181" s="223" t="s">
        <v>933</v>
      </c>
      <c r="C181" s="521" t="s">
        <v>934</v>
      </c>
      <c r="D181" s="519"/>
      <c r="E181" s="223" t="s">
        <v>365</v>
      </c>
      <c r="F181" s="233">
        <v>8</v>
      </c>
      <c r="G181" s="311">
        <v>0</v>
      </c>
      <c r="H181" s="233">
        <f>F181*AM181</f>
        <v>0</v>
      </c>
      <c r="I181" s="233">
        <f>F181*AN181</f>
        <v>0</v>
      </c>
      <c r="J181" s="233">
        <f>F181*G181</f>
        <v>0</v>
      </c>
      <c r="K181" s="233">
        <v>3.6700000000000001E-3</v>
      </c>
      <c r="L181" s="233">
        <f>F181*K181</f>
        <v>2.9360000000000001E-2</v>
      </c>
      <c r="M181" s="240" t="s">
        <v>472</v>
      </c>
      <c r="X181" s="233">
        <f>IF(AO181="5",BH181,0)</f>
        <v>0</v>
      </c>
      <c r="Z181" s="233">
        <f>IF(AO181="1",BF181,0)</f>
        <v>0</v>
      </c>
      <c r="AA181" s="233">
        <f>IF(AO181="1",BG181,0)</f>
        <v>0</v>
      </c>
      <c r="AB181" s="233">
        <f>IF(AO181="7",BF181,0)</f>
        <v>0</v>
      </c>
      <c r="AC181" s="233">
        <f>IF(AO181="7",BG181,0)</f>
        <v>0</v>
      </c>
      <c r="AD181" s="233">
        <f>IF(AO181="2",BF181,0)</f>
        <v>0</v>
      </c>
      <c r="AE181" s="233">
        <f>IF(AO181="2",BG181,0)</f>
        <v>0</v>
      </c>
      <c r="AF181" s="233">
        <f>IF(AO181="0",BH181,0)</f>
        <v>0</v>
      </c>
      <c r="AG181" s="229" t="s">
        <v>154</v>
      </c>
      <c r="AH181" s="233">
        <f>IF(AL181=0,J181,0)</f>
        <v>0</v>
      </c>
      <c r="AI181" s="233">
        <f>IF(AL181=15,J181,0)</f>
        <v>0</v>
      </c>
      <c r="AJ181" s="233">
        <f>IF(AL181=21,J181,0)</f>
        <v>0</v>
      </c>
      <c r="AL181" s="233">
        <v>15</v>
      </c>
      <c r="AM181" s="233">
        <f>G181*1</f>
        <v>0</v>
      </c>
      <c r="AN181" s="233">
        <f>G181*(1-1)</f>
        <v>0</v>
      </c>
      <c r="AO181" s="234" t="s">
        <v>453</v>
      </c>
      <c r="AT181" s="233">
        <f>AU181+AV181</f>
        <v>0</v>
      </c>
      <c r="AU181" s="233">
        <f>F181*AM181</f>
        <v>0</v>
      </c>
      <c r="AV181" s="233">
        <f>F181*AN181</f>
        <v>0</v>
      </c>
      <c r="AW181" s="234" t="s">
        <v>454</v>
      </c>
      <c r="AX181" s="234" t="s">
        <v>455</v>
      </c>
      <c r="AY181" s="229" t="s">
        <v>164</v>
      </c>
      <c r="BA181" s="233">
        <f>AU181+AV181</f>
        <v>0</v>
      </c>
      <c r="BB181" s="233">
        <f>G181/(100-BC181)*100</f>
        <v>0</v>
      </c>
      <c r="BC181" s="233">
        <v>0</v>
      </c>
      <c r="BD181" s="233">
        <f>L181</f>
        <v>2.9360000000000001E-2</v>
      </c>
      <c r="BF181" s="233">
        <f>F181*AM181</f>
        <v>0</v>
      </c>
      <c r="BG181" s="233">
        <f>F181*AN181</f>
        <v>0</v>
      </c>
      <c r="BH181" s="233">
        <f>F181*G181</f>
        <v>0</v>
      </c>
      <c r="BI181" s="233"/>
      <c r="BJ181" s="233"/>
      <c r="BU181" s="233" t="e">
        <f>#REF!</f>
        <v>#REF!</v>
      </c>
      <c r="BV181" s="225" t="s">
        <v>934</v>
      </c>
    </row>
    <row r="182" spans="1:74" ht="40.5" customHeight="1" x14ac:dyDescent="0.3">
      <c r="A182" s="241"/>
      <c r="B182" s="242" t="s">
        <v>165</v>
      </c>
      <c r="C182" s="530" t="s">
        <v>1654</v>
      </c>
      <c r="D182" s="531"/>
      <c r="E182" s="531"/>
      <c r="F182" s="531"/>
      <c r="G182" s="531"/>
      <c r="H182" s="531"/>
      <c r="I182" s="531"/>
      <c r="J182" s="531"/>
      <c r="K182" s="531"/>
      <c r="L182" s="531"/>
      <c r="M182" s="532"/>
    </row>
    <row r="183" spans="1:74" ht="14.4" x14ac:dyDescent="0.3">
      <c r="A183" s="239" t="s">
        <v>589</v>
      </c>
      <c r="B183" s="223" t="s">
        <v>935</v>
      </c>
      <c r="C183" s="521" t="s">
        <v>936</v>
      </c>
      <c r="D183" s="519"/>
      <c r="E183" s="223" t="s">
        <v>365</v>
      </c>
      <c r="F183" s="233">
        <v>2.0299999999999998</v>
      </c>
      <c r="G183" s="311">
        <v>0</v>
      </c>
      <c r="H183" s="233">
        <f>F183*AM183</f>
        <v>0</v>
      </c>
      <c r="I183" s="233">
        <f>F183*AN183</f>
        <v>0</v>
      </c>
      <c r="J183" s="233">
        <f>F183*G183</f>
        <v>0</v>
      </c>
      <c r="K183" s="233">
        <v>2.65E-3</v>
      </c>
      <c r="L183" s="233">
        <f>F183*K183</f>
        <v>5.3794999999999997E-3</v>
      </c>
      <c r="M183" s="240" t="s">
        <v>472</v>
      </c>
      <c r="X183" s="233">
        <f>IF(AO183="5",BH183,0)</f>
        <v>0</v>
      </c>
      <c r="Z183" s="233">
        <f>IF(AO183="1",BF183,0)</f>
        <v>0</v>
      </c>
      <c r="AA183" s="233">
        <f>IF(AO183="1",BG183,0)</f>
        <v>0</v>
      </c>
      <c r="AB183" s="233">
        <f>IF(AO183="7",BF183,0)</f>
        <v>0</v>
      </c>
      <c r="AC183" s="233">
        <f>IF(AO183="7",BG183,0)</f>
        <v>0</v>
      </c>
      <c r="AD183" s="233">
        <f>IF(AO183="2",BF183,0)</f>
        <v>0</v>
      </c>
      <c r="AE183" s="233">
        <f>IF(AO183="2",BG183,0)</f>
        <v>0</v>
      </c>
      <c r="AF183" s="233">
        <f>IF(AO183="0",BH183,0)</f>
        <v>0</v>
      </c>
      <c r="AG183" s="229" t="s">
        <v>154</v>
      </c>
      <c r="AH183" s="233">
        <f>IF(AL183=0,J183,0)</f>
        <v>0</v>
      </c>
      <c r="AI183" s="233">
        <f>IF(AL183=15,J183,0)</f>
        <v>0</v>
      </c>
      <c r="AJ183" s="233">
        <f>IF(AL183=21,J183,0)</f>
        <v>0</v>
      </c>
      <c r="AL183" s="233">
        <v>15</v>
      </c>
      <c r="AM183" s="233">
        <f>G183*1</f>
        <v>0</v>
      </c>
      <c r="AN183" s="233">
        <f>G183*(1-1)</f>
        <v>0</v>
      </c>
      <c r="AO183" s="234" t="s">
        <v>453</v>
      </c>
      <c r="AT183" s="233">
        <f>AU183+AV183</f>
        <v>0</v>
      </c>
      <c r="AU183" s="233">
        <f>F183*AM183</f>
        <v>0</v>
      </c>
      <c r="AV183" s="233">
        <f>F183*AN183</f>
        <v>0</v>
      </c>
      <c r="AW183" s="234" t="s">
        <v>454</v>
      </c>
      <c r="AX183" s="234" t="s">
        <v>455</v>
      </c>
      <c r="AY183" s="229" t="s">
        <v>164</v>
      </c>
      <c r="BA183" s="233">
        <f>AU183+AV183</f>
        <v>0</v>
      </c>
      <c r="BB183" s="233">
        <f>G183/(100-BC183)*100</f>
        <v>0</v>
      </c>
      <c r="BC183" s="233">
        <v>0</v>
      </c>
      <c r="BD183" s="233">
        <f>L183</f>
        <v>5.3794999999999997E-3</v>
      </c>
      <c r="BF183" s="233">
        <f>F183*AM183</f>
        <v>0</v>
      </c>
      <c r="BG183" s="233">
        <f>F183*AN183</f>
        <v>0</v>
      </c>
      <c r="BH183" s="233">
        <f>F183*G183</f>
        <v>0</v>
      </c>
      <c r="BI183" s="233"/>
      <c r="BJ183" s="233"/>
      <c r="BU183" s="233" t="e">
        <f>#REF!</f>
        <v>#REF!</v>
      </c>
      <c r="BV183" s="225" t="s">
        <v>936</v>
      </c>
    </row>
    <row r="184" spans="1:74" ht="54" customHeight="1" x14ac:dyDescent="0.3">
      <c r="A184" s="244"/>
      <c r="B184" s="245" t="s">
        <v>165</v>
      </c>
      <c r="C184" s="540" t="s">
        <v>1655</v>
      </c>
      <c r="D184" s="541"/>
      <c r="E184" s="541"/>
      <c r="F184" s="541"/>
      <c r="G184" s="541"/>
      <c r="H184" s="541"/>
      <c r="I184" s="541"/>
      <c r="J184" s="541"/>
      <c r="K184" s="541"/>
      <c r="L184" s="541"/>
      <c r="M184" s="542"/>
    </row>
    <row r="185" spans="1:74" ht="14.4" x14ac:dyDescent="0.3">
      <c r="A185" s="237" t="s">
        <v>593</v>
      </c>
      <c r="B185" s="238" t="s">
        <v>937</v>
      </c>
      <c r="C185" s="543" t="s">
        <v>938</v>
      </c>
      <c r="D185" s="544"/>
      <c r="E185" s="238" t="s">
        <v>365</v>
      </c>
      <c r="F185" s="258">
        <v>2.0299999999999998</v>
      </c>
      <c r="G185" s="311">
        <v>0</v>
      </c>
      <c r="H185" s="258">
        <f>F185*AM185</f>
        <v>0</v>
      </c>
      <c r="I185" s="258">
        <f>F185*AN185</f>
        <v>0</v>
      </c>
      <c r="J185" s="258">
        <f>F185*G185</f>
        <v>0</v>
      </c>
      <c r="K185" s="258">
        <v>2.2499999999999998E-3</v>
      </c>
      <c r="L185" s="258">
        <f>F185*K185</f>
        <v>4.5674999999999995E-3</v>
      </c>
      <c r="M185" s="259" t="s">
        <v>472</v>
      </c>
      <c r="X185" s="233">
        <f>IF(AO185="5",BH185,0)</f>
        <v>0</v>
      </c>
      <c r="Z185" s="233">
        <f>IF(AO185="1",BF185,0)</f>
        <v>0</v>
      </c>
      <c r="AA185" s="233">
        <f>IF(AO185="1",BG185,0)</f>
        <v>0</v>
      </c>
      <c r="AB185" s="233">
        <f>IF(AO185="7",BF185,0)</f>
        <v>0</v>
      </c>
      <c r="AC185" s="233">
        <f>IF(AO185="7",BG185,0)</f>
        <v>0</v>
      </c>
      <c r="AD185" s="233">
        <f>IF(AO185="2",BF185,0)</f>
        <v>0</v>
      </c>
      <c r="AE185" s="233">
        <f>IF(AO185="2",BG185,0)</f>
        <v>0</v>
      </c>
      <c r="AF185" s="233">
        <f>IF(AO185="0",BH185,0)</f>
        <v>0</v>
      </c>
      <c r="AG185" s="229" t="s">
        <v>154</v>
      </c>
      <c r="AH185" s="233">
        <f>IF(AL185=0,J185,0)</f>
        <v>0</v>
      </c>
      <c r="AI185" s="233">
        <f>IF(AL185=15,J185,0)</f>
        <v>0</v>
      </c>
      <c r="AJ185" s="233">
        <f>IF(AL185=21,J185,0)</f>
        <v>0</v>
      </c>
      <c r="AL185" s="233">
        <v>15</v>
      </c>
      <c r="AM185" s="233">
        <f>G185*1</f>
        <v>0</v>
      </c>
      <c r="AN185" s="233">
        <f>G185*(1-1)</f>
        <v>0</v>
      </c>
      <c r="AO185" s="234" t="s">
        <v>453</v>
      </c>
      <c r="AT185" s="233">
        <f>AU185+AV185</f>
        <v>0</v>
      </c>
      <c r="AU185" s="233">
        <f>F185*AM185</f>
        <v>0</v>
      </c>
      <c r="AV185" s="233">
        <f>F185*AN185</f>
        <v>0</v>
      </c>
      <c r="AW185" s="234" t="s">
        <v>454</v>
      </c>
      <c r="AX185" s="234" t="s">
        <v>455</v>
      </c>
      <c r="AY185" s="229" t="s">
        <v>164</v>
      </c>
      <c r="BA185" s="233">
        <f>AU185+AV185</f>
        <v>0</v>
      </c>
      <c r="BB185" s="233">
        <f>G185/(100-BC185)*100</f>
        <v>0</v>
      </c>
      <c r="BC185" s="233">
        <v>0</v>
      </c>
      <c r="BD185" s="233">
        <f>L185</f>
        <v>4.5674999999999995E-3</v>
      </c>
      <c r="BF185" s="233">
        <f>F185*AM185</f>
        <v>0</v>
      </c>
      <c r="BG185" s="233">
        <f>F185*AN185</f>
        <v>0</v>
      </c>
      <c r="BH185" s="233">
        <f>F185*G185</f>
        <v>0</v>
      </c>
      <c r="BI185" s="233"/>
      <c r="BJ185" s="233"/>
      <c r="BU185" s="233" t="e">
        <f>#REF!</f>
        <v>#REF!</v>
      </c>
      <c r="BV185" s="225" t="s">
        <v>938</v>
      </c>
    </row>
    <row r="186" spans="1:74" ht="54" customHeight="1" x14ac:dyDescent="0.3">
      <c r="A186" s="241"/>
      <c r="B186" s="242" t="s">
        <v>165</v>
      </c>
      <c r="C186" s="530" t="s">
        <v>1656</v>
      </c>
      <c r="D186" s="531"/>
      <c r="E186" s="531"/>
      <c r="F186" s="531"/>
      <c r="G186" s="531"/>
      <c r="H186" s="531"/>
      <c r="I186" s="531"/>
      <c r="J186" s="531"/>
      <c r="K186" s="531"/>
      <c r="L186" s="531"/>
      <c r="M186" s="532"/>
    </row>
    <row r="187" spans="1:74" ht="14.4" x14ac:dyDescent="0.3">
      <c r="A187" s="239" t="s">
        <v>597</v>
      </c>
      <c r="B187" s="223" t="s">
        <v>939</v>
      </c>
      <c r="C187" s="521" t="s">
        <v>940</v>
      </c>
      <c r="D187" s="519"/>
      <c r="E187" s="223" t="s">
        <v>365</v>
      </c>
      <c r="F187" s="233">
        <v>3.04</v>
      </c>
      <c r="G187" s="311">
        <v>0</v>
      </c>
      <c r="H187" s="233">
        <f>F187*AM187</f>
        <v>0</v>
      </c>
      <c r="I187" s="233">
        <f>F187*AN187</f>
        <v>0</v>
      </c>
      <c r="J187" s="233">
        <f>F187*G187</f>
        <v>0</v>
      </c>
      <c r="K187" s="233">
        <v>2E-3</v>
      </c>
      <c r="L187" s="233">
        <f>F187*K187</f>
        <v>6.0800000000000003E-3</v>
      </c>
      <c r="M187" s="240" t="s">
        <v>472</v>
      </c>
      <c r="X187" s="233">
        <f>IF(AO187="5",BH187,0)</f>
        <v>0</v>
      </c>
      <c r="Z187" s="233">
        <f>IF(AO187="1",BF187,0)</f>
        <v>0</v>
      </c>
      <c r="AA187" s="233">
        <f>IF(AO187="1",BG187,0)</f>
        <v>0</v>
      </c>
      <c r="AB187" s="233">
        <f>IF(AO187="7",BF187,0)</f>
        <v>0</v>
      </c>
      <c r="AC187" s="233">
        <f>IF(AO187="7",BG187,0)</f>
        <v>0</v>
      </c>
      <c r="AD187" s="233">
        <f>IF(AO187="2",BF187,0)</f>
        <v>0</v>
      </c>
      <c r="AE187" s="233">
        <f>IF(AO187="2",BG187,0)</f>
        <v>0</v>
      </c>
      <c r="AF187" s="233">
        <f>IF(AO187="0",BH187,0)</f>
        <v>0</v>
      </c>
      <c r="AG187" s="229" t="s">
        <v>154</v>
      </c>
      <c r="AH187" s="233">
        <f>IF(AL187=0,J187,0)</f>
        <v>0</v>
      </c>
      <c r="AI187" s="233">
        <f>IF(AL187=15,J187,0)</f>
        <v>0</v>
      </c>
      <c r="AJ187" s="233">
        <f>IF(AL187=21,J187,0)</f>
        <v>0</v>
      </c>
      <c r="AL187" s="233">
        <v>15</v>
      </c>
      <c r="AM187" s="233">
        <f>G187*1</f>
        <v>0</v>
      </c>
      <c r="AN187" s="233">
        <f>G187*(1-1)</f>
        <v>0</v>
      </c>
      <c r="AO187" s="234" t="s">
        <v>453</v>
      </c>
      <c r="AT187" s="233">
        <f>AU187+AV187</f>
        <v>0</v>
      </c>
      <c r="AU187" s="233">
        <f>F187*AM187</f>
        <v>0</v>
      </c>
      <c r="AV187" s="233">
        <f>F187*AN187</f>
        <v>0</v>
      </c>
      <c r="AW187" s="234" t="s">
        <v>454</v>
      </c>
      <c r="AX187" s="234" t="s">
        <v>455</v>
      </c>
      <c r="AY187" s="229" t="s">
        <v>164</v>
      </c>
      <c r="BA187" s="233">
        <f>AU187+AV187</f>
        <v>0</v>
      </c>
      <c r="BB187" s="233">
        <f>G187/(100-BC187)*100</f>
        <v>0</v>
      </c>
      <c r="BC187" s="233">
        <v>0</v>
      </c>
      <c r="BD187" s="233">
        <f>L187</f>
        <v>6.0800000000000003E-3</v>
      </c>
      <c r="BF187" s="233">
        <f>F187*AM187</f>
        <v>0</v>
      </c>
      <c r="BG187" s="233">
        <f>F187*AN187</f>
        <v>0</v>
      </c>
      <c r="BH187" s="233">
        <f>F187*G187</f>
        <v>0</v>
      </c>
      <c r="BI187" s="233"/>
      <c r="BJ187" s="233"/>
      <c r="BU187" s="233" t="e">
        <f>#REF!</f>
        <v>#REF!</v>
      </c>
      <c r="BV187" s="225" t="s">
        <v>940</v>
      </c>
    </row>
    <row r="188" spans="1:74" ht="54" customHeight="1" x14ac:dyDescent="0.3">
      <c r="A188" s="241"/>
      <c r="B188" s="242" t="s">
        <v>165</v>
      </c>
      <c r="C188" s="530" t="s">
        <v>1657</v>
      </c>
      <c r="D188" s="531"/>
      <c r="E188" s="531"/>
      <c r="F188" s="531"/>
      <c r="G188" s="531"/>
      <c r="H188" s="531"/>
      <c r="I188" s="531"/>
      <c r="J188" s="531"/>
      <c r="K188" s="531"/>
      <c r="L188" s="531"/>
      <c r="M188" s="532"/>
    </row>
    <row r="189" spans="1:74" ht="14.4" x14ac:dyDescent="0.3">
      <c r="A189" s="239" t="s">
        <v>350</v>
      </c>
      <c r="B189" s="223" t="s">
        <v>941</v>
      </c>
      <c r="C189" s="521" t="s">
        <v>942</v>
      </c>
      <c r="D189" s="519"/>
      <c r="E189" s="223" t="s">
        <v>365</v>
      </c>
      <c r="F189" s="233">
        <v>8.1199999999999992</v>
      </c>
      <c r="G189" s="311">
        <v>0</v>
      </c>
      <c r="H189" s="233">
        <f>F189*AM189</f>
        <v>0</v>
      </c>
      <c r="I189" s="233">
        <f>F189*AN189</f>
        <v>0</v>
      </c>
      <c r="J189" s="233">
        <f>F189*G189</f>
        <v>0</v>
      </c>
      <c r="K189" s="233">
        <v>2.33E-3</v>
      </c>
      <c r="L189" s="233">
        <f>F189*K189</f>
        <v>1.8919599999999998E-2</v>
      </c>
      <c r="M189" s="240" t="s">
        <v>472</v>
      </c>
      <c r="X189" s="233">
        <f>IF(AO189="5",BH189,0)</f>
        <v>0</v>
      </c>
      <c r="Z189" s="233">
        <f>IF(AO189="1",BF189,0)</f>
        <v>0</v>
      </c>
      <c r="AA189" s="233">
        <f>IF(AO189="1",BG189,0)</f>
        <v>0</v>
      </c>
      <c r="AB189" s="233">
        <f>IF(AO189="7",BF189,0)</f>
        <v>0</v>
      </c>
      <c r="AC189" s="233">
        <f>IF(AO189="7",BG189,0)</f>
        <v>0</v>
      </c>
      <c r="AD189" s="233">
        <f>IF(AO189="2",BF189,0)</f>
        <v>0</v>
      </c>
      <c r="AE189" s="233">
        <f>IF(AO189="2",BG189,0)</f>
        <v>0</v>
      </c>
      <c r="AF189" s="233">
        <f>IF(AO189="0",BH189,0)</f>
        <v>0</v>
      </c>
      <c r="AG189" s="229" t="s">
        <v>154</v>
      </c>
      <c r="AH189" s="233">
        <f>IF(AL189=0,J189,0)</f>
        <v>0</v>
      </c>
      <c r="AI189" s="233">
        <f>IF(AL189=15,J189,0)</f>
        <v>0</v>
      </c>
      <c r="AJ189" s="233">
        <f>IF(AL189=21,J189,0)</f>
        <v>0</v>
      </c>
      <c r="AL189" s="233">
        <v>15</v>
      </c>
      <c r="AM189" s="233">
        <f>G189*1</f>
        <v>0</v>
      </c>
      <c r="AN189" s="233">
        <f>G189*(1-1)</f>
        <v>0</v>
      </c>
      <c r="AO189" s="234" t="s">
        <v>453</v>
      </c>
      <c r="AT189" s="233">
        <f>AU189+AV189</f>
        <v>0</v>
      </c>
      <c r="AU189" s="233">
        <f>F189*AM189</f>
        <v>0</v>
      </c>
      <c r="AV189" s="233">
        <f>F189*AN189</f>
        <v>0</v>
      </c>
      <c r="AW189" s="234" t="s">
        <v>454</v>
      </c>
      <c r="AX189" s="234" t="s">
        <v>455</v>
      </c>
      <c r="AY189" s="229" t="s">
        <v>164</v>
      </c>
      <c r="BA189" s="233">
        <f>AU189+AV189</f>
        <v>0</v>
      </c>
      <c r="BB189" s="233">
        <f>G189/(100-BC189)*100</f>
        <v>0</v>
      </c>
      <c r="BC189" s="233">
        <v>0</v>
      </c>
      <c r="BD189" s="233">
        <f>L189</f>
        <v>1.8919599999999998E-2</v>
      </c>
      <c r="BF189" s="233">
        <f>F189*AM189</f>
        <v>0</v>
      </c>
      <c r="BG189" s="233">
        <f>F189*AN189</f>
        <v>0</v>
      </c>
      <c r="BH189" s="233">
        <f>F189*G189</f>
        <v>0</v>
      </c>
      <c r="BI189" s="233"/>
      <c r="BJ189" s="233"/>
      <c r="BU189" s="233" t="e">
        <f>#REF!</f>
        <v>#REF!</v>
      </c>
      <c r="BV189" s="225" t="s">
        <v>942</v>
      </c>
    </row>
    <row r="190" spans="1:74" ht="54" customHeight="1" x14ac:dyDescent="0.3">
      <c r="A190" s="241"/>
      <c r="B190" s="242" t="s">
        <v>165</v>
      </c>
      <c r="C190" s="530" t="s">
        <v>1658</v>
      </c>
      <c r="D190" s="531"/>
      <c r="E190" s="531"/>
      <c r="F190" s="531"/>
      <c r="G190" s="531"/>
      <c r="H190" s="531"/>
      <c r="I190" s="531"/>
      <c r="J190" s="531"/>
      <c r="K190" s="531"/>
      <c r="L190" s="531"/>
      <c r="M190" s="532"/>
    </row>
    <row r="191" spans="1:74" ht="14.4" x14ac:dyDescent="0.3">
      <c r="A191" s="239" t="s">
        <v>601</v>
      </c>
      <c r="B191" s="223" t="s">
        <v>943</v>
      </c>
      <c r="C191" s="521" t="s">
        <v>944</v>
      </c>
      <c r="D191" s="519"/>
      <c r="E191" s="223" t="s">
        <v>365</v>
      </c>
      <c r="F191" s="233">
        <v>4</v>
      </c>
      <c r="G191" s="311">
        <v>0</v>
      </c>
      <c r="H191" s="233">
        <f t="shared" ref="H191:H202" si="0">F191*AM191</f>
        <v>0</v>
      </c>
      <c r="I191" s="233">
        <f t="shared" ref="I191:I202" si="1">F191*AN191</f>
        <v>0</v>
      </c>
      <c r="J191" s="233">
        <f t="shared" ref="J191:J202" si="2">F191*G191</f>
        <v>0</v>
      </c>
      <c r="K191" s="233">
        <v>6.8000000000000005E-2</v>
      </c>
      <c r="L191" s="233">
        <f t="shared" ref="L191:L202" si="3">F191*K191</f>
        <v>0.27200000000000002</v>
      </c>
      <c r="M191" s="240" t="s">
        <v>472</v>
      </c>
      <c r="X191" s="233">
        <f t="shared" ref="X191:X202" si="4">IF(AO191="5",BH191,0)</f>
        <v>0</v>
      </c>
      <c r="Z191" s="233">
        <f t="shared" ref="Z191:Z202" si="5">IF(AO191="1",BF191,0)</f>
        <v>0</v>
      </c>
      <c r="AA191" s="233">
        <f t="shared" ref="AA191:AA202" si="6">IF(AO191="1",BG191,0)</f>
        <v>0</v>
      </c>
      <c r="AB191" s="233">
        <f t="shared" ref="AB191:AB202" si="7">IF(AO191="7",BF191,0)</f>
        <v>0</v>
      </c>
      <c r="AC191" s="233">
        <f t="shared" ref="AC191:AC202" si="8">IF(AO191="7",BG191,0)</f>
        <v>0</v>
      </c>
      <c r="AD191" s="233">
        <f t="shared" ref="AD191:AD202" si="9">IF(AO191="2",BF191,0)</f>
        <v>0</v>
      </c>
      <c r="AE191" s="233">
        <f t="shared" ref="AE191:AE202" si="10">IF(AO191="2",BG191,0)</f>
        <v>0</v>
      </c>
      <c r="AF191" s="233">
        <f t="shared" ref="AF191:AF202" si="11">IF(AO191="0",BH191,0)</f>
        <v>0</v>
      </c>
      <c r="AG191" s="229" t="s">
        <v>154</v>
      </c>
      <c r="AH191" s="233">
        <f t="shared" ref="AH191:AH202" si="12">IF(AL191=0,J191,0)</f>
        <v>0</v>
      </c>
      <c r="AI191" s="233">
        <f t="shared" ref="AI191:AI202" si="13">IF(AL191=15,J191,0)</f>
        <v>0</v>
      </c>
      <c r="AJ191" s="233">
        <f t="shared" ref="AJ191:AJ202" si="14">IF(AL191=21,J191,0)</f>
        <v>0</v>
      </c>
      <c r="AL191" s="233">
        <v>15</v>
      </c>
      <c r="AM191" s="233">
        <f t="shared" ref="AM191:AM202" si="15">G191*1</f>
        <v>0</v>
      </c>
      <c r="AN191" s="233">
        <f t="shared" ref="AN191:AN202" si="16">G191*(1-1)</f>
        <v>0</v>
      </c>
      <c r="AO191" s="234" t="s">
        <v>453</v>
      </c>
      <c r="AT191" s="233">
        <f t="shared" ref="AT191:AT202" si="17">AU191+AV191</f>
        <v>0</v>
      </c>
      <c r="AU191" s="233">
        <f t="shared" ref="AU191:AU202" si="18">F191*AM191</f>
        <v>0</v>
      </c>
      <c r="AV191" s="233">
        <f t="shared" ref="AV191:AV202" si="19">F191*AN191</f>
        <v>0</v>
      </c>
      <c r="AW191" s="234" t="s">
        <v>454</v>
      </c>
      <c r="AX191" s="234" t="s">
        <v>455</v>
      </c>
      <c r="AY191" s="229" t="s">
        <v>164</v>
      </c>
      <c r="BA191" s="233">
        <f t="shared" ref="BA191:BA202" si="20">AU191+AV191</f>
        <v>0</v>
      </c>
      <c r="BB191" s="233">
        <f t="shared" ref="BB191:BB202" si="21">G191/(100-BC191)*100</f>
        <v>0</v>
      </c>
      <c r="BC191" s="233">
        <v>0</v>
      </c>
      <c r="BD191" s="233">
        <f t="shared" ref="BD191:BD202" si="22">L191</f>
        <v>0.27200000000000002</v>
      </c>
      <c r="BF191" s="233">
        <f t="shared" ref="BF191:BF202" si="23">F191*AM191</f>
        <v>0</v>
      </c>
      <c r="BG191" s="233">
        <f t="shared" ref="BG191:BG202" si="24">F191*AN191</f>
        <v>0</v>
      </c>
      <c r="BH191" s="233">
        <f t="shared" ref="BH191:BH202" si="25">F191*G191</f>
        <v>0</v>
      </c>
      <c r="BI191" s="233"/>
      <c r="BJ191" s="233"/>
      <c r="BU191" s="233" t="e">
        <f>#REF!</f>
        <v>#REF!</v>
      </c>
      <c r="BV191" s="225" t="s">
        <v>944</v>
      </c>
    </row>
    <row r="192" spans="1:74" ht="14.4" x14ac:dyDescent="0.3">
      <c r="A192" s="239" t="s">
        <v>529</v>
      </c>
      <c r="B192" s="223" t="s">
        <v>945</v>
      </c>
      <c r="C192" s="521" t="s">
        <v>946</v>
      </c>
      <c r="D192" s="519"/>
      <c r="E192" s="223" t="s">
        <v>365</v>
      </c>
      <c r="F192" s="233">
        <v>6</v>
      </c>
      <c r="G192" s="311">
        <v>0</v>
      </c>
      <c r="H192" s="233">
        <f t="shared" si="0"/>
        <v>0</v>
      </c>
      <c r="I192" s="233">
        <f t="shared" si="1"/>
        <v>0</v>
      </c>
      <c r="J192" s="233">
        <f t="shared" si="2"/>
        <v>0</v>
      </c>
      <c r="K192" s="233">
        <v>5.0999999999999997E-2</v>
      </c>
      <c r="L192" s="233">
        <f t="shared" si="3"/>
        <v>0.30599999999999999</v>
      </c>
      <c r="M192" s="240" t="s">
        <v>472</v>
      </c>
      <c r="X192" s="233">
        <f t="shared" si="4"/>
        <v>0</v>
      </c>
      <c r="Z192" s="233">
        <f t="shared" si="5"/>
        <v>0</v>
      </c>
      <c r="AA192" s="233">
        <f t="shared" si="6"/>
        <v>0</v>
      </c>
      <c r="AB192" s="233">
        <f t="shared" si="7"/>
        <v>0</v>
      </c>
      <c r="AC192" s="233">
        <f t="shared" si="8"/>
        <v>0</v>
      </c>
      <c r="AD192" s="233">
        <f t="shared" si="9"/>
        <v>0</v>
      </c>
      <c r="AE192" s="233">
        <f t="shared" si="10"/>
        <v>0</v>
      </c>
      <c r="AF192" s="233">
        <f t="shared" si="11"/>
        <v>0</v>
      </c>
      <c r="AG192" s="229" t="s">
        <v>154</v>
      </c>
      <c r="AH192" s="233">
        <f t="shared" si="12"/>
        <v>0</v>
      </c>
      <c r="AI192" s="233">
        <f t="shared" si="13"/>
        <v>0</v>
      </c>
      <c r="AJ192" s="233">
        <f t="shared" si="14"/>
        <v>0</v>
      </c>
      <c r="AL192" s="233">
        <v>15</v>
      </c>
      <c r="AM192" s="233">
        <f t="shared" si="15"/>
        <v>0</v>
      </c>
      <c r="AN192" s="233">
        <f t="shared" si="16"/>
        <v>0</v>
      </c>
      <c r="AO192" s="234" t="s">
        <v>453</v>
      </c>
      <c r="AT192" s="233">
        <f t="shared" si="17"/>
        <v>0</v>
      </c>
      <c r="AU192" s="233">
        <f t="shared" si="18"/>
        <v>0</v>
      </c>
      <c r="AV192" s="233">
        <f t="shared" si="19"/>
        <v>0</v>
      </c>
      <c r="AW192" s="234" t="s">
        <v>454</v>
      </c>
      <c r="AX192" s="234" t="s">
        <v>455</v>
      </c>
      <c r="AY192" s="229" t="s">
        <v>164</v>
      </c>
      <c r="BA192" s="233">
        <f t="shared" si="20"/>
        <v>0</v>
      </c>
      <c r="BB192" s="233">
        <f t="shared" si="21"/>
        <v>0</v>
      </c>
      <c r="BC192" s="233">
        <v>0</v>
      </c>
      <c r="BD192" s="233">
        <f t="shared" si="22"/>
        <v>0.30599999999999999</v>
      </c>
      <c r="BF192" s="233">
        <f t="shared" si="23"/>
        <v>0</v>
      </c>
      <c r="BG192" s="233">
        <f t="shared" si="24"/>
        <v>0</v>
      </c>
      <c r="BH192" s="233">
        <f t="shared" si="25"/>
        <v>0</v>
      </c>
      <c r="BI192" s="233"/>
      <c r="BJ192" s="233"/>
      <c r="BU192" s="233" t="e">
        <f>#REF!</f>
        <v>#REF!</v>
      </c>
      <c r="BV192" s="225" t="s">
        <v>946</v>
      </c>
    </row>
    <row r="193" spans="1:74" ht="14.4" x14ac:dyDescent="0.3">
      <c r="A193" s="239" t="s">
        <v>607</v>
      </c>
      <c r="B193" s="223" t="s">
        <v>947</v>
      </c>
      <c r="C193" s="521" t="s">
        <v>948</v>
      </c>
      <c r="D193" s="519"/>
      <c r="E193" s="223" t="s">
        <v>365</v>
      </c>
      <c r="F193" s="233">
        <v>2</v>
      </c>
      <c r="G193" s="311">
        <v>0</v>
      </c>
      <c r="H193" s="233">
        <f t="shared" si="0"/>
        <v>0</v>
      </c>
      <c r="I193" s="233">
        <f t="shared" si="1"/>
        <v>0</v>
      </c>
      <c r="J193" s="233">
        <f t="shared" si="2"/>
        <v>0</v>
      </c>
      <c r="K193" s="233">
        <v>3.9E-2</v>
      </c>
      <c r="L193" s="233">
        <f t="shared" si="3"/>
        <v>7.8E-2</v>
      </c>
      <c r="M193" s="240" t="s">
        <v>472</v>
      </c>
      <c r="X193" s="233">
        <f t="shared" si="4"/>
        <v>0</v>
      </c>
      <c r="Z193" s="233">
        <f t="shared" si="5"/>
        <v>0</v>
      </c>
      <c r="AA193" s="233">
        <f t="shared" si="6"/>
        <v>0</v>
      </c>
      <c r="AB193" s="233">
        <f t="shared" si="7"/>
        <v>0</v>
      </c>
      <c r="AC193" s="233">
        <f t="shared" si="8"/>
        <v>0</v>
      </c>
      <c r="AD193" s="233">
        <f t="shared" si="9"/>
        <v>0</v>
      </c>
      <c r="AE193" s="233">
        <f t="shared" si="10"/>
        <v>0</v>
      </c>
      <c r="AF193" s="233">
        <f t="shared" si="11"/>
        <v>0</v>
      </c>
      <c r="AG193" s="229" t="s">
        <v>154</v>
      </c>
      <c r="AH193" s="233">
        <f t="shared" si="12"/>
        <v>0</v>
      </c>
      <c r="AI193" s="233">
        <f t="shared" si="13"/>
        <v>0</v>
      </c>
      <c r="AJ193" s="233">
        <f t="shared" si="14"/>
        <v>0</v>
      </c>
      <c r="AL193" s="233">
        <v>15</v>
      </c>
      <c r="AM193" s="233">
        <f t="shared" si="15"/>
        <v>0</v>
      </c>
      <c r="AN193" s="233">
        <f t="shared" si="16"/>
        <v>0</v>
      </c>
      <c r="AO193" s="234" t="s">
        <v>453</v>
      </c>
      <c r="AT193" s="233">
        <f t="shared" si="17"/>
        <v>0</v>
      </c>
      <c r="AU193" s="233">
        <f t="shared" si="18"/>
        <v>0</v>
      </c>
      <c r="AV193" s="233">
        <f t="shared" si="19"/>
        <v>0</v>
      </c>
      <c r="AW193" s="234" t="s">
        <v>454</v>
      </c>
      <c r="AX193" s="234" t="s">
        <v>455</v>
      </c>
      <c r="AY193" s="229" t="s">
        <v>164</v>
      </c>
      <c r="BA193" s="233">
        <f t="shared" si="20"/>
        <v>0</v>
      </c>
      <c r="BB193" s="233">
        <f t="shared" si="21"/>
        <v>0</v>
      </c>
      <c r="BC193" s="233">
        <v>0</v>
      </c>
      <c r="BD193" s="233">
        <f t="shared" si="22"/>
        <v>7.8E-2</v>
      </c>
      <c r="BF193" s="233">
        <f t="shared" si="23"/>
        <v>0</v>
      </c>
      <c r="BG193" s="233">
        <f t="shared" si="24"/>
        <v>0</v>
      </c>
      <c r="BH193" s="233">
        <f t="shared" si="25"/>
        <v>0</v>
      </c>
      <c r="BI193" s="233"/>
      <c r="BJ193" s="233"/>
      <c r="BU193" s="233" t="e">
        <f>#REF!</f>
        <v>#REF!</v>
      </c>
      <c r="BV193" s="225" t="s">
        <v>948</v>
      </c>
    </row>
    <row r="194" spans="1:74" ht="14.4" x14ac:dyDescent="0.3">
      <c r="A194" s="239" t="s">
        <v>539</v>
      </c>
      <c r="B194" s="223" t="s">
        <v>949</v>
      </c>
      <c r="C194" s="521" t="s">
        <v>950</v>
      </c>
      <c r="D194" s="519"/>
      <c r="E194" s="223" t="s">
        <v>365</v>
      </c>
      <c r="F194" s="233">
        <v>6</v>
      </c>
      <c r="G194" s="311">
        <v>0</v>
      </c>
      <c r="H194" s="233">
        <f t="shared" si="0"/>
        <v>0</v>
      </c>
      <c r="I194" s="233">
        <f t="shared" si="1"/>
        <v>0</v>
      </c>
      <c r="J194" s="233">
        <f t="shared" si="2"/>
        <v>0</v>
      </c>
      <c r="K194" s="233">
        <v>0.58499999999999996</v>
      </c>
      <c r="L194" s="233">
        <f t="shared" si="3"/>
        <v>3.51</v>
      </c>
      <c r="M194" s="240" t="s">
        <v>472</v>
      </c>
      <c r="X194" s="233">
        <f t="shared" si="4"/>
        <v>0</v>
      </c>
      <c r="Z194" s="233">
        <f t="shared" si="5"/>
        <v>0</v>
      </c>
      <c r="AA194" s="233">
        <f t="shared" si="6"/>
        <v>0</v>
      </c>
      <c r="AB194" s="233">
        <f t="shared" si="7"/>
        <v>0</v>
      </c>
      <c r="AC194" s="233">
        <f t="shared" si="8"/>
        <v>0</v>
      </c>
      <c r="AD194" s="233">
        <f t="shared" si="9"/>
        <v>0</v>
      </c>
      <c r="AE194" s="233">
        <f t="shared" si="10"/>
        <v>0</v>
      </c>
      <c r="AF194" s="233">
        <f t="shared" si="11"/>
        <v>0</v>
      </c>
      <c r="AG194" s="229" t="s">
        <v>154</v>
      </c>
      <c r="AH194" s="233">
        <f t="shared" si="12"/>
        <v>0</v>
      </c>
      <c r="AI194" s="233">
        <f t="shared" si="13"/>
        <v>0</v>
      </c>
      <c r="AJ194" s="233">
        <f t="shared" si="14"/>
        <v>0</v>
      </c>
      <c r="AL194" s="233">
        <v>15</v>
      </c>
      <c r="AM194" s="233">
        <f t="shared" si="15"/>
        <v>0</v>
      </c>
      <c r="AN194" s="233">
        <f t="shared" si="16"/>
        <v>0</v>
      </c>
      <c r="AO194" s="234" t="s">
        <v>453</v>
      </c>
      <c r="AT194" s="233">
        <f t="shared" si="17"/>
        <v>0</v>
      </c>
      <c r="AU194" s="233">
        <f t="shared" si="18"/>
        <v>0</v>
      </c>
      <c r="AV194" s="233">
        <f t="shared" si="19"/>
        <v>0</v>
      </c>
      <c r="AW194" s="234" t="s">
        <v>454</v>
      </c>
      <c r="AX194" s="234" t="s">
        <v>455</v>
      </c>
      <c r="AY194" s="229" t="s">
        <v>164</v>
      </c>
      <c r="BA194" s="233">
        <f t="shared" si="20"/>
        <v>0</v>
      </c>
      <c r="BB194" s="233">
        <f t="shared" si="21"/>
        <v>0</v>
      </c>
      <c r="BC194" s="233">
        <v>0</v>
      </c>
      <c r="BD194" s="233">
        <f t="shared" si="22"/>
        <v>3.51</v>
      </c>
      <c r="BF194" s="233">
        <f t="shared" si="23"/>
        <v>0</v>
      </c>
      <c r="BG194" s="233">
        <f t="shared" si="24"/>
        <v>0</v>
      </c>
      <c r="BH194" s="233">
        <f t="shared" si="25"/>
        <v>0</v>
      </c>
      <c r="BI194" s="233"/>
      <c r="BJ194" s="233"/>
      <c r="BU194" s="233" t="e">
        <f>#REF!</f>
        <v>#REF!</v>
      </c>
      <c r="BV194" s="225" t="s">
        <v>950</v>
      </c>
    </row>
    <row r="195" spans="1:74" ht="14.4" x14ac:dyDescent="0.3">
      <c r="A195" s="239" t="s">
        <v>613</v>
      </c>
      <c r="B195" s="223" t="s">
        <v>1659</v>
      </c>
      <c r="C195" s="521" t="s">
        <v>1660</v>
      </c>
      <c r="D195" s="519"/>
      <c r="E195" s="223" t="s">
        <v>365</v>
      </c>
      <c r="F195" s="233">
        <v>1</v>
      </c>
      <c r="G195" s="311">
        <v>0</v>
      </c>
      <c r="H195" s="233">
        <f t="shared" si="0"/>
        <v>0</v>
      </c>
      <c r="I195" s="233">
        <f t="shared" si="1"/>
        <v>0</v>
      </c>
      <c r="J195" s="233">
        <f t="shared" si="2"/>
        <v>0</v>
      </c>
      <c r="K195" s="233">
        <v>0.25</v>
      </c>
      <c r="L195" s="233">
        <f t="shared" si="3"/>
        <v>0.25</v>
      </c>
      <c r="M195" s="240" t="s">
        <v>472</v>
      </c>
      <c r="X195" s="233">
        <f t="shared" si="4"/>
        <v>0</v>
      </c>
      <c r="Z195" s="233">
        <f t="shared" si="5"/>
        <v>0</v>
      </c>
      <c r="AA195" s="233">
        <f t="shared" si="6"/>
        <v>0</v>
      </c>
      <c r="AB195" s="233">
        <f t="shared" si="7"/>
        <v>0</v>
      </c>
      <c r="AC195" s="233">
        <f t="shared" si="8"/>
        <v>0</v>
      </c>
      <c r="AD195" s="233">
        <f t="shared" si="9"/>
        <v>0</v>
      </c>
      <c r="AE195" s="233">
        <f t="shared" si="10"/>
        <v>0</v>
      </c>
      <c r="AF195" s="233">
        <f t="shared" si="11"/>
        <v>0</v>
      </c>
      <c r="AG195" s="229" t="s">
        <v>154</v>
      </c>
      <c r="AH195" s="233">
        <f t="shared" si="12"/>
        <v>0</v>
      </c>
      <c r="AI195" s="233">
        <f t="shared" si="13"/>
        <v>0</v>
      </c>
      <c r="AJ195" s="233">
        <f t="shared" si="14"/>
        <v>0</v>
      </c>
      <c r="AL195" s="233">
        <v>15</v>
      </c>
      <c r="AM195" s="233">
        <f t="shared" si="15"/>
        <v>0</v>
      </c>
      <c r="AN195" s="233">
        <f t="shared" si="16"/>
        <v>0</v>
      </c>
      <c r="AO195" s="234" t="s">
        <v>453</v>
      </c>
      <c r="AT195" s="233">
        <f t="shared" si="17"/>
        <v>0</v>
      </c>
      <c r="AU195" s="233">
        <f t="shared" si="18"/>
        <v>0</v>
      </c>
      <c r="AV195" s="233">
        <f t="shared" si="19"/>
        <v>0</v>
      </c>
      <c r="AW195" s="234" t="s">
        <v>454</v>
      </c>
      <c r="AX195" s="234" t="s">
        <v>455</v>
      </c>
      <c r="AY195" s="229" t="s">
        <v>164</v>
      </c>
      <c r="BA195" s="233">
        <f t="shared" si="20"/>
        <v>0</v>
      </c>
      <c r="BB195" s="233">
        <f t="shared" si="21"/>
        <v>0</v>
      </c>
      <c r="BC195" s="233">
        <v>0</v>
      </c>
      <c r="BD195" s="233">
        <f t="shared" si="22"/>
        <v>0.25</v>
      </c>
      <c r="BF195" s="233">
        <f t="shared" si="23"/>
        <v>0</v>
      </c>
      <c r="BG195" s="233">
        <f t="shared" si="24"/>
        <v>0</v>
      </c>
      <c r="BH195" s="233">
        <f t="shared" si="25"/>
        <v>0</v>
      </c>
      <c r="BI195" s="233"/>
      <c r="BJ195" s="233"/>
      <c r="BU195" s="233" t="e">
        <f>#REF!</f>
        <v>#REF!</v>
      </c>
      <c r="BV195" s="225" t="s">
        <v>1660</v>
      </c>
    </row>
    <row r="196" spans="1:74" ht="14.4" x14ac:dyDescent="0.3">
      <c r="A196" s="239" t="s">
        <v>360</v>
      </c>
      <c r="B196" s="223" t="s">
        <v>951</v>
      </c>
      <c r="C196" s="521" t="s">
        <v>952</v>
      </c>
      <c r="D196" s="519"/>
      <c r="E196" s="223" t="s">
        <v>365</v>
      </c>
      <c r="F196" s="233">
        <v>4</v>
      </c>
      <c r="G196" s="311">
        <v>0</v>
      </c>
      <c r="H196" s="233">
        <f t="shared" si="0"/>
        <v>0</v>
      </c>
      <c r="I196" s="233">
        <f t="shared" si="1"/>
        <v>0</v>
      </c>
      <c r="J196" s="233">
        <f t="shared" si="2"/>
        <v>0</v>
      </c>
      <c r="K196" s="233">
        <v>0.5</v>
      </c>
      <c r="L196" s="233">
        <f t="shared" si="3"/>
        <v>2</v>
      </c>
      <c r="M196" s="240" t="s">
        <v>472</v>
      </c>
      <c r="X196" s="233">
        <f t="shared" si="4"/>
        <v>0</v>
      </c>
      <c r="Z196" s="233">
        <f t="shared" si="5"/>
        <v>0</v>
      </c>
      <c r="AA196" s="233">
        <f t="shared" si="6"/>
        <v>0</v>
      </c>
      <c r="AB196" s="233">
        <f t="shared" si="7"/>
        <v>0</v>
      </c>
      <c r="AC196" s="233">
        <f t="shared" si="8"/>
        <v>0</v>
      </c>
      <c r="AD196" s="233">
        <f t="shared" si="9"/>
        <v>0</v>
      </c>
      <c r="AE196" s="233">
        <f t="shared" si="10"/>
        <v>0</v>
      </c>
      <c r="AF196" s="233">
        <f t="shared" si="11"/>
        <v>0</v>
      </c>
      <c r="AG196" s="229" t="s">
        <v>154</v>
      </c>
      <c r="AH196" s="233">
        <f t="shared" si="12"/>
        <v>0</v>
      </c>
      <c r="AI196" s="233">
        <f t="shared" si="13"/>
        <v>0</v>
      </c>
      <c r="AJ196" s="233">
        <f t="shared" si="14"/>
        <v>0</v>
      </c>
      <c r="AL196" s="233">
        <v>15</v>
      </c>
      <c r="AM196" s="233">
        <f t="shared" si="15"/>
        <v>0</v>
      </c>
      <c r="AN196" s="233">
        <f t="shared" si="16"/>
        <v>0</v>
      </c>
      <c r="AO196" s="234" t="s">
        <v>453</v>
      </c>
      <c r="AT196" s="233">
        <f t="shared" si="17"/>
        <v>0</v>
      </c>
      <c r="AU196" s="233">
        <f t="shared" si="18"/>
        <v>0</v>
      </c>
      <c r="AV196" s="233">
        <f t="shared" si="19"/>
        <v>0</v>
      </c>
      <c r="AW196" s="234" t="s">
        <v>454</v>
      </c>
      <c r="AX196" s="234" t="s">
        <v>455</v>
      </c>
      <c r="AY196" s="229" t="s">
        <v>164</v>
      </c>
      <c r="BA196" s="233">
        <f t="shared" si="20"/>
        <v>0</v>
      </c>
      <c r="BB196" s="233">
        <f t="shared" si="21"/>
        <v>0</v>
      </c>
      <c r="BC196" s="233">
        <v>0</v>
      </c>
      <c r="BD196" s="233">
        <f t="shared" si="22"/>
        <v>2</v>
      </c>
      <c r="BF196" s="233">
        <f t="shared" si="23"/>
        <v>0</v>
      </c>
      <c r="BG196" s="233">
        <f t="shared" si="24"/>
        <v>0</v>
      </c>
      <c r="BH196" s="233">
        <f t="shared" si="25"/>
        <v>0</v>
      </c>
      <c r="BI196" s="233"/>
      <c r="BJ196" s="233"/>
      <c r="BU196" s="233" t="e">
        <f>#REF!</f>
        <v>#REF!</v>
      </c>
      <c r="BV196" s="225" t="s">
        <v>952</v>
      </c>
    </row>
    <row r="197" spans="1:74" ht="14.4" x14ac:dyDescent="0.3">
      <c r="A197" s="239" t="s">
        <v>615</v>
      </c>
      <c r="B197" s="223" t="s">
        <v>953</v>
      </c>
      <c r="C197" s="521" t="s">
        <v>954</v>
      </c>
      <c r="D197" s="519"/>
      <c r="E197" s="223" t="s">
        <v>365</v>
      </c>
      <c r="F197" s="233">
        <v>1</v>
      </c>
      <c r="G197" s="311">
        <v>0</v>
      </c>
      <c r="H197" s="233">
        <f t="shared" si="0"/>
        <v>0</v>
      </c>
      <c r="I197" s="233">
        <f t="shared" si="1"/>
        <v>0</v>
      </c>
      <c r="J197" s="233">
        <f t="shared" si="2"/>
        <v>0</v>
      </c>
      <c r="K197" s="233">
        <v>1</v>
      </c>
      <c r="L197" s="233">
        <f t="shared" si="3"/>
        <v>1</v>
      </c>
      <c r="M197" s="240" t="s">
        <v>472</v>
      </c>
      <c r="X197" s="233">
        <f t="shared" si="4"/>
        <v>0</v>
      </c>
      <c r="Z197" s="233">
        <f t="shared" si="5"/>
        <v>0</v>
      </c>
      <c r="AA197" s="233">
        <f t="shared" si="6"/>
        <v>0</v>
      </c>
      <c r="AB197" s="233">
        <f t="shared" si="7"/>
        <v>0</v>
      </c>
      <c r="AC197" s="233">
        <f t="shared" si="8"/>
        <v>0</v>
      </c>
      <c r="AD197" s="233">
        <f t="shared" si="9"/>
        <v>0</v>
      </c>
      <c r="AE197" s="233">
        <f t="shared" si="10"/>
        <v>0</v>
      </c>
      <c r="AF197" s="233">
        <f t="shared" si="11"/>
        <v>0</v>
      </c>
      <c r="AG197" s="229" t="s">
        <v>154</v>
      </c>
      <c r="AH197" s="233">
        <f t="shared" si="12"/>
        <v>0</v>
      </c>
      <c r="AI197" s="233">
        <f t="shared" si="13"/>
        <v>0</v>
      </c>
      <c r="AJ197" s="233">
        <f t="shared" si="14"/>
        <v>0</v>
      </c>
      <c r="AL197" s="233">
        <v>15</v>
      </c>
      <c r="AM197" s="233">
        <f t="shared" si="15"/>
        <v>0</v>
      </c>
      <c r="AN197" s="233">
        <f t="shared" si="16"/>
        <v>0</v>
      </c>
      <c r="AO197" s="234" t="s">
        <v>453</v>
      </c>
      <c r="AT197" s="233">
        <f t="shared" si="17"/>
        <v>0</v>
      </c>
      <c r="AU197" s="233">
        <f t="shared" si="18"/>
        <v>0</v>
      </c>
      <c r="AV197" s="233">
        <f t="shared" si="19"/>
        <v>0</v>
      </c>
      <c r="AW197" s="234" t="s">
        <v>454</v>
      </c>
      <c r="AX197" s="234" t="s">
        <v>455</v>
      </c>
      <c r="AY197" s="229" t="s">
        <v>164</v>
      </c>
      <c r="BA197" s="233">
        <f t="shared" si="20"/>
        <v>0</v>
      </c>
      <c r="BB197" s="233">
        <f t="shared" si="21"/>
        <v>0</v>
      </c>
      <c r="BC197" s="233">
        <v>0</v>
      </c>
      <c r="BD197" s="233">
        <f t="shared" si="22"/>
        <v>1</v>
      </c>
      <c r="BF197" s="233">
        <f t="shared" si="23"/>
        <v>0</v>
      </c>
      <c r="BG197" s="233">
        <f t="shared" si="24"/>
        <v>0</v>
      </c>
      <c r="BH197" s="233">
        <f t="shared" si="25"/>
        <v>0</v>
      </c>
      <c r="BI197" s="233"/>
      <c r="BJ197" s="233"/>
      <c r="BU197" s="233" t="e">
        <f>#REF!</f>
        <v>#REF!</v>
      </c>
      <c r="BV197" s="225" t="s">
        <v>954</v>
      </c>
    </row>
    <row r="198" spans="1:74" ht="14.4" x14ac:dyDescent="0.3">
      <c r="A198" s="239" t="s">
        <v>616</v>
      </c>
      <c r="B198" s="223" t="s">
        <v>955</v>
      </c>
      <c r="C198" s="521" t="s">
        <v>956</v>
      </c>
      <c r="D198" s="519"/>
      <c r="E198" s="223" t="s">
        <v>365</v>
      </c>
      <c r="F198" s="233">
        <v>1</v>
      </c>
      <c r="G198" s="311">
        <v>0</v>
      </c>
      <c r="H198" s="233">
        <f t="shared" si="0"/>
        <v>0</v>
      </c>
      <c r="I198" s="233">
        <f t="shared" si="1"/>
        <v>0</v>
      </c>
      <c r="J198" s="233">
        <f t="shared" si="2"/>
        <v>0</v>
      </c>
      <c r="K198" s="233">
        <v>1.6</v>
      </c>
      <c r="L198" s="233">
        <f t="shared" si="3"/>
        <v>1.6</v>
      </c>
      <c r="M198" s="240" t="s">
        <v>472</v>
      </c>
      <c r="X198" s="233">
        <f t="shared" si="4"/>
        <v>0</v>
      </c>
      <c r="Z198" s="233">
        <f t="shared" si="5"/>
        <v>0</v>
      </c>
      <c r="AA198" s="233">
        <f t="shared" si="6"/>
        <v>0</v>
      </c>
      <c r="AB198" s="233">
        <f t="shared" si="7"/>
        <v>0</v>
      </c>
      <c r="AC198" s="233">
        <f t="shared" si="8"/>
        <v>0</v>
      </c>
      <c r="AD198" s="233">
        <f t="shared" si="9"/>
        <v>0</v>
      </c>
      <c r="AE198" s="233">
        <f t="shared" si="10"/>
        <v>0</v>
      </c>
      <c r="AF198" s="233">
        <f t="shared" si="11"/>
        <v>0</v>
      </c>
      <c r="AG198" s="229" t="s">
        <v>154</v>
      </c>
      <c r="AH198" s="233">
        <f t="shared" si="12"/>
        <v>0</v>
      </c>
      <c r="AI198" s="233">
        <f t="shared" si="13"/>
        <v>0</v>
      </c>
      <c r="AJ198" s="233">
        <f t="shared" si="14"/>
        <v>0</v>
      </c>
      <c r="AL198" s="233">
        <v>15</v>
      </c>
      <c r="AM198" s="233">
        <f t="shared" si="15"/>
        <v>0</v>
      </c>
      <c r="AN198" s="233">
        <f t="shared" si="16"/>
        <v>0</v>
      </c>
      <c r="AO198" s="234" t="s">
        <v>453</v>
      </c>
      <c r="AT198" s="233">
        <f t="shared" si="17"/>
        <v>0</v>
      </c>
      <c r="AU198" s="233">
        <f t="shared" si="18"/>
        <v>0</v>
      </c>
      <c r="AV198" s="233">
        <f t="shared" si="19"/>
        <v>0</v>
      </c>
      <c r="AW198" s="234" t="s">
        <v>454</v>
      </c>
      <c r="AX198" s="234" t="s">
        <v>455</v>
      </c>
      <c r="AY198" s="229" t="s">
        <v>164</v>
      </c>
      <c r="BA198" s="233">
        <f t="shared" si="20"/>
        <v>0</v>
      </c>
      <c r="BB198" s="233">
        <f t="shared" si="21"/>
        <v>0</v>
      </c>
      <c r="BC198" s="233">
        <v>0</v>
      </c>
      <c r="BD198" s="233">
        <f t="shared" si="22"/>
        <v>1.6</v>
      </c>
      <c r="BF198" s="233">
        <f t="shared" si="23"/>
        <v>0</v>
      </c>
      <c r="BG198" s="233">
        <f t="shared" si="24"/>
        <v>0</v>
      </c>
      <c r="BH198" s="233">
        <f t="shared" si="25"/>
        <v>0</v>
      </c>
      <c r="BI198" s="233"/>
      <c r="BJ198" s="233"/>
      <c r="BU198" s="233" t="e">
        <f>#REF!</f>
        <v>#REF!</v>
      </c>
      <c r="BV198" s="225" t="s">
        <v>956</v>
      </c>
    </row>
    <row r="199" spans="1:74" ht="14.4" x14ac:dyDescent="0.3">
      <c r="A199" s="239" t="s">
        <v>617</v>
      </c>
      <c r="B199" s="223" t="s">
        <v>957</v>
      </c>
      <c r="C199" s="521" t="s">
        <v>958</v>
      </c>
      <c r="D199" s="519"/>
      <c r="E199" s="223" t="s">
        <v>365</v>
      </c>
      <c r="F199" s="233">
        <v>2</v>
      </c>
      <c r="G199" s="311">
        <v>0</v>
      </c>
      <c r="H199" s="233">
        <f t="shared" si="0"/>
        <v>0</v>
      </c>
      <c r="I199" s="233">
        <f t="shared" si="1"/>
        <v>0</v>
      </c>
      <c r="J199" s="233">
        <f t="shared" si="2"/>
        <v>0</v>
      </c>
      <c r="K199" s="233">
        <v>1.87</v>
      </c>
      <c r="L199" s="233">
        <f t="shared" si="3"/>
        <v>3.74</v>
      </c>
      <c r="M199" s="240" t="s">
        <v>472</v>
      </c>
      <c r="X199" s="233">
        <f t="shared" si="4"/>
        <v>0</v>
      </c>
      <c r="Z199" s="233">
        <f t="shared" si="5"/>
        <v>0</v>
      </c>
      <c r="AA199" s="233">
        <f t="shared" si="6"/>
        <v>0</v>
      </c>
      <c r="AB199" s="233">
        <f t="shared" si="7"/>
        <v>0</v>
      </c>
      <c r="AC199" s="233">
        <f t="shared" si="8"/>
        <v>0</v>
      </c>
      <c r="AD199" s="233">
        <f t="shared" si="9"/>
        <v>0</v>
      </c>
      <c r="AE199" s="233">
        <f t="shared" si="10"/>
        <v>0</v>
      </c>
      <c r="AF199" s="233">
        <f t="shared" si="11"/>
        <v>0</v>
      </c>
      <c r="AG199" s="229" t="s">
        <v>154</v>
      </c>
      <c r="AH199" s="233">
        <f t="shared" si="12"/>
        <v>0</v>
      </c>
      <c r="AI199" s="233">
        <f t="shared" si="13"/>
        <v>0</v>
      </c>
      <c r="AJ199" s="233">
        <f t="shared" si="14"/>
        <v>0</v>
      </c>
      <c r="AL199" s="233">
        <v>15</v>
      </c>
      <c r="AM199" s="233">
        <f t="shared" si="15"/>
        <v>0</v>
      </c>
      <c r="AN199" s="233">
        <f t="shared" si="16"/>
        <v>0</v>
      </c>
      <c r="AO199" s="234" t="s">
        <v>453</v>
      </c>
      <c r="AT199" s="233">
        <f t="shared" si="17"/>
        <v>0</v>
      </c>
      <c r="AU199" s="233">
        <f t="shared" si="18"/>
        <v>0</v>
      </c>
      <c r="AV199" s="233">
        <f t="shared" si="19"/>
        <v>0</v>
      </c>
      <c r="AW199" s="234" t="s">
        <v>454</v>
      </c>
      <c r="AX199" s="234" t="s">
        <v>455</v>
      </c>
      <c r="AY199" s="229" t="s">
        <v>164</v>
      </c>
      <c r="BA199" s="233">
        <f t="shared" si="20"/>
        <v>0</v>
      </c>
      <c r="BB199" s="233">
        <f t="shared" si="21"/>
        <v>0</v>
      </c>
      <c r="BC199" s="233">
        <v>0</v>
      </c>
      <c r="BD199" s="233">
        <f t="shared" si="22"/>
        <v>3.74</v>
      </c>
      <c r="BF199" s="233">
        <f t="shared" si="23"/>
        <v>0</v>
      </c>
      <c r="BG199" s="233">
        <f t="shared" si="24"/>
        <v>0</v>
      </c>
      <c r="BH199" s="233">
        <f t="shared" si="25"/>
        <v>0</v>
      </c>
      <c r="BI199" s="233"/>
      <c r="BJ199" s="233"/>
      <c r="BU199" s="233" t="e">
        <f>#REF!</f>
        <v>#REF!</v>
      </c>
      <c r="BV199" s="225" t="s">
        <v>958</v>
      </c>
    </row>
    <row r="200" spans="1:74" ht="14.4" x14ac:dyDescent="0.3">
      <c r="A200" s="239" t="s">
        <v>370</v>
      </c>
      <c r="B200" s="223" t="s">
        <v>959</v>
      </c>
      <c r="C200" s="521" t="s">
        <v>960</v>
      </c>
      <c r="D200" s="519"/>
      <c r="E200" s="223" t="s">
        <v>365</v>
      </c>
      <c r="F200" s="233">
        <v>3</v>
      </c>
      <c r="G200" s="311">
        <v>0</v>
      </c>
      <c r="H200" s="233">
        <f t="shared" si="0"/>
        <v>0</v>
      </c>
      <c r="I200" s="233">
        <f t="shared" si="1"/>
        <v>0</v>
      </c>
      <c r="J200" s="233">
        <f t="shared" si="2"/>
        <v>0</v>
      </c>
      <c r="K200" s="233">
        <v>2.1</v>
      </c>
      <c r="L200" s="233">
        <f t="shared" si="3"/>
        <v>6.3000000000000007</v>
      </c>
      <c r="M200" s="240" t="s">
        <v>472</v>
      </c>
      <c r="X200" s="233">
        <f t="shared" si="4"/>
        <v>0</v>
      </c>
      <c r="Z200" s="233">
        <f t="shared" si="5"/>
        <v>0</v>
      </c>
      <c r="AA200" s="233">
        <f t="shared" si="6"/>
        <v>0</v>
      </c>
      <c r="AB200" s="233">
        <f t="shared" si="7"/>
        <v>0</v>
      </c>
      <c r="AC200" s="233">
        <f t="shared" si="8"/>
        <v>0</v>
      </c>
      <c r="AD200" s="233">
        <f t="shared" si="9"/>
        <v>0</v>
      </c>
      <c r="AE200" s="233">
        <f t="shared" si="10"/>
        <v>0</v>
      </c>
      <c r="AF200" s="233">
        <f t="shared" si="11"/>
        <v>0</v>
      </c>
      <c r="AG200" s="229" t="s">
        <v>154</v>
      </c>
      <c r="AH200" s="233">
        <f t="shared" si="12"/>
        <v>0</v>
      </c>
      <c r="AI200" s="233">
        <f t="shared" si="13"/>
        <v>0</v>
      </c>
      <c r="AJ200" s="233">
        <f t="shared" si="14"/>
        <v>0</v>
      </c>
      <c r="AL200" s="233">
        <v>15</v>
      </c>
      <c r="AM200" s="233">
        <f t="shared" si="15"/>
        <v>0</v>
      </c>
      <c r="AN200" s="233">
        <f t="shared" si="16"/>
        <v>0</v>
      </c>
      <c r="AO200" s="234" t="s">
        <v>453</v>
      </c>
      <c r="AT200" s="233">
        <f t="shared" si="17"/>
        <v>0</v>
      </c>
      <c r="AU200" s="233">
        <f t="shared" si="18"/>
        <v>0</v>
      </c>
      <c r="AV200" s="233">
        <f t="shared" si="19"/>
        <v>0</v>
      </c>
      <c r="AW200" s="234" t="s">
        <v>454</v>
      </c>
      <c r="AX200" s="234" t="s">
        <v>455</v>
      </c>
      <c r="AY200" s="229" t="s">
        <v>164</v>
      </c>
      <c r="BA200" s="233">
        <f t="shared" si="20"/>
        <v>0</v>
      </c>
      <c r="BB200" s="233">
        <f t="shared" si="21"/>
        <v>0</v>
      </c>
      <c r="BC200" s="233">
        <v>0</v>
      </c>
      <c r="BD200" s="233">
        <f t="shared" si="22"/>
        <v>6.3000000000000007</v>
      </c>
      <c r="BF200" s="233">
        <f t="shared" si="23"/>
        <v>0</v>
      </c>
      <c r="BG200" s="233">
        <f t="shared" si="24"/>
        <v>0</v>
      </c>
      <c r="BH200" s="233">
        <f t="shared" si="25"/>
        <v>0</v>
      </c>
      <c r="BI200" s="233"/>
      <c r="BJ200" s="233"/>
      <c r="BU200" s="233" t="e">
        <f>#REF!</f>
        <v>#REF!</v>
      </c>
      <c r="BV200" s="225" t="s">
        <v>960</v>
      </c>
    </row>
    <row r="201" spans="1:74" ht="14.4" x14ac:dyDescent="0.3">
      <c r="A201" s="239" t="s">
        <v>618</v>
      </c>
      <c r="B201" s="223" t="s">
        <v>961</v>
      </c>
      <c r="C201" s="521" t="s">
        <v>962</v>
      </c>
      <c r="D201" s="519"/>
      <c r="E201" s="223" t="s">
        <v>365</v>
      </c>
      <c r="F201" s="233">
        <v>12</v>
      </c>
      <c r="G201" s="311">
        <v>0</v>
      </c>
      <c r="H201" s="233">
        <f t="shared" si="0"/>
        <v>0</v>
      </c>
      <c r="I201" s="233">
        <f t="shared" si="1"/>
        <v>0</v>
      </c>
      <c r="J201" s="233">
        <f t="shared" si="2"/>
        <v>0</v>
      </c>
      <c r="K201" s="233">
        <v>2E-3</v>
      </c>
      <c r="L201" s="233">
        <f t="shared" si="3"/>
        <v>2.4E-2</v>
      </c>
      <c r="M201" s="240" t="s">
        <v>472</v>
      </c>
      <c r="X201" s="233">
        <f t="shared" si="4"/>
        <v>0</v>
      </c>
      <c r="Z201" s="233">
        <f t="shared" si="5"/>
        <v>0</v>
      </c>
      <c r="AA201" s="233">
        <f t="shared" si="6"/>
        <v>0</v>
      </c>
      <c r="AB201" s="233">
        <f t="shared" si="7"/>
        <v>0</v>
      </c>
      <c r="AC201" s="233">
        <f t="shared" si="8"/>
        <v>0</v>
      </c>
      <c r="AD201" s="233">
        <f t="shared" si="9"/>
        <v>0</v>
      </c>
      <c r="AE201" s="233">
        <f t="shared" si="10"/>
        <v>0</v>
      </c>
      <c r="AF201" s="233">
        <f t="shared" si="11"/>
        <v>0</v>
      </c>
      <c r="AG201" s="229" t="s">
        <v>154</v>
      </c>
      <c r="AH201" s="233">
        <f t="shared" si="12"/>
        <v>0</v>
      </c>
      <c r="AI201" s="233">
        <f t="shared" si="13"/>
        <v>0</v>
      </c>
      <c r="AJ201" s="233">
        <f t="shared" si="14"/>
        <v>0</v>
      </c>
      <c r="AL201" s="233">
        <v>15</v>
      </c>
      <c r="AM201" s="233">
        <f t="shared" si="15"/>
        <v>0</v>
      </c>
      <c r="AN201" s="233">
        <f t="shared" si="16"/>
        <v>0</v>
      </c>
      <c r="AO201" s="234" t="s">
        <v>453</v>
      </c>
      <c r="AT201" s="233">
        <f t="shared" si="17"/>
        <v>0</v>
      </c>
      <c r="AU201" s="233">
        <f t="shared" si="18"/>
        <v>0</v>
      </c>
      <c r="AV201" s="233">
        <f t="shared" si="19"/>
        <v>0</v>
      </c>
      <c r="AW201" s="234" t="s">
        <v>454</v>
      </c>
      <c r="AX201" s="234" t="s">
        <v>455</v>
      </c>
      <c r="AY201" s="229" t="s">
        <v>164</v>
      </c>
      <c r="BA201" s="233">
        <f t="shared" si="20"/>
        <v>0</v>
      </c>
      <c r="BB201" s="233">
        <f t="shared" si="21"/>
        <v>0</v>
      </c>
      <c r="BC201" s="233">
        <v>0</v>
      </c>
      <c r="BD201" s="233">
        <f t="shared" si="22"/>
        <v>2.4E-2</v>
      </c>
      <c r="BF201" s="233">
        <f t="shared" si="23"/>
        <v>0</v>
      </c>
      <c r="BG201" s="233">
        <f t="shared" si="24"/>
        <v>0</v>
      </c>
      <c r="BH201" s="233">
        <f t="shared" si="25"/>
        <v>0</v>
      </c>
      <c r="BI201" s="233"/>
      <c r="BJ201" s="233"/>
      <c r="BU201" s="233" t="e">
        <f>#REF!</f>
        <v>#REF!</v>
      </c>
      <c r="BV201" s="225" t="s">
        <v>962</v>
      </c>
    </row>
    <row r="202" spans="1:74" ht="14.4" x14ac:dyDescent="0.3">
      <c r="A202" s="239" t="s">
        <v>619</v>
      </c>
      <c r="B202" s="223" t="s">
        <v>963</v>
      </c>
      <c r="C202" s="521" t="s">
        <v>964</v>
      </c>
      <c r="D202" s="519"/>
      <c r="E202" s="223" t="s">
        <v>365</v>
      </c>
      <c r="F202" s="233">
        <v>1</v>
      </c>
      <c r="G202" s="311">
        <v>0</v>
      </c>
      <c r="H202" s="233">
        <f t="shared" si="0"/>
        <v>0</v>
      </c>
      <c r="I202" s="233">
        <f t="shared" si="1"/>
        <v>0</v>
      </c>
      <c r="J202" s="233">
        <f t="shared" si="2"/>
        <v>0</v>
      </c>
      <c r="K202" s="233">
        <v>0.158</v>
      </c>
      <c r="L202" s="233">
        <f t="shared" si="3"/>
        <v>0.158</v>
      </c>
      <c r="M202" s="240" t="s">
        <v>472</v>
      </c>
      <c r="X202" s="233">
        <f t="shared" si="4"/>
        <v>0</v>
      </c>
      <c r="Z202" s="233">
        <f t="shared" si="5"/>
        <v>0</v>
      </c>
      <c r="AA202" s="233">
        <f t="shared" si="6"/>
        <v>0</v>
      </c>
      <c r="AB202" s="233">
        <f t="shared" si="7"/>
        <v>0</v>
      </c>
      <c r="AC202" s="233">
        <f t="shared" si="8"/>
        <v>0</v>
      </c>
      <c r="AD202" s="233">
        <f t="shared" si="9"/>
        <v>0</v>
      </c>
      <c r="AE202" s="233">
        <f t="shared" si="10"/>
        <v>0</v>
      </c>
      <c r="AF202" s="233">
        <f t="shared" si="11"/>
        <v>0</v>
      </c>
      <c r="AG202" s="229" t="s">
        <v>154</v>
      </c>
      <c r="AH202" s="233">
        <f t="shared" si="12"/>
        <v>0</v>
      </c>
      <c r="AI202" s="233">
        <f t="shared" si="13"/>
        <v>0</v>
      </c>
      <c r="AJ202" s="233">
        <f t="shared" si="14"/>
        <v>0</v>
      </c>
      <c r="AL202" s="233">
        <v>15</v>
      </c>
      <c r="AM202" s="233">
        <f t="shared" si="15"/>
        <v>0</v>
      </c>
      <c r="AN202" s="233">
        <f t="shared" si="16"/>
        <v>0</v>
      </c>
      <c r="AO202" s="234" t="s">
        <v>453</v>
      </c>
      <c r="AT202" s="233">
        <f t="shared" si="17"/>
        <v>0</v>
      </c>
      <c r="AU202" s="233">
        <f t="shared" si="18"/>
        <v>0</v>
      </c>
      <c r="AV202" s="233">
        <f t="shared" si="19"/>
        <v>0</v>
      </c>
      <c r="AW202" s="234" t="s">
        <v>454</v>
      </c>
      <c r="AX202" s="234" t="s">
        <v>455</v>
      </c>
      <c r="AY202" s="229" t="s">
        <v>164</v>
      </c>
      <c r="BA202" s="233">
        <f t="shared" si="20"/>
        <v>0</v>
      </c>
      <c r="BB202" s="233">
        <f t="shared" si="21"/>
        <v>0</v>
      </c>
      <c r="BC202" s="233">
        <v>0</v>
      </c>
      <c r="BD202" s="233">
        <f t="shared" si="22"/>
        <v>0.158</v>
      </c>
      <c r="BF202" s="233">
        <f t="shared" si="23"/>
        <v>0</v>
      </c>
      <c r="BG202" s="233">
        <f t="shared" si="24"/>
        <v>0</v>
      </c>
      <c r="BH202" s="233">
        <f t="shared" si="25"/>
        <v>0</v>
      </c>
      <c r="BI202" s="233"/>
      <c r="BJ202" s="233"/>
      <c r="BU202" s="233" t="e">
        <f>#REF!</f>
        <v>#REF!</v>
      </c>
      <c r="BV202" s="225" t="s">
        <v>964</v>
      </c>
    </row>
    <row r="203" spans="1:74" ht="27" customHeight="1" x14ac:dyDescent="0.3">
      <c r="A203" s="241"/>
      <c r="B203" s="242" t="s">
        <v>165</v>
      </c>
      <c r="C203" s="530" t="s">
        <v>965</v>
      </c>
      <c r="D203" s="531"/>
      <c r="E203" s="531"/>
      <c r="F203" s="531"/>
      <c r="G203" s="531"/>
      <c r="H203" s="531"/>
      <c r="I203" s="531"/>
      <c r="J203" s="531"/>
      <c r="K203" s="531"/>
      <c r="L203" s="531"/>
      <c r="M203" s="532"/>
    </row>
    <row r="204" spans="1:74" ht="14.4" x14ac:dyDescent="0.3">
      <c r="A204" s="239" t="s">
        <v>620</v>
      </c>
      <c r="B204" s="223" t="s">
        <v>966</v>
      </c>
      <c r="C204" s="521" t="s">
        <v>967</v>
      </c>
      <c r="D204" s="519"/>
      <c r="E204" s="223" t="s">
        <v>365</v>
      </c>
      <c r="F204" s="233">
        <v>5</v>
      </c>
      <c r="G204" s="311">
        <v>0</v>
      </c>
      <c r="H204" s="233">
        <f>F204*AM204</f>
        <v>0</v>
      </c>
      <c r="I204" s="233">
        <f>F204*AN204</f>
        <v>0</v>
      </c>
      <c r="J204" s="233">
        <f>F204*G204</f>
        <v>0</v>
      </c>
      <c r="K204" s="233">
        <v>0.158</v>
      </c>
      <c r="L204" s="233">
        <f>F204*K204</f>
        <v>0.79</v>
      </c>
      <c r="M204" s="240" t="s">
        <v>472</v>
      </c>
      <c r="X204" s="233">
        <f>IF(AO204="5",BH204,0)</f>
        <v>0</v>
      </c>
      <c r="Z204" s="233">
        <f>IF(AO204="1",BF204,0)</f>
        <v>0</v>
      </c>
      <c r="AA204" s="233">
        <f>IF(AO204="1",BG204,0)</f>
        <v>0</v>
      </c>
      <c r="AB204" s="233">
        <f>IF(AO204="7",BF204,0)</f>
        <v>0</v>
      </c>
      <c r="AC204" s="233">
        <f>IF(AO204="7",BG204,0)</f>
        <v>0</v>
      </c>
      <c r="AD204" s="233">
        <f>IF(AO204="2",BF204,0)</f>
        <v>0</v>
      </c>
      <c r="AE204" s="233">
        <f>IF(AO204="2",BG204,0)</f>
        <v>0</v>
      </c>
      <c r="AF204" s="233">
        <f>IF(AO204="0",BH204,0)</f>
        <v>0</v>
      </c>
      <c r="AG204" s="229" t="s">
        <v>154</v>
      </c>
      <c r="AH204" s="233">
        <f>IF(AL204=0,J204,0)</f>
        <v>0</v>
      </c>
      <c r="AI204" s="233">
        <f>IF(AL204=15,J204,0)</f>
        <v>0</v>
      </c>
      <c r="AJ204" s="233">
        <f>IF(AL204=21,J204,0)</f>
        <v>0</v>
      </c>
      <c r="AL204" s="233">
        <v>15</v>
      </c>
      <c r="AM204" s="233">
        <f>G204*1</f>
        <v>0</v>
      </c>
      <c r="AN204" s="233">
        <f>G204*(1-1)</f>
        <v>0</v>
      </c>
      <c r="AO204" s="234" t="s">
        <v>453</v>
      </c>
      <c r="AT204" s="233">
        <f>AU204+AV204</f>
        <v>0</v>
      </c>
      <c r="AU204" s="233">
        <f>F204*AM204</f>
        <v>0</v>
      </c>
      <c r="AV204" s="233">
        <f>F204*AN204</f>
        <v>0</v>
      </c>
      <c r="AW204" s="234" t="s">
        <v>454</v>
      </c>
      <c r="AX204" s="234" t="s">
        <v>455</v>
      </c>
      <c r="AY204" s="229" t="s">
        <v>164</v>
      </c>
      <c r="BA204" s="233">
        <f>AU204+AV204</f>
        <v>0</v>
      </c>
      <c r="BB204" s="233">
        <f>G204/(100-BC204)*100</f>
        <v>0</v>
      </c>
      <c r="BC204" s="233">
        <v>0</v>
      </c>
      <c r="BD204" s="233">
        <f>L204</f>
        <v>0.79</v>
      </c>
      <c r="BF204" s="233">
        <f>F204*AM204</f>
        <v>0</v>
      </c>
      <c r="BG204" s="233">
        <f>F204*AN204</f>
        <v>0</v>
      </c>
      <c r="BH204" s="233">
        <f>F204*G204</f>
        <v>0</v>
      </c>
      <c r="BI204" s="233"/>
      <c r="BJ204" s="233"/>
      <c r="BU204" s="233" t="e">
        <f>#REF!</f>
        <v>#REF!</v>
      </c>
      <c r="BV204" s="225" t="s">
        <v>967</v>
      </c>
    </row>
    <row r="205" spans="1:74" ht="27" customHeight="1" x14ac:dyDescent="0.3">
      <c r="A205" s="241"/>
      <c r="B205" s="242" t="s">
        <v>165</v>
      </c>
      <c r="C205" s="530" t="s">
        <v>968</v>
      </c>
      <c r="D205" s="531"/>
      <c r="E205" s="531"/>
      <c r="F205" s="531"/>
      <c r="G205" s="531"/>
      <c r="H205" s="531"/>
      <c r="I205" s="531"/>
      <c r="J205" s="531"/>
      <c r="K205" s="531"/>
      <c r="L205" s="531"/>
      <c r="M205" s="532"/>
    </row>
    <row r="206" spans="1:74" ht="14.4" x14ac:dyDescent="0.3">
      <c r="A206" s="239" t="s">
        <v>376</v>
      </c>
      <c r="B206" s="223" t="s">
        <v>969</v>
      </c>
      <c r="C206" s="521" t="s">
        <v>970</v>
      </c>
      <c r="D206" s="519"/>
      <c r="E206" s="223" t="s">
        <v>471</v>
      </c>
      <c r="F206" s="233">
        <v>1</v>
      </c>
      <c r="G206" s="311">
        <v>0</v>
      </c>
      <c r="H206" s="233">
        <f>F206*AM206</f>
        <v>0</v>
      </c>
      <c r="I206" s="233">
        <f>F206*AN206</f>
        <v>0</v>
      </c>
      <c r="J206" s="233">
        <f>F206*G206</f>
        <v>0</v>
      </c>
      <c r="K206" s="233">
        <v>1E-3</v>
      </c>
      <c r="L206" s="233">
        <f>F206*K206</f>
        <v>1E-3</v>
      </c>
      <c r="M206" s="240" t="s">
        <v>472</v>
      </c>
      <c r="X206" s="233">
        <f>IF(AO206="5",BH206,0)</f>
        <v>0</v>
      </c>
      <c r="Z206" s="233">
        <f>IF(AO206="1",BF206,0)</f>
        <v>0</v>
      </c>
      <c r="AA206" s="233">
        <f>IF(AO206="1",BG206,0)</f>
        <v>0</v>
      </c>
      <c r="AB206" s="233">
        <f>IF(AO206="7",BF206,0)</f>
        <v>0</v>
      </c>
      <c r="AC206" s="233">
        <f>IF(AO206="7",BG206,0)</f>
        <v>0</v>
      </c>
      <c r="AD206" s="233">
        <f>IF(AO206="2",BF206,0)</f>
        <v>0</v>
      </c>
      <c r="AE206" s="233">
        <f>IF(AO206="2",BG206,0)</f>
        <v>0</v>
      </c>
      <c r="AF206" s="233">
        <f>IF(AO206="0",BH206,0)</f>
        <v>0</v>
      </c>
      <c r="AG206" s="229" t="s">
        <v>154</v>
      </c>
      <c r="AH206" s="233">
        <f>IF(AL206=0,J206,0)</f>
        <v>0</v>
      </c>
      <c r="AI206" s="233">
        <f>IF(AL206=15,J206,0)</f>
        <v>0</v>
      </c>
      <c r="AJ206" s="233">
        <f>IF(AL206=21,J206,0)</f>
        <v>0</v>
      </c>
      <c r="AL206" s="233">
        <v>15</v>
      </c>
      <c r="AM206" s="233">
        <f>G206*1</f>
        <v>0</v>
      </c>
      <c r="AN206" s="233">
        <f>G206*(1-1)</f>
        <v>0</v>
      </c>
      <c r="AO206" s="234" t="s">
        <v>453</v>
      </c>
      <c r="AT206" s="233">
        <f>AU206+AV206</f>
        <v>0</v>
      </c>
      <c r="AU206" s="233">
        <f>F206*AM206</f>
        <v>0</v>
      </c>
      <c r="AV206" s="233">
        <f>F206*AN206</f>
        <v>0</v>
      </c>
      <c r="AW206" s="234" t="s">
        <v>454</v>
      </c>
      <c r="AX206" s="234" t="s">
        <v>455</v>
      </c>
      <c r="AY206" s="229" t="s">
        <v>164</v>
      </c>
      <c r="BA206" s="233">
        <f>AU206+AV206</f>
        <v>0</v>
      </c>
      <c r="BB206" s="233">
        <f>G206/(100-BC206)*100</f>
        <v>0</v>
      </c>
      <c r="BC206" s="233">
        <v>0</v>
      </c>
      <c r="BD206" s="233">
        <f>L206</f>
        <v>1E-3</v>
      </c>
      <c r="BF206" s="233">
        <f>F206*AM206</f>
        <v>0</v>
      </c>
      <c r="BG206" s="233">
        <f>F206*AN206</f>
        <v>0</v>
      </c>
      <c r="BH206" s="233">
        <f>F206*G206</f>
        <v>0</v>
      </c>
      <c r="BI206" s="233"/>
      <c r="BJ206" s="233"/>
      <c r="BU206" s="233" t="e">
        <f>#REF!</f>
        <v>#REF!</v>
      </c>
      <c r="BV206" s="225" t="s">
        <v>970</v>
      </c>
    </row>
    <row r="207" spans="1:74" ht="13.5" customHeight="1" x14ac:dyDescent="0.3">
      <c r="A207" s="244"/>
      <c r="B207" s="245" t="s">
        <v>165</v>
      </c>
      <c r="C207" s="540" t="s">
        <v>971</v>
      </c>
      <c r="D207" s="541"/>
      <c r="E207" s="541"/>
      <c r="F207" s="541"/>
      <c r="G207" s="541"/>
      <c r="H207" s="541"/>
      <c r="I207" s="541"/>
      <c r="J207" s="541"/>
      <c r="K207" s="541"/>
      <c r="L207" s="541"/>
      <c r="M207" s="542"/>
    </row>
    <row r="208" spans="1:74" ht="14.4" x14ac:dyDescent="0.3">
      <c r="H208" s="527" t="s">
        <v>423</v>
      </c>
      <c r="I208" s="527"/>
      <c r="J208" s="235">
        <f>J12+J15+J32+J35+J52+J57+J74+J80+J85+J91+J94+J97+J120+J125+J136+J159+J162+J165+J172+J176</f>
        <v>0</v>
      </c>
    </row>
    <row r="209" spans="1:13" ht="14.4" x14ac:dyDescent="0.3">
      <c r="A209" s="236" t="s">
        <v>165</v>
      </c>
    </row>
    <row r="210" spans="1:13" ht="13.5" customHeight="1" x14ac:dyDescent="0.3">
      <c r="A210" s="521" t="s">
        <v>1387</v>
      </c>
      <c r="B210" s="519"/>
      <c r="C210" s="519"/>
      <c r="D210" s="519"/>
      <c r="E210" s="519"/>
      <c r="F210" s="519"/>
      <c r="G210" s="519"/>
      <c r="H210" s="519"/>
      <c r="I210" s="519"/>
      <c r="J210" s="519"/>
      <c r="K210" s="519"/>
      <c r="L210" s="519"/>
      <c r="M210" s="519"/>
    </row>
    <row r="211" spans="1:13" ht="15" customHeight="1" x14ac:dyDescent="0.3">
      <c r="A211" s="549" t="s">
        <v>1161</v>
      </c>
      <c r="B211" s="550"/>
      <c r="C211" s="550"/>
      <c r="D211" s="550"/>
      <c r="E211" s="550"/>
      <c r="F211" s="550"/>
      <c r="G211" s="550"/>
      <c r="H211" s="550"/>
      <c r="I211" s="550"/>
      <c r="J211" s="550"/>
      <c r="K211" s="550"/>
      <c r="L211" s="550"/>
      <c r="M211" s="550"/>
    </row>
  </sheetData>
  <sheetProtection algorithmName="SHA-512" hashValue="4dNt2KQBMPD+VQAK/v50NPJqKyG9bwT3w+JphAPpGibWqCHkeomh4zHhTpbZGxI0gO/SCnkS143eWO0B6h8ZCw==" saltValue="ccTknkwNaH/OUZGSbUTM6g==" spinCount="100000" sheet="1" objects="1" scenarios="1" formatCells="0" formatColumns="0" formatRows="0" insertColumns="0" insertRows="0" insertHyperlinks="0"/>
  <mergeCells count="228">
    <mergeCell ref="A1:M1"/>
    <mergeCell ref="A2:B3"/>
    <mergeCell ref="C2:D3"/>
    <mergeCell ref="E2:F3"/>
    <mergeCell ref="G2:G3"/>
    <mergeCell ref="H2:H3"/>
    <mergeCell ref="A6:B7"/>
    <mergeCell ref="C6:D7"/>
    <mergeCell ref="E6:F7"/>
    <mergeCell ref="G6:G7"/>
    <mergeCell ref="H6:H7"/>
    <mergeCell ref="A4:B5"/>
    <mergeCell ref="C4:D5"/>
    <mergeCell ref="E4:F5"/>
    <mergeCell ref="G4:G5"/>
    <mergeCell ref="H4:H5"/>
    <mergeCell ref="C10:D10"/>
    <mergeCell ref="H10:J10"/>
    <mergeCell ref="K10:L10"/>
    <mergeCell ref="C11:D11"/>
    <mergeCell ref="C12:D12"/>
    <mergeCell ref="C13:D13"/>
    <mergeCell ref="A8:B9"/>
    <mergeCell ref="C8:D9"/>
    <mergeCell ref="E8:F9"/>
    <mergeCell ref="G8:G9"/>
    <mergeCell ref="H8:H9"/>
    <mergeCell ref="C20:D20"/>
    <mergeCell ref="C21:M21"/>
    <mergeCell ref="C22:D22"/>
    <mergeCell ref="C23:M23"/>
    <mergeCell ref="C24:D24"/>
    <mergeCell ref="C25:M25"/>
    <mergeCell ref="C14:M14"/>
    <mergeCell ref="C15:D15"/>
    <mergeCell ref="C16:D16"/>
    <mergeCell ref="C17:M17"/>
    <mergeCell ref="C18:D18"/>
    <mergeCell ref="C19:M19"/>
    <mergeCell ref="C32:D32"/>
    <mergeCell ref="C33:D33"/>
    <mergeCell ref="C34:M34"/>
    <mergeCell ref="C35:D35"/>
    <mergeCell ref="C36:D36"/>
    <mergeCell ref="C37:M37"/>
    <mergeCell ref="C26:D26"/>
    <mergeCell ref="C27:M27"/>
    <mergeCell ref="C28:D28"/>
    <mergeCell ref="C29:M29"/>
    <mergeCell ref="C30:D30"/>
    <mergeCell ref="C31:M31"/>
    <mergeCell ref="C44:D44"/>
    <mergeCell ref="C45:M45"/>
    <mergeCell ref="C46:D46"/>
    <mergeCell ref="C47:M47"/>
    <mergeCell ref="C48:D48"/>
    <mergeCell ref="C49:M49"/>
    <mergeCell ref="C38:D38"/>
    <mergeCell ref="C39:M39"/>
    <mergeCell ref="C40:D40"/>
    <mergeCell ref="C41:M41"/>
    <mergeCell ref="C42:D42"/>
    <mergeCell ref="C43:M43"/>
    <mergeCell ref="C56:M56"/>
    <mergeCell ref="C57:D57"/>
    <mergeCell ref="C58:D58"/>
    <mergeCell ref="C59:M59"/>
    <mergeCell ref="C60:D60"/>
    <mergeCell ref="C61:M61"/>
    <mergeCell ref="C50:D50"/>
    <mergeCell ref="C51:M51"/>
    <mergeCell ref="C52:D52"/>
    <mergeCell ref="C53:D53"/>
    <mergeCell ref="C54:M54"/>
    <mergeCell ref="C55:D55"/>
    <mergeCell ref="C68:D68"/>
    <mergeCell ref="C69:M69"/>
    <mergeCell ref="C70:D70"/>
    <mergeCell ref="C71:M71"/>
    <mergeCell ref="C72:D72"/>
    <mergeCell ref="C73:M73"/>
    <mergeCell ref="C62:D62"/>
    <mergeCell ref="C63:M63"/>
    <mergeCell ref="C64:D64"/>
    <mergeCell ref="C65:M65"/>
    <mergeCell ref="C66:D66"/>
    <mergeCell ref="C67:M67"/>
    <mergeCell ref="C80:D80"/>
    <mergeCell ref="C81:D81"/>
    <mergeCell ref="C82:M82"/>
    <mergeCell ref="C83:D83"/>
    <mergeCell ref="C84:M84"/>
    <mergeCell ref="C85:D85"/>
    <mergeCell ref="C74:D74"/>
    <mergeCell ref="C75:D75"/>
    <mergeCell ref="C76:M76"/>
    <mergeCell ref="C77:D77"/>
    <mergeCell ref="C78:D78"/>
    <mergeCell ref="C79:M79"/>
    <mergeCell ref="C92:D92"/>
    <mergeCell ref="C93:M93"/>
    <mergeCell ref="C94:D94"/>
    <mergeCell ref="C95:D95"/>
    <mergeCell ref="C96:M96"/>
    <mergeCell ref="C97:D97"/>
    <mergeCell ref="C86:D86"/>
    <mergeCell ref="C87:M87"/>
    <mergeCell ref="C88:D88"/>
    <mergeCell ref="C89:M89"/>
    <mergeCell ref="C90:D90"/>
    <mergeCell ref="C91:D91"/>
    <mergeCell ref="C104:D104"/>
    <mergeCell ref="C105:M105"/>
    <mergeCell ref="C106:D106"/>
    <mergeCell ref="C107:M107"/>
    <mergeCell ref="C108:D108"/>
    <mergeCell ref="C109:M109"/>
    <mergeCell ref="C98:D98"/>
    <mergeCell ref="C99:M99"/>
    <mergeCell ref="C100:D100"/>
    <mergeCell ref="C101:M101"/>
    <mergeCell ref="C102:D102"/>
    <mergeCell ref="C103:M103"/>
    <mergeCell ref="C116:D116"/>
    <mergeCell ref="C117:M117"/>
    <mergeCell ref="C118:D118"/>
    <mergeCell ref="C119:M119"/>
    <mergeCell ref="C120:D120"/>
    <mergeCell ref="C121:D121"/>
    <mergeCell ref="C110:D110"/>
    <mergeCell ref="C111:M111"/>
    <mergeCell ref="C112:D112"/>
    <mergeCell ref="C113:M113"/>
    <mergeCell ref="C114:D114"/>
    <mergeCell ref="C115:M115"/>
    <mergeCell ref="C128:D128"/>
    <mergeCell ref="C129:M129"/>
    <mergeCell ref="C130:D130"/>
    <mergeCell ref="C131:M131"/>
    <mergeCell ref="C132:D132"/>
    <mergeCell ref="C133:M133"/>
    <mergeCell ref="C122:M122"/>
    <mergeCell ref="C123:D123"/>
    <mergeCell ref="C124:M124"/>
    <mergeCell ref="C125:D125"/>
    <mergeCell ref="C126:D126"/>
    <mergeCell ref="C127:M127"/>
    <mergeCell ref="C140:M140"/>
    <mergeCell ref="C141:D141"/>
    <mergeCell ref="C142:M142"/>
    <mergeCell ref="C143:D143"/>
    <mergeCell ref="C144:M144"/>
    <mergeCell ref="C145:D145"/>
    <mergeCell ref="C134:D134"/>
    <mergeCell ref="C135:M135"/>
    <mergeCell ref="C136:D136"/>
    <mergeCell ref="C137:D137"/>
    <mergeCell ref="C138:M138"/>
    <mergeCell ref="C139:D139"/>
    <mergeCell ref="C152:M152"/>
    <mergeCell ref="C153:D153"/>
    <mergeCell ref="C154:M154"/>
    <mergeCell ref="C155:D155"/>
    <mergeCell ref="C156:M156"/>
    <mergeCell ref="C157:D157"/>
    <mergeCell ref="C146:M146"/>
    <mergeCell ref="C147:D147"/>
    <mergeCell ref="C148:M148"/>
    <mergeCell ref="C149:D149"/>
    <mergeCell ref="C150:M150"/>
    <mergeCell ref="C151:D151"/>
    <mergeCell ref="C164:M164"/>
    <mergeCell ref="C165:D165"/>
    <mergeCell ref="C166:D166"/>
    <mergeCell ref="C167:D167"/>
    <mergeCell ref="C168:M168"/>
    <mergeCell ref="C169:D169"/>
    <mergeCell ref="C158:M158"/>
    <mergeCell ref="C159:D159"/>
    <mergeCell ref="C160:D160"/>
    <mergeCell ref="C161:M161"/>
    <mergeCell ref="C162:D162"/>
    <mergeCell ref="C163:D163"/>
    <mergeCell ref="C176:D176"/>
    <mergeCell ref="C177:D177"/>
    <mergeCell ref="C178:M178"/>
    <mergeCell ref="C179:D179"/>
    <mergeCell ref="C180:M180"/>
    <mergeCell ref="C181:D181"/>
    <mergeCell ref="C170:M170"/>
    <mergeCell ref="C171:D171"/>
    <mergeCell ref="C172:D172"/>
    <mergeCell ref="C173:D173"/>
    <mergeCell ref="C174:D174"/>
    <mergeCell ref="C175:D175"/>
    <mergeCell ref="C191:D191"/>
    <mergeCell ref="C192:D192"/>
    <mergeCell ref="C193:D193"/>
    <mergeCell ref="C182:M182"/>
    <mergeCell ref="C183:D183"/>
    <mergeCell ref="C184:M184"/>
    <mergeCell ref="C185:D185"/>
    <mergeCell ref="C186:M186"/>
    <mergeCell ref="C187:D187"/>
    <mergeCell ref="C206:D206"/>
    <mergeCell ref="C207:M207"/>
    <mergeCell ref="H208:I208"/>
    <mergeCell ref="A210:M210"/>
    <mergeCell ref="A211:M211"/>
    <mergeCell ref="I2:M3"/>
    <mergeCell ref="I4:M5"/>
    <mergeCell ref="I6:M7"/>
    <mergeCell ref="I8:M9"/>
    <mergeCell ref="C200:D200"/>
    <mergeCell ref="C201:D201"/>
    <mergeCell ref="C202:D202"/>
    <mergeCell ref="C203:M203"/>
    <mergeCell ref="C204:D204"/>
    <mergeCell ref="C205:M205"/>
    <mergeCell ref="C194:D194"/>
    <mergeCell ref="C195:D195"/>
    <mergeCell ref="C196:D196"/>
    <mergeCell ref="C197:D197"/>
    <mergeCell ref="C198:D198"/>
    <mergeCell ref="C199:D199"/>
    <mergeCell ref="C188:M188"/>
    <mergeCell ref="C189:D189"/>
    <mergeCell ref="C190:M190"/>
  </mergeCells>
  <pageMargins left="0.78740157480314965" right="0.39370078740157483" top="0.39370078740157483" bottom="0.39370078740157483" header="0" footer="0.39370078740157483"/>
  <pageSetup paperSize="9" scale="63" fitToHeight="0" orientation="landscape" r:id="rId1"/>
  <headerFooter>
    <oddFooter>&amp;L&amp;A&amp;C&amp;F&amp;Rstran &amp;N / strana &amp;P</oddFooter>
  </headerFooter>
  <rowBreaks count="7" manualBreakCount="7">
    <brk id="25" max="12" man="1"/>
    <brk id="43" max="12" man="1"/>
    <brk id="67" max="12" man="1"/>
    <brk id="96" max="12" man="1"/>
    <brk id="122" max="12" man="1"/>
    <brk id="154" max="12" man="1"/>
    <brk id="184" max="12"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7BAF1-5C96-4DB0-B5B9-F88DFEB45B27}">
  <sheetPr codeName="List9">
    <pageSetUpPr fitToPage="1"/>
  </sheetPr>
  <dimension ref="A1:BV186"/>
  <sheetViews>
    <sheetView view="pageBreakPreview" zoomScale="85" zoomScaleNormal="25" zoomScaleSheetLayoutView="85" workbookViewId="0">
      <pane ySplit="11" topLeftCell="A12" activePane="bottomLeft" state="frozen"/>
      <selection pane="bottomLeft" activeCell="G13" sqref="G13"/>
    </sheetView>
  </sheetViews>
  <sheetFormatPr defaultColWidth="12.109375" defaultRowHeight="15" customHeight="1" x14ac:dyDescent="0.3"/>
  <cols>
    <col min="1" max="1" width="4" style="221" customWidth="1"/>
    <col min="2" max="2" width="17.88671875" style="221" customWidth="1"/>
    <col min="3" max="3" width="42.88671875" style="221" customWidth="1"/>
    <col min="4" max="4" width="35.6640625" style="221" customWidth="1"/>
    <col min="5" max="5" width="5.44140625" style="221" customWidth="1"/>
    <col min="6" max="6" width="12.88671875" style="221" customWidth="1"/>
    <col min="7" max="7" width="12" style="221" customWidth="1"/>
    <col min="8" max="10" width="15.6640625" style="221" customWidth="1"/>
    <col min="11" max="12" width="11.6640625" style="221" customWidth="1"/>
    <col min="13" max="13" width="13.44140625" style="221" customWidth="1"/>
    <col min="14" max="73" width="12.109375" style="221"/>
    <col min="74" max="74" width="78.5546875" style="221" hidden="1" customWidth="1"/>
    <col min="75" max="16384" width="12.109375" style="221"/>
  </cols>
  <sheetData>
    <row r="1" spans="1:74" ht="54.75" customHeight="1" thickBot="1" x14ac:dyDescent="0.35">
      <c r="A1" s="523" t="s">
        <v>2303</v>
      </c>
      <c r="B1" s="524"/>
      <c r="C1" s="524"/>
      <c r="D1" s="524"/>
      <c r="E1" s="524"/>
      <c r="F1" s="524"/>
      <c r="G1" s="524"/>
      <c r="H1" s="524"/>
      <c r="I1" s="524"/>
      <c r="J1" s="524"/>
      <c r="K1" s="524"/>
      <c r="L1" s="524"/>
      <c r="M1" s="525"/>
      <c r="AQ1" s="222">
        <f>SUM(AH1:AH2)</f>
        <v>0</v>
      </c>
      <c r="AR1" s="222">
        <f>SUM(AI1:AI2)</f>
        <v>0</v>
      </c>
      <c r="AS1" s="222">
        <f>SUM(AJ1:AJ2)</f>
        <v>0</v>
      </c>
    </row>
    <row r="2" spans="1:74" ht="15" customHeight="1" x14ac:dyDescent="0.3">
      <c r="A2" s="518" t="s">
        <v>112</v>
      </c>
      <c r="B2" s="519"/>
      <c r="C2" s="526" t="s">
        <v>68</v>
      </c>
      <c r="D2" s="527"/>
      <c r="E2" s="565" t="s">
        <v>113</v>
      </c>
      <c r="F2" s="565"/>
      <c r="G2" s="522" t="s">
        <v>1156</v>
      </c>
      <c r="H2" s="551" t="s">
        <v>457</v>
      </c>
      <c r="I2" s="551" t="s">
        <v>69</v>
      </c>
      <c r="J2" s="551"/>
      <c r="K2" s="551"/>
      <c r="L2" s="551"/>
      <c r="M2" s="552"/>
    </row>
    <row r="3" spans="1:74" ht="14.4" x14ac:dyDescent="0.3">
      <c r="A3" s="520"/>
      <c r="B3" s="519"/>
      <c r="C3" s="527"/>
      <c r="D3" s="527"/>
      <c r="E3" s="565"/>
      <c r="F3" s="565"/>
      <c r="G3" s="522"/>
      <c r="H3" s="551"/>
      <c r="I3" s="551"/>
      <c r="J3" s="551"/>
      <c r="K3" s="551"/>
      <c r="L3" s="551"/>
      <c r="M3" s="552"/>
    </row>
    <row r="4" spans="1:74" ht="15" customHeight="1" x14ac:dyDescent="0.3">
      <c r="A4" s="518" t="s">
        <v>115</v>
      </c>
      <c r="B4" s="519"/>
      <c r="C4" s="521" t="s">
        <v>87</v>
      </c>
      <c r="D4" s="519"/>
      <c r="E4" s="565" t="s">
        <v>116</v>
      </c>
      <c r="F4" s="565"/>
      <c r="G4" s="522" t="s">
        <v>1156</v>
      </c>
      <c r="H4" s="551" t="s">
        <v>458</v>
      </c>
      <c r="I4" s="551" t="s">
        <v>1157</v>
      </c>
      <c r="J4" s="551"/>
      <c r="K4" s="551"/>
      <c r="L4" s="551"/>
      <c r="M4" s="552"/>
    </row>
    <row r="5" spans="1:74" ht="14.4" x14ac:dyDescent="0.3">
      <c r="A5" s="520"/>
      <c r="B5" s="519"/>
      <c r="C5" s="519"/>
      <c r="D5" s="519"/>
      <c r="E5" s="565"/>
      <c r="F5" s="565"/>
      <c r="G5" s="522"/>
      <c r="H5" s="551"/>
      <c r="I5" s="551"/>
      <c r="J5" s="551"/>
      <c r="K5" s="551"/>
      <c r="L5" s="551"/>
      <c r="M5" s="552"/>
    </row>
    <row r="6" spans="1:74" ht="15" customHeight="1" x14ac:dyDescent="0.3">
      <c r="A6" s="518" t="s">
        <v>117</v>
      </c>
      <c r="B6" s="519"/>
      <c r="C6" s="521" t="s">
        <v>459</v>
      </c>
      <c r="D6" s="519"/>
      <c r="E6" s="565" t="s">
        <v>119</v>
      </c>
      <c r="F6" s="565"/>
      <c r="G6" s="522" t="s">
        <v>1156</v>
      </c>
      <c r="H6" s="551" t="s">
        <v>460</v>
      </c>
      <c r="I6" s="551" t="s">
        <v>461</v>
      </c>
      <c r="J6" s="551"/>
      <c r="K6" s="551"/>
      <c r="L6" s="551"/>
      <c r="M6" s="552"/>
    </row>
    <row r="7" spans="1:74" ht="14.4" x14ac:dyDescent="0.3">
      <c r="A7" s="520"/>
      <c r="B7" s="519"/>
      <c r="C7" s="519"/>
      <c r="D7" s="519"/>
      <c r="E7" s="565"/>
      <c r="F7" s="565"/>
      <c r="G7" s="522"/>
      <c r="H7" s="551"/>
      <c r="I7" s="551"/>
      <c r="J7" s="551"/>
      <c r="K7" s="551"/>
      <c r="L7" s="551"/>
      <c r="M7" s="552"/>
    </row>
    <row r="8" spans="1:74" ht="14.4" x14ac:dyDescent="0.3">
      <c r="A8" s="518" t="s">
        <v>120</v>
      </c>
      <c r="B8" s="519"/>
      <c r="C8" s="521" t="s">
        <v>121</v>
      </c>
      <c r="D8" s="519"/>
      <c r="E8" s="565" t="s">
        <v>122</v>
      </c>
      <c r="F8" s="565"/>
      <c r="G8" s="522" t="s">
        <v>1155</v>
      </c>
      <c r="H8" s="551" t="s">
        <v>462</v>
      </c>
      <c r="I8" s="551" t="s">
        <v>1158</v>
      </c>
      <c r="J8" s="551"/>
      <c r="K8" s="551"/>
      <c r="L8" s="551"/>
      <c r="M8" s="552"/>
    </row>
    <row r="9" spans="1:74" thickBot="1" x14ac:dyDescent="0.35">
      <c r="A9" s="520"/>
      <c r="B9" s="519"/>
      <c r="C9" s="519"/>
      <c r="D9" s="519"/>
      <c r="E9" s="576"/>
      <c r="F9" s="576"/>
      <c r="G9" s="534"/>
      <c r="H9" s="553"/>
      <c r="I9" s="553"/>
      <c r="J9" s="553"/>
      <c r="K9" s="553"/>
      <c r="L9" s="553"/>
      <c r="M9" s="554"/>
    </row>
    <row r="10" spans="1:74" ht="14.4" x14ac:dyDescent="0.3">
      <c r="A10" s="246" t="s">
        <v>123</v>
      </c>
      <c r="B10" s="247" t="s">
        <v>124</v>
      </c>
      <c r="C10" s="555" t="s">
        <v>125</v>
      </c>
      <c r="D10" s="556"/>
      <c r="E10" s="247" t="s">
        <v>126</v>
      </c>
      <c r="F10" s="248" t="s">
        <v>127</v>
      </c>
      <c r="G10" s="249" t="s">
        <v>128</v>
      </c>
      <c r="H10" s="557" t="s">
        <v>129</v>
      </c>
      <c r="I10" s="558"/>
      <c r="J10" s="559"/>
      <c r="K10" s="558" t="s">
        <v>130</v>
      </c>
      <c r="L10" s="558"/>
      <c r="M10" s="250" t="s">
        <v>131</v>
      </c>
      <c r="BI10" s="229" t="s">
        <v>132</v>
      </c>
      <c r="BJ10" s="230" t="s">
        <v>133</v>
      </c>
      <c r="BU10" s="230" t="s">
        <v>134</v>
      </c>
    </row>
    <row r="11" spans="1:74" thickBot="1" x14ac:dyDescent="0.35">
      <c r="A11" s="251" t="s">
        <v>114</v>
      </c>
      <c r="B11" s="252" t="s">
        <v>114</v>
      </c>
      <c r="C11" s="528" t="s">
        <v>135</v>
      </c>
      <c r="D11" s="529"/>
      <c r="E11" s="252" t="s">
        <v>114</v>
      </c>
      <c r="F11" s="252" t="s">
        <v>114</v>
      </c>
      <c r="G11" s="253" t="s">
        <v>136</v>
      </c>
      <c r="H11" s="254" t="s">
        <v>137</v>
      </c>
      <c r="I11" s="255" t="s">
        <v>138</v>
      </c>
      <c r="J11" s="256" t="s">
        <v>139</v>
      </c>
      <c r="K11" s="255" t="s">
        <v>140</v>
      </c>
      <c r="L11" s="253" t="s">
        <v>139</v>
      </c>
      <c r="M11" s="257" t="s">
        <v>141</v>
      </c>
      <c r="X11" s="229" t="s">
        <v>142</v>
      </c>
      <c r="Y11" s="229" t="s">
        <v>143</v>
      </c>
      <c r="Z11" s="229" t="s">
        <v>144</v>
      </c>
      <c r="AA11" s="229" t="s">
        <v>145</v>
      </c>
      <c r="AB11" s="229" t="s">
        <v>146</v>
      </c>
      <c r="AC11" s="229" t="s">
        <v>147</v>
      </c>
      <c r="AD11" s="229" t="s">
        <v>148</v>
      </c>
      <c r="AE11" s="229" t="s">
        <v>149</v>
      </c>
      <c r="AF11" s="229" t="s">
        <v>150</v>
      </c>
      <c r="BF11" s="229" t="s">
        <v>151</v>
      </c>
      <c r="BG11" s="229" t="s">
        <v>152</v>
      </c>
      <c r="BH11" s="229" t="s">
        <v>153</v>
      </c>
    </row>
    <row r="12" spans="1:74" ht="14.4" x14ac:dyDescent="0.3">
      <c r="A12" s="239" t="s">
        <v>154</v>
      </c>
      <c r="B12" s="224" t="s">
        <v>453</v>
      </c>
      <c r="C12" s="526" t="s">
        <v>463</v>
      </c>
      <c r="D12" s="527"/>
      <c r="E12" s="223" t="s">
        <v>114</v>
      </c>
      <c r="F12" s="223" t="s">
        <v>114</v>
      </c>
      <c r="G12" s="223" t="s">
        <v>114</v>
      </c>
      <c r="H12" s="235">
        <f>SUM(H13:H13)</f>
        <v>0</v>
      </c>
      <c r="I12" s="235">
        <f>SUM(I13:I13)</f>
        <v>0</v>
      </c>
      <c r="J12" s="235">
        <f>SUM(J13:J13)</f>
        <v>0</v>
      </c>
      <c r="K12" s="230" t="s">
        <v>154</v>
      </c>
      <c r="L12" s="235">
        <f>SUM(L13:L13)</f>
        <v>0</v>
      </c>
      <c r="M12" s="243" t="s">
        <v>154</v>
      </c>
      <c r="AG12" s="229" t="s">
        <v>154</v>
      </c>
      <c r="AQ12" s="222">
        <f>SUM(AH13:AH13)</f>
        <v>0</v>
      </c>
      <c r="AR12" s="222">
        <f>SUM(AI13:AI13)</f>
        <v>0</v>
      </c>
      <c r="AS12" s="222">
        <f>SUM(AJ13:AJ13)</f>
        <v>0</v>
      </c>
    </row>
    <row r="13" spans="1:74" ht="14.4" x14ac:dyDescent="0.3">
      <c r="A13" s="239" t="s">
        <v>157</v>
      </c>
      <c r="B13" s="223" t="s">
        <v>464</v>
      </c>
      <c r="C13" s="521" t="s">
        <v>465</v>
      </c>
      <c r="D13" s="519"/>
      <c r="E13" s="223" t="s">
        <v>466</v>
      </c>
      <c r="F13" s="233">
        <v>2</v>
      </c>
      <c r="G13" s="311">
        <v>0</v>
      </c>
      <c r="H13" s="233">
        <f>F13*AM13</f>
        <v>0</v>
      </c>
      <c r="I13" s="233">
        <f>F13*AN13</f>
        <v>0</v>
      </c>
      <c r="J13" s="233">
        <f>F13*G13</f>
        <v>0</v>
      </c>
      <c r="K13" s="233">
        <v>0</v>
      </c>
      <c r="L13" s="233">
        <f>F13*K13</f>
        <v>0</v>
      </c>
      <c r="M13" s="240" t="s">
        <v>154</v>
      </c>
      <c r="X13" s="233">
        <f>IF(AO13="5",BH13,0)</f>
        <v>0</v>
      </c>
      <c r="Z13" s="233">
        <f>IF(AO13="1",BF13,0)</f>
        <v>0</v>
      </c>
      <c r="AA13" s="233">
        <f>IF(AO13="1",BG13,0)</f>
        <v>0</v>
      </c>
      <c r="AB13" s="233">
        <f>IF(AO13="7",BF13,0)</f>
        <v>0</v>
      </c>
      <c r="AC13" s="233">
        <f>IF(AO13="7",BG13,0)</f>
        <v>0</v>
      </c>
      <c r="AD13" s="233">
        <f>IF(AO13="2",BF13,0)</f>
        <v>0</v>
      </c>
      <c r="AE13" s="233">
        <f>IF(AO13="2",BG13,0)</f>
        <v>0</v>
      </c>
      <c r="AF13" s="233">
        <f>IF(AO13="0",BH13,0)</f>
        <v>0</v>
      </c>
      <c r="AG13" s="229" t="s">
        <v>154</v>
      </c>
      <c r="AH13" s="233">
        <f>IF(AL13=0,J13,0)</f>
        <v>0</v>
      </c>
      <c r="AI13" s="233">
        <f>IF(AL13=15,J13,0)</f>
        <v>0</v>
      </c>
      <c r="AJ13" s="233">
        <f>IF(AL13=21,J13,0)</f>
        <v>0</v>
      </c>
      <c r="AL13" s="233">
        <v>21</v>
      </c>
      <c r="AM13" s="233">
        <f>G13*0.125865324</f>
        <v>0</v>
      </c>
      <c r="AN13" s="233">
        <f>G13*(1-0.125865324)</f>
        <v>0</v>
      </c>
      <c r="AO13" s="234" t="s">
        <v>157</v>
      </c>
      <c r="AT13" s="233">
        <f>AU13+AV13</f>
        <v>0</v>
      </c>
      <c r="AU13" s="233">
        <f>F13*AM13</f>
        <v>0</v>
      </c>
      <c r="AV13" s="233">
        <f>F13*AN13</f>
        <v>0</v>
      </c>
      <c r="AW13" s="234" t="s">
        <v>467</v>
      </c>
      <c r="AX13" s="234" t="s">
        <v>467</v>
      </c>
      <c r="AY13" s="229" t="s">
        <v>164</v>
      </c>
      <c r="BA13" s="233">
        <f>AU13+AV13</f>
        <v>0</v>
      </c>
      <c r="BB13" s="233">
        <f>G13/(100-BC13)*100</f>
        <v>0</v>
      </c>
      <c r="BC13" s="233">
        <v>0</v>
      </c>
      <c r="BD13" s="233">
        <f>L13</f>
        <v>0</v>
      </c>
      <c r="BF13" s="233">
        <f>F13*AM13</f>
        <v>0</v>
      </c>
      <c r="BG13" s="233">
        <f>F13*AN13</f>
        <v>0</v>
      </c>
      <c r="BH13" s="233">
        <f>F13*G13</f>
        <v>0</v>
      </c>
      <c r="BI13" s="233"/>
      <c r="BJ13" s="233">
        <v>0</v>
      </c>
      <c r="BU13" s="233" t="e">
        <f>#REF!</f>
        <v>#REF!</v>
      </c>
      <c r="BV13" s="225" t="s">
        <v>465</v>
      </c>
    </row>
    <row r="14" spans="1:74" ht="40.5" customHeight="1" x14ac:dyDescent="0.3">
      <c r="A14" s="241"/>
      <c r="B14" s="242" t="s">
        <v>165</v>
      </c>
      <c r="C14" s="530" t="s">
        <v>1485</v>
      </c>
      <c r="D14" s="531"/>
      <c r="E14" s="531"/>
      <c r="F14" s="531"/>
      <c r="G14" s="531"/>
      <c r="H14" s="531"/>
      <c r="I14" s="531"/>
      <c r="J14" s="531"/>
      <c r="K14" s="531"/>
      <c r="L14" s="531"/>
      <c r="M14" s="532"/>
    </row>
    <row r="15" spans="1:74" ht="14.4" x14ac:dyDescent="0.3">
      <c r="A15" s="239" t="s">
        <v>154</v>
      </c>
      <c r="B15" s="224" t="s">
        <v>155</v>
      </c>
      <c r="C15" s="526" t="s">
        <v>156</v>
      </c>
      <c r="D15" s="527"/>
      <c r="E15" s="223" t="s">
        <v>114</v>
      </c>
      <c r="F15" s="223" t="s">
        <v>114</v>
      </c>
      <c r="G15" s="223" t="s">
        <v>114</v>
      </c>
      <c r="H15" s="235">
        <f>SUM(H16:H26)</f>
        <v>0</v>
      </c>
      <c r="I15" s="235">
        <f>SUM(I16:I26)</f>
        <v>0</v>
      </c>
      <c r="J15" s="235">
        <f>SUM(J16:J26)</f>
        <v>0</v>
      </c>
      <c r="K15" s="230" t="s">
        <v>154</v>
      </c>
      <c r="L15" s="235">
        <f>SUM(L16:L26)</f>
        <v>271.12213930000001</v>
      </c>
      <c r="M15" s="243" t="s">
        <v>154</v>
      </c>
      <c r="AG15" s="229" t="s">
        <v>154</v>
      </c>
      <c r="AQ15" s="222">
        <f>SUM(AH16:AH26)</f>
        <v>0</v>
      </c>
      <c r="AR15" s="222">
        <f>SUM(AI16:AI26)</f>
        <v>0</v>
      </c>
      <c r="AS15" s="222">
        <f>SUM(AJ16:AJ26)</f>
        <v>0</v>
      </c>
    </row>
    <row r="16" spans="1:74" ht="14.4" x14ac:dyDescent="0.3">
      <c r="A16" s="239" t="s">
        <v>166</v>
      </c>
      <c r="B16" s="223" t="s">
        <v>167</v>
      </c>
      <c r="C16" s="521" t="s">
        <v>168</v>
      </c>
      <c r="D16" s="519"/>
      <c r="E16" s="223" t="s">
        <v>160</v>
      </c>
      <c r="F16" s="233">
        <v>5.34</v>
      </c>
      <c r="G16" s="311">
        <v>0</v>
      </c>
      <c r="H16" s="233">
        <f>F16*AM16</f>
        <v>0</v>
      </c>
      <c r="I16" s="233">
        <f>F16*AN16</f>
        <v>0</v>
      </c>
      <c r="J16" s="233">
        <f>F16*G16</f>
        <v>0</v>
      </c>
      <c r="K16" s="233">
        <v>8.6899999999999998E-3</v>
      </c>
      <c r="L16" s="233">
        <f>F16*K16</f>
        <v>4.6404599999999997E-2</v>
      </c>
      <c r="M16" s="240" t="s">
        <v>472</v>
      </c>
      <c r="X16" s="233">
        <f>IF(AO16="5",BH16,0)</f>
        <v>0</v>
      </c>
      <c r="Z16" s="233">
        <f>IF(AO16="1",BF16,0)</f>
        <v>0</v>
      </c>
      <c r="AA16" s="233">
        <f>IF(AO16="1",BG16,0)</f>
        <v>0</v>
      </c>
      <c r="AB16" s="233">
        <f>IF(AO16="7",BF16,0)</f>
        <v>0</v>
      </c>
      <c r="AC16" s="233">
        <f>IF(AO16="7",BG16,0)</f>
        <v>0</v>
      </c>
      <c r="AD16" s="233">
        <f>IF(AO16="2",BF16,0)</f>
        <v>0</v>
      </c>
      <c r="AE16" s="233">
        <f>IF(AO16="2",BG16,0)</f>
        <v>0</v>
      </c>
      <c r="AF16" s="233">
        <f>IF(AO16="0",BH16,0)</f>
        <v>0</v>
      </c>
      <c r="AG16" s="229" t="s">
        <v>154</v>
      </c>
      <c r="AH16" s="233">
        <f>IF(AL16=0,J16,0)</f>
        <v>0</v>
      </c>
      <c r="AI16" s="233">
        <f>IF(AL16=15,J16,0)</f>
        <v>0</v>
      </c>
      <c r="AJ16" s="233">
        <f>IF(AL16=21,J16,0)</f>
        <v>0</v>
      </c>
      <c r="AL16" s="233">
        <v>21</v>
      </c>
      <c r="AM16" s="233">
        <f>G16*0.063874049</f>
        <v>0</v>
      </c>
      <c r="AN16" s="233">
        <f>G16*(1-0.063874049)</f>
        <v>0</v>
      </c>
      <c r="AO16" s="234" t="s">
        <v>157</v>
      </c>
      <c r="AT16" s="233">
        <f>AU16+AV16</f>
        <v>0</v>
      </c>
      <c r="AU16" s="233">
        <f>F16*AM16</f>
        <v>0</v>
      </c>
      <c r="AV16" s="233">
        <f>F16*AN16</f>
        <v>0</v>
      </c>
      <c r="AW16" s="234" t="s">
        <v>162</v>
      </c>
      <c r="AX16" s="234" t="s">
        <v>163</v>
      </c>
      <c r="AY16" s="229" t="s">
        <v>164</v>
      </c>
      <c r="BA16" s="233">
        <f>AU16+AV16</f>
        <v>0</v>
      </c>
      <c r="BB16" s="233">
        <f>G16/(100-BC16)*100</f>
        <v>0</v>
      </c>
      <c r="BC16" s="233">
        <v>0</v>
      </c>
      <c r="BD16" s="233">
        <f>L16</f>
        <v>4.6404599999999997E-2</v>
      </c>
      <c r="BF16" s="233">
        <f>F16*AM16</f>
        <v>0</v>
      </c>
      <c r="BG16" s="233">
        <f>F16*AN16</f>
        <v>0</v>
      </c>
      <c r="BH16" s="233">
        <f>F16*G16</f>
        <v>0</v>
      </c>
      <c r="BI16" s="233"/>
      <c r="BJ16" s="233">
        <v>11</v>
      </c>
      <c r="BU16" s="233" t="e">
        <f>#REF!</f>
        <v>#REF!</v>
      </c>
      <c r="BV16" s="225" t="s">
        <v>168</v>
      </c>
    </row>
    <row r="17" spans="1:74" ht="40.5" customHeight="1" x14ac:dyDescent="0.3">
      <c r="A17" s="241"/>
      <c r="B17" s="242" t="s">
        <v>165</v>
      </c>
      <c r="C17" s="530" t="s">
        <v>1661</v>
      </c>
      <c r="D17" s="531"/>
      <c r="E17" s="531"/>
      <c r="F17" s="531"/>
      <c r="G17" s="531"/>
      <c r="H17" s="531"/>
      <c r="I17" s="531"/>
      <c r="J17" s="531"/>
      <c r="K17" s="531"/>
      <c r="L17" s="531"/>
      <c r="M17" s="532"/>
    </row>
    <row r="18" spans="1:74" ht="14.4" x14ac:dyDescent="0.3">
      <c r="A18" s="239" t="s">
        <v>169</v>
      </c>
      <c r="B18" s="223" t="s">
        <v>158</v>
      </c>
      <c r="C18" s="521" t="s">
        <v>159</v>
      </c>
      <c r="D18" s="519"/>
      <c r="E18" s="223" t="s">
        <v>160</v>
      </c>
      <c r="F18" s="233">
        <v>1.78</v>
      </c>
      <c r="G18" s="311">
        <v>0</v>
      </c>
      <c r="H18" s="233">
        <f>F18*AM18</f>
        <v>0</v>
      </c>
      <c r="I18" s="233">
        <f>F18*AN18</f>
        <v>0</v>
      </c>
      <c r="J18" s="233">
        <f>F18*G18</f>
        <v>0</v>
      </c>
      <c r="K18" s="233">
        <v>2.478E-2</v>
      </c>
      <c r="L18" s="233">
        <f>F18*K18</f>
        <v>4.4108399999999999E-2</v>
      </c>
      <c r="M18" s="240" t="s">
        <v>472</v>
      </c>
      <c r="X18" s="233">
        <f>IF(AO18="5",BH18,0)</f>
        <v>0</v>
      </c>
      <c r="Z18" s="233">
        <f>IF(AO18="1",BF18,0)</f>
        <v>0</v>
      </c>
      <c r="AA18" s="233">
        <f>IF(AO18="1",BG18,0)</f>
        <v>0</v>
      </c>
      <c r="AB18" s="233">
        <f>IF(AO18="7",BF18,0)</f>
        <v>0</v>
      </c>
      <c r="AC18" s="233">
        <f>IF(AO18="7",BG18,0)</f>
        <v>0</v>
      </c>
      <c r="AD18" s="233">
        <f>IF(AO18="2",BF18,0)</f>
        <v>0</v>
      </c>
      <c r="AE18" s="233">
        <f>IF(AO18="2",BG18,0)</f>
        <v>0</v>
      </c>
      <c r="AF18" s="233">
        <f>IF(AO18="0",BH18,0)</f>
        <v>0</v>
      </c>
      <c r="AG18" s="229" t="s">
        <v>154</v>
      </c>
      <c r="AH18" s="233">
        <f>IF(AL18=0,J18,0)</f>
        <v>0</v>
      </c>
      <c r="AI18" s="233">
        <f>IF(AL18=15,J18,0)</f>
        <v>0</v>
      </c>
      <c r="AJ18" s="233">
        <f>IF(AL18=21,J18,0)</f>
        <v>0</v>
      </c>
      <c r="AL18" s="233">
        <v>21</v>
      </c>
      <c r="AM18" s="233">
        <f>G18*0.071409615</f>
        <v>0</v>
      </c>
      <c r="AN18" s="233">
        <f>G18*(1-0.071409615)</f>
        <v>0</v>
      </c>
      <c r="AO18" s="234" t="s">
        <v>157</v>
      </c>
      <c r="AT18" s="233">
        <f>AU18+AV18</f>
        <v>0</v>
      </c>
      <c r="AU18" s="233">
        <f>F18*AM18</f>
        <v>0</v>
      </c>
      <c r="AV18" s="233">
        <f>F18*AN18</f>
        <v>0</v>
      </c>
      <c r="AW18" s="234" t="s">
        <v>162</v>
      </c>
      <c r="AX18" s="234" t="s">
        <v>163</v>
      </c>
      <c r="AY18" s="229" t="s">
        <v>164</v>
      </c>
      <c r="BA18" s="233">
        <f>AU18+AV18</f>
        <v>0</v>
      </c>
      <c r="BB18" s="233">
        <f>G18/(100-BC18)*100</f>
        <v>0</v>
      </c>
      <c r="BC18" s="233">
        <v>0</v>
      </c>
      <c r="BD18" s="233">
        <f>L18</f>
        <v>4.4108399999999999E-2</v>
      </c>
      <c r="BF18" s="233">
        <f>F18*AM18</f>
        <v>0</v>
      </c>
      <c r="BG18" s="233">
        <f>F18*AN18</f>
        <v>0</v>
      </c>
      <c r="BH18" s="233">
        <f>F18*G18</f>
        <v>0</v>
      </c>
      <c r="BI18" s="233"/>
      <c r="BJ18" s="233">
        <v>11</v>
      </c>
      <c r="BU18" s="233" t="e">
        <f>#REF!</f>
        <v>#REF!</v>
      </c>
      <c r="BV18" s="225" t="s">
        <v>159</v>
      </c>
    </row>
    <row r="19" spans="1:74" ht="40.5" customHeight="1" x14ac:dyDescent="0.3">
      <c r="A19" s="241"/>
      <c r="B19" s="242" t="s">
        <v>165</v>
      </c>
      <c r="C19" s="530" t="s">
        <v>1662</v>
      </c>
      <c r="D19" s="531"/>
      <c r="E19" s="531"/>
      <c r="F19" s="531"/>
      <c r="G19" s="531"/>
      <c r="H19" s="531"/>
      <c r="I19" s="531"/>
      <c r="J19" s="531"/>
      <c r="K19" s="531"/>
      <c r="L19" s="531"/>
      <c r="M19" s="532"/>
    </row>
    <row r="20" spans="1:74" ht="14.4" x14ac:dyDescent="0.3">
      <c r="A20" s="239" t="s">
        <v>173</v>
      </c>
      <c r="B20" s="223" t="s">
        <v>884</v>
      </c>
      <c r="C20" s="521" t="s">
        <v>885</v>
      </c>
      <c r="D20" s="519"/>
      <c r="E20" s="223" t="s">
        <v>172</v>
      </c>
      <c r="F20" s="233">
        <v>64</v>
      </c>
      <c r="G20" s="311">
        <v>0</v>
      </c>
      <c r="H20" s="233">
        <f>F20*AM20</f>
        <v>0</v>
      </c>
      <c r="I20" s="233">
        <f>F20*AN20</f>
        <v>0</v>
      </c>
      <c r="J20" s="233">
        <f>F20*G20</f>
        <v>0</v>
      </c>
      <c r="K20" s="233">
        <v>4.0000000000000003E-5</v>
      </c>
      <c r="L20" s="233">
        <f>F20*K20</f>
        <v>2.5600000000000002E-3</v>
      </c>
      <c r="M20" s="240" t="s">
        <v>472</v>
      </c>
      <c r="X20" s="233">
        <f>IF(AO20="5",BH20,0)</f>
        <v>0</v>
      </c>
      <c r="Z20" s="233">
        <f>IF(AO20="1",BF20,0)</f>
        <v>0</v>
      </c>
      <c r="AA20" s="233">
        <f>IF(AO20="1",BG20,0)</f>
        <v>0</v>
      </c>
      <c r="AB20" s="233">
        <f>IF(AO20="7",BF20,0)</f>
        <v>0</v>
      </c>
      <c r="AC20" s="233">
        <f>IF(AO20="7",BG20,0)</f>
        <v>0</v>
      </c>
      <c r="AD20" s="233">
        <f>IF(AO20="2",BF20,0)</f>
        <v>0</v>
      </c>
      <c r="AE20" s="233">
        <f>IF(AO20="2",BG20,0)</f>
        <v>0</v>
      </c>
      <c r="AF20" s="233">
        <f>IF(AO20="0",BH20,0)</f>
        <v>0</v>
      </c>
      <c r="AG20" s="229" t="s">
        <v>154</v>
      </c>
      <c r="AH20" s="233">
        <f>IF(AL20=0,J20,0)</f>
        <v>0</v>
      </c>
      <c r="AI20" s="233">
        <f>IF(AL20=15,J20,0)</f>
        <v>0</v>
      </c>
      <c r="AJ20" s="233">
        <f>IF(AL20=21,J20,0)</f>
        <v>0</v>
      </c>
      <c r="AL20" s="233">
        <v>21</v>
      </c>
      <c r="AM20" s="233">
        <f>G20*0.005098039</f>
        <v>0</v>
      </c>
      <c r="AN20" s="233">
        <f>G20*(1-0.005098039)</f>
        <v>0</v>
      </c>
      <c r="AO20" s="234" t="s">
        <v>157</v>
      </c>
      <c r="AT20" s="233">
        <f>AU20+AV20</f>
        <v>0</v>
      </c>
      <c r="AU20" s="233">
        <f>F20*AM20</f>
        <v>0</v>
      </c>
      <c r="AV20" s="233">
        <f>F20*AN20</f>
        <v>0</v>
      </c>
      <c r="AW20" s="234" t="s">
        <v>162</v>
      </c>
      <c r="AX20" s="234" t="s">
        <v>163</v>
      </c>
      <c r="AY20" s="229" t="s">
        <v>164</v>
      </c>
      <c r="BA20" s="233">
        <f>AU20+AV20</f>
        <v>0</v>
      </c>
      <c r="BB20" s="233">
        <f>G20/(100-BC20)*100</f>
        <v>0</v>
      </c>
      <c r="BC20" s="233">
        <v>0</v>
      </c>
      <c r="BD20" s="233">
        <f>L20</f>
        <v>2.5600000000000002E-3</v>
      </c>
      <c r="BF20" s="233">
        <f>F20*AM20</f>
        <v>0</v>
      </c>
      <c r="BG20" s="233">
        <f>F20*AN20</f>
        <v>0</v>
      </c>
      <c r="BH20" s="233">
        <f>F20*G20</f>
        <v>0</v>
      </c>
      <c r="BI20" s="233"/>
      <c r="BJ20" s="233">
        <v>11</v>
      </c>
      <c r="BU20" s="233" t="e">
        <f>#REF!</f>
        <v>#REF!</v>
      </c>
      <c r="BV20" s="225" t="s">
        <v>885</v>
      </c>
    </row>
    <row r="21" spans="1:74" ht="40.5" customHeight="1" x14ac:dyDescent="0.3">
      <c r="A21" s="241"/>
      <c r="B21" s="242" t="s">
        <v>165</v>
      </c>
      <c r="C21" s="530" t="s">
        <v>1663</v>
      </c>
      <c r="D21" s="531"/>
      <c r="E21" s="531"/>
      <c r="F21" s="531"/>
      <c r="G21" s="531"/>
      <c r="H21" s="531"/>
      <c r="I21" s="531"/>
      <c r="J21" s="531"/>
      <c r="K21" s="531"/>
      <c r="L21" s="531"/>
      <c r="M21" s="532"/>
    </row>
    <row r="22" spans="1:74" ht="14.4" x14ac:dyDescent="0.3">
      <c r="A22" s="239" t="s">
        <v>177</v>
      </c>
      <c r="B22" s="223" t="s">
        <v>886</v>
      </c>
      <c r="C22" s="521" t="s">
        <v>887</v>
      </c>
      <c r="D22" s="519"/>
      <c r="E22" s="223" t="s">
        <v>176</v>
      </c>
      <c r="F22" s="233">
        <v>8</v>
      </c>
      <c r="G22" s="311">
        <v>0</v>
      </c>
      <c r="H22" s="233">
        <f>F22*AM22</f>
        <v>0</v>
      </c>
      <c r="I22" s="233">
        <f>F22*AN22</f>
        <v>0</v>
      </c>
      <c r="J22" s="233">
        <f>F22*G22</f>
        <v>0</v>
      </c>
      <c r="K22" s="233">
        <v>0</v>
      </c>
      <c r="L22" s="233">
        <f>F22*K22</f>
        <v>0</v>
      </c>
      <c r="M22" s="240" t="s">
        <v>472</v>
      </c>
      <c r="X22" s="233">
        <f>IF(AO22="5",BH22,0)</f>
        <v>0</v>
      </c>
      <c r="Z22" s="233">
        <f>IF(AO22="1",BF22,0)</f>
        <v>0</v>
      </c>
      <c r="AA22" s="233">
        <f>IF(AO22="1",BG22,0)</f>
        <v>0</v>
      </c>
      <c r="AB22" s="233">
        <f>IF(AO22="7",BF22,0)</f>
        <v>0</v>
      </c>
      <c r="AC22" s="233">
        <f>IF(AO22="7",BG22,0)</f>
        <v>0</v>
      </c>
      <c r="AD22" s="233">
        <f>IF(AO22="2",BF22,0)</f>
        <v>0</v>
      </c>
      <c r="AE22" s="233">
        <f>IF(AO22="2",BG22,0)</f>
        <v>0</v>
      </c>
      <c r="AF22" s="233">
        <f>IF(AO22="0",BH22,0)</f>
        <v>0</v>
      </c>
      <c r="AG22" s="229" t="s">
        <v>154</v>
      </c>
      <c r="AH22" s="233">
        <f>IF(AL22=0,J22,0)</f>
        <v>0</v>
      </c>
      <c r="AI22" s="233">
        <f>IF(AL22=15,J22,0)</f>
        <v>0</v>
      </c>
      <c r="AJ22" s="233">
        <f>IF(AL22=21,J22,0)</f>
        <v>0</v>
      </c>
      <c r="AL22" s="233">
        <v>21</v>
      </c>
      <c r="AM22" s="233">
        <f>G22*0</f>
        <v>0</v>
      </c>
      <c r="AN22" s="233">
        <f>G22*(1-0)</f>
        <v>0</v>
      </c>
      <c r="AO22" s="234" t="s">
        <v>157</v>
      </c>
      <c r="AT22" s="233">
        <f>AU22+AV22</f>
        <v>0</v>
      </c>
      <c r="AU22" s="233">
        <f>F22*AM22</f>
        <v>0</v>
      </c>
      <c r="AV22" s="233">
        <f>F22*AN22</f>
        <v>0</v>
      </c>
      <c r="AW22" s="234" t="s">
        <v>162</v>
      </c>
      <c r="AX22" s="234" t="s">
        <v>163</v>
      </c>
      <c r="AY22" s="229" t="s">
        <v>164</v>
      </c>
      <c r="BA22" s="233">
        <f>AU22+AV22</f>
        <v>0</v>
      </c>
      <c r="BB22" s="233">
        <f>G22/(100-BC22)*100</f>
        <v>0</v>
      </c>
      <c r="BC22" s="233">
        <v>0</v>
      </c>
      <c r="BD22" s="233">
        <f>L22</f>
        <v>0</v>
      </c>
      <c r="BF22" s="233">
        <f>F22*AM22</f>
        <v>0</v>
      </c>
      <c r="BG22" s="233">
        <f>F22*AN22</f>
        <v>0</v>
      </c>
      <c r="BH22" s="233">
        <f>F22*G22</f>
        <v>0</v>
      </c>
      <c r="BI22" s="233"/>
      <c r="BJ22" s="233">
        <v>11</v>
      </c>
      <c r="BU22" s="233" t="e">
        <f>#REF!</f>
        <v>#REF!</v>
      </c>
      <c r="BV22" s="225" t="s">
        <v>887</v>
      </c>
    </row>
    <row r="23" spans="1:74" ht="40.5" customHeight="1" x14ac:dyDescent="0.3">
      <c r="A23" s="241"/>
      <c r="B23" s="242" t="s">
        <v>165</v>
      </c>
      <c r="C23" s="530" t="s">
        <v>1664</v>
      </c>
      <c r="D23" s="531"/>
      <c r="E23" s="531"/>
      <c r="F23" s="531"/>
      <c r="G23" s="531"/>
      <c r="H23" s="531"/>
      <c r="I23" s="531"/>
      <c r="J23" s="531"/>
      <c r="K23" s="531"/>
      <c r="L23" s="531"/>
      <c r="M23" s="532"/>
    </row>
    <row r="24" spans="1:74" ht="14.4" x14ac:dyDescent="0.3">
      <c r="A24" s="239" t="s">
        <v>181</v>
      </c>
      <c r="B24" s="223" t="s">
        <v>178</v>
      </c>
      <c r="C24" s="521" t="s">
        <v>179</v>
      </c>
      <c r="D24" s="519"/>
      <c r="E24" s="223" t="s">
        <v>180</v>
      </c>
      <c r="F24" s="233">
        <v>212.13</v>
      </c>
      <c r="G24" s="311">
        <v>0</v>
      </c>
      <c r="H24" s="233">
        <f>F24*AM24</f>
        <v>0</v>
      </c>
      <c r="I24" s="233">
        <f>F24*AN24</f>
        <v>0</v>
      </c>
      <c r="J24" s="233">
        <f>F24*G24</f>
        <v>0</v>
      </c>
      <c r="K24" s="233">
        <v>0.90051000000000003</v>
      </c>
      <c r="L24" s="233">
        <f>F24*K24</f>
        <v>191.0251863</v>
      </c>
      <c r="M24" s="240" t="s">
        <v>472</v>
      </c>
      <c r="X24" s="233">
        <f>IF(AO24="5",BH24,0)</f>
        <v>0</v>
      </c>
      <c r="Z24" s="233">
        <f>IF(AO24="1",BF24,0)</f>
        <v>0</v>
      </c>
      <c r="AA24" s="233">
        <f>IF(AO24="1",BG24,0)</f>
        <v>0</v>
      </c>
      <c r="AB24" s="233">
        <f>IF(AO24="7",BF24,0)</f>
        <v>0</v>
      </c>
      <c r="AC24" s="233">
        <f>IF(AO24="7",BG24,0)</f>
        <v>0</v>
      </c>
      <c r="AD24" s="233">
        <f>IF(AO24="2",BF24,0)</f>
        <v>0</v>
      </c>
      <c r="AE24" s="233">
        <f>IF(AO24="2",BG24,0)</f>
        <v>0</v>
      </c>
      <c r="AF24" s="233">
        <f>IF(AO24="0",BH24,0)</f>
        <v>0</v>
      </c>
      <c r="AG24" s="229" t="s">
        <v>154</v>
      </c>
      <c r="AH24" s="233">
        <f>IF(AL24=0,J24,0)</f>
        <v>0</v>
      </c>
      <c r="AI24" s="233">
        <f>IF(AL24=15,J24,0)</f>
        <v>0</v>
      </c>
      <c r="AJ24" s="233">
        <f>IF(AL24=21,J24,0)</f>
        <v>0</v>
      </c>
      <c r="AL24" s="233">
        <v>21</v>
      </c>
      <c r="AM24" s="233">
        <f>G24*0.022141015</f>
        <v>0</v>
      </c>
      <c r="AN24" s="233">
        <f>G24*(1-0.022141015)</f>
        <v>0</v>
      </c>
      <c r="AO24" s="234" t="s">
        <v>157</v>
      </c>
      <c r="AT24" s="233">
        <f>AU24+AV24</f>
        <v>0</v>
      </c>
      <c r="AU24" s="233">
        <f>F24*AM24</f>
        <v>0</v>
      </c>
      <c r="AV24" s="233">
        <f>F24*AN24</f>
        <v>0</v>
      </c>
      <c r="AW24" s="234" t="s">
        <v>162</v>
      </c>
      <c r="AX24" s="234" t="s">
        <v>163</v>
      </c>
      <c r="AY24" s="229" t="s">
        <v>164</v>
      </c>
      <c r="BA24" s="233">
        <f>AU24+AV24</f>
        <v>0</v>
      </c>
      <c r="BB24" s="233">
        <f>G24/(100-BC24)*100</f>
        <v>0</v>
      </c>
      <c r="BC24" s="233">
        <v>0</v>
      </c>
      <c r="BD24" s="233">
        <f>L24</f>
        <v>191.0251863</v>
      </c>
      <c r="BF24" s="233">
        <f>F24*AM24</f>
        <v>0</v>
      </c>
      <c r="BG24" s="233">
        <f>F24*AN24</f>
        <v>0</v>
      </c>
      <c r="BH24" s="233">
        <f>F24*G24</f>
        <v>0</v>
      </c>
      <c r="BI24" s="233"/>
      <c r="BJ24" s="233">
        <v>11</v>
      </c>
      <c r="BU24" s="233" t="e">
        <f>#REF!</f>
        <v>#REF!</v>
      </c>
      <c r="BV24" s="225" t="s">
        <v>179</v>
      </c>
    </row>
    <row r="25" spans="1:74" ht="162" customHeight="1" x14ac:dyDescent="0.3">
      <c r="A25" s="241"/>
      <c r="B25" s="242" t="s">
        <v>165</v>
      </c>
      <c r="C25" s="530" t="s">
        <v>1665</v>
      </c>
      <c r="D25" s="531"/>
      <c r="E25" s="531"/>
      <c r="F25" s="531"/>
      <c r="G25" s="531"/>
      <c r="H25" s="531"/>
      <c r="I25" s="531"/>
      <c r="J25" s="531"/>
      <c r="K25" s="531"/>
      <c r="L25" s="531"/>
      <c r="M25" s="532"/>
    </row>
    <row r="26" spans="1:74" ht="14.4" x14ac:dyDescent="0.3">
      <c r="A26" s="239" t="s">
        <v>184</v>
      </c>
      <c r="B26" s="223" t="s">
        <v>476</v>
      </c>
      <c r="C26" s="521" t="s">
        <v>477</v>
      </c>
      <c r="D26" s="519"/>
      <c r="E26" s="223" t="s">
        <v>180</v>
      </c>
      <c r="F26" s="233">
        <v>202.03</v>
      </c>
      <c r="G26" s="311">
        <v>0</v>
      </c>
      <c r="H26" s="233">
        <f>F26*AM26</f>
        <v>0</v>
      </c>
      <c r="I26" s="233">
        <f>F26*AN26</f>
        <v>0</v>
      </c>
      <c r="J26" s="233">
        <f>F26*G26</f>
        <v>0</v>
      </c>
      <c r="K26" s="233">
        <v>0.39600000000000002</v>
      </c>
      <c r="L26" s="233">
        <f>F26*K26</f>
        <v>80.003880000000009</v>
      </c>
      <c r="M26" s="240" t="s">
        <v>472</v>
      </c>
      <c r="X26" s="233">
        <f>IF(AO26="5",BH26,0)</f>
        <v>0</v>
      </c>
      <c r="Z26" s="233">
        <f>IF(AO26="1",BF26,0)</f>
        <v>0</v>
      </c>
      <c r="AA26" s="233">
        <f>IF(AO26="1",BG26,0)</f>
        <v>0</v>
      </c>
      <c r="AB26" s="233">
        <f>IF(AO26="7",BF26,0)</f>
        <v>0</v>
      </c>
      <c r="AC26" s="233">
        <f>IF(AO26="7",BG26,0)</f>
        <v>0</v>
      </c>
      <c r="AD26" s="233">
        <f>IF(AO26="2",BF26,0)</f>
        <v>0</v>
      </c>
      <c r="AE26" s="233">
        <f>IF(AO26="2",BG26,0)</f>
        <v>0</v>
      </c>
      <c r="AF26" s="233">
        <f>IF(AO26="0",BH26,0)</f>
        <v>0</v>
      </c>
      <c r="AG26" s="229" t="s">
        <v>154</v>
      </c>
      <c r="AH26" s="233">
        <f>IF(AL26=0,J26,0)</f>
        <v>0</v>
      </c>
      <c r="AI26" s="233">
        <f>IF(AL26=15,J26,0)</f>
        <v>0</v>
      </c>
      <c r="AJ26" s="233">
        <f>IF(AL26=21,J26,0)</f>
        <v>0</v>
      </c>
      <c r="AL26" s="233">
        <v>21</v>
      </c>
      <c r="AM26" s="233">
        <f>G26*0</f>
        <v>0</v>
      </c>
      <c r="AN26" s="233">
        <f>G26*(1-0)</f>
        <v>0</v>
      </c>
      <c r="AO26" s="234" t="s">
        <v>157</v>
      </c>
      <c r="AT26" s="233">
        <f>AU26+AV26</f>
        <v>0</v>
      </c>
      <c r="AU26" s="233">
        <f>F26*AM26</f>
        <v>0</v>
      </c>
      <c r="AV26" s="233">
        <f>F26*AN26</f>
        <v>0</v>
      </c>
      <c r="AW26" s="234" t="s">
        <v>162</v>
      </c>
      <c r="AX26" s="234" t="s">
        <v>163</v>
      </c>
      <c r="AY26" s="229" t="s">
        <v>164</v>
      </c>
      <c r="BA26" s="233">
        <f>AU26+AV26</f>
        <v>0</v>
      </c>
      <c r="BB26" s="233">
        <f>G26/(100-BC26)*100</f>
        <v>0</v>
      </c>
      <c r="BC26" s="233">
        <v>0</v>
      </c>
      <c r="BD26" s="233">
        <f>L26</f>
        <v>80.003880000000009</v>
      </c>
      <c r="BF26" s="233">
        <f>F26*AM26</f>
        <v>0</v>
      </c>
      <c r="BG26" s="233">
        <f>F26*AN26</f>
        <v>0</v>
      </c>
      <c r="BH26" s="233">
        <f>F26*G26</f>
        <v>0</v>
      </c>
      <c r="BI26" s="233"/>
      <c r="BJ26" s="233">
        <v>11</v>
      </c>
      <c r="BU26" s="233" t="e">
        <f>#REF!</f>
        <v>#REF!</v>
      </c>
      <c r="BV26" s="225" t="s">
        <v>477</v>
      </c>
    </row>
    <row r="27" spans="1:74" ht="67.5" customHeight="1" x14ac:dyDescent="0.3">
      <c r="A27" s="244"/>
      <c r="B27" s="245" t="s">
        <v>165</v>
      </c>
      <c r="C27" s="540" t="s">
        <v>1666</v>
      </c>
      <c r="D27" s="541"/>
      <c r="E27" s="541"/>
      <c r="F27" s="541"/>
      <c r="G27" s="541"/>
      <c r="H27" s="541"/>
      <c r="I27" s="541"/>
      <c r="J27" s="541"/>
      <c r="K27" s="541"/>
      <c r="L27" s="541"/>
      <c r="M27" s="542"/>
    </row>
    <row r="28" spans="1:74" ht="14.4" x14ac:dyDescent="0.3">
      <c r="A28" s="237" t="s">
        <v>154</v>
      </c>
      <c r="B28" s="260" t="s">
        <v>191</v>
      </c>
      <c r="C28" s="545" t="s">
        <v>192</v>
      </c>
      <c r="D28" s="546"/>
      <c r="E28" s="238" t="s">
        <v>114</v>
      </c>
      <c r="F28" s="238" t="s">
        <v>114</v>
      </c>
      <c r="G28" s="238" t="s">
        <v>114</v>
      </c>
      <c r="H28" s="261">
        <f>SUM(H29:H29)</f>
        <v>0</v>
      </c>
      <c r="I28" s="261">
        <f>SUM(I29:I29)</f>
        <v>0</v>
      </c>
      <c r="J28" s="261">
        <f>SUM(J29:J29)</f>
        <v>0</v>
      </c>
      <c r="K28" s="262" t="s">
        <v>154</v>
      </c>
      <c r="L28" s="261">
        <f>SUM(L29:L29)</f>
        <v>0</v>
      </c>
      <c r="M28" s="263" t="s">
        <v>154</v>
      </c>
      <c r="AG28" s="229" t="s">
        <v>154</v>
      </c>
      <c r="AQ28" s="222">
        <f>SUM(AH29:AH29)</f>
        <v>0</v>
      </c>
      <c r="AR28" s="222">
        <f>SUM(AI29:AI29)</f>
        <v>0</v>
      </c>
      <c r="AS28" s="222">
        <f>SUM(AJ29:AJ29)</f>
        <v>0</v>
      </c>
    </row>
    <row r="29" spans="1:74" ht="14.4" x14ac:dyDescent="0.3">
      <c r="A29" s="239" t="s">
        <v>187</v>
      </c>
      <c r="B29" s="223" t="s">
        <v>199</v>
      </c>
      <c r="C29" s="521" t="s">
        <v>200</v>
      </c>
      <c r="D29" s="519"/>
      <c r="E29" s="223" t="s">
        <v>196</v>
      </c>
      <c r="F29" s="233">
        <v>0.5</v>
      </c>
      <c r="G29" s="311">
        <v>0</v>
      </c>
      <c r="H29" s="233">
        <f>F29*AM29</f>
        <v>0</v>
      </c>
      <c r="I29" s="233">
        <f>F29*AN29</f>
        <v>0</v>
      </c>
      <c r="J29" s="233">
        <f>F29*G29</f>
        <v>0</v>
      </c>
      <c r="K29" s="233">
        <v>0</v>
      </c>
      <c r="L29" s="233">
        <f>F29*K29</f>
        <v>0</v>
      </c>
      <c r="M29" s="240" t="s">
        <v>472</v>
      </c>
      <c r="X29" s="233">
        <f>IF(AO29="5",BH29,0)</f>
        <v>0</v>
      </c>
      <c r="Z29" s="233">
        <f>IF(AO29="1",BF29,0)</f>
        <v>0</v>
      </c>
      <c r="AA29" s="233">
        <f>IF(AO29="1",BG29,0)</f>
        <v>0</v>
      </c>
      <c r="AB29" s="233">
        <f>IF(AO29="7",BF29,0)</f>
        <v>0</v>
      </c>
      <c r="AC29" s="233">
        <f>IF(AO29="7",BG29,0)</f>
        <v>0</v>
      </c>
      <c r="AD29" s="233">
        <f>IF(AO29="2",BF29,0)</f>
        <v>0</v>
      </c>
      <c r="AE29" s="233">
        <f>IF(AO29="2",BG29,0)</f>
        <v>0</v>
      </c>
      <c r="AF29" s="233">
        <f>IF(AO29="0",BH29,0)</f>
        <v>0</v>
      </c>
      <c r="AG29" s="229" t="s">
        <v>154</v>
      </c>
      <c r="AH29" s="233">
        <f>IF(AL29=0,J29,0)</f>
        <v>0</v>
      </c>
      <c r="AI29" s="233">
        <f>IF(AL29=15,J29,0)</f>
        <v>0</v>
      </c>
      <c r="AJ29" s="233">
        <f>IF(AL29=21,J29,0)</f>
        <v>0</v>
      </c>
      <c r="AL29" s="233">
        <v>21</v>
      </c>
      <c r="AM29" s="233">
        <f>G29*0</f>
        <v>0</v>
      </c>
      <c r="AN29" s="233">
        <f>G29*(1-0)</f>
        <v>0</v>
      </c>
      <c r="AO29" s="234" t="s">
        <v>157</v>
      </c>
      <c r="AT29" s="233">
        <f>AU29+AV29</f>
        <v>0</v>
      </c>
      <c r="AU29" s="233">
        <f>F29*AM29</f>
        <v>0</v>
      </c>
      <c r="AV29" s="233">
        <f>F29*AN29</f>
        <v>0</v>
      </c>
      <c r="AW29" s="234" t="s">
        <v>197</v>
      </c>
      <c r="AX29" s="234" t="s">
        <v>163</v>
      </c>
      <c r="AY29" s="229" t="s">
        <v>164</v>
      </c>
      <c r="BA29" s="233">
        <f>AU29+AV29</f>
        <v>0</v>
      </c>
      <c r="BB29" s="233">
        <f>G29/(100-BC29)*100</f>
        <v>0</v>
      </c>
      <c r="BC29" s="233">
        <v>0</v>
      </c>
      <c r="BD29" s="233">
        <f>L29</f>
        <v>0</v>
      </c>
      <c r="BF29" s="233">
        <f>F29*AM29</f>
        <v>0</v>
      </c>
      <c r="BG29" s="233">
        <f>F29*AN29</f>
        <v>0</v>
      </c>
      <c r="BH29" s="233">
        <f>F29*G29</f>
        <v>0</v>
      </c>
      <c r="BI29" s="233"/>
      <c r="BJ29" s="233">
        <v>12</v>
      </c>
      <c r="BU29" s="233" t="e">
        <f>#REF!</f>
        <v>#REF!</v>
      </c>
      <c r="BV29" s="225" t="s">
        <v>200</v>
      </c>
    </row>
    <row r="30" spans="1:74" ht="13.5" customHeight="1" x14ac:dyDescent="0.3">
      <c r="A30" s="241"/>
      <c r="B30" s="242" t="s">
        <v>165</v>
      </c>
      <c r="C30" s="530" t="s">
        <v>480</v>
      </c>
      <c r="D30" s="531"/>
      <c r="E30" s="531"/>
      <c r="F30" s="531"/>
      <c r="G30" s="531"/>
      <c r="H30" s="531"/>
      <c r="I30" s="531"/>
      <c r="J30" s="531"/>
      <c r="K30" s="531"/>
      <c r="L30" s="531"/>
      <c r="M30" s="532"/>
    </row>
    <row r="31" spans="1:74" ht="14.4" x14ac:dyDescent="0.3">
      <c r="A31" s="239" t="s">
        <v>154</v>
      </c>
      <c r="B31" s="224" t="s">
        <v>201</v>
      </c>
      <c r="C31" s="526" t="s">
        <v>202</v>
      </c>
      <c r="D31" s="527"/>
      <c r="E31" s="223" t="s">
        <v>114</v>
      </c>
      <c r="F31" s="223" t="s">
        <v>114</v>
      </c>
      <c r="G31" s="223" t="s">
        <v>114</v>
      </c>
      <c r="H31" s="235">
        <f>SUM(H32:H46)</f>
        <v>0</v>
      </c>
      <c r="I31" s="235">
        <f>SUM(I32:I46)</f>
        <v>0</v>
      </c>
      <c r="J31" s="235">
        <f>SUM(J32:J46)</f>
        <v>0</v>
      </c>
      <c r="K31" s="230" t="s">
        <v>154</v>
      </c>
      <c r="L31" s="235">
        <f>SUM(L32:L46)</f>
        <v>0</v>
      </c>
      <c r="M31" s="243" t="s">
        <v>154</v>
      </c>
      <c r="AG31" s="229" t="s">
        <v>154</v>
      </c>
      <c r="AQ31" s="222">
        <f>SUM(AH32:AH46)</f>
        <v>0</v>
      </c>
      <c r="AR31" s="222">
        <f>SUM(AI32:AI46)</f>
        <v>0</v>
      </c>
      <c r="AS31" s="222">
        <f>SUM(AJ32:AJ46)</f>
        <v>0</v>
      </c>
    </row>
    <row r="32" spans="1:74" ht="14.4" x14ac:dyDescent="0.3">
      <c r="A32" s="239" t="s">
        <v>193</v>
      </c>
      <c r="B32" s="223" t="s">
        <v>203</v>
      </c>
      <c r="C32" s="521" t="s">
        <v>204</v>
      </c>
      <c r="D32" s="519"/>
      <c r="E32" s="223" t="s">
        <v>196</v>
      </c>
      <c r="F32" s="233">
        <v>132.28</v>
      </c>
      <c r="G32" s="311">
        <v>0</v>
      </c>
      <c r="H32" s="233">
        <f>F32*AM32</f>
        <v>0</v>
      </c>
      <c r="I32" s="233">
        <f>F32*AN32</f>
        <v>0</v>
      </c>
      <c r="J32" s="233">
        <f>F32*G32</f>
        <v>0</v>
      </c>
      <c r="K32" s="233">
        <v>0</v>
      </c>
      <c r="L32" s="233">
        <f>F32*K32</f>
        <v>0</v>
      </c>
      <c r="M32" s="240" t="s">
        <v>472</v>
      </c>
      <c r="X32" s="233">
        <f>IF(AO32="5",BH32,0)</f>
        <v>0</v>
      </c>
      <c r="Z32" s="233">
        <f>IF(AO32="1",BF32,0)</f>
        <v>0</v>
      </c>
      <c r="AA32" s="233">
        <f>IF(AO32="1",BG32,0)</f>
        <v>0</v>
      </c>
      <c r="AB32" s="233">
        <f>IF(AO32="7",BF32,0)</f>
        <v>0</v>
      </c>
      <c r="AC32" s="233">
        <f>IF(AO32="7",BG32,0)</f>
        <v>0</v>
      </c>
      <c r="AD32" s="233">
        <f>IF(AO32="2",BF32,0)</f>
        <v>0</v>
      </c>
      <c r="AE32" s="233">
        <f>IF(AO32="2",BG32,0)</f>
        <v>0</v>
      </c>
      <c r="AF32" s="233">
        <f>IF(AO32="0",BH32,0)</f>
        <v>0</v>
      </c>
      <c r="AG32" s="229" t="s">
        <v>154</v>
      </c>
      <c r="AH32" s="233">
        <f>IF(AL32=0,J32,0)</f>
        <v>0</v>
      </c>
      <c r="AI32" s="233">
        <f>IF(AL32=15,J32,0)</f>
        <v>0</v>
      </c>
      <c r="AJ32" s="233">
        <f>IF(AL32=21,J32,0)</f>
        <v>0</v>
      </c>
      <c r="AL32" s="233">
        <v>21</v>
      </c>
      <c r="AM32" s="233">
        <f>G32*0</f>
        <v>0</v>
      </c>
      <c r="AN32" s="233">
        <f>G32*(1-0)</f>
        <v>0</v>
      </c>
      <c r="AO32" s="234" t="s">
        <v>157</v>
      </c>
      <c r="AT32" s="233">
        <f>AU32+AV32</f>
        <v>0</v>
      </c>
      <c r="AU32" s="233">
        <f>F32*AM32</f>
        <v>0</v>
      </c>
      <c r="AV32" s="233">
        <f>F32*AN32</f>
        <v>0</v>
      </c>
      <c r="AW32" s="234" t="s">
        <v>205</v>
      </c>
      <c r="AX32" s="234" t="s">
        <v>163</v>
      </c>
      <c r="AY32" s="229" t="s">
        <v>164</v>
      </c>
      <c r="BA32" s="233">
        <f>AU32+AV32</f>
        <v>0</v>
      </c>
      <c r="BB32" s="233">
        <f>G32/(100-BC32)*100</f>
        <v>0</v>
      </c>
      <c r="BC32" s="233">
        <v>0</v>
      </c>
      <c r="BD32" s="233">
        <f>L32</f>
        <v>0</v>
      </c>
      <c r="BF32" s="233">
        <f>F32*AM32</f>
        <v>0</v>
      </c>
      <c r="BG32" s="233">
        <f>F32*AN32</f>
        <v>0</v>
      </c>
      <c r="BH32" s="233">
        <f>F32*G32</f>
        <v>0</v>
      </c>
      <c r="BI32" s="233"/>
      <c r="BJ32" s="233">
        <v>13</v>
      </c>
      <c r="BU32" s="233" t="e">
        <f>#REF!</f>
        <v>#REF!</v>
      </c>
      <c r="BV32" s="225" t="s">
        <v>204</v>
      </c>
    </row>
    <row r="33" spans="1:74" ht="67.5" customHeight="1" x14ac:dyDescent="0.3">
      <c r="A33" s="241"/>
      <c r="B33" s="242" t="s">
        <v>165</v>
      </c>
      <c r="C33" s="530" t="s">
        <v>1667</v>
      </c>
      <c r="D33" s="531"/>
      <c r="E33" s="531"/>
      <c r="F33" s="531"/>
      <c r="G33" s="531"/>
      <c r="H33" s="531"/>
      <c r="I33" s="531"/>
      <c r="J33" s="531"/>
      <c r="K33" s="531"/>
      <c r="L33" s="531"/>
      <c r="M33" s="532"/>
    </row>
    <row r="34" spans="1:74" ht="14.4" x14ac:dyDescent="0.3">
      <c r="A34" s="239" t="s">
        <v>198</v>
      </c>
      <c r="B34" s="223" t="s">
        <v>206</v>
      </c>
      <c r="C34" s="521" t="s">
        <v>481</v>
      </c>
      <c r="D34" s="519"/>
      <c r="E34" s="223" t="s">
        <v>196</v>
      </c>
      <c r="F34" s="233">
        <v>66.14</v>
      </c>
      <c r="G34" s="311">
        <v>0</v>
      </c>
      <c r="H34" s="233">
        <f>F34*AM34</f>
        <v>0</v>
      </c>
      <c r="I34" s="233">
        <f>F34*AN34</f>
        <v>0</v>
      </c>
      <c r="J34" s="233">
        <f>F34*G34</f>
        <v>0</v>
      </c>
      <c r="K34" s="233">
        <v>0</v>
      </c>
      <c r="L34" s="233">
        <f>F34*K34</f>
        <v>0</v>
      </c>
      <c r="M34" s="240" t="s">
        <v>472</v>
      </c>
      <c r="X34" s="233">
        <f>IF(AO34="5",BH34,0)</f>
        <v>0</v>
      </c>
      <c r="Z34" s="233">
        <f>IF(AO34="1",BF34,0)</f>
        <v>0</v>
      </c>
      <c r="AA34" s="233">
        <f>IF(AO34="1",BG34,0)</f>
        <v>0</v>
      </c>
      <c r="AB34" s="233">
        <f>IF(AO34="7",BF34,0)</f>
        <v>0</v>
      </c>
      <c r="AC34" s="233">
        <f>IF(AO34="7",BG34,0)</f>
        <v>0</v>
      </c>
      <c r="AD34" s="233">
        <f>IF(AO34="2",BF34,0)</f>
        <v>0</v>
      </c>
      <c r="AE34" s="233">
        <f>IF(AO34="2",BG34,0)</f>
        <v>0</v>
      </c>
      <c r="AF34" s="233">
        <f>IF(AO34="0",BH34,0)</f>
        <v>0</v>
      </c>
      <c r="AG34" s="229" t="s">
        <v>154</v>
      </c>
      <c r="AH34" s="233">
        <f>IF(AL34=0,J34,0)</f>
        <v>0</v>
      </c>
      <c r="AI34" s="233">
        <f>IF(AL34=15,J34,0)</f>
        <v>0</v>
      </c>
      <c r="AJ34" s="233">
        <f>IF(AL34=21,J34,0)</f>
        <v>0</v>
      </c>
      <c r="AL34" s="233">
        <v>21</v>
      </c>
      <c r="AM34" s="233">
        <f>G34*0</f>
        <v>0</v>
      </c>
      <c r="AN34" s="233">
        <f>G34*(1-0)</f>
        <v>0</v>
      </c>
      <c r="AO34" s="234" t="s">
        <v>157</v>
      </c>
      <c r="AT34" s="233">
        <f>AU34+AV34</f>
        <v>0</v>
      </c>
      <c r="AU34" s="233">
        <f>F34*AM34</f>
        <v>0</v>
      </c>
      <c r="AV34" s="233">
        <f>F34*AN34</f>
        <v>0</v>
      </c>
      <c r="AW34" s="234" t="s">
        <v>205</v>
      </c>
      <c r="AX34" s="234" t="s">
        <v>163</v>
      </c>
      <c r="AY34" s="229" t="s">
        <v>164</v>
      </c>
      <c r="BA34" s="233">
        <f>AU34+AV34</f>
        <v>0</v>
      </c>
      <c r="BB34" s="233">
        <f>G34/(100-BC34)*100</f>
        <v>0</v>
      </c>
      <c r="BC34" s="233">
        <v>0</v>
      </c>
      <c r="BD34" s="233">
        <f>L34</f>
        <v>0</v>
      </c>
      <c r="BF34" s="233">
        <f>F34*AM34</f>
        <v>0</v>
      </c>
      <c r="BG34" s="233">
        <f>F34*AN34</f>
        <v>0</v>
      </c>
      <c r="BH34" s="233">
        <f>F34*G34</f>
        <v>0</v>
      </c>
      <c r="BI34" s="233"/>
      <c r="BJ34" s="233">
        <v>13</v>
      </c>
      <c r="BU34" s="233" t="e">
        <f>#REF!</f>
        <v>#REF!</v>
      </c>
      <c r="BV34" s="225" t="s">
        <v>481</v>
      </c>
    </row>
    <row r="35" spans="1:74" ht="40.5" customHeight="1" x14ac:dyDescent="0.3">
      <c r="A35" s="241"/>
      <c r="B35" s="242" t="s">
        <v>165</v>
      </c>
      <c r="C35" s="530" t="s">
        <v>1668</v>
      </c>
      <c r="D35" s="531"/>
      <c r="E35" s="531"/>
      <c r="F35" s="531"/>
      <c r="G35" s="531"/>
      <c r="H35" s="531"/>
      <c r="I35" s="531"/>
      <c r="J35" s="531"/>
      <c r="K35" s="531"/>
      <c r="L35" s="531"/>
      <c r="M35" s="532"/>
    </row>
    <row r="36" spans="1:74" ht="14.4" x14ac:dyDescent="0.3">
      <c r="A36" s="239" t="s">
        <v>155</v>
      </c>
      <c r="B36" s="223" t="s">
        <v>208</v>
      </c>
      <c r="C36" s="521" t="s">
        <v>209</v>
      </c>
      <c r="D36" s="519"/>
      <c r="E36" s="223" t="s">
        <v>196</v>
      </c>
      <c r="F36" s="233">
        <v>105.83</v>
      </c>
      <c r="G36" s="311">
        <v>0</v>
      </c>
      <c r="H36" s="233">
        <f>F36*AM36</f>
        <v>0</v>
      </c>
      <c r="I36" s="233">
        <f>F36*AN36</f>
        <v>0</v>
      </c>
      <c r="J36" s="233">
        <f>F36*G36</f>
        <v>0</v>
      </c>
      <c r="K36" s="233">
        <v>0</v>
      </c>
      <c r="L36" s="233">
        <f>F36*K36</f>
        <v>0</v>
      </c>
      <c r="M36" s="240" t="s">
        <v>472</v>
      </c>
      <c r="X36" s="233">
        <f>IF(AO36="5",BH36,0)</f>
        <v>0</v>
      </c>
      <c r="Z36" s="233">
        <f>IF(AO36="1",BF36,0)</f>
        <v>0</v>
      </c>
      <c r="AA36" s="233">
        <f>IF(AO36="1",BG36,0)</f>
        <v>0</v>
      </c>
      <c r="AB36" s="233">
        <f>IF(AO36="7",BF36,0)</f>
        <v>0</v>
      </c>
      <c r="AC36" s="233">
        <f>IF(AO36="7",BG36,0)</f>
        <v>0</v>
      </c>
      <c r="AD36" s="233">
        <f>IF(AO36="2",BF36,0)</f>
        <v>0</v>
      </c>
      <c r="AE36" s="233">
        <f>IF(AO36="2",BG36,0)</f>
        <v>0</v>
      </c>
      <c r="AF36" s="233">
        <f>IF(AO36="0",BH36,0)</f>
        <v>0</v>
      </c>
      <c r="AG36" s="229" t="s">
        <v>154</v>
      </c>
      <c r="AH36" s="233">
        <f>IF(AL36=0,J36,0)</f>
        <v>0</v>
      </c>
      <c r="AI36" s="233">
        <f>IF(AL36=15,J36,0)</f>
        <v>0</v>
      </c>
      <c r="AJ36" s="233">
        <f>IF(AL36=21,J36,0)</f>
        <v>0</v>
      </c>
      <c r="AL36" s="233">
        <v>21</v>
      </c>
      <c r="AM36" s="233">
        <f>G36*0</f>
        <v>0</v>
      </c>
      <c r="AN36" s="233">
        <f>G36*(1-0)</f>
        <v>0</v>
      </c>
      <c r="AO36" s="234" t="s">
        <v>157</v>
      </c>
      <c r="AT36" s="233">
        <f>AU36+AV36</f>
        <v>0</v>
      </c>
      <c r="AU36" s="233">
        <f>F36*AM36</f>
        <v>0</v>
      </c>
      <c r="AV36" s="233">
        <f>F36*AN36</f>
        <v>0</v>
      </c>
      <c r="AW36" s="234" t="s">
        <v>205</v>
      </c>
      <c r="AX36" s="234" t="s">
        <v>163</v>
      </c>
      <c r="AY36" s="229" t="s">
        <v>164</v>
      </c>
      <c r="BA36" s="233">
        <f>AU36+AV36</f>
        <v>0</v>
      </c>
      <c r="BB36" s="233">
        <f>G36/(100-BC36)*100</f>
        <v>0</v>
      </c>
      <c r="BC36" s="233">
        <v>0</v>
      </c>
      <c r="BD36" s="233">
        <f>L36</f>
        <v>0</v>
      </c>
      <c r="BF36" s="233">
        <f>F36*AM36</f>
        <v>0</v>
      </c>
      <c r="BG36" s="233">
        <f>F36*AN36</f>
        <v>0</v>
      </c>
      <c r="BH36" s="233">
        <f>F36*G36</f>
        <v>0</v>
      </c>
      <c r="BI36" s="233"/>
      <c r="BJ36" s="233">
        <v>13</v>
      </c>
      <c r="BU36" s="233" t="e">
        <f>#REF!</f>
        <v>#REF!</v>
      </c>
      <c r="BV36" s="225" t="s">
        <v>209</v>
      </c>
    </row>
    <row r="37" spans="1:74" ht="67.5" customHeight="1" x14ac:dyDescent="0.3">
      <c r="A37" s="241"/>
      <c r="B37" s="242" t="s">
        <v>165</v>
      </c>
      <c r="C37" s="530" t="s">
        <v>1669</v>
      </c>
      <c r="D37" s="531"/>
      <c r="E37" s="531"/>
      <c r="F37" s="531"/>
      <c r="G37" s="531"/>
      <c r="H37" s="531"/>
      <c r="I37" s="531"/>
      <c r="J37" s="531"/>
      <c r="K37" s="531"/>
      <c r="L37" s="531"/>
      <c r="M37" s="532"/>
    </row>
    <row r="38" spans="1:74" ht="14.4" x14ac:dyDescent="0.3">
      <c r="A38" s="239" t="s">
        <v>191</v>
      </c>
      <c r="B38" s="223" t="s">
        <v>211</v>
      </c>
      <c r="C38" s="521" t="s">
        <v>482</v>
      </c>
      <c r="D38" s="519"/>
      <c r="E38" s="223" t="s">
        <v>196</v>
      </c>
      <c r="F38" s="233">
        <v>26.46</v>
      </c>
      <c r="G38" s="311">
        <v>0</v>
      </c>
      <c r="H38" s="233">
        <f>F38*AM38</f>
        <v>0</v>
      </c>
      <c r="I38" s="233">
        <f>F38*AN38</f>
        <v>0</v>
      </c>
      <c r="J38" s="233">
        <f>F38*G38</f>
        <v>0</v>
      </c>
      <c r="K38" s="233">
        <v>0</v>
      </c>
      <c r="L38" s="233">
        <f>F38*K38</f>
        <v>0</v>
      </c>
      <c r="M38" s="240" t="s">
        <v>472</v>
      </c>
      <c r="X38" s="233">
        <f>IF(AO38="5",BH38,0)</f>
        <v>0</v>
      </c>
      <c r="Z38" s="233">
        <f>IF(AO38="1",BF38,0)</f>
        <v>0</v>
      </c>
      <c r="AA38" s="233">
        <f>IF(AO38="1",BG38,0)</f>
        <v>0</v>
      </c>
      <c r="AB38" s="233">
        <f>IF(AO38="7",BF38,0)</f>
        <v>0</v>
      </c>
      <c r="AC38" s="233">
        <f>IF(AO38="7",BG38,0)</f>
        <v>0</v>
      </c>
      <c r="AD38" s="233">
        <f>IF(AO38="2",BF38,0)</f>
        <v>0</v>
      </c>
      <c r="AE38" s="233">
        <f>IF(AO38="2",BG38,0)</f>
        <v>0</v>
      </c>
      <c r="AF38" s="233">
        <f>IF(AO38="0",BH38,0)</f>
        <v>0</v>
      </c>
      <c r="AG38" s="229" t="s">
        <v>154</v>
      </c>
      <c r="AH38" s="233">
        <f>IF(AL38=0,J38,0)</f>
        <v>0</v>
      </c>
      <c r="AI38" s="233">
        <f>IF(AL38=15,J38,0)</f>
        <v>0</v>
      </c>
      <c r="AJ38" s="233">
        <f>IF(AL38=21,J38,0)</f>
        <v>0</v>
      </c>
      <c r="AL38" s="233">
        <v>21</v>
      </c>
      <c r="AM38" s="233">
        <f>G38*0</f>
        <v>0</v>
      </c>
      <c r="AN38" s="233">
        <f>G38*(1-0)</f>
        <v>0</v>
      </c>
      <c r="AO38" s="234" t="s">
        <v>157</v>
      </c>
      <c r="AT38" s="233">
        <f>AU38+AV38</f>
        <v>0</v>
      </c>
      <c r="AU38" s="233">
        <f>F38*AM38</f>
        <v>0</v>
      </c>
      <c r="AV38" s="233">
        <f>F38*AN38</f>
        <v>0</v>
      </c>
      <c r="AW38" s="234" t="s">
        <v>205</v>
      </c>
      <c r="AX38" s="234" t="s">
        <v>163</v>
      </c>
      <c r="AY38" s="229" t="s">
        <v>164</v>
      </c>
      <c r="BA38" s="233">
        <f>AU38+AV38</f>
        <v>0</v>
      </c>
      <c r="BB38" s="233">
        <f>G38/(100-BC38)*100</f>
        <v>0</v>
      </c>
      <c r="BC38" s="233">
        <v>0</v>
      </c>
      <c r="BD38" s="233">
        <f>L38</f>
        <v>0</v>
      </c>
      <c r="BF38" s="233">
        <f>F38*AM38</f>
        <v>0</v>
      </c>
      <c r="BG38" s="233">
        <f>F38*AN38</f>
        <v>0</v>
      </c>
      <c r="BH38" s="233">
        <f>F38*G38</f>
        <v>0</v>
      </c>
      <c r="BI38" s="233"/>
      <c r="BJ38" s="233">
        <v>13</v>
      </c>
      <c r="BU38" s="233" t="e">
        <f>#REF!</f>
        <v>#REF!</v>
      </c>
      <c r="BV38" s="225" t="s">
        <v>482</v>
      </c>
    </row>
    <row r="39" spans="1:74" ht="40.5" customHeight="1" x14ac:dyDescent="0.3">
      <c r="A39" s="241"/>
      <c r="B39" s="242" t="s">
        <v>165</v>
      </c>
      <c r="C39" s="530" t="s">
        <v>1670</v>
      </c>
      <c r="D39" s="531"/>
      <c r="E39" s="531"/>
      <c r="F39" s="531"/>
      <c r="G39" s="531"/>
      <c r="H39" s="531"/>
      <c r="I39" s="531"/>
      <c r="J39" s="531"/>
      <c r="K39" s="531"/>
      <c r="L39" s="531"/>
      <c r="M39" s="532"/>
    </row>
    <row r="40" spans="1:74" ht="14.4" x14ac:dyDescent="0.3">
      <c r="A40" s="239" t="s">
        <v>201</v>
      </c>
      <c r="B40" s="223" t="s">
        <v>213</v>
      </c>
      <c r="C40" s="521" t="s">
        <v>214</v>
      </c>
      <c r="D40" s="519"/>
      <c r="E40" s="223" t="s">
        <v>196</v>
      </c>
      <c r="F40" s="233">
        <v>26.46</v>
      </c>
      <c r="G40" s="311">
        <v>0</v>
      </c>
      <c r="H40" s="233">
        <f>F40*AM40</f>
        <v>0</v>
      </c>
      <c r="I40" s="233">
        <f>F40*AN40</f>
        <v>0</v>
      </c>
      <c r="J40" s="233">
        <f>F40*G40</f>
        <v>0</v>
      </c>
      <c r="K40" s="233">
        <v>0</v>
      </c>
      <c r="L40" s="233">
        <f>F40*K40</f>
        <v>0</v>
      </c>
      <c r="M40" s="240" t="s">
        <v>472</v>
      </c>
      <c r="X40" s="233">
        <f>IF(AO40="5",BH40,0)</f>
        <v>0</v>
      </c>
      <c r="Z40" s="233">
        <f>IF(AO40="1",BF40,0)</f>
        <v>0</v>
      </c>
      <c r="AA40" s="233">
        <f>IF(AO40="1",BG40,0)</f>
        <v>0</v>
      </c>
      <c r="AB40" s="233">
        <f>IF(AO40="7",BF40,0)</f>
        <v>0</v>
      </c>
      <c r="AC40" s="233">
        <f>IF(AO40="7",BG40,0)</f>
        <v>0</v>
      </c>
      <c r="AD40" s="233">
        <f>IF(AO40="2",BF40,0)</f>
        <v>0</v>
      </c>
      <c r="AE40" s="233">
        <f>IF(AO40="2",BG40,0)</f>
        <v>0</v>
      </c>
      <c r="AF40" s="233">
        <f>IF(AO40="0",BH40,0)</f>
        <v>0</v>
      </c>
      <c r="AG40" s="229" t="s">
        <v>154</v>
      </c>
      <c r="AH40" s="233">
        <f>IF(AL40=0,J40,0)</f>
        <v>0</v>
      </c>
      <c r="AI40" s="233">
        <f>IF(AL40=15,J40,0)</f>
        <v>0</v>
      </c>
      <c r="AJ40" s="233">
        <f>IF(AL40=21,J40,0)</f>
        <v>0</v>
      </c>
      <c r="AL40" s="233">
        <v>21</v>
      </c>
      <c r="AM40" s="233">
        <f>G40*0</f>
        <v>0</v>
      </c>
      <c r="AN40" s="233">
        <f>G40*(1-0)</f>
        <v>0</v>
      </c>
      <c r="AO40" s="234" t="s">
        <v>157</v>
      </c>
      <c r="AT40" s="233">
        <f>AU40+AV40</f>
        <v>0</v>
      </c>
      <c r="AU40" s="233">
        <f>F40*AM40</f>
        <v>0</v>
      </c>
      <c r="AV40" s="233">
        <f>F40*AN40</f>
        <v>0</v>
      </c>
      <c r="AW40" s="234" t="s">
        <v>205</v>
      </c>
      <c r="AX40" s="234" t="s">
        <v>163</v>
      </c>
      <c r="AY40" s="229" t="s">
        <v>164</v>
      </c>
      <c r="BA40" s="233">
        <f>AU40+AV40</f>
        <v>0</v>
      </c>
      <c r="BB40" s="233">
        <f>G40/(100-BC40)*100</f>
        <v>0</v>
      </c>
      <c r="BC40" s="233">
        <v>0</v>
      </c>
      <c r="BD40" s="233">
        <f>L40</f>
        <v>0</v>
      </c>
      <c r="BF40" s="233">
        <f>F40*AM40</f>
        <v>0</v>
      </c>
      <c r="BG40" s="233">
        <f>F40*AN40</f>
        <v>0</v>
      </c>
      <c r="BH40" s="233">
        <f>F40*G40</f>
        <v>0</v>
      </c>
      <c r="BI40" s="233"/>
      <c r="BJ40" s="233">
        <v>13</v>
      </c>
      <c r="BU40" s="233" t="e">
        <f>#REF!</f>
        <v>#REF!</v>
      </c>
      <c r="BV40" s="225" t="s">
        <v>214</v>
      </c>
    </row>
    <row r="41" spans="1:74" ht="81" customHeight="1" x14ac:dyDescent="0.3">
      <c r="A41" s="241"/>
      <c r="B41" s="242" t="s">
        <v>165</v>
      </c>
      <c r="C41" s="530" t="s">
        <v>1671</v>
      </c>
      <c r="D41" s="531"/>
      <c r="E41" s="531"/>
      <c r="F41" s="531"/>
      <c r="G41" s="531"/>
      <c r="H41" s="531"/>
      <c r="I41" s="531"/>
      <c r="J41" s="531"/>
      <c r="K41" s="531"/>
      <c r="L41" s="531"/>
      <c r="M41" s="532"/>
    </row>
    <row r="42" spans="1:74" ht="14.4" x14ac:dyDescent="0.3">
      <c r="A42" s="239" t="s">
        <v>210</v>
      </c>
      <c r="B42" s="223" t="s">
        <v>216</v>
      </c>
      <c r="C42" s="521" t="s">
        <v>217</v>
      </c>
      <c r="D42" s="519"/>
      <c r="E42" s="223" t="s">
        <v>196</v>
      </c>
      <c r="F42" s="233">
        <v>5</v>
      </c>
      <c r="G42" s="311">
        <v>0</v>
      </c>
      <c r="H42" s="233">
        <f>F42*AM42</f>
        <v>0</v>
      </c>
      <c r="I42" s="233">
        <f>F42*AN42</f>
        <v>0</v>
      </c>
      <c r="J42" s="233">
        <f>F42*G42</f>
        <v>0</v>
      </c>
      <c r="K42" s="233">
        <v>0</v>
      </c>
      <c r="L42" s="233">
        <f>F42*K42</f>
        <v>0</v>
      </c>
      <c r="M42" s="240" t="s">
        <v>472</v>
      </c>
      <c r="X42" s="233">
        <f>IF(AO42="5",BH42,0)</f>
        <v>0</v>
      </c>
      <c r="Z42" s="233">
        <f>IF(AO42="1",BF42,0)</f>
        <v>0</v>
      </c>
      <c r="AA42" s="233">
        <f>IF(AO42="1",BG42,0)</f>
        <v>0</v>
      </c>
      <c r="AB42" s="233">
        <f>IF(AO42="7",BF42,0)</f>
        <v>0</v>
      </c>
      <c r="AC42" s="233">
        <f>IF(AO42="7",BG42,0)</f>
        <v>0</v>
      </c>
      <c r="AD42" s="233">
        <f>IF(AO42="2",BF42,0)</f>
        <v>0</v>
      </c>
      <c r="AE42" s="233">
        <f>IF(AO42="2",BG42,0)</f>
        <v>0</v>
      </c>
      <c r="AF42" s="233">
        <f>IF(AO42="0",BH42,0)</f>
        <v>0</v>
      </c>
      <c r="AG42" s="229" t="s">
        <v>154</v>
      </c>
      <c r="AH42" s="233">
        <f>IF(AL42=0,J42,0)</f>
        <v>0</v>
      </c>
      <c r="AI42" s="233">
        <f>IF(AL42=15,J42,0)</f>
        <v>0</v>
      </c>
      <c r="AJ42" s="233">
        <f>IF(AL42=21,J42,0)</f>
        <v>0</v>
      </c>
      <c r="AL42" s="233">
        <v>21</v>
      </c>
      <c r="AM42" s="233">
        <f>G42*0</f>
        <v>0</v>
      </c>
      <c r="AN42" s="233">
        <f>G42*(1-0)</f>
        <v>0</v>
      </c>
      <c r="AO42" s="234" t="s">
        <v>157</v>
      </c>
      <c r="AT42" s="233">
        <f>AU42+AV42</f>
        <v>0</v>
      </c>
      <c r="AU42" s="233">
        <f>F42*AM42</f>
        <v>0</v>
      </c>
      <c r="AV42" s="233">
        <f>F42*AN42</f>
        <v>0</v>
      </c>
      <c r="AW42" s="234" t="s">
        <v>205</v>
      </c>
      <c r="AX42" s="234" t="s">
        <v>163</v>
      </c>
      <c r="AY42" s="229" t="s">
        <v>164</v>
      </c>
      <c r="BA42" s="233">
        <f>AU42+AV42</f>
        <v>0</v>
      </c>
      <c r="BB42" s="233">
        <f>G42/(100-BC42)*100</f>
        <v>0</v>
      </c>
      <c r="BC42" s="233">
        <v>0</v>
      </c>
      <c r="BD42" s="233">
        <f>L42</f>
        <v>0</v>
      </c>
      <c r="BF42" s="233">
        <f>F42*AM42</f>
        <v>0</v>
      </c>
      <c r="BG42" s="233">
        <f>F42*AN42</f>
        <v>0</v>
      </c>
      <c r="BH42" s="233">
        <f>F42*G42</f>
        <v>0</v>
      </c>
      <c r="BI42" s="233"/>
      <c r="BJ42" s="233">
        <v>13</v>
      </c>
      <c r="BU42" s="233" t="e">
        <f>#REF!</f>
        <v>#REF!</v>
      </c>
      <c r="BV42" s="225" t="s">
        <v>217</v>
      </c>
    </row>
    <row r="43" spans="1:74" ht="13.5" customHeight="1" x14ac:dyDescent="0.3">
      <c r="A43" s="241"/>
      <c r="B43" s="242" t="s">
        <v>165</v>
      </c>
      <c r="C43" s="530" t="s">
        <v>218</v>
      </c>
      <c r="D43" s="531"/>
      <c r="E43" s="531"/>
      <c r="F43" s="531"/>
      <c r="G43" s="531"/>
      <c r="H43" s="531"/>
      <c r="I43" s="531"/>
      <c r="J43" s="531"/>
      <c r="K43" s="531"/>
      <c r="L43" s="531"/>
      <c r="M43" s="532"/>
    </row>
    <row r="44" spans="1:74" ht="14.4" x14ac:dyDescent="0.3">
      <c r="A44" s="239" t="s">
        <v>161</v>
      </c>
      <c r="B44" s="223" t="s">
        <v>483</v>
      </c>
      <c r="C44" s="521" t="s">
        <v>484</v>
      </c>
      <c r="D44" s="519"/>
      <c r="E44" s="223" t="s">
        <v>196</v>
      </c>
      <c r="F44" s="233">
        <v>2.75</v>
      </c>
      <c r="G44" s="311">
        <v>0</v>
      </c>
      <c r="H44" s="233">
        <f>F44*AM44</f>
        <v>0</v>
      </c>
      <c r="I44" s="233">
        <f>F44*AN44</f>
        <v>0</v>
      </c>
      <c r="J44" s="233">
        <f>F44*G44</f>
        <v>0</v>
      </c>
      <c r="K44" s="233">
        <v>0</v>
      </c>
      <c r="L44" s="233">
        <f>F44*K44</f>
        <v>0</v>
      </c>
      <c r="M44" s="240" t="s">
        <v>472</v>
      </c>
      <c r="X44" s="233">
        <f>IF(AO44="5",BH44,0)</f>
        <v>0</v>
      </c>
      <c r="Z44" s="233">
        <f>IF(AO44="1",BF44,0)</f>
        <v>0</v>
      </c>
      <c r="AA44" s="233">
        <f>IF(AO44="1",BG44,0)</f>
        <v>0</v>
      </c>
      <c r="AB44" s="233">
        <f>IF(AO44="7",BF44,0)</f>
        <v>0</v>
      </c>
      <c r="AC44" s="233">
        <f>IF(AO44="7",BG44,0)</f>
        <v>0</v>
      </c>
      <c r="AD44" s="233">
        <f>IF(AO44="2",BF44,0)</f>
        <v>0</v>
      </c>
      <c r="AE44" s="233">
        <f>IF(AO44="2",BG44,0)</f>
        <v>0</v>
      </c>
      <c r="AF44" s="233">
        <f>IF(AO44="0",BH44,0)</f>
        <v>0</v>
      </c>
      <c r="AG44" s="229" t="s">
        <v>154</v>
      </c>
      <c r="AH44" s="233">
        <f>IF(AL44=0,J44,0)</f>
        <v>0</v>
      </c>
      <c r="AI44" s="233">
        <f>IF(AL44=15,J44,0)</f>
        <v>0</v>
      </c>
      <c r="AJ44" s="233">
        <f>IF(AL44=21,J44,0)</f>
        <v>0</v>
      </c>
      <c r="AL44" s="233">
        <v>21</v>
      </c>
      <c r="AM44" s="233">
        <f>G44*0</f>
        <v>0</v>
      </c>
      <c r="AN44" s="233">
        <f>G44*(1-0)</f>
        <v>0</v>
      </c>
      <c r="AO44" s="234" t="s">
        <v>157</v>
      </c>
      <c r="AT44" s="233">
        <f>AU44+AV44</f>
        <v>0</v>
      </c>
      <c r="AU44" s="233">
        <f>F44*AM44</f>
        <v>0</v>
      </c>
      <c r="AV44" s="233">
        <f>F44*AN44</f>
        <v>0</v>
      </c>
      <c r="AW44" s="234" t="s">
        <v>205</v>
      </c>
      <c r="AX44" s="234" t="s">
        <v>163</v>
      </c>
      <c r="AY44" s="229" t="s">
        <v>164</v>
      </c>
      <c r="BA44" s="233">
        <f>AU44+AV44</f>
        <v>0</v>
      </c>
      <c r="BB44" s="233">
        <f>G44/(100-BC44)*100</f>
        <v>0</v>
      </c>
      <c r="BC44" s="233">
        <v>0</v>
      </c>
      <c r="BD44" s="233">
        <f>L44</f>
        <v>0</v>
      </c>
      <c r="BF44" s="233">
        <f>F44*AM44</f>
        <v>0</v>
      </c>
      <c r="BG44" s="233">
        <f>F44*AN44</f>
        <v>0</v>
      </c>
      <c r="BH44" s="233">
        <f>F44*G44</f>
        <v>0</v>
      </c>
      <c r="BI44" s="233"/>
      <c r="BJ44" s="233">
        <v>13</v>
      </c>
      <c r="BU44" s="233" t="e">
        <f>#REF!</f>
        <v>#REF!</v>
      </c>
      <c r="BV44" s="225" t="s">
        <v>484</v>
      </c>
    </row>
    <row r="45" spans="1:74" ht="40.5" customHeight="1" x14ac:dyDescent="0.3">
      <c r="A45" s="241"/>
      <c r="B45" s="242" t="s">
        <v>165</v>
      </c>
      <c r="C45" s="530" t="s">
        <v>1404</v>
      </c>
      <c r="D45" s="531"/>
      <c r="E45" s="531"/>
      <c r="F45" s="531"/>
      <c r="G45" s="531"/>
      <c r="H45" s="531"/>
      <c r="I45" s="531"/>
      <c r="J45" s="531"/>
      <c r="K45" s="531"/>
      <c r="L45" s="531"/>
      <c r="M45" s="532"/>
    </row>
    <row r="46" spans="1:74" ht="14.4" x14ac:dyDescent="0.3">
      <c r="A46" s="239" t="s">
        <v>215</v>
      </c>
      <c r="B46" s="223" t="s">
        <v>888</v>
      </c>
      <c r="C46" s="521" t="s">
        <v>889</v>
      </c>
      <c r="D46" s="519"/>
      <c r="E46" s="223" t="s">
        <v>196</v>
      </c>
      <c r="F46" s="233">
        <v>272.32</v>
      </c>
      <c r="G46" s="311">
        <v>0</v>
      </c>
      <c r="H46" s="233">
        <f>F46*AM46</f>
        <v>0</v>
      </c>
      <c r="I46" s="233">
        <f>F46*AN46</f>
        <v>0</v>
      </c>
      <c r="J46" s="233">
        <f>F46*G46</f>
        <v>0</v>
      </c>
      <c r="K46" s="233">
        <v>0</v>
      </c>
      <c r="L46" s="233">
        <f>F46*K46</f>
        <v>0</v>
      </c>
      <c r="M46" s="240" t="s">
        <v>472</v>
      </c>
      <c r="X46" s="233">
        <f>IF(AO46="5",BH46,0)</f>
        <v>0</v>
      </c>
      <c r="Z46" s="233">
        <f>IF(AO46="1",BF46,0)</f>
        <v>0</v>
      </c>
      <c r="AA46" s="233">
        <f>IF(AO46="1",BG46,0)</f>
        <v>0</v>
      </c>
      <c r="AB46" s="233">
        <f>IF(AO46="7",BF46,0)</f>
        <v>0</v>
      </c>
      <c r="AC46" s="233">
        <f>IF(AO46="7",BG46,0)</f>
        <v>0</v>
      </c>
      <c r="AD46" s="233">
        <f>IF(AO46="2",BF46,0)</f>
        <v>0</v>
      </c>
      <c r="AE46" s="233">
        <f>IF(AO46="2",BG46,0)</f>
        <v>0</v>
      </c>
      <c r="AF46" s="233">
        <f>IF(AO46="0",BH46,0)</f>
        <v>0</v>
      </c>
      <c r="AG46" s="229" t="s">
        <v>154</v>
      </c>
      <c r="AH46" s="233">
        <f>IF(AL46=0,J46,0)</f>
        <v>0</v>
      </c>
      <c r="AI46" s="233">
        <f>IF(AL46=15,J46,0)</f>
        <v>0</v>
      </c>
      <c r="AJ46" s="233">
        <f>IF(AL46=21,J46,0)</f>
        <v>0</v>
      </c>
      <c r="AL46" s="233">
        <v>21</v>
      </c>
      <c r="AM46" s="233">
        <f>G46*0</f>
        <v>0</v>
      </c>
      <c r="AN46" s="233">
        <f>G46*(1-0)</f>
        <v>0</v>
      </c>
      <c r="AO46" s="234" t="s">
        <v>157</v>
      </c>
      <c r="AT46" s="233">
        <f>AU46+AV46</f>
        <v>0</v>
      </c>
      <c r="AU46" s="233">
        <f>F46*AM46</f>
        <v>0</v>
      </c>
      <c r="AV46" s="233">
        <f>F46*AN46</f>
        <v>0</v>
      </c>
      <c r="AW46" s="234" t="s">
        <v>205</v>
      </c>
      <c r="AX46" s="234" t="s">
        <v>163</v>
      </c>
      <c r="AY46" s="229" t="s">
        <v>164</v>
      </c>
      <c r="BA46" s="233">
        <f>AU46+AV46</f>
        <v>0</v>
      </c>
      <c r="BB46" s="233">
        <f>G46/(100-BC46)*100</f>
        <v>0</v>
      </c>
      <c r="BC46" s="233">
        <v>0</v>
      </c>
      <c r="BD46" s="233">
        <f>L46</f>
        <v>0</v>
      </c>
      <c r="BF46" s="233">
        <f>F46*AM46</f>
        <v>0</v>
      </c>
      <c r="BG46" s="233">
        <f>F46*AN46</f>
        <v>0</v>
      </c>
      <c r="BH46" s="233">
        <f>F46*G46</f>
        <v>0</v>
      </c>
      <c r="BI46" s="233"/>
      <c r="BJ46" s="233">
        <v>13</v>
      </c>
      <c r="BU46" s="233" t="e">
        <f>#REF!</f>
        <v>#REF!</v>
      </c>
      <c r="BV46" s="225" t="s">
        <v>889</v>
      </c>
    </row>
    <row r="47" spans="1:74" ht="40.5" customHeight="1" x14ac:dyDescent="0.3">
      <c r="A47" s="241"/>
      <c r="B47" s="242" t="s">
        <v>165</v>
      </c>
      <c r="C47" s="530" t="s">
        <v>1672</v>
      </c>
      <c r="D47" s="531"/>
      <c r="E47" s="531"/>
      <c r="F47" s="531"/>
      <c r="G47" s="531"/>
      <c r="H47" s="531"/>
      <c r="I47" s="531"/>
      <c r="J47" s="531"/>
      <c r="K47" s="531"/>
      <c r="L47" s="531"/>
      <c r="M47" s="532"/>
    </row>
    <row r="48" spans="1:74" ht="14.4" x14ac:dyDescent="0.3">
      <c r="A48" s="239" t="s">
        <v>154</v>
      </c>
      <c r="B48" s="224" t="s">
        <v>161</v>
      </c>
      <c r="C48" s="526" t="s">
        <v>219</v>
      </c>
      <c r="D48" s="527"/>
      <c r="E48" s="223" t="s">
        <v>114</v>
      </c>
      <c r="F48" s="223" t="s">
        <v>114</v>
      </c>
      <c r="G48" s="223" t="s">
        <v>114</v>
      </c>
      <c r="H48" s="235">
        <f>SUM(H49:H51)</f>
        <v>0</v>
      </c>
      <c r="I48" s="235">
        <f>SUM(I49:I51)</f>
        <v>0</v>
      </c>
      <c r="J48" s="235">
        <f>SUM(J49:J51)</f>
        <v>0</v>
      </c>
      <c r="K48" s="230" t="s">
        <v>154</v>
      </c>
      <c r="L48" s="235">
        <f>SUM(L49:L51)</f>
        <v>0.44803419999999999</v>
      </c>
      <c r="M48" s="243" t="s">
        <v>154</v>
      </c>
      <c r="AG48" s="229" t="s">
        <v>154</v>
      </c>
      <c r="AQ48" s="222">
        <f>SUM(AH49:AH51)</f>
        <v>0</v>
      </c>
      <c r="AR48" s="222">
        <f>SUM(AI49:AI51)</f>
        <v>0</v>
      </c>
      <c r="AS48" s="222">
        <f>SUM(AJ49:AJ51)</f>
        <v>0</v>
      </c>
    </row>
    <row r="49" spans="1:74" ht="14.4" x14ac:dyDescent="0.3">
      <c r="A49" s="239" t="s">
        <v>220</v>
      </c>
      <c r="B49" s="223" t="s">
        <v>221</v>
      </c>
      <c r="C49" s="521" t="s">
        <v>222</v>
      </c>
      <c r="D49" s="519"/>
      <c r="E49" s="223" t="s">
        <v>180</v>
      </c>
      <c r="F49" s="233">
        <v>520.97</v>
      </c>
      <c r="G49" s="311">
        <v>0</v>
      </c>
      <c r="H49" s="233">
        <f>F49*AM49</f>
        <v>0</v>
      </c>
      <c r="I49" s="233">
        <f>F49*AN49</f>
        <v>0</v>
      </c>
      <c r="J49" s="233">
        <f>F49*G49</f>
        <v>0</v>
      </c>
      <c r="K49" s="233">
        <v>8.5999999999999998E-4</v>
      </c>
      <c r="L49" s="233">
        <f>F49*K49</f>
        <v>0.44803419999999999</v>
      </c>
      <c r="M49" s="240" t="s">
        <v>472</v>
      </c>
      <c r="X49" s="233">
        <f>IF(AO49="5",BH49,0)</f>
        <v>0</v>
      </c>
      <c r="Z49" s="233">
        <f>IF(AO49="1",BF49,0)</f>
        <v>0</v>
      </c>
      <c r="AA49" s="233">
        <f>IF(AO49="1",BG49,0)</f>
        <v>0</v>
      </c>
      <c r="AB49" s="233">
        <f>IF(AO49="7",BF49,0)</f>
        <v>0</v>
      </c>
      <c r="AC49" s="233">
        <f>IF(AO49="7",BG49,0)</f>
        <v>0</v>
      </c>
      <c r="AD49" s="233">
        <f>IF(AO49="2",BF49,0)</f>
        <v>0</v>
      </c>
      <c r="AE49" s="233">
        <f>IF(AO49="2",BG49,0)</f>
        <v>0</v>
      </c>
      <c r="AF49" s="233">
        <f>IF(AO49="0",BH49,0)</f>
        <v>0</v>
      </c>
      <c r="AG49" s="229" t="s">
        <v>154</v>
      </c>
      <c r="AH49" s="233">
        <f>IF(AL49=0,J49,0)</f>
        <v>0</v>
      </c>
      <c r="AI49" s="233">
        <f>IF(AL49=15,J49,0)</f>
        <v>0</v>
      </c>
      <c r="AJ49" s="233">
        <f>IF(AL49=21,J49,0)</f>
        <v>0</v>
      </c>
      <c r="AL49" s="233">
        <v>21</v>
      </c>
      <c r="AM49" s="233">
        <f>G49*0.083527419</f>
        <v>0</v>
      </c>
      <c r="AN49" s="233">
        <f>G49*(1-0.083527419)</f>
        <v>0</v>
      </c>
      <c r="AO49" s="234" t="s">
        <v>157</v>
      </c>
      <c r="AT49" s="233">
        <f>AU49+AV49</f>
        <v>0</v>
      </c>
      <c r="AU49" s="233">
        <f>F49*AM49</f>
        <v>0</v>
      </c>
      <c r="AV49" s="233">
        <f>F49*AN49</f>
        <v>0</v>
      </c>
      <c r="AW49" s="234" t="s">
        <v>223</v>
      </c>
      <c r="AX49" s="234" t="s">
        <v>163</v>
      </c>
      <c r="AY49" s="229" t="s">
        <v>164</v>
      </c>
      <c r="BA49" s="233">
        <f>AU49+AV49</f>
        <v>0</v>
      </c>
      <c r="BB49" s="233">
        <f>G49/(100-BC49)*100</f>
        <v>0</v>
      </c>
      <c r="BC49" s="233">
        <v>0</v>
      </c>
      <c r="BD49" s="233">
        <f>L49</f>
        <v>0.44803419999999999</v>
      </c>
      <c r="BF49" s="233">
        <f>F49*AM49</f>
        <v>0</v>
      </c>
      <c r="BG49" s="233">
        <f>F49*AN49</f>
        <v>0</v>
      </c>
      <c r="BH49" s="233">
        <f>F49*G49</f>
        <v>0</v>
      </c>
      <c r="BI49" s="233"/>
      <c r="BJ49" s="233">
        <v>15</v>
      </c>
      <c r="BU49" s="233" t="e">
        <f>#REF!</f>
        <v>#REF!</v>
      </c>
      <c r="BV49" s="225" t="s">
        <v>222</v>
      </c>
    </row>
    <row r="50" spans="1:74" ht="40.5" customHeight="1" x14ac:dyDescent="0.3">
      <c r="A50" s="241"/>
      <c r="B50" s="242" t="s">
        <v>165</v>
      </c>
      <c r="C50" s="530" t="s">
        <v>1673</v>
      </c>
      <c r="D50" s="531"/>
      <c r="E50" s="531"/>
      <c r="F50" s="531"/>
      <c r="G50" s="531"/>
      <c r="H50" s="531"/>
      <c r="I50" s="531"/>
      <c r="J50" s="531"/>
      <c r="K50" s="531"/>
      <c r="L50" s="531"/>
      <c r="M50" s="532"/>
    </row>
    <row r="51" spans="1:74" ht="14.4" x14ac:dyDescent="0.3">
      <c r="A51" s="239" t="s">
        <v>224</v>
      </c>
      <c r="B51" s="223" t="s">
        <v>225</v>
      </c>
      <c r="C51" s="521" t="s">
        <v>226</v>
      </c>
      <c r="D51" s="519"/>
      <c r="E51" s="223" t="s">
        <v>180</v>
      </c>
      <c r="F51" s="233">
        <v>520.97</v>
      </c>
      <c r="G51" s="311">
        <v>0</v>
      </c>
      <c r="H51" s="233">
        <f>F51*AM51</f>
        <v>0</v>
      </c>
      <c r="I51" s="233">
        <f>F51*AN51</f>
        <v>0</v>
      </c>
      <c r="J51" s="233">
        <f>F51*G51</f>
        <v>0</v>
      </c>
      <c r="K51" s="233">
        <v>0</v>
      </c>
      <c r="L51" s="233">
        <f>F51*K51</f>
        <v>0</v>
      </c>
      <c r="M51" s="240" t="s">
        <v>472</v>
      </c>
      <c r="X51" s="233">
        <f>IF(AO51="5",BH51,0)</f>
        <v>0</v>
      </c>
      <c r="Z51" s="233">
        <f>IF(AO51="1",BF51,0)</f>
        <v>0</v>
      </c>
      <c r="AA51" s="233">
        <f>IF(AO51="1",BG51,0)</f>
        <v>0</v>
      </c>
      <c r="AB51" s="233">
        <f>IF(AO51="7",BF51,0)</f>
        <v>0</v>
      </c>
      <c r="AC51" s="233">
        <f>IF(AO51="7",BG51,0)</f>
        <v>0</v>
      </c>
      <c r="AD51" s="233">
        <f>IF(AO51="2",BF51,0)</f>
        <v>0</v>
      </c>
      <c r="AE51" s="233">
        <f>IF(AO51="2",BG51,0)</f>
        <v>0</v>
      </c>
      <c r="AF51" s="233">
        <f>IF(AO51="0",BH51,0)</f>
        <v>0</v>
      </c>
      <c r="AG51" s="229" t="s">
        <v>154</v>
      </c>
      <c r="AH51" s="233">
        <f>IF(AL51=0,J51,0)</f>
        <v>0</v>
      </c>
      <c r="AI51" s="233">
        <f>IF(AL51=15,J51,0)</f>
        <v>0</v>
      </c>
      <c r="AJ51" s="233">
        <f>IF(AL51=21,J51,0)</f>
        <v>0</v>
      </c>
      <c r="AL51" s="233">
        <v>21</v>
      </c>
      <c r="AM51" s="233">
        <f>G51*0</f>
        <v>0</v>
      </c>
      <c r="AN51" s="233">
        <f>G51*(1-0)</f>
        <v>0</v>
      </c>
      <c r="AO51" s="234" t="s">
        <v>157</v>
      </c>
      <c r="AT51" s="233">
        <f>AU51+AV51</f>
        <v>0</v>
      </c>
      <c r="AU51" s="233">
        <f>F51*AM51</f>
        <v>0</v>
      </c>
      <c r="AV51" s="233">
        <f>F51*AN51</f>
        <v>0</v>
      </c>
      <c r="AW51" s="234" t="s">
        <v>223</v>
      </c>
      <c r="AX51" s="234" t="s">
        <v>163</v>
      </c>
      <c r="AY51" s="229" t="s">
        <v>164</v>
      </c>
      <c r="BA51" s="233">
        <f>AU51+AV51</f>
        <v>0</v>
      </c>
      <c r="BB51" s="233">
        <f>G51/(100-BC51)*100</f>
        <v>0</v>
      </c>
      <c r="BC51" s="233">
        <v>0</v>
      </c>
      <c r="BD51" s="233">
        <f>L51</f>
        <v>0</v>
      </c>
      <c r="BF51" s="233">
        <f>F51*AM51</f>
        <v>0</v>
      </c>
      <c r="BG51" s="233">
        <f>F51*AN51</f>
        <v>0</v>
      </c>
      <c r="BH51" s="233">
        <f>F51*G51</f>
        <v>0</v>
      </c>
      <c r="BI51" s="233"/>
      <c r="BJ51" s="233">
        <v>15</v>
      </c>
      <c r="BU51" s="233" t="e">
        <f>#REF!</f>
        <v>#REF!</v>
      </c>
      <c r="BV51" s="225" t="s">
        <v>226</v>
      </c>
    </row>
    <row r="52" spans="1:74" ht="40.5" customHeight="1" x14ac:dyDescent="0.3">
      <c r="A52" s="241"/>
      <c r="B52" s="242" t="s">
        <v>165</v>
      </c>
      <c r="C52" s="530" t="s">
        <v>1674</v>
      </c>
      <c r="D52" s="531"/>
      <c r="E52" s="531"/>
      <c r="F52" s="531"/>
      <c r="G52" s="531"/>
      <c r="H52" s="531"/>
      <c r="I52" s="531"/>
      <c r="J52" s="531"/>
      <c r="K52" s="531"/>
      <c r="L52" s="531"/>
      <c r="M52" s="532"/>
    </row>
    <row r="53" spans="1:74" ht="14.4" x14ac:dyDescent="0.3">
      <c r="A53" s="239" t="s">
        <v>154</v>
      </c>
      <c r="B53" s="224" t="s">
        <v>215</v>
      </c>
      <c r="C53" s="526" t="s">
        <v>227</v>
      </c>
      <c r="D53" s="527"/>
      <c r="E53" s="223" t="s">
        <v>114</v>
      </c>
      <c r="F53" s="223" t="s">
        <v>114</v>
      </c>
      <c r="G53" s="223" t="s">
        <v>114</v>
      </c>
      <c r="H53" s="235">
        <f>SUM(H54:H68)</f>
        <v>0</v>
      </c>
      <c r="I53" s="235">
        <f>SUM(I54:I68)</f>
        <v>0</v>
      </c>
      <c r="J53" s="235">
        <f>SUM(J54:J68)</f>
        <v>0</v>
      </c>
      <c r="K53" s="230" t="s">
        <v>154</v>
      </c>
      <c r="L53" s="235">
        <f>SUM(L54:L68)</f>
        <v>0</v>
      </c>
      <c r="M53" s="243" t="s">
        <v>154</v>
      </c>
      <c r="AG53" s="229" t="s">
        <v>154</v>
      </c>
      <c r="AQ53" s="222">
        <f>SUM(AH54:AH68)</f>
        <v>0</v>
      </c>
      <c r="AR53" s="222">
        <f>SUM(AI54:AI68)</f>
        <v>0</v>
      </c>
      <c r="AS53" s="222">
        <f>SUM(AJ54:AJ68)</f>
        <v>0</v>
      </c>
    </row>
    <row r="54" spans="1:74" ht="14.4" x14ac:dyDescent="0.3">
      <c r="A54" s="239" t="s">
        <v>228</v>
      </c>
      <c r="B54" s="223" t="s">
        <v>229</v>
      </c>
      <c r="C54" s="521" t="s">
        <v>230</v>
      </c>
      <c r="D54" s="519"/>
      <c r="E54" s="223" t="s">
        <v>196</v>
      </c>
      <c r="F54" s="233">
        <v>7.14</v>
      </c>
      <c r="G54" s="311">
        <v>0</v>
      </c>
      <c r="H54" s="233">
        <f>F54*AM54</f>
        <v>0</v>
      </c>
      <c r="I54" s="233">
        <f>F54*AN54</f>
        <v>0</v>
      </c>
      <c r="J54" s="233">
        <f>F54*G54</f>
        <v>0</v>
      </c>
      <c r="K54" s="233">
        <v>0</v>
      </c>
      <c r="L54" s="233">
        <f>F54*K54</f>
        <v>0</v>
      </c>
      <c r="M54" s="240" t="s">
        <v>472</v>
      </c>
      <c r="X54" s="233">
        <f>IF(AO54="5",BH54,0)</f>
        <v>0</v>
      </c>
      <c r="Z54" s="233">
        <f>IF(AO54="1",BF54,0)</f>
        <v>0</v>
      </c>
      <c r="AA54" s="233">
        <f>IF(AO54="1",BG54,0)</f>
        <v>0</v>
      </c>
      <c r="AB54" s="233">
        <f>IF(AO54="7",BF54,0)</f>
        <v>0</v>
      </c>
      <c r="AC54" s="233">
        <f>IF(AO54="7",BG54,0)</f>
        <v>0</v>
      </c>
      <c r="AD54" s="233">
        <f>IF(AO54="2",BF54,0)</f>
        <v>0</v>
      </c>
      <c r="AE54" s="233">
        <f>IF(AO54="2",BG54,0)</f>
        <v>0</v>
      </c>
      <c r="AF54" s="233">
        <f>IF(AO54="0",BH54,0)</f>
        <v>0</v>
      </c>
      <c r="AG54" s="229" t="s">
        <v>154</v>
      </c>
      <c r="AH54" s="233">
        <f>IF(AL54=0,J54,0)</f>
        <v>0</v>
      </c>
      <c r="AI54" s="233">
        <f>IF(AL54=15,J54,0)</f>
        <v>0</v>
      </c>
      <c r="AJ54" s="233">
        <f>IF(AL54=21,J54,0)</f>
        <v>0</v>
      </c>
      <c r="AL54" s="233">
        <v>21</v>
      </c>
      <c r="AM54" s="233">
        <f>G54*0</f>
        <v>0</v>
      </c>
      <c r="AN54" s="233">
        <f>G54*(1-0)</f>
        <v>0</v>
      </c>
      <c r="AO54" s="234" t="s">
        <v>157</v>
      </c>
      <c r="AT54" s="233">
        <f>AU54+AV54</f>
        <v>0</v>
      </c>
      <c r="AU54" s="233">
        <f>F54*AM54</f>
        <v>0</v>
      </c>
      <c r="AV54" s="233">
        <f>F54*AN54</f>
        <v>0</v>
      </c>
      <c r="AW54" s="234" t="s">
        <v>231</v>
      </c>
      <c r="AX54" s="234" t="s">
        <v>163</v>
      </c>
      <c r="AY54" s="229" t="s">
        <v>164</v>
      </c>
      <c r="BA54" s="233">
        <f>AU54+AV54</f>
        <v>0</v>
      </c>
      <c r="BB54" s="233">
        <f>G54/(100-BC54)*100</f>
        <v>0</v>
      </c>
      <c r="BC54" s="233">
        <v>0</v>
      </c>
      <c r="BD54" s="233">
        <f>L54</f>
        <v>0</v>
      </c>
      <c r="BF54" s="233">
        <f>F54*AM54</f>
        <v>0</v>
      </c>
      <c r="BG54" s="233">
        <f>F54*AN54</f>
        <v>0</v>
      </c>
      <c r="BH54" s="233">
        <f>F54*G54</f>
        <v>0</v>
      </c>
      <c r="BI54" s="233"/>
      <c r="BJ54" s="233">
        <v>16</v>
      </c>
      <c r="BU54" s="233" t="e">
        <f>#REF!</f>
        <v>#REF!</v>
      </c>
      <c r="BV54" s="225" t="s">
        <v>230</v>
      </c>
    </row>
    <row r="55" spans="1:74" ht="54" customHeight="1" x14ac:dyDescent="0.3">
      <c r="A55" s="244"/>
      <c r="B55" s="245" t="s">
        <v>165</v>
      </c>
      <c r="C55" s="540" t="s">
        <v>1675</v>
      </c>
      <c r="D55" s="541"/>
      <c r="E55" s="541"/>
      <c r="F55" s="541"/>
      <c r="G55" s="541"/>
      <c r="H55" s="541"/>
      <c r="I55" s="541"/>
      <c r="J55" s="541"/>
      <c r="K55" s="541"/>
      <c r="L55" s="541"/>
      <c r="M55" s="542"/>
    </row>
    <row r="56" spans="1:74" ht="14.4" x14ac:dyDescent="0.3">
      <c r="A56" s="237" t="s">
        <v>232</v>
      </c>
      <c r="B56" s="238" t="s">
        <v>233</v>
      </c>
      <c r="C56" s="543" t="s">
        <v>234</v>
      </c>
      <c r="D56" s="544"/>
      <c r="E56" s="238" t="s">
        <v>196</v>
      </c>
      <c r="F56" s="258">
        <v>0.97</v>
      </c>
      <c r="G56" s="311">
        <v>0</v>
      </c>
      <c r="H56" s="258">
        <f>F56*AM56</f>
        <v>0</v>
      </c>
      <c r="I56" s="258">
        <f>F56*AN56</f>
        <v>0</v>
      </c>
      <c r="J56" s="258">
        <f>F56*G56</f>
        <v>0</v>
      </c>
      <c r="K56" s="258">
        <v>0</v>
      </c>
      <c r="L56" s="258">
        <f>F56*K56</f>
        <v>0</v>
      </c>
      <c r="M56" s="259" t="s">
        <v>472</v>
      </c>
      <c r="X56" s="233">
        <f>IF(AO56="5",BH56,0)</f>
        <v>0</v>
      </c>
      <c r="Z56" s="233">
        <f>IF(AO56="1",BF56,0)</f>
        <v>0</v>
      </c>
      <c r="AA56" s="233">
        <f>IF(AO56="1",BG56,0)</f>
        <v>0</v>
      </c>
      <c r="AB56" s="233">
        <f>IF(AO56="7",BF56,0)</f>
        <v>0</v>
      </c>
      <c r="AC56" s="233">
        <f>IF(AO56="7",BG56,0)</f>
        <v>0</v>
      </c>
      <c r="AD56" s="233">
        <f>IF(AO56="2",BF56,0)</f>
        <v>0</v>
      </c>
      <c r="AE56" s="233">
        <f>IF(AO56="2",BG56,0)</f>
        <v>0</v>
      </c>
      <c r="AF56" s="233">
        <f>IF(AO56="0",BH56,0)</f>
        <v>0</v>
      </c>
      <c r="AG56" s="229" t="s">
        <v>154</v>
      </c>
      <c r="AH56" s="233">
        <f>IF(AL56=0,J56,0)</f>
        <v>0</v>
      </c>
      <c r="AI56" s="233">
        <f>IF(AL56=15,J56,0)</f>
        <v>0</v>
      </c>
      <c r="AJ56" s="233">
        <f>IF(AL56=21,J56,0)</f>
        <v>0</v>
      </c>
      <c r="AL56" s="233">
        <v>21</v>
      </c>
      <c r="AM56" s="233">
        <f>G56*0</f>
        <v>0</v>
      </c>
      <c r="AN56" s="233">
        <f>G56*(1-0)</f>
        <v>0</v>
      </c>
      <c r="AO56" s="234" t="s">
        <v>157</v>
      </c>
      <c r="AT56" s="233">
        <f>AU56+AV56</f>
        <v>0</v>
      </c>
      <c r="AU56" s="233">
        <f>F56*AM56</f>
        <v>0</v>
      </c>
      <c r="AV56" s="233">
        <f>F56*AN56</f>
        <v>0</v>
      </c>
      <c r="AW56" s="234" t="s">
        <v>231</v>
      </c>
      <c r="AX56" s="234" t="s">
        <v>163</v>
      </c>
      <c r="AY56" s="229" t="s">
        <v>164</v>
      </c>
      <c r="BA56" s="233">
        <f>AU56+AV56</f>
        <v>0</v>
      </c>
      <c r="BB56" s="233">
        <f>G56/(100-BC56)*100</f>
        <v>0</v>
      </c>
      <c r="BC56" s="233">
        <v>0</v>
      </c>
      <c r="BD56" s="233">
        <f>L56</f>
        <v>0</v>
      </c>
      <c r="BF56" s="233">
        <f>F56*AM56</f>
        <v>0</v>
      </c>
      <c r="BG56" s="233">
        <f>F56*AN56</f>
        <v>0</v>
      </c>
      <c r="BH56" s="233">
        <f>F56*G56</f>
        <v>0</v>
      </c>
      <c r="BI56" s="233"/>
      <c r="BJ56" s="233">
        <v>16</v>
      </c>
      <c r="BU56" s="233" t="e">
        <f>#REF!</f>
        <v>#REF!</v>
      </c>
      <c r="BV56" s="225" t="s">
        <v>234</v>
      </c>
    </row>
    <row r="57" spans="1:74" ht="67.5" customHeight="1" x14ac:dyDescent="0.3">
      <c r="A57" s="241"/>
      <c r="B57" s="242" t="s">
        <v>165</v>
      </c>
      <c r="C57" s="530" t="s">
        <v>1676</v>
      </c>
      <c r="D57" s="531"/>
      <c r="E57" s="531"/>
      <c r="F57" s="531"/>
      <c r="G57" s="531"/>
      <c r="H57" s="531"/>
      <c r="I57" s="531"/>
      <c r="J57" s="531"/>
      <c r="K57" s="531"/>
      <c r="L57" s="531"/>
      <c r="M57" s="532"/>
    </row>
    <row r="58" spans="1:74" ht="14.4" x14ac:dyDescent="0.3">
      <c r="A58" s="239" t="s">
        <v>235</v>
      </c>
      <c r="B58" s="223" t="s">
        <v>503</v>
      </c>
      <c r="C58" s="521" t="s">
        <v>237</v>
      </c>
      <c r="D58" s="519"/>
      <c r="E58" s="223" t="s">
        <v>196</v>
      </c>
      <c r="F58" s="233">
        <v>107.02</v>
      </c>
      <c r="G58" s="311">
        <v>0</v>
      </c>
      <c r="H58" s="233">
        <f>F58*AM58</f>
        <v>0</v>
      </c>
      <c r="I58" s="233">
        <f>F58*AN58</f>
        <v>0</v>
      </c>
      <c r="J58" s="233">
        <f>F58*G58</f>
        <v>0</v>
      </c>
      <c r="K58" s="233">
        <v>0</v>
      </c>
      <c r="L58" s="233">
        <f>F58*K58</f>
        <v>0</v>
      </c>
      <c r="M58" s="240" t="s">
        <v>472</v>
      </c>
      <c r="X58" s="233">
        <f>IF(AO58="5",BH58,0)</f>
        <v>0</v>
      </c>
      <c r="Z58" s="233">
        <f>IF(AO58="1",BF58,0)</f>
        <v>0</v>
      </c>
      <c r="AA58" s="233">
        <f>IF(AO58="1",BG58,0)</f>
        <v>0</v>
      </c>
      <c r="AB58" s="233">
        <f>IF(AO58="7",BF58,0)</f>
        <v>0</v>
      </c>
      <c r="AC58" s="233">
        <f>IF(AO58="7",BG58,0)</f>
        <v>0</v>
      </c>
      <c r="AD58" s="233">
        <f>IF(AO58="2",BF58,0)</f>
        <v>0</v>
      </c>
      <c r="AE58" s="233">
        <f>IF(AO58="2",BG58,0)</f>
        <v>0</v>
      </c>
      <c r="AF58" s="233">
        <f>IF(AO58="0",BH58,0)</f>
        <v>0</v>
      </c>
      <c r="AG58" s="229" t="s">
        <v>154</v>
      </c>
      <c r="AH58" s="233">
        <f>IF(AL58=0,J58,0)</f>
        <v>0</v>
      </c>
      <c r="AI58" s="233">
        <f>IF(AL58=15,J58,0)</f>
        <v>0</v>
      </c>
      <c r="AJ58" s="233">
        <f>IF(AL58=21,J58,0)</f>
        <v>0</v>
      </c>
      <c r="AL58" s="233">
        <v>21</v>
      </c>
      <c r="AM58" s="233">
        <f>G58*0</f>
        <v>0</v>
      </c>
      <c r="AN58" s="233">
        <f>G58*(1-0)</f>
        <v>0</v>
      </c>
      <c r="AO58" s="234" t="s">
        <v>157</v>
      </c>
      <c r="AT58" s="233">
        <f>AU58+AV58</f>
        <v>0</v>
      </c>
      <c r="AU58" s="233">
        <f>F58*AM58</f>
        <v>0</v>
      </c>
      <c r="AV58" s="233">
        <f>F58*AN58</f>
        <v>0</v>
      </c>
      <c r="AW58" s="234" t="s">
        <v>231</v>
      </c>
      <c r="AX58" s="234" t="s">
        <v>163</v>
      </c>
      <c r="AY58" s="229" t="s">
        <v>164</v>
      </c>
      <c r="BA58" s="233">
        <f>AU58+AV58</f>
        <v>0</v>
      </c>
      <c r="BB58" s="233">
        <f>G58/(100-BC58)*100</f>
        <v>0</v>
      </c>
      <c r="BC58" s="233">
        <v>0</v>
      </c>
      <c r="BD58" s="233">
        <f>L58</f>
        <v>0</v>
      </c>
      <c r="BF58" s="233">
        <f>F58*AM58</f>
        <v>0</v>
      </c>
      <c r="BG58" s="233">
        <f>F58*AN58</f>
        <v>0</v>
      </c>
      <c r="BH58" s="233">
        <f>F58*G58</f>
        <v>0</v>
      </c>
      <c r="BI58" s="233"/>
      <c r="BJ58" s="233">
        <v>16</v>
      </c>
      <c r="BU58" s="233" t="e">
        <f>#REF!</f>
        <v>#REF!</v>
      </c>
      <c r="BV58" s="225" t="s">
        <v>237</v>
      </c>
    </row>
    <row r="59" spans="1:74" ht="67.5" customHeight="1" x14ac:dyDescent="0.3">
      <c r="A59" s="241"/>
      <c r="B59" s="242" t="s">
        <v>165</v>
      </c>
      <c r="C59" s="530" t="s">
        <v>1677</v>
      </c>
      <c r="D59" s="531"/>
      <c r="E59" s="531"/>
      <c r="F59" s="531"/>
      <c r="G59" s="531"/>
      <c r="H59" s="531"/>
      <c r="I59" s="531"/>
      <c r="J59" s="531"/>
      <c r="K59" s="531"/>
      <c r="L59" s="531"/>
      <c r="M59" s="532"/>
    </row>
    <row r="60" spans="1:74" ht="14.4" x14ac:dyDescent="0.3">
      <c r="A60" s="239" t="s">
        <v>238</v>
      </c>
      <c r="B60" s="223" t="s">
        <v>504</v>
      </c>
      <c r="C60" s="521" t="s">
        <v>240</v>
      </c>
      <c r="D60" s="519"/>
      <c r="E60" s="223" t="s">
        <v>196</v>
      </c>
      <c r="F60" s="233">
        <v>1498.28</v>
      </c>
      <c r="G60" s="311">
        <v>0</v>
      </c>
      <c r="H60" s="233">
        <f>F60*AM60</f>
        <v>0</v>
      </c>
      <c r="I60" s="233">
        <f>F60*AN60</f>
        <v>0</v>
      </c>
      <c r="J60" s="233">
        <f>F60*G60</f>
        <v>0</v>
      </c>
      <c r="K60" s="233">
        <v>0</v>
      </c>
      <c r="L60" s="233">
        <f>F60*K60</f>
        <v>0</v>
      </c>
      <c r="M60" s="240" t="s">
        <v>472</v>
      </c>
      <c r="X60" s="233">
        <f>IF(AO60="5",BH60,0)</f>
        <v>0</v>
      </c>
      <c r="Z60" s="233">
        <f>IF(AO60="1",BF60,0)</f>
        <v>0</v>
      </c>
      <c r="AA60" s="233">
        <f>IF(AO60="1",BG60,0)</f>
        <v>0</v>
      </c>
      <c r="AB60" s="233">
        <f>IF(AO60="7",BF60,0)</f>
        <v>0</v>
      </c>
      <c r="AC60" s="233">
        <f>IF(AO60="7",BG60,0)</f>
        <v>0</v>
      </c>
      <c r="AD60" s="233">
        <f>IF(AO60="2",BF60,0)</f>
        <v>0</v>
      </c>
      <c r="AE60" s="233">
        <f>IF(AO60="2",BG60,0)</f>
        <v>0</v>
      </c>
      <c r="AF60" s="233">
        <f>IF(AO60="0",BH60,0)</f>
        <v>0</v>
      </c>
      <c r="AG60" s="229" t="s">
        <v>154</v>
      </c>
      <c r="AH60" s="233">
        <f>IF(AL60=0,J60,0)</f>
        <v>0</v>
      </c>
      <c r="AI60" s="233">
        <f>IF(AL60=15,J60,0)</f>
        <v>0</v>
      </c>
      <c r="AJ60" s="233">
        <f>IF(AL60=21,J60,0)</f>
        <v>0</v>
      </c>
      <c r="AL60" s="233">
        <v>21</v>
      </c>
      <c r="AM60" s="233">
        <f>G60*0</f>
        <v>0</v>
      </c>
      <c r="AN60" s="233">
        <f>G60*(1-0)</f>
        <v>0</v>
      </c>
      <c r="AO60" s="234" t="s">
        <v>157</v>
      </c>
      <c r="AT60" s="233">
        <f>AU60+AV60</f>
        <v>0</v>
      </c>
      <c r="AU60" s="233">
        <f>F60*AM60</f>
        <v>0</v>
      </c>
      <c r="AV60" s="233">
        <f>F60*AN60</f>
        <v>0</v>
      </c>
      <c r="AW60" s="234" t="s">
        <v>231</v>
      </c>
      <c r="AX60" s="234" t="s">
        <v>163</v>
      </c>
      <c r="AY60" s="229" t="s">
        <v>164</v>
      </c>
      <c r="BA60" s="233">
        <f>AU60+AV60</f>
        <v>0</v>
      </c>
      <c r="BB60" s="233">
        <f>G60/(100-BC60)*100</f>
        <v>0</v>
      </c>
      <c r="BC60" s="233">
        <v>0</v>
      </c>
      <c r="BD60" s="233">
        <f>L60</f>
        <v>0</v>
      </c>
      <c r="BF60" s="233">
        <f>F60*AM60</f>
        <v>0</v>
      </c>
      <c r="BG60" s="233">
        <f>F60*AN60</f>
        <v>0</v>
      </c>
      <c r="BH60" s="233">
        <f>F60*G60</f>
        <v>0</v>
      </c>
      <c r="BI60" s="233"/>
      <c r="BJ60" s="233">
        <v>16</v>
      </c>
      <c r="BU60" s="233" t="e">
        <f>#REF!</f>
        <v>#REF!</v>
      </c>
      <c r="BV60" s="225" t="s">
        <v>240</v>
      </c>
    </row>
    <row r="61" spans="1:74" ht="54" customHeight="1" x14ac:dyDescent="0.3">
      <c r="A61" s="241"/>
      <c r="B61" s="242" t="s">
        <v>165</v>
      </c>
      <c r="C61" s="530" t="s">
        <v>1678</v>
      </c>
      <c r="D61" s="531"/>
      <c r="E61" s="531"/>
      <c r="F61" s="531"/>
      <c r="G61" s="531"/>
      <c r="H61" s="531"/>
      <c r="I61" s="531"/>
      <c r="J61" s="531"/>
      <c r="K61" s="531"/>
      <c r="L61" s="531"/>
      <c r="M61" s="532"/>
    </row>
    <row r="62" spans="1:74" ht="14.4" x14ac:dyDescent="0.3">
      <c r="A62" s="239" t="s">
        <v>241</v>
      </c>
      <c r="B62" s="223" t="s">
        <v>505</v>
      </c>
      <c r="C62" s="521" t="s">
        <v>243</v>
      </c>
      <c r="D62" s="519"/>
      <c r="E62" s="223" t="s">
        <v>196</v>
      </c>
      <c r="F62" s="233">
        <v>34.21</v>
      </c>
      <c r="G62" s="311">
        <v>0</v>
      </c>
      <c r="H62" s="233">
        <f>F62*AM62</f>
        <v>0</v>
      </c>
      <c r="I62" s="233">
        <f>F62*AN62</f>
        <v>0</v>
      </c>
      <c r="J62" s="233">
        <f>F62*G62</f>
        <v>0</v>
      </c>
      <c r="K62" s="233">
        <v>0</v>
      </c>
      <c r="L62" s="233">
        <f>F62*K62</f>
        <v>0</v>
      </c>
      <c r="M62" s="240" t="s">
        <v>472</v>
      </c>
      <c r="X62" s="233">
        <f>IF(AO62="5",BH62,0)</f>
        <v>0</v>
      </c>
      <c r="Z62" s="233">
        <f>IF(AO62="1",BF62,0)</f>
        <v>0</v>
      </c>
      <c r="AA62" s="233">
        <f>IF(AO62="1",BG62,0)</f>
        <v>0</v>
      </c>
      <c r="AB62" s="233">
        <f>IF(AO62="7",BF62,0)</f>
        <v>0</v>
      </c>
      <c r="AC62" s="233">
        <f>IF(AO62="7",BG62,0)</f>
        <v>0</v>
      </c>
      <c r="AD62" s="233">
        <f>IF(AO62="2",BF62,0)</f>
        <v>0</v>
      </c>
      <c r="AE62" s="233">
        <f>IF(AO62="2",BG62,0)</f>
        <v>0</v>
      </c>
      <c r="AF62" s="233">
        <f>IF(AO62="0",BH62,0)</f>
        <v>0</v>
      </c>
      <c r="AG62" s="229" t="s">
        <v>154</v>
      </c>
      <c r="AH62" s="233">
        <f>IF(AL62=0,J62,0)</f>
        <v>0</v>
      </c>
      <c r="AI62" s="233">
        <f>IF(AL62=15,J62,0)</f>
        <v>0</v>
      </c>
      <c r="AJ62" s="233">
        <f>IF(AL62=21,J62,0)</f>
        <v>0</v>
      </c>
      <c r="AL62" s="233">
        <v>21</v>
      </c>
      <c r="AM62" s="233">
        <f>G62*0</f>
        <v>0</v>
      </c>
      <c r="AN62" s="233">
        <f>G62*(1-0)</f>
        <v>0</v>
      </c>
      <c r="AO62" s="234" t="s">
        <v>157</v>
      </c>
      <c r="AT62" s="233">
        <f>AU62+AV62</f>
        <v>0</v>
      </c>
      <c r="AU62" s="233">
        <f>F62*AM62</f>
        <v>0</v>
      </c>
      <c r="AV62" s="233">
        <f>F62*AN62</f>
        <v>0</v>
      </c>
      <c r="AW62" s="234" t="s">
        <v>231</v>
      </c>
      <c r="AX62" s="234" t="s">
        <v>163</v>
      </c>
      <c r="AY62" s="229" t="s">
        <v>164</v>
      </c>
      <c r="BA62" s="233">
        <f>AU62+AV62</f>
        <v>0</v>
      </c>
      <c r="BB62" s="233">
        <f>G62/(100-BC62)*100</f>
        <v>0</v>
      </c>
      <c r="BC62" s="233">
        <v>0</v>
      </c>
      <c r="BD62" s="233">
        <f>L62</f>
        <v>0</v>
      </c>
      <c r="BF62" s="233">
        <f>F62*AM62</f>
        <v>0</v>
      </c>
      <c r="BG62" s="233">
        <f>F62*AN62</f>
        <v>0</v>
      </c>
      <c r="BH62" s="233">
        <f>F62*G62</f>
        <v>0</v>
      </c>
      <c r="BI62" s="233"/>
      <c r="BJ62" s="233">
        <v>16</v>
      </c>
      <c r="BU62" s="233" t="e">
        <f>#REF!</f>
        <v>#REF!</v>
      </c>
      <c r="BV62" s="225" t="s">
        <v>243</v>
      </c>
    </row>
    <row r="63" spans="1:74" ht="54" customHeight="1" x14ac:dyDescent="0.3">
      <c r="A63" s="241"/>
      <c r="B63" s="242" t="s">
        <v>165</v>
      </c>
      <c r="C63" s="530" t="s">
        <v>1679</v>
      </c>
      <c r="D63" s="531"/>
      <c r="E63" s="531"/>
      <c r="F63" s="531"/>
      <c r="G63" s="531"/>
      <c r="H63" s="531"/>
      <c r="I63" s="531"/>
      <c r="J63" s="531"/>
      <c r="K63" s="531"/>
      <c r="L63" s="531"/>
      <c r="M63" s="532"/>
    </row>
    <row r="64" spans="1:74" ht="14.4" x14ac:dyDescent="0.3">
      <c r="A64" s="239" t="s">
        <v>244</v>
      </c>
      <c r="B64" s="223" t="s">
        <v>506</v>
      </c>
      <c r="C64" s="521" t="s">
        <v>246</v>
      </c>
      <c r="D64" s="519"/>
      <c r="E64" s="223" t="s">
        <v>196</v>
      </c>
      <c r="F64" s="233">
        <v>478.94</v>
      </c>
      <c r="G64" s="311">
        <v>0</v>
      </c>
      <c r="H64" s="233">
        <f>F64*AM64</f>
        <v>0</v>
      </c>
      <c r="I64" s="233">
        <f>F64*AN64</f>
        <v>0</v>
      </c>
      <c r="J64" s="233">
        <f>F64*G64</f>
        <v>0</v>
      </c>
      <c r="K64" s="233">
        <v>0</v>
      </c>
      <c r="L64" s="233">
        <f>F64*K64</f>
        <v>0</v>
      </c>
      <c r="M64" s="240" t="s">
        <v>472</v>
      </c>
      <c r="X64" s="233">
        <f>IF(AO64="5",BH64,0)</f>
        <v>0</v>
      </c>
      <c r="Z64" s="233">
        <f>IF(AO64="1",BF64,0)</f>
        <v>0</v>
      </c>
      <c r="AA64" s="233">
        <f>IF(AO64="1",BG64,0)</f>
        <v>0</v>
      </c>
      <c r="AB64" s="233">
        <f>IF(AO64="7",BF64,0)</f>
        <v>0</v>
      </c>
      <c r="AC64" s="233">
        <f>IF(AO64="7",BG64,0)</f>
        <v>0</v>
      </c>
      <c r="AD64" s="233">
        <f>IF(AO64="2",BF64,0)</f>
        <v>0</v>
      </c>
      <c r="AE64" s="233">
        <f>IF(AO64="2",BG64,0)</f>
        <v>0</v>
      </c>
      <c r="AF64" s="233">
        <f>IF(AO64="0",BH64,0)</f>
        <v>0</v>
      </c>
      <c r="AG64" s="229" t="s">
        <v>154</v>
      </c>
      <c r="AH64" s="233">
        <f>IF(AL64=0,J64,0)</f>
        <v>0</v>
      </c>
      <c r="AI64" s="233">
        <f>IF(AL64=15,J64,0)</f>
        <v>0</v>
      </c>
      <c r="AJ64" s="233">
        <f>IF(AL64=21,J64,0)</f>
        <v>0</v>
      </c>
      <c r="AL64" s="233">
        <v>21</v>
      </c>
      <c r="AM64" s="233">
        <f>G64*0</f>
        <v>0</v>
      </c>
      <c r="AN64" s="233">
        <f>G64*(1-0)</f>
        <v>0</v>
      </c>
      <c r="AO64" s="234" t="s">
        <v>157</v>
      </c>
      <c r="AT64" s="233">
        <f>AU64+AV64</f>
        <v>0</v>
      </c>
      <c r="AU64" s="233">
        <f>F64*AM64</f>
        <v>0</v>
      </c>
      <c r="AV64" s="233">
        <f>F64*AN64</f>
        <v>0</v>
      </c>
      <c r="AW64" s="234" t="s">
        <v>231</v>
      </c>
      <c r="AX64" s="234" t="s">
        <v>163</v>
      </c>
      <c r="AY64" s="229" t="s">
        <v>164</v>
      </c>
      <c r="BA64" s="233">
        <f>AU64+AV64</f>
        <v>0</v>
      </c>
      <c r="BB64" s="233">
        <f>G64/(100-BC64)*100</f>
        <v>0</v>
      </c>
      <c r="BC64" s="233">
        <v>0</v>
      </c>
      <c r="BD64" s="233">
        <f>L64</f>
        <v>0</v>
      </c>
      <c r="BF64" s="233">
        <f>F64*AM64</f>
        <v>0</v>
      </c>
      <c r="BG64" s="233">
        <f>F64*AN64</f>
        <v>0</v>
      </c>
      <c r="BH64" s="233">
        <f>F64*G64</f>
        <v>0</v>
      </c>
      <c r="BI64" s="233"/>
      <c r="BJ64" s="233">
        <v>16</v>
      </c>
      <c r="BU64" s="233" t="e">
        <f>#REF!</f>
        <v>#REF!</v>
      </c>
      <c r="BV64" s="225" t="s">
        <v>246</v>
      </c>
    </row>
    <row r="65" spans="1:74" ht="54" customHeight="1" x14ac:dyDescent="0.3">
      <c r="A65" s="241"/>
      <c r="B65" s="242" t="s">
        <v>165</v>
      </c>
      <c r="C65" s="530" t="s">
        <v>1680</v>
      </c>
      <c r="D65" s="531"/>
      <c r="E65" s="531"/>
      <c r="F65" s="531"/>
      <c r="G65" s="531"/>
      <c r="H65" s="531"/>
      <c r="I65" s="531"/>
      <c r="J65" s="531"/>
      <c r="K65" s="531"/>
      <c r="L65" s="531"/>
      <c r="M65" s="532"/>
    </row>
    <row r="66" spans="1:74" ht="14.4" x14ac:dyDescent="0.3">
      <c r="A66" s="239" t="s">
        <v>247</v>
      </c>
      <c r="B66" s="223" t="s">
        <v>248</v>
      </c>
      <c r="C66" s="521" t="s">
        <v>249</v>
      </c>
      <c r="D66" s="519"/>
      <c r="E66" s="223" t="s">
        <v>196</v>
      </c>
      <c r="F66" s="233">
        <v>262.18</v>
      </c>
      <c r="G66" s="311">
        <v>0</v>
      </c>
      <c r="H66" s="233">
        <f>F66*AM66</f>
        <v>0</v>
      </c>
      <c r="I66" s="233">
        <f>F66*AN66</f>
        <v>0</v>
      </c>
      <c r="J66" s="233">
        <f>F66*G66</f>
        <v>0</v>
      </c>
      <c r="K66" s="233">
        <v>0</v>
      </c>
      <c r="L66" s="233">
        <f>F66*K66</f>
        <v>0</v>
      </c>
      <c r="M66" s="240" t="s">
        <v>472</v>
      </c>
      <c r="X66" s="233">
        <f>IF(AO66="5",BH66,0)</f>
        <v>0</v>
      </c>
      <c r="Z66" s="233">
        <f>IF(AO66="1",BF66,0)</f>
        <v>0</v>
      </c>
      <c r="AA66" s="233">
        <f>IF(AO66="1",BG66,0)</f>
        <v>0</v>
      </c>
      <c r="AB66" s="233">
        <f>IF(AO66="7",BF66,0)</f>
        <v>0</v>
      </c>
      <c r="AC66" s="233">
        <f>IF(AO66="7",BG66,0)</f>
        <v>0</v>
      </c>
      <c r="AD66" s="233">
        <f>IF(AO66="2",BF66,0)</f>
        <v>0</v>
      </c>
      <c r="AE66" s="233">
        <f>IF(AO66="2",BG66,0)</f>
        <v>0</v>
      </c>
      <c r="AF66" s="233">
        <f>IF(AO66="0",BH66,0)</f>
        <v>0</v>
      </c>
      <c r="AG66" s="229" t="s">
        <v>154</v>
      </c>
      <c r="AH66" s="233">
        <f>IF(AL66=0,J66,0)</f>
        <v>0</v>
      </c>
      <c r="AI66" s="233">
        <f>IF(AL66=15,J66,0)</f>
        <v>0</v>
      </c>
      <c r="AJ66" s="233">
        <f>IF(AL66=21,J66,0)</f>
        <v>0</v>
      </c>
      <c r="AL66" s="233">
        <v>21</v>
      </c>
      <c r="AM66" s="233">
        <f>G66*0</f>
        <v>0</v>
      </c>
      <c r="AN66" s="233">
        <f>G66*(1-0)</f>
        <v>0</v>
      </c>
      <c r="AO66" s="234" t="s">
        <v>157</v>
      </c>
      <c r="AT66" s="233">
        <f>AU66+AV66</f>
        <v>0</v>
      </c>
      <c r="AU66" s="233">
        <f>F66*AM66</f>
        <v>0</v>
      </c>
      <c r="AV66" s="233">
        <f>F66*AN66</f>
        <v>0</v>
      </c>
      <c r="AW66" s="234" t="s">
        <v>231</v>
      </c>
      <c r="AX66" s="234" t="s">
        <v>163</v>
      </c>
      <c r="AY66" s="229" t="s">
        <v>164</v>
      </c>
      <c r="BA66" s="233">
        <f>AU66+AV66</f>
        <v>0</v>
      </c>
      <c r="BB66" s="233">
        <f>G66/(100-BC66)*100</f>
        <v>0</v>
      </c>
      <c r="BC66" s="233">
        <v>0</v>
      </c>
      <c r="BD66" s="233">
        <f>L66</f>
        <v>0</v>
      </c>
      <c r="BF66" s="233">
        <f>F66*AM66</f>
        <v>0</v>
      </c>
      <c r="BG66" s="233">
        <f>F66*AN66</f>
        <v>0</v>
      </c>
      <c r="BH66" s="233">
        <f>F66*G66</f>
        <v>0</v>
      </c>
      <c r="BI66" s="233"/>
      <c r="BJ66" s="233">
        <v>16</v>
      </c>
      <c r="BU66" s="233" t="e">
        <f>#REF!</f>
        <v>#REF!</v>
      </c>
      <c r="BV66" s="225" t="s">
        <v>249</v>
      </c>
    </row>
    <row r="67" spans="1:74" ht="40.5" customHeight="1" x14ac:dyDescent="0.3">
      <c r="A67" s="241"/>
      <c r="B67" s="242" t="s">
        <v>165</v>
      </c>
      <c r="C67" s="530" t="s">
        <v>1681</v>
      </c>
      <c r="D67" s="531"/>
      <c r="E67" s="531"/>
      <c r="F67" s="531"/>
      <c r="G67" s="531"/>
      <c r="H67" s="531"/>
      <c r="I67" s="531"/>
      <c r="J67" s="531"/>
      <c r="K67" s="531"/>
      <c r="L67" s="531"/>
      <c r="M67" s="532"/>
    </row>
    <row r="68" spans="1:74" ht="14.4" x14ac:dyDescent="0.3">
      <c r="A68" s="239" t="s">
        <v>250</v>
      </c>
      <c r="B68" s="223" t="s">
        <v>251</v>
      </c>
      <c r="C68" s="521" t="s">
        <v>252</v>
      </c>
      <c r="D68" s="519"/>
      <c r="E68" s="223" t="s">
        <v>196</v>
      </c>
      <c r="F68" s="233">
        <v>262.18</v>
      </c>
      <c r="G68" s="311">
        <v>0</v>
      </c>
      <c r="H68" s="233">
        <f>F68*AM68</f>
        <v>0</v>
      </c>
      <c r="I68" s="233">
        <f>F68*AN68</f>
        <v>0</v>
      </c>
      <c r="J68" s="233">
        <f>F68*G68</f>
        <v>0</v>
      </c>
      <c r="K68" s="233">
        <v>0</v>
      </c>
      <c r="L68" s="233">
        <f>F68*K68</f>
        <v>0</v>
      </c>
      <c r="M68" s="240" t="s">
        <v>472</v>
      </c>
      <c r="X68" s="233">
        <f>IF(AO68="5",BH68,0)</f>
        <v>0</v>
      </c>
      <c r="Z68" s="233">
        <f>IF(AO68="1",BF68,0)</f>
        <v>0</v>
      </c>
      <c r="AA68" s="233">
        <f>IF(AO68="1",BG68,0)</f>
        <v>0</v>
      </c>
      <c r="AB68" s="233">
        <f>IF(AO68="7",BF68,0)</f>
        <v>0</v>
      </c>
      <c r="AC68" s="233">
        <f>IF(AO68="7",BG68,0)</f>
        <v>0</v>
      </c>
      <c r="AD68" s="233">
        <f>IF(AO68="2",BF68,0)</f>
        <v>0</v>
      </c>
      <c r="AE68" s="233">
        <f>IF(AO68="2",BG68,0)</f>
        <v>0</v>
      </c>
      <c r="AF68" s="233">
        <f>IF(AO68="0",BH68,0)</f>
        <v>0</v>
      </c>
      <c r="AG68" s="229" t="s">
        <v>154</v>
      </c>
      <c r="AH68" s="233">
        <f>IF(AL68=0,J68,0)</f>
        <v>0</v>
      </c>
      <c r="AI68" s="233">
        <f>IF(AL68=15,J68,0)</f>
        <v>0</v>
      </c>
      <c r="AJ68" s="233">
        <f>IF(AL68=21,J68,0)</f>
        <v>0</v>
      </c>
      <c r="AL68" s="233">
        <v>21</v>
      </c>
      <c r="AM68" s="233">
        <f>G68*0</f>
        <v>0</v>
      </c>
      <c r="AN68" s="233">
        <f>G68*(1-0)</f>
        <v>0</v>
      </c>
      <c r="AO68" s="234" t="s">
        <v>157</v>
      </c>
      <c r="AT68" s="233">
        <f>AU68+AV68</f>
        <v>0</v>
      </c>
      <c r="AU68" s="233">
        <f>F68*AM68</f>
        <v>0</v>
      </c>
      <c r="AV68" s="233">
        <f>F68*AN68</f>
        <v>0</v>
      </c>
      <c r="AW68" s="234" t="s">
        <v>231</v>
      </c>
      <c r="AX68" s="234" t="s">
        <v>163</v>
      </c>
      <c r="AY68" s="229" t="s">
        <v>164</v>
      </c>
      <c r="BA68" s="233">
        <f>AU68+AV68</f>
        <v>0</v>
      </c>
      <c r="BB68" s="233">
        <f>G68/(100-BC68)*100</f>
        <v>0</v>
      </c>
      <c r="BC68" s="233">
        <v>0</v>
      </c>
      <c r="BD68" s="233">
        <f>L68</f>
        <v>0</v>
      </c>
      <c r="BF68" s="233">
        <f>F68*AM68</f>
        <v>0</v>
      </c>
      <c r="BG68" s="233">
        <f>F68*AN68</f>
        <v>0</v>
      </c>
      <c r="BH68" s="233">
        <f>F68*G68</f>
        <v>0</v>
      </c>
      <c r="BI68" s="233"/>
      <c r="BJ68" s="233">
        <v>16</v>
      </c>
      <c r="BU68" s="233" t="e">
        <f>#REF!</f>
        <v>#REF!</v>
      </c>
      <c r="BV68" s="225" t="s">
        <v>252</v>
      </c>
    </row>
    <row r="69" spans="1:74" ht="40.5" customHeight="1" x14ac:dyDescent="0.3">
      <c r="A69" s="241"/>
      <c r="B69" s="242" t="s">
        <v>165</v>
      </c>
      <c r="C69" s="530" t="s">
        <v>1682</v>
      </c>
      <c r="D69" s="531"/>
      <c r="E69" s="531"/>
      <c r="F69" s="531"/>
      <c r="G69" s="531"/>
      <c r="H69" s="531"/>
      <c r="I69" s="531"/>
      <c r="J69" s="531"/>
      <c r="K69" s="531"/>
      <c r="L69" s="531"/>
      <c r="M69" s="532"/>
    </row>
    <row r="70" spans="1:74" ht="14.4" x14ac:dyDescent="0.3">
      <c r="A70" s="239" t="s">
        <v>154</v>
      </c>
      <c r="B70" s="224" t="s">
        <v>220</v>
      </c>
      <c r="C70" s="526" t="s">
        <v>259</v>
      </c>
      <c r="D70" s="527"/>
      <c r="E70" s="223" t="s">
        <v>114</v>
      </c>
      <c r="F70" s="223" t="s">
        <v>114</v>
      </c>
      <c r="G70" s="223" t="s">
        <v>114</v>
      </c>
      <c r="H70" s="235">
        <f>SUM(H71:H74)</f>
        <v>0</v>
      </c>
      <c r="I70" s="235">
        <f>SUM(I71:I74)</f>
        <v>0</v>
      </c>
      <c r="J70" s="235">
        <f>SUM(J71:J74)</f>
        <v>0</v>
      </c>
      <c r="K70" s="230" t="s">
        <v>154</v>
      </c>
      <c r="L70" s="235">
        <f>SUM(L71:L74)</f>
        <v>134.36799999999999</v>
      </c>
      <c r="M70" s="243" t="s">
        <v>154</v>
      </c>
      <c r="AG70" s="229" t="s">
        <v>154</v>
      </c>
      <c r="AQ70" s="222">
        <f>SUM(AH71:AH74)</f>
        <v>0</v>
      </c>
      <c r="AR70" s="222">
        <f>SUM(AI71:AI74)</f>
        <v>0</v>
      </c>
      <c r="AS70" s="222">
        <f>SUM(AJ71:AJ74)</f>
        <v>0</v>
      </c>
    </row>
    <row r="71" spans="1:74" ht="14.4" x14ac:dyDescent="0.3">
      <c r="A71" s="239" t="s">
        <v>253</v>
      </c>
      <c r="B71" s="223" t="s">
        <v>261</v>
      </c>
      <c r="C71" s="521" t="s">
        <v>262</v>
      </c>
      <c r="D71" s="519"/>
      <c r="E71" s="223" t="s">
        <v>196</v>
      </c>
      <c r="F71" s="233">
        <v>79.040000000000006</v>
      </c>
      <c r="G71" s="311">
        <v>0</v>
      </c>
      <c r="H71" s="233">
        <f>F71*AM71</f>
        <v>0</v>
      </c>
      <c r="I71" s="233">
        <f>F71*AN71</f>
        <v>0</v>
      </c>
      <c r="J71" s="233">
        <f>F71*G71</f>
        <v>0</v>
      </c>
      <c r="K71" s="233">
        <v>1.7</v>
      </c>
      <c r="L71" s="233">
        <f>F71*K71</f>
        <v>134.36799999999999</v>
      </c>
      <c r="M71" s="240" t="s">
        <v>472</v>
      </c>
      <c r="X71" s="233">
        <f>IF(AO71="5",BH71,0)</f>
        <v>0</v>
      </c>
      <c r="Z71" s="233">
        <f>IF(AO71="1",BF71,0)</f>
        <v>0</v>
      </c>
      <c r="AA71" s="233">
        <f>IF(AO71="1",BG71,0)</f>
        <v>0</v>
      </c>
      <c r="AB71" s="233">
        <f>IF(AO71="7",BF71,0)</f>
        <v>0</v>
      </c>
      <c r="AC71" s="233">
        <f>IF(AO71="7",BG71,0)</f>
        <v>0</v>
      </c>
      <c r="AD71" s="233">
        <f>IF(AO71="2",BF71,0)</f>
        <v>0</v>
      </c>
      <c r="AE71" s="233">
        <f>IF(AO71="2",BG71,0)</f>
        <v>0</v>
      </c>
      <c r="AF71" s="233">
        <f>IF(AO71="0",BH71,0)</f>
        <v>0</v>
      </c>
      <c r="AG71" s="229" t="s">
        <v>154</v>
      </c>
      <c r="AH71" s="233">
        <f>IF(AL71=0,J71,0)</f>
        <v>0</v>
      </c>
      <c r="AI71" s="233">
        <f>IF(AL71=15,J71,0)</f>
        <v>0</v>
      </c>
      <c r="AJ71" s="233">
        <f>IF(AL71=21,J71,0)</f>
        <v>0</v>
      </c>
      <c r="AL71" s="233">
        <v>21</v>
      </c>
      <c r="AM71" s="233">
        <f>G71*0.517505216</f>
        <v>0</v>
      </c>
      <c r="AN71" s="233">
        <f>G71*(1-0.517505216)</f>
        <v>0</v>
      </c>
      <c r="AO71" s="234" t="s">
        <v>157</v>
      </c>
      <c r="AT71" s="233">
        <f>AU71+AV71</f>
        <v>0</v>
      </c>
      <c r="AU71" s="233">
        <f>F71*AM71</f>
        <v>0</v>
      </c>
      <c r="AV71" s="233">
        <f>F71*AN71</f>
        <v>0</v>
      </c>
      <c r="AW71" s="234" t="s">
        <v>263</v>
      </c>
      <c r="AX71" s="234" t="s">
        <v>163</v>
      </c>
      <c r="AY71" s="229" t="s">
        <v>164</v>
      </c>
      <c r="BA71" s="233">
        <f>AU71+AV71</f>
        <v>0</v>
      </c>
      <c r="BB71" s="233">
        <f>G71/(100-BC71)*100</f>
        <v>0</v>
      </c>
      <c r="BC71" s="233">
        <v>0</v>
      </c>
      <c r="BD71" s="233">
        <f>L71</f>
        <v>134.36799999999999</v>
      </c>
      <c r="BF71" s="233">
        <f>F71*AM71</f>
        <v>0</v>
      </c>
      <c r="BG71" s="233">
        <f>F71*AN71</f>
        <v>0</v>
      </c>
      <c r="BH71" s="233">
        <f>F71*G71</f>
        <v>0</v>
      </c>
      <c r="BI71" s="233"/>
      <c r="BJ71" s="233">
        <v>17</v>
      </c>
      <c r="BU71" s="233" t="e">
        <f>#REF!</f>
        <v>#REF!</v>
      </c>
      <c r="BV71" s="225" t="s">
        <v>262</v>
      </c>
    </row>
    <row r="72" spans="1:74" ht="67.5" customHeight="1" x14ac:dyDescent="0.3">
      <c r="A72" s="241"/>
      <c r="B72" s="242" t="s">
        <v>165</v>
      </c>
      <c r="C72" s="530" t="s">
        <v>1683</v>
      </c>
      <c r="D72" s="531"/>
      <c r="E72" s="531"/>
      <c r="F72" s="531"/>
      <c r="G72" s="531"/>
      <c r="H72" s="531"/>
      <c r="I72" s="531"/>
      <c r="J72" s="531"/>
      <c r="K72" s="531"/>
      <c r="L72" s="531"/>
      <c r="M72" s="532"/>
    </row>
    <row r="73" spans="1:74" ht="14.4" x14ac:dyDescent="0.3">
      <c r="A73" s="239" t="s">
        <v>256</v>
      </c>
      <c r="B73" s="223" t="s">
        <v>265</v>
      </c>
      <c r="C73" s="521" t="s">
        <v>266</v>
      </c>
      <c r="D73" s="519"/>
      <c r="E73" s="223" t="s">
        <v>196</v>
      </c>
      <c r="F73" s="233">
        <v>79.040000000000006</v>
      </c>
      <c r="G73" s="311">
        <v>0</v>
      </c>
      <c r="H73" s="233">
        <f>F73*AM73</f>
        <v>0</v>
      </c>
      <c r="I73" s="233">
        <f>F73*AN73</f>
        <v>0</v>
      </c>
      <c r="J73" s="233">
        <f>F73*G73</f>
        <v>0</v>
      </c>
      <c r="K73" s="233">
        <v>0</v>
      </c>
      <c r="L73" s="233">
        <f>F73*K73</f>
        <v>0</v>
      </c>
      <c r="M73" s="240" t="s">
        <v>472</v>
      </c>
      <c r="X73" s="233">
        <f>IF(AO73="5",BH73,0)</f>
        <v>0</v>
      </c>
      <c r="Z73" s="233">
        <f>IF(AO73="1",BF73,0)</f>
        <v>0</v>
      </c>
      <c r="AA73" s="233">
        <f>IF(AO73="1",BG73,0)</f>
        <v>0</v>
      </c>
      <c r="AB73" s="233">
        <f>IF(AO73="7",BF73,0)</f>
        <v>0</v>
      </c>
      <c r="AC73" s="233">
        <f>IF(AO73="7",BG73,0)</f>
        <v>0</v>
      </c>
      <c r="AD73" s="233">
        <f>IF(AO73="2",BF73,0)</f>
        <v>0</v>
      </c>
      <c r="AE73" s="233">
        <f>IF(AO73="2",BG73,0)</f>
        <v>0</v>
      </c>
      <c r="AF73" s="233">
        <f>IF(AO73="0",BH73,0)</f>
        <v>0</v>
      </c>
      <c r="AG73" s="229" t="s">
        <v>154</v>
      </c>
      <c r="AH73" s="233">
        <f>IF(AL73=0,J73,0)</f>
        <v>0</v>
      </c>
      <c r="AI73" s="233">
        <f>IF(AL73=15,J73,0)</f>
        <v>0</v>
      </c>
      <c r="AJ73" s="233">
        <f>IF(AL73=21,J73,0)</f>
        <v>0</v>
      </c>
      <c r="AL73" s="233">
        <v>21</v>
      </c>
      <c r="AM73" s="233">
        <f>G73*0</f>
        <v>0</v>
      </c>
      <c r="AN73" s="233">
        <f>G73*(1-0)</f>
        <v>0</v>
      </c>
      <c r="AO73" s="234" t="s">
        <v>157</v>
      </c>
      <c r="AT73" s="233">
        <f>AU73+AV73</f>
        <v>0</v>
      </c>
      <c r="AU73" s="233">
        <f>F73*AM73</f>
        <v>0</v>
      </c>
      <c r="AV73" s="233">
        <f>F73*AN73</f>
        <v>0</v>
      </c>
      <c r="AW73" s="234" t="s">
        <v>263</v>
      </c>
      <c r="AX73" s="234" t="s">
        <v>163</v>
      </c>
      <c r="AY73" s="229" t="s">
        <v>164</v>
      </c>
      <c r="BA73" s="233">
        <f>AU73+AV73</f>
        <v>0</v>
      </c>
      <c r="BB73" s="233">
        <f>G73/(100-BC73)*100</f>
        <v>0</v>
      </c>
      <c r="BC73" s="233">
        <v>0</v>
      </c>
      <c r="BD73" s="233">
        <f>L73</f>
        <v>0</v>
      </c>
      <c r="BF73" s="233">
        <f>F73*AM73</f>
        <v>0</v>
      </c>
      <c r="BG73" s="233">
        <f>F73*AN73</f>
        <v>0</v>
      </c>
      <c r="BH73" s="233">
        <f>F73*G73</f>
        <v>0</v>
      </c>
      <c r="BI73" s="233"/>
      <c r="BJ73" s="233">
        <v>17</v>
      </c>
      <c r="BU73" s="233" t="e">
        <f>#REF!</f>
        <v>#REF!</v>
      </c>
      <c r="BV73" s="225" t="s">
        <v>266</v>
      </c>
    </row>
    <row r="74" spans="1:74" ht="14.4" x14ac:dyDescent="0.3">
      <c r="A74" s="239" t="s">
        <v>260</v>
      </c>
      <c r="B74" s="223" t="s">
        <v>268</v>
      </c>
      <c r="C74" s="521" t="s">
        <v>269</v>
      </c>
      <c r="D74" s="519"/>
      <c r="E74" s="223" t="s">
        <v>196</v>
      </c>
      <c r="F74" s="233">
        <v>131.09</v>
      </c>
      <c r="G74" s="311">
        <v>0</v>
      </c>
      <c r="H74" s="233">
        <f>F74*AM74</f>
        <v>0</v>
      </c>
      <c r="I74" s="233">
        <f>F74*AN74</f>
        <v>0</v>
      </c>
      <c r="J74" s="233">
        <f>F74*G74</f>
        <v>0</v>
      </c>
      <c r="K74" s="233">
        <v>0</v>
      </c>
      <c r="L74" s="233">
        <f>F74*K74</f>
        <v>0</v>
      </c>
      <c r="M74" s="240" t="s">
        <v>472</v>
      </c>
      <c r="X74" s="233">
        <f>IF(AO74="5",BH74,0)</f>
        <v>0</v>
      </c>
      <c r="Z74" s="233">
        <f>IF(AO74="1",BF74,0)</f>
        <v>0</v>
      </c>
      <c r="AA74" s="233">
        <f>IF(AO74="1",BG74,0)</f>
        <v>0</v>
      </c>
      <c r="AB74" s="233">
        <f>IF(AO74="7",BF74,0)</f>
        <v>0</v>
      </c>
      <c r="AC74" s="233">
        <f>IF(AO74="7",BG74,0)</f>
        <v>0</v>
      </c>
      <c r="AD74" s="233">
        <f>IF(AO74="2",BF74,0)</f>
        <v>0</v>
      </c>
      <c r="AE74" s="233">
        <f>IF(AO74="2",BG74,0)</f>
        <v>0</v>
      </c>
      <c r="AF74" s="233">
        <f>IF(AO74="0",BH74,0)</f>
        <v>0</v>
      </c>
      <c r="AG74" s="229" t="s">
        <v>154</v>
      </c>
      <c r="AH74" s="233">
        <f>IF(AL74=0,J74,0)</f>
        <v>0</v>
      </c>
      <c r="AI74" s="233">
        <f>IF(AL74=15,J74,0)</f>
        <v>0</v>
      </c>
      <c r="AJ74" s="233">
        <f>IF(AL74=21,J74,0)</f>
        <v>0</v>
      </c>
      <c r="AL74" s="233">
        <v>21</v>
      </c>
      <c r="AM74" s="233">
        <f>G74*0</f>
        <v>0</v>
      </c>
      <c r="AN74" s="233">
        <f>G74*(1-0)</f>
        <v>0</v>
      </c>
      <c r="AO74" s="234" t="s">
        <v>157</v>
      </c>
      <c r="AT74" s="233">
        <f>AU74+AV74</f>
        <v>0</v>
      </c>
      <c r="AU74" s="233">
        <f>F74*AM74</f>
        <v>0</v>
      </c>
      <c r="AV74" s="233">
        <f>F74*AN74</f>
        <v>0</v>
      </c>
      <c r="AW74" s="234" t="s">
        <v>263</v>
      </c>
      <c r="AX74" s="234" t="s">
        <v>163</v>
      </c>
      <c r="AY74" s="229" t="s">
        <v>164</v>
      </c>
      <c r="BA74" s="233">
        <f>AU74+AV74</f>
        <v>0</v>
      </c>
      <c r="BB74" s="233">
        <f>G74/(100-BC74)*100</f>
        <v>0</v>
      </c>
      <c r="BC74" s="233">
        <v>0</v>
      </c>
      <c r="BD74" s="233">
        <f>L74</f>
        <v>0</v>
      </c>
      <c r="BF74" s="233">
        <f>F74*AM74</f>
        <v>0</v>
      </c>
      <c r="BG74" s="233">
        <f>F74*AN74</f>
        <v>0</v>
      </c>
      <c r="BH74" s="233">
        <f>F74*G74</f>
        <v>0</v>
      </c>
      <c r="BI74" s="233"/>
      <c r="BJ74" s="233">
        <v>17</v>
      </c>
      <c r="BU74" s="233" t="e">
        <f>#REF!</f>
        <v>#REF!</v>
      </c>
      <c r="BV74" s="225" t="s">
        <v>269</v>
      </c>
    </row>
    <row r="75" spans="1:74" ht="54" customHeight="1" x14ac:dyDescent="0.3">
      <c r="A75" s="241"/>
      <c r="B75" s="242" t="s">
        <v>165</v>
      </c>
      <c r="C75" s="530" t="s">
        <v>1684</v>
      </c>
      <c r="D75" s="531"/>
      <c r="E75" s="531"/>
      <c r="F75" s="531"/>
      <c r="G75" s="531"/>
      <c r="H75" s="531"/>
      <c r="I75" s="531"/>
      <c r="J75" s="531"/>
      <c r="K75" s="531"/>
      <c r="L75" s="531"/>
      <c r="M75" s="532"/>
    </row>
    <row r="76" spans="1:74" ht="14.4" x14ac:dyDescent="0.3">
      <c r="A76" s="239" t="s">
        <v>154</v>
      </c>
      <c r="B76" s="224" t="s">
        <v>228</v>
      </c>
      <c r="C76" s="526" t="s">
        <v>275</v>
      </c>
      <c r="D76" s="527"/>
      <c r="E76" s="223" t="s">
        <v>114</v>
      </c>
      <c r="F76" s="223" t="s">
        <v>114</v>
      </c>
      <c r="G76" s="223" t="s">
        <v>114</v>
      </c>
      <c r="H76" s="235">
        <f>SUM(H77:H79)</f>
        <v>0</v>
      </c>
      <c r="I76" s="235">
        <f>SUM(I77:I79)</f>
        <v>0</v>
      </c>
      <c r="J76" s="235">
        <f>SUM(J77:J79)</f>
        <v>0</v>
      </c>
      <c r="K76" s="230" t="s">
        <v>154</v>
      </c>
      <c r="L76" s="235">
        <f>SUM(L77:L79)</f>
        <v>0</v>
      </c>
      <c r="M76" s="243" t="s">
        <v>154</v>
      </c>
      <c r="AG76" s="229" t="s">
        <v>154</v>
      </c>
      <c r="AQ76" s="222">
        <f>SUM(AH77:AH79)</f>
        <v>0</v>
      </c>
      <c r="AR76" s="222">
        <f>SUM(AI77:AI79)</f>
        <v>0</v>
      </c>
      <c r="AS76" s="222">
        <f>SUM(AJ77:AJ79)</f>
        <v>0</v>
      </c>
    </row>
    <row r="77" spans="1:74" ht="14.4" x14ac:dyDescent="0.3">
      <c r="A77" s="239" t="s">
        <v>264</v>
      </c>
      <c r="B77" s="223" t="s">
        <v>277</v>
      </c>
      <c r="C77" s="521" t="s">
        <v>278</v>
      </c>
      <c r="D77" s="519"/>
      <c r="E77" s="223" t="s">
        <v>196</v>
      </c>
      <c r="F77" s="233">
        <v>107.02</v>
      </c>
      <c r="G77" s="311">
        <v>0</v>
      </c>
      <c r="H77" s="233">
        <f>F77*AM77</f>
        <v>0</v>
      </c>
      <c r="I77" s="233">
        <f>F77*AN77</f>
        <v>0</v>
      </c>
      <c r="J77" s="233">
        <f>F77*G77</f>
        <v>0</v>
      </c>
      <c r="K77" s="233">
        <v>0</v>
      </c>
      <c r="L77" s="233">
        <f>F77*K77</f>
        <v>0</v>
      </c>
      <c r="M77" s="240" t="s">
        <v>472</v>
      </c>
      <c r="X77" s="233">
        <f>IF(AO77="5",BH77,0)</f>
        <v>0</v>
      </c>
      <c r="Z77" s="233">
        <f>IF(AO77="1",BF77,0)</f>
        <v>0</v>
      </c>
      <c r="AA77" s="233">
        <f>IF(AO77="1",BG77,0)</f>
        <v>0</v>
      </c>
      <c r="AB77" s="233">
        <f>IF(AO77="7",BF77,0)</f>
        <v>0</v>
      </c>
      <c r="AC77" s="233">
        <f>IF(AO77="7",BG77,0)</f>
        <v>0</v>
      </c>
      <c r="AD77" s="233">
        <f>IF(AO77="2",BF77,0)</f>
        <v>0</v>
      </c>
      <c r="AE77" s="233">
        <f>IF(AO77="2",BG77,0)</f>
        <v>0</v>
      </c>
      <c r="AF77" s="233">
        <f>IF(AO77="0",BH77,0)</f>
        <v>0</v>
      </c>
      <c r="AG77" s="229" t="s">
        <v>154</v>
      </c>
      <c r="AH77" s="233">
        <f>IF(AL77=0,J77,0)</f>
        <v>0</v>
      </c>
      <c r="AI77" s="233">
        <f>IF(AL77=15,J77,0)</f>
        <v>0</v>
      </c>
      <c r="AJ77" s="233">
        <f>IF(AL77=21,J77,0)</f>
        <v>0</v>
      </c>
      <c r="AL77" s="233">
        <v>21</v>
      </c>
      <c r="AM77" s="233">
        <f>G77*0</f>
        <v>0</v>
      </c>
      <c r="AN77" s="233">
        <f>G77*(1-0)</f>
        <v>0</v>
      </c>
      <c r="AO77" s="234" t="s">
        <v>157</v>
      </c>
      <c r="AT77" s="233">
        <f>AU77+AV77</f>
        <v>0</v>
      </c>
      <c r="AU77" s="233">
        <f>F77*AM77</f>
        <v>0</v>
      </c>
      <c r="AV77" s="233">
        <f>F77*AN77</f>
        <v>0</v>
      </c>
      <c r="AW77" s="234" t="s">
        <v>279</v>
      </c>
      <c r="AX77" s="234" t="s">
        <v>163</v>
      </c>
      <c r="AY77" s="229" t="s">
        <v>164</v>
      </c>
      <c r="BA77" s="233">
        <f>AU77+AV77</f>
        <v>0</v>
      </c>
      <c r="BB77" s="233">
        <f>G77/(100-BC77)*100</f>
        <v>0</v>
      </c>
      <c r="BC77" s="233">
        <v>0</v>
      </c>
      <c r="BD77" s="233">
        <f>L77</f>
        <v>0</v>
      </c>
      <c r="BF77" s="233">
        <f>F77*AM77</f>
        <v>0</v>
      </c>
      <c r="BG77" s="233">
        <f>F77*AN77</f>
        <v>0</v>
      </c>
      <c r="BH77" s="233">
        <f>F77*G77</f>
        <v>0</v>
      </c>
      <c r="BI77" s="233"/>
      <c r="BJ77" s="233">
        <v>19</v>
      </c>
      <c r="BU77" s="233" t="e">
        <f>#REF!</f>
        <v>#REF!</v>
      </c>
      <c r="BV77" s="225" t="s">
        <v>278</v>
      </c>
    </row>
    <row r="78" spans="1:74" ht="27" customHeight="1" x14ac:dyDescent="0.3">
      <c r="A78" s="241"/>
      <c r="B78" s="242" t="s">
        <v>165</v>
      </c>
      <c r="C78" s="530" t="s">
        <v>1685</v>
      </c>
      <c r="D78" s="531"/>
      <c r="E78" s="531"/>
      <c r="F78" s="531"/>
      <c r="G78" s="531"/>
      <c r="H78" s="531"/>
      <c r="I78" s="531"/>
      <c r="J78" s="531"/>
      <c r="K78" s="531"/>
      <c r="L78" s="531"/>
      <c r="M78" s="532"/>
    </row>
    <row r="79" spans="1:74" ht="14.4" x14ac:dyDescent="0.3">
      <c r="A79" s="239" t="s">
        <v>267</v>
      </c>
      <c r="B79" s="223" t="s">
        <v>282</v>
      </c>
      <c r="C79" s="521" t="s">
        <v>283</v>
      </c>
      <c r="D79" s="519"/>
      <c r="E79" s="223" t="s">
        <v>196</v>
      </c>
      <c r="F79" s="233">
        <v>34.21</v>
      </c>
      <c r="G79" s="311">
        <v>0</v>
      </c>
      <c r="H79" s="233">
        <f>F79*AM79</f>
        <v>0</v>
      </c>
      <c r="I79" s="233">
        <f>F79*AN79</f>
        <v>0</v>
      </c>
      <c r="J79" s="233">
        <f>F79*G79</f>
        <v>0</v>
      </c>
      <c r="K79" s="233">
        <v>0</v>
      </c>
      <c r="L79" s="233">
        <f>F79*K79</f>
        <v>0</v>
      </c>
      <c r="M79" s="240" t="s">
        <v>472</v>
      </c>
      <c r="X79" s="233">
        <f>IF(AO79="5",BH79,0)</f>
        <v>0</v>
      </c>
      <c r="Z79" s="233">
        <f>IF(AO79="1",BF79,0)</f>
        <v>0</v>
      </c>
      <c r="AA79" s="233">
        <f>IF(AO79="1",BG79,0)</f>
        <v>0</v>
      </c>
      <c r="AB79" s="233">
        <f>IF(AO79="7",BF79,0)</f>
        <v>0</v>
      </c>
      <c r="AC79" s="233">
        <f>IF(AO79="7",BG79,0)</f>
        <v>0</v>
      </c>
      <c r="AD79" s="233">
        <f>IF(AO79="2",BF79,0)</f>
        <v>0</v>
      </c>
      <c r="AE79" s="233">
        <f>IF(AO79="2",BG79,0)</f>
        <v>0</v>
      </c>
      <c r="AF79" s="233">
        <f>IF(AO79="0",BH79,0)</f>
        <v>0</v>
      </c>
      <c r="AG79" s="229" t="s">
        <v>154</v>
      </c>
      <c r="AH79" s="233">
        <f>IF(AL79=0,J79,0)</f>
        <v>0</v>
      </c>
      <c r="AI79" s="233">
        <f>IF(AL79=15,J79,0)</f>
        <v>0</v>
      </c>
      <c r="AJ79" s="233">
        <f>IF(AL79=21,J79,0)</f>
        <v>0</v>
      </c>
      <c r="AL79" s="233">
        <v>21</v>
      </c>
      <c r="AM79" s="233">
        <f>G79*0</f>
        <v>0</v>
      </c>
      <c r="AN79" s="233">
        <f>G79*(1-0)</f>
        <v>0</v>
      </c>
      <c r="AO79" s="234" t="s">
        <v>157</v>
      </c>
      <c r="AT79" s="233">
        <f>AU79+AV79</f>
        <v>0</v>
      </c>
      <c r="AU79" s="233">
        <f>F79*AM79</f>
        <v>0</v>
      </c>
      <c r="AV79" s="233">
        <f>F79*AN79</f>
        <v>0</v>
      </c>
      <c r="AW79" s="234" t="s">
        <v>279</v>
      </c>
      <c r="AX79" s="234" t="s">
        <v>163</v>
      </c>
      <c r="AY79" s="229" t="s">
        <v>164</v>
      </c>
      <c r="BA79" s="233">
        <f>AU79+AV79</f>
        <v>0</v>
      </c>
      <c r="BB79" s="233">
        <f>G79/(100-BC79)*100</f>
        <v>0</v>
      </c>
      <c r="BC79" s="233">
        <v>0</v>
      </c>
      <c r="BD79" s="233">
        <f>L79</f>
        <v>0</v>
      </c>
      <c r="BF79" s="233">
        <f>F79*AM79</f>
        <v>0</v>
      </c>
      <c r="BG79" s="233">
        <f>F79*AN79</f>
        <v>0</v>
      </c>
      <c r="BH79" s="233">
        <f>F79*G79</f>
        <v>0</v>
      </c>
      <c r="BI79" s="233"/>
      <c r="BJ79" s="233">
        <v>19</v>
      </c>
      <c r="BU79" s="233" t="e">
        <f>#REF!</f>
        <v>#REF!</v>
      </c>
      <c r="BV79" s="225" t="s">
        <v>283</v>
      </c>
    </row>
    <row r="80" spans="1:74" ht="27" customHeight="1" x14ac:dyDescent="0.3">
      <c r="A80" s="244"/>
      <c r="B80" s="245" t="s">
        <v>165</v>
      </c>
      <c r="C80" s="540" t="s">
        <v>1686</v>
      </c>
      <c r="D80" s="541"/>
      <c r="E80" s="541"/>
      <c r="F80" s="541"/>
      <c r="G80" s="541"/>
      <c r="H80" s="541"/>
      <c r="I80" s="541"/>
      <c r="J80" s="541"/>
      <c r="K80" s="541"/>
      <c r="L80" s="541"/>
      <c r="M80" s="542"/>
    </row>
    <row r="81" spans="1:74" ht="14.4" x14ac:dyDescent="0.3">
      <c r="A81" s="237" t="s">
        <v>154</v>
      </c>
      <c r="B81" s="260" t="s">
        <v>235</v>
      </c>
      <c r="C81" s="545" t="s">
        <v>284</v>
      </c>
      <c r="D81" s="546"/>
      <c r="E81" s="238" t="s">
        <v>114</v>
      </c>
      <c r="F81" s="238" t="s">
        <v>114</v>
      </c>
      <c r="G81" s="238" t="s">
        <v>114</v>
      </c>
      <c r="H81" s="261">
        <f>SUM(H82:H86)</f>
        <v>0</v>
      </c>
      <c r="I81" s="261">
        <f>SUM(I82:I86)</f>
        <v>0</v>
      </c>
      <c r="J81" s="261">
        <f>SUM(J82:J86)</f>
        <v>0</v>
      </c>
      <c r="K81" s="262" t="s">
        <v>154</v>
      </c>
      <c r="L81" s="261">
        <f>SUM(L82:L86)</f>
        <v>4.3625000000000007</v>
      </c>
      <c r="M81" s="263" t="s">
        <v>154</v>
      </c>
      <c r="AG81" s="229" t="s">
        <v>154</v>
      </c>
      <c r="AQ81" s="222">
        <f>SUM(AH82:AH86)</f>
        <v>0</v>
      </c>
      <c r="AR81" s="222">
        <f>SUM(AI82:AI86)</f>
        <v>0</v>
      </c>
      <c r="AS81" s="222">
        <f>SUM(AJ82:AJ86)</f>
        <v>0</v>
      </c>
    </row>
    <row r="82" spans="1:74" ht="14.4" x14ac:dyDescent="0.3">
      <c r="A82" s="239" t="s">
        <v>271</v>
      </c>
      <c r="B82" s="223" t="s">
        <v>507</v>
      </c>
      <c r="C82" s="521" t="s">
        <v>287</v>
      </c>
      <c r="D82" s="519"/>
      <c r="E82" s="223" t="s">
        <v>180</v>
      </c>
      <c r="F82" s="233">
        <v>131.09</v>
      </c>
      <c r="G82" s="311">
        <v>0</v>
      </c>
      <c r="H82" s="233">
        <f>F82*AM82</f>
        <v>0</v>
      </c>
      <c r="I82" s="233">
        <f>F82*AN82</f>
        <v>0</v>
      </c>
      <c r="J82" s="233">
        <f>F82*G82</f>
        <v>0</v>
      </c>
      <c r="K82" s="233">
        <v>0</v>
      </c>
      <c r="L82" s="233">
        <f>F82*K82</f>
        <v>0</v>
      </c>
      <c r="M82" s="240" t="s">
        <v>472</v>
      </c>
      <c r="X82" s="233">
        <f>IF(AO82="5",BH82,0)</f>
        <v>0</v>
      </c>
      <c r="Z82" s="233">
        <f>IF(AO82="1",BF82,0)</f>
        <v>0</v>
      </c>
      <c r="AA82" s="233">
        <f>IF(AO82="1",BG82,0)</f>
        <v>0</v>
      </c>
      <c r="AB82" s="233">
        <f>IF(AO82="7",BF82,0)</f>
        <v>0</v>
      </c>
      <c r="AC82" s="233">
        <f>IF(AO82="7",BG82,0)</f>
        <v>0</v>
      </c>
      <c r="AD82" s="233">
        <f>IF(AO82="2",BF82,0)</f>
        <v>0</v>
      </c>
      <c r="AE82" s="233">
        <f>IF(AO82="2",BG82,0)</f>
        <v>0</v>
      </c>
      <c r="AF82" s="233">
        <f>IF(AO82="0",BH82,0)</f>
        <v>0</v>
      </c>
      <c r="AG82" s="229" t="s">
        <v>154</v>
      </c>
      <c r="AH82" s="233">
        <f>IF(AL82=0,J82,0)</f>
        <v>0</v>
      </c>
      <c r="AI82" s="233">
        <f>IF(AL82=15,J82,0)</f>
        <v>0</v>
      </c>
      <c r="AJ82" s="233">
        <f>IF(AL82=21,J82,0)</f>
        <v>0</v>
      </c>
      <c r="AL82" s="233">
        <v>21</v>
      </c>
      <c r="AM82" s="233">
        <f>G82*0</f>
        <v>0</v>
      </c>
      <c r="AN82" s="233">
        <f>G82*(1-0)</f>
        <v>0</v>
      </c>
      <c r="AO82" s="234" t="s">
        <v>157</v>
      </c>
      <c r="AT82" s="233">
        <f>AU82+AV82</f>
        <v>0</v>
      </c>
      <c r="AU82" s="233">
        <f>F82*AM82</f>
        <v>0</v>
      </c>
      <c r="AV82" s="233">
        <f>F82*AN82</f>
        <v>0</v>
      </c>
      <c r="AW82" s="234" t="s">
        <v>288</v>
      </c>
      <c r="AX82" s="234" t="s">
        <v>289</v>
      </c>
      <c r="AY82" s="229" t="s">
        <v>164</v>
      </c>
      <c r="BA82" s="233">
        <f>AU82+AV82</f>
        <v>0</v>
      </c>
      <c r="BB82" s="233">
        <f>G82/(100-BC82)*100</f>
        <v>0</v>
      </c>
      <c r="BC82" s="233">
        <v>0</v>
      </c>
      <c r="BD82" s="233">
        <f>L82</f>
        <v>0</v>
      </c>
      <c r="BF82" s="233">
        <f>F82*AM82</f>
        <v>0</v>
      </c>
      <c r="BG82" s="233">
        <f>F82*AN82</f>
        <v>0</v>
      </c>
      <c r="BH82" s="233">
        <f>F82*G82</f>
        <v>0</v>
      </c>
      <c r="BI82" s="233"/>
      <c r="BJ82" s="233">
        <v>21</v>
      </c>
      <c r="BU82" s="233" t="e">
        <f>#REF!</f>
        <v>#REF!</v>
      </c>
      <c r="BV82" s="225" t="s">
        <v>287</v>
      </c>
    </row>
    <row r="83" spans="1:74" ht="40.5" customHeight="1" x14ac:dyDescent="0.3">
      <c r="A83" s="241"/>
      <c r="B83" s="242" t="s">
        <v>165</v>
      </c>
      <c r="C83" s="530" t="s">
        <v>1687</v>
      </c>
      <c r="D83" s="531"/>
      <c r="E83" s="531"/>
      <c r="F83" s="531"/>
      <c r="G83" s="531"/>
      <c r="H83" s="531"/>
      <c r="I83" s="531"/>
      <c r="J83" s="531"/>
      <c r="K83" s="531"/>
      <c r="L83" s="531"/>
      <c r="M83" s="532"/>
    </row>
    <row r="84" spans="1:74" ht="14.4" x14ac:dyDescent="0.3">
      <c r="A84" s="239" t="s">
        <v>276</v>
      </c>
      <c r="B84" s="223" t="s">
        <v>291</v>
      </c>
      <c r="C84" s="521" t="s">
        <v>292</v>
      </c>
      <c r="D84" s="519"/>
      <c r="E84" s="223" t="s">
        <v>160</v>
      </c>
      <c r="F84" s="233">
        <v>10</v>
      </c>
      <c r="G84" s="311">
        <v>0</v>
      </c>
      <c r="H84" s="233">
        <f>F84*AM84</f>
        <v>0</v>
      </c>
      <c r="I84" s="233">
        <f>F84*AN84</f>
        <v>0</v>
      </c>
      <c r="J84" s="233">
        <f>F84*G84</f>
        <v>0</v>
      </c>
      <c r="K84" s="233">
        <v>0.43625000000000003</v>
      </c>
      <c r="L84" s="233">
        <f>F84*K84</f>
        <v>4.3625000000000007</v>
      </c>
      <c r="M84" s="240" t="s">
        <v>472</v>
      </c>
      <c r="X84" s="233">
        <f>IF(AO84="5",BH84,0)</f>
        <v>0</v>
      </c>
      <c r="Z84" s="233">
        <f>IF(AO84="1",BF84,0)</f>
        <v>0</v>
      </c>
      <c r="AA84" s="233">
        <f>IF(AO84="1",BG84,0)</f>
        <v>0</v>
      </c>
      <c r="AB84" s="233">
        <f>IF(AO84="7",BF84,0)</f>
        <v>0</v>
      </c>
      <c r="AC84" s="233">
        <f>IF(AO84="7",BG84,0)</f>
        <v>0</v>
      </c>
      <c r="AD84" s="233">
        <f>IF(AO84="2",BF84,0)</f>
        <v>0</v>
      </c>
      <c r="AE84" s="233">
        <f>IF(AO84="2",BG84,0)</f>
        <v>0</v>
      </c>
      <c r="AF84" s="233">
        <f>IF(AO84="0",BH84,0)</f>
        <v>0</v>
      </c>
      <c r="AG84" s="229" t="s">
        <v>154</v>
      </c>
      <c r="AH84" s="233">
        <f>IF(AL84=0,J84,0)</f>
        <v>0</v>
      </c>
      <c r="AI84" s="233">
        <f>IF(AL84=15,J84,0)</f>
        <v>0</v>
      </c>
      <c r="AJ84" s="233">
        <f>IF(AL84=21,J84,0)</f>
        <v>0</v>
      </c>
      <c r="AL84" s="233">
        <v>21</v>
      </c>
      <c r="AM84" s="233">
        <f>G84*0.447203746</f>
        <v>0</v>
      </c>
      <c r="AN84" s="233">
        <f>G84*(1-0.447203746)</f>
        <v>0</v>
      </c>
      <c r="AO84" s="234" t="s">
        <v>157</v>
      </c>
      <c r="AT84" s="233">
        <f>AU84+AV84</f>
        <v>0</v>
      </c>
      <c r="AU84" s="233">
        <f>F84*AM84</f>
        <v>0</v>
      </c>
      <c r="AV84" s="233">
        <f>F84*AN84</f>
        <v>0</v>
      </c>
      <c r="AW84" s="234" t="s">
        <v>288</v>
      </c>
      <c r="AX84" s="234" t="s">
        <v>289</v>
      </c>
      <c r="AY84" s="229" t="s">
        <v>164</v>
      </c>
      <c r="BA84" s="233">
        <f>AU84+AV84</f>
        <v>0</v>
      </c>
      <c r="BB84" s="233">
        <f>G84/(100-BC84)*100</f>
        <v>0</v>
      </c>
      <c r="BC84" s="233">
        <v>0</v>
      </c>
      <c r="BD84" s="233">
        <f>L84</f>
        <v>4.3625000000000007</v>
      </c>
      <c r="BF84" s="233">
        <f>F84*AM84</f>
        <v>0</v>
      </c>
      <c r="BG84" s="233">
        <f>F84*AN84</f>
        <v>0</v>
      </c>
      <c r="BH84" s="233">
        <f>F84*G84</f>
        <v>0</v>
      </c>
      <c r="BI84" s="233"/>
      <c r="BJ84" s="233">
        <v>21</v>
      </c>
      <c r="BU84" s="233" t="e">
        <f>#REF!</f>
        <v>#REF!</v>
      </c>
      <c r="BV84" s="225" t="s">
        <v>292</v>
      </c>
    </row>
    <row r="85" spans="1:74" ht="27" customHeight="1" x14ac:dyDescent="0.3">
      <c r="A85" s="241"/>
      <c r="B85" s="242" t="s">
        <v>165</v>
      </c>
      <c r="C85" s="530" t="s">
        <v>1567</v>
      </c>
      <c r="D85" s="531"/>
      <c r="E85" s="531"/>
      <c r="F85" s="531"/>
      <c r="G85" s="531"/>
      <c r="H85" s="531"/>
      <c r="I85" s="531"/>
      <c r="J85" s="531"/>
      <c r="K85" s="531"/>
      <c r="L85" s="531"/>
      <c r="M85" s="532"/>
    </row>
    <row r="86" spans="1:74" ht="14.4" x14ac:dyDescent="0.3">
      <c r="A86" s="239" t="s">
        <v>281</v>
      </c>
      <c r="B86" s="223" t="s">
        <v>414</v>
      </c>
      <c r="C86" s="521" t="s">
        <v>415</v>
      </c>
      <c r="D86" s="519"/>
      <c r="E86" s="223" t="s">
        <v>380</v>
      </c>
      <c r="F86" s="233">
        <v>4.3600000000000003</v>
      </c>
      <c r="G86" s="311">
        <v>0</v>
      </c>
      <c r="H86" s="233">
        <f>F86*AM86</f>
        <v>0</v>
      </c>
      <c r="I86" s="233">
        <f>F86*AN86</f>
        <v>0</v>
      </c>
      <c r="J86" s="233">
        <f>F86*G86</f>
        <v>0</v>
      </c>
      <c r="K86" s="233">
        <v>0</v>
      </c>
      <c r="L86" s="233">
        <f>F86*K86</f>
        <v>0</v>
      </c>
      <c r="M86" s="240" t="s">
        <v>472</v>
      </c>
      <c r="X86" s="233">
        <f>IF(AO86="5",BH86,0)</f>
        <v>0</v>
      </c>
      <c r="Z86" s="233">
        <f>IF(AO86="1",BF86,0)</f>
        <v>0</v>
      </c>
      <c r="AA86" s="233">
        <f>IF(AO86="1",BG86,0)</f>
        <v>0</v>
      </c>
      <c r="AB86" s="233">
        <f>IF(AO86="7",BF86,0)</f>
        <v>0</v>
      </c>
      <c r="AC86" s="233">
        <f>IF(AO86="7",BG86,0)</f>
        <v>0</v>
      </c>
      <c r="AD86" s="233">
        <f>IF(AO86="2",BF86,0)</f>
        <v>0</v>
      </c>
      <c r="AE86" s="233">
        <f>IF(AO86="2",BG86,0)</f>
        <v>0</v>
      </c>
      <c r="AF86" s="233">
        <f>IF(AO86="0",BH86,0)</f>
        <v>0</v>
      </c>
      <c r="AG86" s="229" t="s">
        <v>154</v>
      </c>
      <c r="AH86" s="233">
        <f>IF(AL86=0,J86,0)</f>
        <v>0</v>
      </c>
      <c r="AI86" s="233">
        <f>IF(AL86=15,J86,0)</f>
        <v>0</v>
      </c>
      <c r="AJ86" s="233">
        <f>IF(AL86=21,J86,0)</f>
        <v>0</v>
      </c>
      <c r="AL86" s="233">
        <v>21</v>
      </c>
      <c r="AM86" s="233">
        <f>G86*0</f>
        <v>0</v>
      </c>
      <c r="AN86" s="233">
        <f>G86*(1-0)</f>
        <v>0</v>
      </c>
      <c r="AO86" s="234" t="s">
        <v>177</v>
      </c>
      <c r="AT86" s="233">
        <f>AU86+AV86</f>
        <v>0</v>
      </c>
      <c r="AU86" s="233">
        <f>F86*AM86</f>
        <v>0</v>
      </c>
      <c r="AV86" s="233">
        <f>F86*AN86</f>
        <v>0</v>
      </c>
      <c r="AW86" s="234" t="s">
        <v>288</v>
      </c>
      <c r="AX86" s="234" t="s">
        <v>289</v>
      </c>
      <c r="AY86" s="229" t="s">
        <v>164</v>
      </c>
      <c r="BA86" s="233">
        <f>AU86+AV86</f>
        <v>0</v>
      </c>
      <c r="BB86" s="233">
        <f>G86/(100-BC86)*100</f>
        <v>0</v>
      </c>
      <c r="BC86" s="233">
        <v>0</v>
      </c>
      <c r="BD86" s="233">
        <f>L86</f>
        <v>0</v>
      </c>
      <c r="BF86" s="233">
        <f>F86*AM86</f>
        <v>0</v>
      </c>
      <c r="BG86" s="233">
        <f>F86*AN86</f>
        <v>0</v>
      </c>
      <c r="BH86" s="233">
        <f>F86*G86</f>
        <v>0</v>
      </c>
      <c r="BI86" s="233"/>
      <c r="BJ86" s="233">
        <v>21</v>
      </c>
      <c r="BU86" s="233" t="e">
        <f>#REF!</f>
        <v>#REF!</v>
      </c>
      <c r="BV86" s="225" t="s">
        <v>415</v>
      </c>
    </row>
    <row r="87" spans="1:74" ht="14.4" x14ac:dyDescent="0.3">
      <c r="A87" s="239" t="s">
        <v>154</v>
      </c>
      <c r="B87" s="224" t="s">
        <v>253</v>
      </c>
      <c r="C87" s="526" t="s">
        <v>293</v>
      </c>
      <c r="D87" s="527"/>
      <c r="E87" s="223" t="s">
        <v>114</v>
      </c>
      <c r="F87" s="223" t="s">
        <v>114</v>
      </c>
      <c r="G87" s="223" t="s">
        <v>114</v>
      </c>
      <c r="H87" s="235">
        <f>SUM(H88:H88)</f>
        <v>0</v>
      </c>
      <c r="I87" s="235">
        <f>SUM(I88:I88)</f>
        <v>0</v>
      </c>
      <c r="J87" s="235">
        <f>SUM(J88:J88)</f>
        <v>0</v>
      </c>
      <c r="K87" s="230" t="s">
        <v>154</v>
      </c>
      <c r="L87" s="235">
        <f>SUM(L88:L88)</f>
        <v>2.1716204000000001</v>
      </c>
      <c r="M87" s="243" t="s">
        <v>154</v>
      </c>
      <c r="AG87" s="229" t="s">
        <v>154</v>
      </c>
      <c r="AQ87" s="222">
        <f>SUM(AH88:AH88)</f>
        <v>0</v>
      </c>
      <c r="AR87" s="222">
        <f>SUM(AI88:AI88)</f>
        <v>0</v>
      </c>
      <c r="AS87" s="222">
        <f>SUM(AJ88:AJ88)</f>
        <v>0</v>
      </c>
    </row>
    <row r="88" spans="1:74" ht="14.4" x14ac:dyDescent="0.3">
      <c r="A88" s="239" t="s">
        <v>285</v>
      </c>
      <c r="B88" s="223" t="s">
        <v>890</v>
      </c>
      <c r="C88" s="521" t="s">
        <v>296</v>
      </c>
      <c r="D88" s="519"/>
      <c r="E88" s="223" t="s">
        <v>196</v>
      </c>
      <c r="F88" s="233">
        <v>0.86</v>
      </c>
      <c r="G88" s="311">
        <v>0</v>
      </c>
      <c r="H88" s="233">
        <f>F88*AM88</f>
        <v>0</v>
      </c>
      <c r="I88" s="233">
        <f>F88*AN88</f>
        <v>0</v>
      </c>
      <c r="J88" s="233">
        <f>F88*G88</f>
        <v>0</v>
      </c>
      <c r="K88" s="233">
        <v>2.5251399999999999</v>
      </c>
      <c r="L88" s="233">
        <f>F88*K88</f>
        <v>2.1716204000000001</v>
      </c>
      <c r="M88" s="240" t="s">
        <v>472</v>
      </c>
      <c r="X88" s="233">
        <f>IF(AO88="5",BH88,0)</f>
        <v>0</v>
      </c>
      <c r="Z88" s="233">
        <f>IF(AO88="1",BF88,0)</f>
        <v>0</v>
      </c>
      <c r="AA88" s="233">
        <f>IF(AO88="1",BG88,0)</f>
        <v>0</v>
      </c>
      <c r="AB88" s="233">
        <f>IF(AO88="7",BF88,0)</f>
        <v>0</v>
      </c>
      <c r="AC88" s="233">
        <f>IF(AO88="7",BG88,0)</f>
        <v>0</v>
      </c>
      <c r="AD88" s="233">
        <f>IF(AO88="2",BF88,0)</f>
        <v>0</v>
      </c>
      <c r="AE88" s="233">
        <f>IF(AO88="2",BG88,0)</f>
        <v>0</v>
      </c>
      <c r="AF88" s="233">
        <f>IF(AO88="0",BH88,0)</f>
        <v>0</v>
      </c>
      <c r="AG88" s="229" t="s">
        <v>154</v>
      </c>
      <c r="AH88" s="233">
        <f>IF(AL88=0,J88,0)</f>
        <v>0</v>
      </c>
      <c r="AI88" s="233">
        <f>IF(AL88=15,J88,0)</f>
        <v>0</v>
      </c>
      <c r="AJ88" s="233">
        <f>IF(AL88=21,J88,0)</f>
        <v>0</v>
      </c>
      <c r="AL88" s="233">
        <v>21</v>
      </c>
      <c r="AM88" s="233">
        <f>G88*0.848041841</f>
        <v>0</v>
      </c>
      <c r="AN88" s="233">
        <f>G88*(1-0.848041841)</f>
        <v>0</v>
      </c>
      <c r="AO88" s="234" t="s">
        <v>157</v>
      </c>
      <c r="AT88" s="233">
        <f>AU88+AV88</f>
        <v>0</v>
      </c>
      <c r="AU88" s="233">
        <f>F88*AM88</f>
        <v>0</v>
      </c>
      <c r="AV88" s="233">
        <f>F88*AN88</f>
        <v>0</v>
      </c>
      <c r="AW88" s="234" t="s">
        <v>297</v>
      </c>
      <c r="AX88" s="234" t="s">
        <v>289</v>
      </c>
      <c r="AY88" s="229" t="s">
        <v>164</v>
      </c>
      <c r="BA88" s="233">
        <f>AU88+AV88</f>
        <v>0</v>
      </c>
      <c r="BB88" s="233">
        <f>G88/(100-BC88)*100</f>
        <v>0</v>
      </c>
      <c r="BC88" s="233">
        <v>0</v>
      </c>
      <c r="BD88" s="233">
        <f>L88</f>
        <v>2.1716204000000001</v>
      </c>
      <c r="BF88" s="233">
        <f>F88*AM88</f>
        <v>0</v>
      </c>
      <c r="BG88" s="233">
        <f>F88*AN88</f>
        <v>0</v>
      </c>
      <c r="BH88" s="233">
        <f>F88*G88</f>
        <v>0</v>
      </c>
      <c r="BI88" s="233"/>
      <c r="BJ88" s="233">
        <v>27</v>
      </c>
      <c r="BU88" s="233" t="e">
        <f>#REF!</f>
        <v>#REF!</v>
      </c>
      <c r="BV88" s="225" t="s">
        <v>296</v>
      </c>
    </row>
    <row r="89" spans="1:74" ht="40.5" customHeight="1" x14ac:dyDescent="0.3">
      <c r="A89" s="241"/>
      <c r="B89" s="242" t="s">
        <v>165</v>
      </c>
      <c r="C89" s="530" t="s">
        <v>1688</v>
      </c>
      <c r="D89" s="531"/>
      <c r="E89" s="531"/>
      <c r="F89" s="531"/>
      <c r="G89" s="531"/>
      <c r="H89" s="531"/>
      <c r="I89" s="531"/>
      <c r="J89" s="531"/>
      <c r="K89" s="531"/>
      <c r="L89" s="531"/>
      <c r="M89" s="532"/>
    </row>
    <row r="90" spans="1:74" ht="14.4" x14ac:dyDescent="0.3">
      <c r="A90" s="239" t="s">
        <v>154</v>
      </c>
      <c r="B90" s="224" t="s">
        <v>298</v>
      </c>
      <c r="C90" s="526" t="s">
        <v>299</v>
      </c>
      <c r="D90" s="527"/>
      <c r="E90" s="223" t="s">
        <v>114</v>
      </c>
      <c r="F90" s="223" t="s">
        <v>114</v>
      </c>
      <c r="G90" s="223" t="s">
        <v>114</v>
      </c>
      <c r="H90" s="235">
        <f>SUM(H91:H91)</f>
        <v>0</v>
      </c>
      <c r="I90" s="235">
        <f>SUM(I91:I91)</f>
        <v>0</v>
      </c>
      <c r="J90" s="235">
        <f>SUM(J91:J91)</f>
        <v>0</v>
      </c>
      <c r="K90" s="230" t="s">
        <v>154</v>
      </c>
      <c r="L90" s="235">
        <f>SUM(L91:L91)</f>
        <v>38.874231199999997</v>
      </c>
      <c r="M90" s="243" t="s">
        <v>154</v>
      </c>
      <c r="AG90" s="229" t="s">
        <v>154</v>
      </c>
      <c r="AQ90" s="222">
        <f>SUM(AH91:AH91)</f>
        <v>0</v>
      </c>
      <c r="AR90" s="222">
        <f>SUM(AI91:AI91)</f>
        <v>0</v>
      </c>
      <c r="AS90" s="222">
        <f>SUM(AJ91:AJ91)</f>
        <v>0</v>
      </c>
    </row>
    <row r="91" spans="1:74" ht="14.4" x14ac:dyDescent="0.3">
      <c r="A91" s="239" t="s">
        <v>290</v>
      </c>
      <c r="B91" s="223" t="s">
        <v>301</v>
      </c>
      <c r="C91" s="521" t="s">
        <v>891</v>
      </c>
      <c r="D91" s="519"/>
      <c r="E91" s="223" t="s">
        <v>196</v>
      </c>
      <c r="F91" s="233">
        <v>20.56</v>
      </c>
      <c r="G91" s="311">
        <v>0</v>
      </c>
      <c r="H91" s="233">
        <f>F91*AM91</f>
        <v>0</v>
      </c>
      <c r="I91" s="233">
        <f>F91*AN91</f>
        <v>0</v>
      </c>
      <c r="J91" s="233">
        <f>F91*G91</f>
        <v>0</v>
      </c>
      <c r="K91" s="233">
        <v>1.8907700000000001</v>
      </c>
      <c r="L91" s="233">
        <f>F91*K91</f>
        <v>38.874231199999997</v>
      </c>
      <c r="M91" s="240" t="s">
        <v>472</v>
      </c>
      <c r="X91" s="233">
        <f>IF(AO91="5",BH91,0)</f>
        <v>0</v>
      </c>
      <c r="Z91" s="233">
        <f>IF(AO91="1",BF91,0)</f>
        <v>0</v>
      </c>
      <c r="AA91" s="233">
        <f>IF(AO91="1",BG91,0)</f>
        <v>0</v>
      </c>
      <c r="AB91" s="233">
        <f>IF(AO91="7",BF91,0)</f>
        <v>0</v>
      </c>
      <c r="AC91" s="233">
        <f>IF(AO91="7",BG91,0)</f>
        <v>0</v>
      </c>
      <c r="AD91" s="233">
        <f>IF(AO91="2",BF91,0)</f>
        <v>0</v>
      </c>
      <c r="AE91" s="233">
        <f>IF(AO91="2",BG91,0)</f>
        <v>0</v>
      </c>
      <c r="AF91" s="233">
        <f>IF(AO91="0",BH91,0)</f>
        <v>0</v>
      </c>
      <c r="AG91" s="229" t="s">
        <v>154</v>
      </c>
      <c r="AH91" s="233">
        <f>IF(AL91=0,J91,0)</f>
        <v>0</v>
      </c>
      <c r="AI91" s="233">
        <f>IF(AL91=15,J91,0)</f>
        <v>0</v>
      </c>
      <c r="AJ91" s="233">
        <f>IF(AL91=21,J91,0)</f>
        <v>0</v>
      </c>
      <c r="AL91" s="233">
        <v>21</v>
      </c>
      <c r="AM91" s="233">
        <f>G91*0.492383846</f>
        <v>0</v>
      </c>
      <c r="AN91" s="233">
        <f>G91*(1-0.492383846)</f>
        <v>0</v>
      </c>
      <c r="AO91" s="234" t="s">
        <v>157</v>
      </c>
      <c r="AT91" s="233">
        <f>AU91+AV91</f>
        <v>0</v>
      </c>
      <c r="AU91" s="233">
        <f>F91*AM91</f>
        <v>0</v>
      </c>
      <c r="AV91" s="233">
        <f>F91*AN91</f>
        <v>0</v>
      </c>
      <c r="AW91" s="234" t="s">
        <v>303</v>
      </c>
      <c r="AX91" s="234" t="s">
        <v>304</v>
      </c>
      <c r="AY91" s="229" t="s">
        <v>164</v>
      </c>
      <c r="BA91" s="233">
        <f>AU91+AV91</f>
        <v>0</v>
      </c>
      <c r="BB91" s="233">
        <f>G91/(100-BC91)*100</f>
        <v>0</v>
      </c>
      <c r="BC91" s="233">
        <v>0</v>
      </c>
      <c r="BD91" s="233">
        <f>L91</f>
        <v>38.874231199999997</v>
      </c>
      <c r="BF91" s="233">
        <f>F91*AM91</f>
        <v>0</v>
      </c>
      <c r="BG91" s="233">
        <f>F91*AN91</f>
        <v>0</v>
      </c>
      <c r="BH91" s="233">
        <f>F91*G91</f>
        <v>0</v>
      </c>
      <c r="BI91" s="233"/>
      <c r="BJ91" s="233">
        <v>45</v>
      </c>
      <c r="BU91" s="233" t="e">
        <f>#REF!</f>
        <v>#REF!</v>
      </c>
      <c r="BV91" s="225" t="s">
        <v>891</v>
      </c>
    </row>
    <row r="92" spans="1:74" ht="40.5" customHeight="1" x14ac:dyDescent="0.3">
      <c r="A92" s="241"/>
      <c r="B92" s="242" t="s">
        <v>165</v>
      </c>
      <c r="C92" s="530" t="s">
        <v>1689</v>
      </c>
      <c r="D92" s="531"/>
      <c r="E92" s="531"/>
      <c r="F92" s="531"/>
      <c r="G92" s="531"/>
      <c r="H92" s="531"/>
      <c r="I92" s="531"/>
      <c r="J92" s="531"/>
      <c r="K92" s="531"/>
      <c r="L92" s="531"/>
      <c r="M92" s="532"/>
    </row>
    <row r="93" spans="1:74" ht="14.4" x14ac:dyDescent="0.3">
      <c r="A93" s="239" t="s">
        <v>154</v>
      </c>
      <c r="B93" s="224" t="s">
        <v>305</v>
      </c>
      <c r="C93" s="526" t="s">
        <v>306</v>
      </c>
      <c r="D93" s="527"/>
      <c r="E93" s="223" t="s">
        <v>114</v>
      </c>
      <c r="F93" s="223" t="s">
        <v>114</v>
      </c>
      <c r="G93" s="223" t="s">
        <v>114</v>
      </c>
      <c r="H93" s="235">
        <f>SUM(H94:H106)</f>
        <v>0</v>
      </c>
      <c r="I93" s="235">
        <f>SUM(I94:I106)</f>
        <v>0</v>
      </c>
      <c r="J93" s="235">
        <f>SUM(J94:J106)</f>
        <v>0</v>
      </c>
      <c r="K93" s="230" t="s">
        <v>154</v>
      </c>
      <c r="L93" s="235">
        <f>SUM(L94:L106)</f>
        <v>518.37112520000005</v>
      </c>
      <c r="M93" s="243" t="s">
        <v>154</v>
      </c>
      <c r="AG93" s="229" t="s">
        <v>154</v>
      </c>
      <c r="AQ93" s="222">
        <f>SUM(AH94:AH106)</f>
        <v>0</v>
      </c>
      <c r="AR93" s="222">
        <f>SUM(AI94:AI106)</f>
        <v>0</v>
      </c>
      <c r="AS93" s="222">
        <f>SUM(AJ94:AJ106)</f>
        <v>0</v>
      </c>
    </row>
    <row r="94" spans="1:74" ht="14.4" x14ac:dyDescent="0.3">
      <c r="A94" s="239" t="s">
        <v>294</v>
      </c>
      <c r="B94" s="223" t="s">
        <v>308</v>
      </c>
      <c r="C94" s="521" t="s">
        <v>309</v>
      </c>
      <c r="D94" s="519"/>
      <c r="E94" s="223" t="s">
        <v>180</v>
      </c>
      <c r="F94" s="233">
        <v>183.53</v>
      </c>
      <c r="G94" s="311">
        <v>0</v>
      </c>
      <c r="H94" s="233">
        <f>F94*AM94</f>
        <v>0</v>
      </c>
      <c r="I94" s="233">
        <f>F94*AN94</f>
        <v>0</v>
      </c>
      <c r="J94" s="233">
        <f>F94*G94</f>
        <v>0</v>
      </c>
      <c r="K94" s="233">
        <v>0.4284</v>
      </c>
      <c r="L94" s="233">
        <f>F94*K94</f>
        <v>78.624251999999998</v>
      </c>
      <c r="M94" s="240" t="s">
        <v>472</v>
      </c>
      <c r="X94" s="233">
        <f>IF(AO94="5",BH94,0)</f>
        <v>0</v>
      </c>
      <c r="Z94" s="233">
        <f>IF(AO94="1",BF94,0)</f>
        <v>0</v>
      </c>
      <c r="AA94" s="233">
        <f>IF(AO94="1",BG94,0)</f>
        <v>0</v>
      </c>
      <c r="AB94" s="233">
        <f>IF(AO94="7",BF94,0)</f>
        <v>0</v>
      </c>
      <c r="AC94" s="233">
        <f>IF(AO94="7",BG94,0)</f>
        <v>0</v>
      </c>
      <c r="AD94" s="233">
        <f>IF(AO94="2",BF94,0)</f>
        <v>0</v>
      </c>
      <c r="AE94" s="233">
        <f>IF(AO94="2",BG94,0)</f>
        <v>0</v>
      </c>
      <c r="AF94" s="233">
        <f>IF(AO94="0",BH94,0)</f>
        <v>0</v>
      </c>
      <c r="AG94" s="229" t="s">
        <v>154</v>
      </c>
      <c r="AH94" s="233">
        <f>IF(AL94=0,J94,0)</f>
        <v>0</v>
      </c>
      <c r="AI94" s="233">
        <f>IF(AL94=15,J94,0)</f>
        <v>0</v>
      </c>
      <c r="AJ94" s="233">
        <f>IF(AL94=21,J94,0)</f>
        <v>0</v>
      </c>
      <c r="AL94" s="233">
        <v>21</v>
      </c>
      <c r="AM94" s="233">
        <f>G94*0.847970321</f>
        <v>0</v>
      </c>
      <c r="AN94" s="233">
        <f>G94*(1-0.847970321)</f>
        <v>0</v>
      </c>
      <c r="AO94" s="234" t="s">
        <v>157</v>
      </c>
      <c r="AT94" s="233">
        <f>AU94+AV94</f>
        <v>0</v>
      </c>
      <c r="AU94" s="233">
        <f>F94*AM94</f>
        <v>0</v>
      </c>
      <c r="AV94" s="233">
        <f>F94*AN94</f>
        <v>0</v>
      </c>
      <c r="AW94" s="234" t="s">
        <v>310</v>
      </c>
      <c r="AX94" s="234" t="s">
        <v>311</v>
      </c>
      <c r="AY94" s="229" t="s">
        <v>164</v>
      </c>
      <c r="BA94" s="233">
        <f>AU94+AV94</f>
        <v>0</v>
      </c>
      <c r="BB94" s="233">
        <f>G94/(100-BC94)*100</f>
        <v>0</v>
      </c>
      <c r="BC94" s="233">
        <v>0</v>
      </c>
      <c r="BD94" s="233">
        <f>L94</f>
        <v>78.624251999999998</v>
      </c>
      <c r="BF94" s="233">
        <f>F94*AM94</f>
        <v>0</v>
      </c>
      <c r="BG94" s="233">
        <f>F94*AN94</f>
        <v>0</v>
      </c>
      <c r="BH94" s="233">
        <f>F94*G94</f>
        <v>0</v>
      </c>
      <c r="BI94" s="233"/>
      <c r="BJ94" s="233">
        <v>56</v>
      </c>
      <c r="BU94" s="233" t="e">
        <f>#REF!</f>
        <v>#REF!</v>
      </c>
      <c r="BV94" s="225" t="s">
        <v>309</v>
      </c>
    </row>
    <row r="95" spans="1:74" ht="40.5" customHeight="1" x14ac:dyDescent="0.3">
      <c r="A95" s="241"/>
      <c r="B95" s="242" t="s">
        <v>165</v>
      </c>
      <c r="C95" s="530" t="s">
        <v>1690</v>
      </c>
      <c r="D95" s="531"/>
      <c r="E95" s="531"/>
      <c r="F95" s="531"/>
      <c r="G95" s="531"/>
      <c r="H95" s="531"/>
      <c r="I95" s="531"/>
      <c r="J95" s="531"/>
      <c r="K95" s="531"/>
      <c r="L95" s="531"/>
      <c r="M95" s="532"/>
    </row>
    <row r="96" spans="1:74" ht="14.4" x14ac:dyDescent="0.3">
      <c r="A96" s="239" t="s">
        <v>300</v>
      </c>
      <c r="B96" s="223" t="s">
        <v>313</v>
      </c>
      <c r="C96" s="521" t="s">
        <v>314</v>
      </c>
      <c r="D96" s="519"/>
      <c r="E96" s="223" t="s">
        <v>180</v>
      </c>
      <c r="F96" s="233">
        <v>194.26</v>
      </c>
      <c r="G96" s="311">
        <v>0</v>
      </c>
      <c r="H96" s="233">
        <f>F96*AM96</f>
        <v>0</v>
      </c>
      <c r="I96" s="233">
        <f>F96*AN96</f>
        <v>0</v>
      </c>
      <c r="J96" s="233">
        <f>F96*G96</f>
        <v>0</v>
      </c>
      <c r="K96" s="233">
        <v>0.60104000000000002</v>
      </c>
      <c r="L96" s="233">
        <f>F96*K96</f>
        <v>116.7580304</v>
      </c>
      <c r="M96" s="240" t="s">
        <v>472</v>
      </c>
      <c r="X96" s="233">
        <f>IF(AO96="5",BH96,0)</f>
        <v>0</v>
      </c>
      <c r="Z96" s="233">
        <f>IF(AO96="1",BF96,0)</f>
        <v>0</v>
      </c>
      <c r="AA96" s="233">
        <f>IF(AO96="1",BG96,0)</f>
        <v>0</v>
      </c>
      <c r="AB96" s="233">
        <f>IF(AO96="7",BF96,0)</f>
        <v>0</v>
      </c>
      <c r="AC96" s="233">
        <f>IF(AO96="7",BG96,0)</f>
        <v>0</v>
      </c>
      <c r="AD96" s="233">
        <f>IF(AO96="2",BF96,0)</f>
        <v>0</v>
      </c>
      <c r="AE96" s="233">
        <f>IF(AO96="2",BG96,0)</f>
        <v>0</v>
      </c>
      <c r="AF96" s="233">
        <f>IF(AO96="0",BH96,0)</f>
        <v>0</v>
      </c>
      <c r="AG96" s="229" t="s">
        <v>154</v>
      </c>
      <c r="AH96" s="233">
        <f>IF(AL96=0,J96,0)</f>
        <v>0</v>
      </c>
      <c r="AI96" s="233">
        <f>IF(AL96=15,J96,0)</f>
        <v>0</v>
      </c>
      <c r="AJ96" s="233">
        <f>IF(AL96=21,J96,0)</f>
        <v>0</v>
      </c>
      <c r="AL96" s="233">
        <v>21</v>
      </c>
      <c r="AM96" s="233">
        <f>G96*0.832421813</f>
        <v>0</v>
      </c>
      <c r="AN96" s="233">
        <f>G96*(1-0.832421813)</f>
        <v>0</v>
      </c>
      <c r="AO96" s="234" t="s">
        <v>157</v>
      </c>
      <c r="AT96" s="233">
        <f>AU96+AV96</f>
        <v>0</v>
      </c>
      <c r="AU96" s="233">
        <f>F96*AM96</f>
        <v>0</v>
      </c>
      <c r="AV96" s="233">
        <f>F96*AN96</f>
        <v>0</v>
      </c>
      <c r="AW96" s="234" t="s">
        <v>310</v>
      </c>
      <c r="AX96" s="234" t="s">
        <v>311</v>
      </c>
      <c r="AY96" s="229" t="s">
        <v>164</v>
      </c>
      <c r="BA96" s="233">
        <f>AU96+AV96</f>
        <v>0</v>
      </c>
      <c r="BB96" s="233">
        <f>G96/(100-BC96)*100</f>
        <v>0</v>
      </c>
      <c r="BC96" s="233">
        <v>0</v>
      </c>
      <c r="BD96" s="233">
        <f>L96</f>
        <v>116.7580304</v>
      </c>
      <c r="BF96" s="233">
        <f>F96*AM96</f>
        <v>0</v>
      </c>
      <c r="BG96" s="233">
        <f>F96*AN96</f>
        <v>0</v>
      </c>
      <c r="BH96" s="233">
        <f>F96*G96</f>
        <v>0</v>
      </c>
      <c r="BI96" s="233"/>
      <c r="BJ96" s="233">
        <v>56</v>
      </c>
      <c r="BU96" s="233" t="e">
        <f>#REF!</f>
        <v>#REF!</v>
      </c>
      <c r="BV96" s="225" t="s">
        <v>314</v>
      </c>
    </row>
    <row r="97" spans="1:74" ht="40.5" customHeight="1" x14ac:dyDescent="0.3">
      <c r="A97" s="241"/>
      <c r="B97" s="242" t="s">
        <v>165</v>
      </c>
      <c r="C97" s="530" t="s">
        <v>1691</v>
      </c>
      <c r="D97" s="531"/>
      <c r="E97" s="531"/>
      <c r="F97" s="531"/>
      <c r="G97" s="531"/>
      <c r="H97" s="531"/>
      <c r="I97" s="531"/>
      <c r="J97" s="531"/>
      <c r="K97" s="531"/>
      <c r="L97" s="531"/>
      <c r="M97" s="532"/>
    </row>
    <row r="98" spans="1:74" ht="14.4" x14ac:dyDescent="0.3">
      <c r="A98" s="239" t="s">
        <v>307</v>
      </c>
      <c r="B98" s="223" t="s">
        <v>316</v>
      </c>
      <c r="C98" s="521" t="s">
        <v>317</v>
      </c>
      <c r="D98" s="519"/>
      <c r="E98" s="223" t="s">
        <v>180</v>
      </c>
      <c r="F98" s="233">
        <v>194.26</v>
      </c>
      <c r="G98" s="311">
        <v>0</v>
      </c>
      <c r="H98" s="233">
        <f>F98*AM98</f>
        <v>0</v>
      </c>
      <c r="I98" s="233">
        <f>F98*AN98</f>
        <v>0</v>
      </c>
      <c r="J98" s="233">
        <f>F98*G98</f>
        <v>0</v>
      </c>
      <c r="K98" s="233">
        <v>0.48574000000000001</v>
      </c>
      <c r="L98" s="233">
        <f>F98*K98</f>
        <v>94.359852399999994</v>
      </c>
      <c r="M98" s="240" t="s">
        <v>472</v>
      </c>
      <c r="X98" s="233">
        <f>IF(AO98="5",BH98,0)</f>
        <v>0</v>
      </c>
      <c r="Z98" s="233">
        <f>IF(AO98="1",BF98,0)</f>
        <v>0</v>
      </c>
      <c r="AA98" s="233">
        <f>IF(AO98="1",BG98,0)</f>
        <v>0</v>
      </c>
      <c r="AB98" s="233">
        <f>IF(AO98="7",BF98,0)</f>
        <v>0</v>
      </c>
      <c r="AC98" s="233">
        <f>IF(AO98="7",BG98,0)</f>
        <v>0</v>
      </c>
      <c r="AD98" s="233">
        <f>IF(AO98="2",BF98,0)</f>
        <v>0</v>
      </c>
      <c r="AE98" s="233">
        <f>IF(AO98="2",BG98,0)</f>
        <v>0</v>
      </c>
      <c r="AF98" s="233">
        <f>IF(AO98="0",BH98,0)</f>
        <v>0</v>
      </c>
      <c r="AG98" s="229" t="s">
        <v>154</v>
      </c>
      <c r="AH98" s="233">
        <f>IF(AL98=0,J98,0)</f>
        <v>0</v>
      </c>
      <c r="AI98" s="233">
        <f>IF(AL98=15,J98,0)</f>
        <v>0</v>
      </c>
      <c r="AJ98" s="233">
        <f>IF(AL98=21,J98,0)</f>
        <v>0</v>
      </c>
      <c r="AL98" s="233">
        <v>21</v>
      </c>
      <c r="AM98" s="233">
        <f>G98*0.812875943</f>
        <v>0</v>
      </c>
      <c r="AN98" s="233">
        <f>G98*(1-0.812875943)</f>
        <v>0</v>
      </c>
      <c r="AO98" s="234" t="s">
        <v>157</v>
      </c>
      <c r="AT98" s="233">
        <f>AU98+AV98</f>
        <v>0</v>
      </c>
      <c r="AU98" s="233">
        <f>F98*AM98</f>
        <v>0</v>
      </c>
      <c r="AV98" s="233">
        <f>F98*AN98</f>
        <v>0</v>
      </c>
      <c r="AW98" s="234" t="s">
        <v>310</v>
      </c>
      <c r="AX98" s="234" t="s">
        <v>311</v>
      </c>
      <c r="AY98" s="229" t="s">
        <v>164</v>
      </c>
      <c r="BA98" s="233">
        <f>AU98+AV98</f>
        <v>0</v>
      </c>
      <c r="BB98" s="233">
        <f>G98/(100-BC98)*100</f>
        <v>0</v>
      </c>
      <c r="BC98" s="233">
        <v>0</v>
      </c>
      <c r="BD98" s="233">
        <f>L98</f>
        <v>94.359852399999994</v>
      </c>
      <c r="BF98" s="233">
        <f>F98*AM98</f>
        <v>0</v>
      </c>
      <c r="BG98" s="233">
        <f>F98*AN98</f>
        <v>0</v>
      </c>
      <c r="BH98" s="233">
        <f>F98*G98</f>
        <v>0</v>
      </c>
      <c r="BI98" s="233"/>
      <c r="BJ98" s="233">
        <v>56</v>
      </c>
      <c r="BU98" s="233" t="e">
        <f>#REF!</f>
        <v>#REF!</v>
      </c>
      <c r="BV98" s="225" t="s">
        <v>317</v>
      </c>
    </row>
    <row r="99" spans="1:74" ht="40.5" customHeight="1" x14ac:dyDescent="0.3">
      <c r="A99" s="241"/>
      <c r="B99" s="242" t="s">
        <v>165</v>
      </c>
      <c r="C99" s="530" t="s">
        <v>1692</v>
      </c>
      <c r="D99" s="531"/>
      <c r="E99" s="531"/>
      <c r="F99" s="531"/>
      <c r="G99" s="531"/>
      <c r="H99" s="531"/>
      <c r="I99" s="531"/>
      <c r="J99" s="531"/>
      <c r="K99" s="531"/>
      <c r="L99" s="531"/>
      <c r="M99" s="532"/>
    </row>
    <row r="100" spans="1:74" ht="14.4" x14ac:dyDescent="0.3">
      <c r="A100" s="239" t="s">
        <v>312</v>
      </c>
      <c r="B100" s="223" t="s">
        <v>316</v>
      </c>
      <c r="C100" s="521" t="s">
        <v>317</v>
      </c>
      <c r="D100" s="519"/>
      <c r="E100" s="223" t="s">
        <v>180</v>
      </c>
      <c r="F100" s="233">
        <v>194.26</v>
      </c>
      <c r="G100" s="311">
        <v>0</v>
      </c>
      <c r="H100" s="233">
        <f>F100*AM100</f>
        <v>0</v>
      </c>
      <c r="I100" s="233">
        <f>F100*AN100</f>
        <v>0</v>
      </c>
      <c r="J100" s="233">
        <f>F100*G100</f>
        <v>0</v>
      </c>
      <c r="K100" s="233">
        <v>0.48574000000000001</v>
      </c>
      <c r="L100" s="233">
        <f>F100*K100</f>
        <v>94.359852399999994</v>
      </c>
      <c r="M100" s="240" t="s">
        <v>472</v>
      </c>
      <c r="X100" s="233">
        <f>IF(AO100="5",BH100,0)</f>
        <v>0</v>
      </c>
      <c r="Z100" s="233">
        <f>IF(AO100="1",BF100,0)</f>
        <v>0</v>
      </c>
      <c r="AA100" s="233">
        <f>IF(AO100="1",BG100,0)</f>
        <v>0</v>
      </c>
      <c r="AB100" s="233">
        <f>IF(AO100="7",BF100,0)</f>
        <v>0</v>
      </c>
      <c r="AC100" s="233">
        <f>IF(AO100="7",BG100,0)</f>
        <v>0</v>
      </c>
      <c r="AD100" s="233">
        <f>IF(AO100="2",BF100,0)</f>
        <v>0</v>
      </c>
      <c r="AE100" s="233">
        <f>IF(AO100="2",BG100,0)</f>
        <v>0</v>
      </c>
      <c r="AF100" s="233">
        <f>IF(AO100="0",BH100,0)</f>
        <v>0</v>
      </c>
      <c r="AG100" s="229" t="s">
        <v>154</v>
      </c>
      <c r="AH100" s="233">
        <f>IF(AL100=0,J100,0)</f>
        <v>0</v>
      </c>
      <c r="AI100" s="233">
        <f>IF(AL100=15,J100,0)</f>
        <v>0</v>
      </c>
      <c r="AJ100" s="233">
        <f>IF(AL100=21,J100,0)</f>
        <v>0</v>
      </c>
      <c r="AL100" s="233">
        <v>21</v>
      </c>
      <c r="AM100" s="233">
        <f>G100*0.812875943</f>
        <v>0</v>
      </c>
      <c r="AN100" s="233">
        <f>G100*(1-0.812875943)</f>
        <v>0</v>
      </c>
      <c r="AO100" s="234" t="s">
        <v>157</v>
      </c>
      <c r="AT100" s="233">
        <f>AU100+AV100</f>
        <v>0</v>
      </c>
      <c r="AU100" s="233">
        <f>F100*AM100</f>
        <v>0</v>
      </c>
      <c r="AV100" s="233">
        <f>F100*AN100</f>
        <v>0</v>
      </c>
      <c r="AW100" s="234" t="s">
        <v>310</v>
      </c>
      <c r="AX100" s="234" t="s">
        <v>311</v>
      </c>
      <c r="AY100" s="229" t="s">
        <v>164</v>
      </c>
      <c r="BA100" s="233">
        <f>AU100+AV100</f>
        <v>0</v>
      </c>
      <c r="BB100" s="233">
        <f>G100/(100-BC100)*100</f>
        <v>0</v>
      </c>
      <c r="BC100" s="233">
        <v>0</v>
      </c>
      <c r="BD100" s="233">
        <f>L100</f>
        <v>94.359852399999994</v>
      </c>
      <c r="BF100" s="233">
        <f>F100*AM100</f>
        <v>0</v>
      </c>
      <c r="BG100" s="233">
        <f>F100*AN100</f>
        <v>0</v>
      </c>
      <c r="BH100" s="233">
        <f>F100*G100</f>
        <v>0</v>
      </c>
      <c r="BI100" s="233"/>
      <c r="BJ100" s="233">
        <v>56</v>
      </c>
      <c r="BU100" s="233" t="e">
        <f>#REF!</f>
        <v>#REF!</v>
      </c>
      <c r="BV100" s="225" t="s">
        <v>317</v>
      </c>
    </row>
    <row r="101" spans="1:74" ht="40.5" customHeight="1" x14ac:dyDescent="0.3">
      <c r="A101" s="241"/>
      <c r="B101" s="242" t="s">
        <v>165</v>
      </c>
      <c r="C101" s="530" t="s">
        <v>1692</v>
      </c>
      <c r="D101" s="531"/>
      <c r="E101" s="531"/>
      <c r="F101" s="531"/>
      <c r="G101" s="531"/>
      <c r="H101" s="531"/>
      <c r="I101" s="531"/>
      <c r="J101" s="531"/>
      <c r="K101" s="531"/>
      <c r="L101" s="531"/>
      <c r="M101" s="532"/>
    </row>
    <row r="102" spans="1:74" ht="14.4" x14ac:dyDescent="0.3">
      <c r="A102" s="239" t="s">
        <v>315</v>
      </c>
      <c r="B102" s="223" t="s">
        <v>320</v>
      </c>
      <c r="C102" s="521" t="s">
        <v>321</v>
      </c>
      <c r="D102" s="519"/>
      <c r="E102" s="223" t="s">
        <v>180</v>
      </c>
      <c r="F102" s="233">
        <v>202.03</v>
      </c>
      <c r="G102" s="311">
        <v>0</v>
      </c>
      <c r="H102" s="233">
        <f>F102*AM102</f>
        <v>0</v>
      </c>
      <c r="I102" s="233">
        <f>F102*AN102</f>
        <v>0</v>
      </c>
      <c r="J102" s="233">
        <f>F102*G102</f>
        <v>0</v>
      </c>
      <c r="K102" s="233">
        <v>0.4536</v>
      </c>
      <c r="L102" s="233">
        <f>F102*K102</f>
        <v>91.640808000000007</v>
      </c>
      <c r="M102" s="240" t="s">
        <v>472</v>
      </c>
      <c r="X102" s="233">
        <f>IF(AO102="5",BH102,0)</f>
        <v>0</v>
      </c>
      <c r="Z102" s="233">
        <f>IF(AO102="1",BF102,0)</f>
        <v>0</v>
      </c>
      <c r="AA102" s="233">
        <f>IF(AO102="1",BG102,0)</f>
        <v>0</v>
      </c>
      <c r="AB102" s="233">
        <f>IF(AO102="7",BF102,0)</f>
        <v>0</v>
      </c>
      <c r="AC102" s="233">
        <f>IF(AO102="7",BG102,0)</f>
        <v>0</v>
      </c>
      <c r="AD102" s="233">
        <f>IF(AO102="2",BF102,0)</f>
        <v>0</v>
      </c>
      <c r="AE102" s="233">
        <f>IF(AO102="2",BG102,0)</f>
        <v>0</v>
      </c>
      <c r="AF102" s="233">
        <f>IF(AO102="0",BH102,0)</f>
        <v>0</v>
      </c>
      <c r="AG102" s="229" t="s">
        <v>154</v>
      </c>
      <c r="AH102" s="233">
        <f>IF(AL102=0,J102,0)</f>
        <v>0</v>
      </c>
      <c r="AI102" s="233">
        <f>IF(AL102=15,J102,0)</f>
        <v>0</v>
      </c>
      <c r="AJ102" s="233">
        <f>IF(AL102=21,J102,0)</f>
        <v>0</v>
      </c>
      <c r="AL102" s="233">
        <v>21</v>
      </c>
      <c r="AM102" s="233">
        <f>G102*0.842955459</f>
        <v>0</v>
      </c>
      <c r="AN102" s="233">
        <f>G102*(1-0.842955459)</f>
        <v>0</v>
      </c>
      <c r="AO102" s="234" t="s">
        <v>157</v>
      </c>
      <c r="AT102" s="233">
        <f>AU102+AV102</f>
        <v>0</v>
      </c>
      <c r="AU102" s="233">
        <f>F102*AM102</f>
        <v>0</v>
      </c>
      <c r="AV102" s="233">
        <f>F102*AN102</f>
        <v>0</v>
      </c>
      <c r="AW102" s="234" t="s">
        <v>310</v>
      </c>
      <c r="AX102" s="234" t="s">
        <v>311</v>
      </c>
      <c r="AY102" s="229" t="s">
        <v>164</v>
      </c>
      <c r="BA102" s="233">
        <f>AU102+AV102</f>
        <v>0</v>
      </c>
      <c r="BB102" s="233">
        <f>G102/(100-BC102)*100</f>
        <v>0</v>
      </c>
      <c r="BC102" s="233">
        <v>0</v>
      </c>
      <c r="BD102" s="233">
        <f>L102</f>
        <v>91.640808000000007</v>
      </c>
      <c r="BF102" s="233">
        <f>F102*AM102</f>
        <v>0</v>
      </c>
      <c r="BG102" s="233">
        <f>F102*AN102</f>
        <v>0</v>
      </c>
      <c r="BH102" s="233">
        <f>F102*G102</f>
        <v>0</v>
      </c>
      <c r="BI102" s="233"/>
      <c r="BJ102" s="233">
        <v>56</v>
      </c>
      <c r="BU102" s="233" t="e">
        <f>#REF!</f>
        <v>#REF!</v>
      </c>
      <c r="BV102" s="225" t="s">
        <v>321</v>
      </c>
    </row>
    <row r="103" spans="1:74" ht="40.5" customHeight="1" x14ac:dyDescent="0.3">
      <c r="A103" s="241"/>
      <c r="B103" s="242" t="s">
        <v>165</v>
      </c>
      <c r="C103" s="530" t="s">
        <v>1693</v>
      </c>
      <c r="D103" s="531"/>
      <c r="E103" s="531"/>
      <c r="F103" s="531"/>
      <c r="G103" s="531"/>
      <c r="H103" s="531"/>
      <c r="I103" s="531"/>
      <c r="J103" s="531"/>
      <c r="K103" s="531"/>
      <c r="L103" s="531"/>
      <c r="M103" s="532"/>
    </row>
    <row r="104" spans="1:74" ht="14.4" x14ac:dyDescent="0.3">
      <c r="A104" s="239" t="s">
        <v>318</v>
      </c>
      <c r="B104" s="223" t="s">
        <v>323</v>
      </c>
      <c r="C104" s="521" t="s">
        <v>324</v>
      </c>
      <c r="D104" s="519"/>
      <c r="E104" s="223" t="s">
        <v>180</v>
      </c>
      <c r="F104" s="233">
        <v>202.03</v>
      </c>
      <c r="G104" s="311">
        <v>0</v>
      </c>
      <c r="H104" s="233">
        <f>F104*AM104</f>
        <v>0</v>
      </c>
      <c r="I104" s="233">
        <f>F104*AN104</f>
        <v>0</v>
      </c>
      <c r="J104" s="233">
        <f>F104*G104</f>
        <v>0</v>
      </c>
      <c r="K104" s="233">
        <v>0.21099999999999999</v>
      </c>
      <c r="L104" s="233">
        <f>F104*K104</f>
        <v>42.628329999999998</v>
      </c>
      <c r="M104" s="240" t="s">
        <v>472</v>
      </c>
      <c r="X104" s="233">
        <f>IF(AO104="5",BH104,0)</f>
        <v>0</v>
      </c>
      <c r="Z104" s="233">
        <f>IF(AO104="1",BF104,0)</f>
        <v>0</v>
      </c>
      <c r="AA104" s="233">
        <f>IF(AO104="1",BG104,0)</f>
        <v>0</v>
      </c>
      <c r="AB104" s="233">
        <f>IF(AO104="7",BF104,0)</f>
        <v>0</v>
      </c>
      <c r="AC104" s="233">
        <f>IF(AO104="7",BG104,0)</f>
        <v>0</v>
      </c>
      <c r="AD104" s="233">
        <f>IF(AO104="2",BF104,0)</f>
        <v>0</v>
      </c>
      <c r="AE104" s="233">
        <f>IF(AO104="2",BG104,0)</f>
        <v>0</v>
      </c>
      <c r="AF104" s="233">
        <f>IF(AO104="0",BH104,0)</f>
        <v>0</v>
      </c>
      <c r="AG104" s="229" t="s">
        <v>154</v>
      </c>
      <c r="AH104" s="233">
        <f>IF(AL104=0,J104,0)</f>
        <v>0</v>
      </c>
      <c r="AI104" s="233">
        <f>IF(AL104=15,J104,0)</f>
        <v>0</v>
      </c>
      <c r="AJ104" s="233">
        <f>IF(AL104=21,J104,0)</f>
        <v>0</v>
      </c>
      <c r="AL104" s="233">
        <v>21</v>
      </c>
      <c r="AM104" s="233">
        <f>G104*0.593949585</f>
        <v>0</v>
      </c>
      <c r="AN104" s="233">
        <f>G104*(1-0.593949585)</f>
        <v>0</v>
      </c>
      <c r="AO104" s="234" t="s">
        <v>157</v>
      </c>
      <c r="AT104" s="233">
        <f>AU104+AV104</f>
        <v>0</v>
      </c>
      <c r="AU104" s="233">
        <f>F104*AM104</f>
        <v>0</v>
      </c>
      <c r="AV104" s="233">
        <f>F104*AN104</f>
        <v>0</v>
      </c>
      <c r="AW104" s="234" t="s">
        <v>310</v>
      </c>
      <c r="AX104" s="234" t="s">
        <v>311</v>
      </c>
      <c r="AY104" s="229" t="s">
        <v>164</v>
      </c>
      <c r="BA104" s="233">
        <f>AU104+AV104</f>
        <v>0</v>
      </c>
      <c r="BB104" s="233">
        <f>G104/(100-BC104)*100</f>
        <v>0</v>
      </c>
      <c r="BC104" s="233">
        <v>0</v>
      </c>
      <c r="BD104" s="233">
        <f>L104</f>
        <v>42.628329999999998</v>
      </c>
      <c r="BF104" s="233">
        <f>F104*AM104</f>
        <v>0</v>
      </c>
      <c r="BG104" s="233">
        <f>F104*AN104</f>
        <v>0</v>
      </c>
      <c r="BH104" s="233">
        <f>F104*G104</f>
        <v>0</v>
      </c>
      <c r="BI104" s="233"/>
      <c r="BJ104" s="233">
        <v>56</v>
      </c>
      <c r="BU104" s="233" t="e">
        <f>#REF!</f>
        <v>#REF!</v>
      </c>
      <c r="BV104" s="225" t="s">
        <v>324</v>
      </c>
    </row>
    <row r="105" spans="1:74" ht="40.5" customHeight="1" x14ac:dyDescent="0.3">
      <c r="A105" s="241"/>
      <c r="B105" s="242" t="s">
        <v>165</v>
      </c>
      <c r="C105" s="530" t="s">
        <v>1694</v>
      </c>
      <c r="D105" s="531"/>
      <c r="E105" s="531"/>
      <c r="F105" s="531"/>
      <c r="G105" s="531"/>
      <c r="H105" s="531"/>
      <c r="I105" s="531"/>
      <c r="J105" s="531"/>
      <c r="K105" s="531"/>
      <c r="L105" s="531"/>
      <c r="M105" s="532"/>
    </row>
    <row r="106" spans="1:74" ht="14.4" x14ac:dyDescent="0.3">
      <c r="A106" s="239" t="s">
        <v>319</v>
      </c>
      <c r="B106" s="223" t="s">
        <v>1436</v>
      </c>
      <c r="C106" s="521" t="s">
        <v>1437</v>
      </c>
      <c r="D106" s="519"/>
      <c r="E106" s="223" t="s">
        <v>180</v>
      </c>
      <c r="F106" s="233">
        <v>194.26</v>
      </c>
      <c r="G106" s="311">
        <v>0</v>
      </c>
      <c r="H106" s="233">
        <f>F106*AM106</f>
        <v>0</v>
      </c>
      <c r="I106" s="233">
        <f>F106*AN106</f>
        <v>0</v>
      </c>
      <c r="J106" s="233">
        <f>F106*G106</f>
        <v>0</v>
      </c>
      <c r="K106" s="233">
        <v>0</v>
      </c>
      <c r="L106" s="233">
        <f>F106*K106</f>
        <v>0</v>
      </c>
      <c r="M106" s="240" t="s">
        <v>472</v>
      </c>
      <c r="X106" s="233">
        <f>IF(AO106="5",BH106,0)</f>
        <v>0</v>
      </c>
      <c r="Z106" s="233">
        <f>IF(AO106="1",BF106,0)</f>
        <v>0</v>
      </c>
      <c r="AA106" s="233">
        <f>IF(AO106="1",BG106,0)</f>
        <v>0</v>
      </c>
      <c r="AB106" s="233">
        <f>IF(AO106="7",BF106,0)</f>
        <v>0</v>
      </c>
      <c r="AC106" s="233">
        <f>IF(AO106="7",BG106,0)</f>
        <v>0</v>
      </c>
      <c r="AD106" s="233">
        <f>IF(AO106="2",BF106,0)</f>
        <v>0</v>
      </c>
      <c r="AE106" s="233">
        <f>IF(AO106="2",BG106,0)</f>
        <v>0</v>
      </c>
      <c r="AF106" s="233">
        <f>IF(AO106="0",BH106,0)</f>
        <v>0</v>
      </c>
      <c r="AG106" s="229" t="s">
        <v>154</v>
      </c>
      <c r="AH106" s="233">
        <f>IF(AL106=0,J106,0)</f>
        <v>0</v>
      </c>
      <c r="AI106" s="233">
        <f>IF(AL106=15,J106,0)</f>
        <v>0</v>
      </c>
      <c r="AJ106" s="233">
        <f>IF(AL106=21,J106,0)</f>
        <v>0</v>
      </c>
      <c r="AL106" s="233">
        <v>21</v>
      </c>
      <c r="AM106" s="233">
        <f>G106*0.898971335</f>
        <v>0</v>
      </c>
      <c r="AN106" s="233">
        <f>G106*(1-0.898971335)</f>
        <v>0</v>
      </c>
      <c r="AO106" s="234" t="s">
        <v>157</v>
      </c>
      <c r="AT106" s="233">
        <f>AU106+AV106</f>
        <v>0</v>
      </c>
      <c r="AU106" s="233">
        <f>F106*AM106</f>
        <v>0</v>
      </c>
      <c r="AV106" s="233">
        <f>F106*AN106</f>
        <v>0</v>
      </c>
      <c r="AW106" s="234" t="s">
        <v>310</v>
      </c>
      <c r="AX106" s="234" t="s">
        <v>311</v>
      </c>
      <c r="AY106" s="229" t="s">
        <v>164</v>
      </c>
      <c r="BA106" s="233">
        <f>AU106+AV106</f>
        <v>0</v>
      </c>
      <c r="BB106" s="233">
        <f>G106/(100-BC106)*100</f>
        <v>0</v>
      </c>
      <c r="BC106" s="233">
        <v>0</v>
      </c>
      <c r="BD106" s="233">
        <f>L106</f>
        <v>0</v>
      </c>
      <c r="BF106" s="233">
        <f>F106*AM106</f>
        <v>0</v>
      </c>
      <c r="BG106" s="233">
        <f>F106*AN106</f>
        <v>0</v>
      </c>
      <c r="BH106" s="233">
        <f>F106*G106</f>
        <v>0</v>
      </c>
      <c r="BI106" s="233"/>
      <c r="BJ106" s="233">
        <v>56</v>
      </c>
      <c r="BU106" s="233" t="e">
        <f>#REF!</f>
        <v>#REF!</v>
      </c>
      <c r="BV106" s="225" t="s">
        <v>1437</v>
      </c>
    </row>
    <row r="107" spans="1:74" ht="40.5" customHeight="1" x14ac:dyDescent="0.3">
      <c r="A107" s="241"/>
      <c r="B107" s="242" t="s">
        <v>165</v>
      </c>
      <c r="C107" s="530" t="s">
        <v>1695</v>
      </c>
      <c r="D107" s="531"/>
      <c r="E107" s="531"/>
      <c r="F107" s="531"/>
      <c r="G107" s="531"/>
      <c r="H107" s="531"/>
      <c r="I107" s="531"/>
      <c r="J107" s="531"/>
      <c r="K107" s="531"/>
      <c r="L107" s="531"/>
      <c r="M107" s="532"/>
    </row>
    <row r="108" spans="1:74" ht="14.4" x14ac:dyDescent="0.3">
      <c r="A108" s="239" t="s">
        <v>154</v>
      </c>
      <c r="B108" s="224" t="s">
        <v>335</v>
      </c>
      <c r="C108" s="526" t="s">
        <v>336</v>
      </c>
      <c r="D108" s="527"/>
      <c r="E108" s="223" t="s">
        <v>114</v>
      </c>
      <c r="F108" s="223" t="s">
        <v>114</v>
      </c>
      <c r="G108" s="223" t="s">
        <v>114</v>
      </c>
      <c r="H108" s="235">
        <f>SUM(H109:H109)</f>
        <v>0</v>
      </c>
      <c r="I108" s="235">
        <f>SUM(I109:I109)</f>
        <v>0</v>
      </c>
      <c r="J108" s="235">
        <f>SUM(J109:J109)</f>
        <v>0</v>
      </c>
      <c r="K108" s="230" t="s">
        <v>154</v>
      </c>
      <c r="L108" s="235">
        <f>SUM(L109:L109)</f>
        <v>0.14142099999999999</v>
      </c>
      <c r="M108" s="243" t="s">
        <v>154</v>
      </c>
      <c r="AG108" s="229" t="s">
        <v>154</v>
      </c>
      <c r="AQ108" s="222">
        <f>SUM(AH109:AH109)</f>
        <v>0</v>
      </c>
      <c r="AR108" s="222">
        <f>SUM(AI109:AI109)</f>
        <v>0</v>
      </c>
      <c r="AS108" s="222">
        <f>SUM(AJ109:AJ109)</f>
        <v>0</v>
      </c>
    </row>
    <row r="109" spans="1:74" ht="14.4" x14ac:dyDescent="0.3">
      <c r="A109" s="239" t="s">
        <v>322</v>
      </c>
      <c r="B109" s="223" t="s">
        <v>342</v>
      </c>
      <c r="C109" s="521" t="s">
        <v>427</v>
      </c>
      <c r="D109" s="519"/>
      <c r="E109" s="223" t="s">
        <v>180</v>
      </c>
      <c r="F109" s="233">
        <v>202.03</v>
      </c>
      <c r="G109" s="311">
        <v>0</v>
      </c>
      <c r="H109" s="233">
        <f>F109*AM109</f>
        <v>0</v>
      </c>
      <c r="I109" s="233">
        <f>F109*AN109</f>
        <v>0</v>
      </c>
      <c r="J109" s="233">
        <f>F109*G109</f>
        <v>0</v>
      </c>
      <c r="K109" s="233">
        <v>6.9999999999999999E-4</v>
      </c>
      <c r="L109" s="233">
        <f>F109*K109</f>
        <v>0.14142099999999999</v>
      </c>
      <c r="M109" s="240" t="s">
        <v>472</v>
      </c>
      <c r="X109" s="233">
        <f>IF(AO109="5",BH109,0)</f>
        <v>0</v>
      </c>
      <c r="Z109" s="233">
        <f>IF(AO109="1",BF109,0)</f>
        <v>0</v>
      </c>
      <c r="AA109" s="233">
        <f>IF(AO109="1",BG109,0)</f>
        <v>0</v>
      </c>
      <c r="AB109" s="233">
        <f>IF(AO109="7",BF109,0)</f>
        <v>0</v>
      </c>
      <c r="AC109" s="233">
        <f>IF(AO109="7",BG109,0)</f>
        <v>0</v>
      </c>
      <c r="AD109" s="233">
        <f>IF(AO109="2",BF109,0)</f>
        <v>0</v>
      </c>
      <c r="AE109" s="233">
        <f>IF(AO109="2",BG109,0)</f>
        <v>0</v>
      </c>
      <c r="AF109" s="233">
        <f>IF(AO109="0",BH109,0)</f>
        <v>0</v>
      </c>
      <c r="AG109" s="229" t="s">
        <v>154</v>
      </c>
      <c r="AH109" s="233">
        <f>IF(AL109=0,J109,0)</f>
        <v>0</v>
      </c>
      <c r="AI109" s="233">
        <f>IF(AL109=15,J109,0)</f>
        <v>0</v>
      </c>
      <c r="AJ109" s="233">
        <f>IF(AL109=21,J109,0)</f>
        <v>0</v>
      </c>
      <c r="AL109" s="233">
        <v>21</v>
      </c>
      <c r="AM109" s="233">
        <f>G109*0.931529138</f>
        <v>0</v>
      </c>
      <c r="AN109" s="233">
        <f>G109*(1-0.931529138)</f>
        <v>0</v>
      </c>
      <c r="AO109" s="234" t="s">
        <v>157</v>
      </c>
      <c r="AT109" s="233">
        <f>AU109+AV109</f>
        <v>0</v>
      </c>
      <c r="AU109" s="233">
        <f>F109*AM109</f>
        <v>0</v>
      </c>
      <c r="AV109" s="233">
        <f>F109*AN109</f>
        <v>0</v>
      </c>
      <c r="AW109" s="234" t="s">
        <v>340</v>
      </c>
      <c r="AX109" s="234" t="s">
        <v>311</v>
      </c>
      <c r="AY109" s="229" t="s">
        <v>164</v>
      </c>
      <c r="BA109" s="233">
        <f>AU109+AV109</f>
        <v>0</v>
      </c>
      <c r="BB109" s="233">
        <f>G109/(100-BC109)*100</f>
        <v>0</v>
      </c>
      <c r="BC109" s="233">
        <v>0</v>
      </c>
      <c r="BD109" s="233">
        <f>L109</f>
        <v>0.14142099999999999</v>
      </c>
      <c r="BF109" s="233">
        <f>F109*AM109</f>
        <v>0</v>
      </c>
      <c r="BG109" s="233">
        <f>F109*AN109</f>
        <v>0</v>
      </c>
      <c r="BH109" s="233">
        <f>F109*G109</f>
        <v>0</v>
      </c>
      <c r="BI109" s="233"/>
      <c r="BJ109" s="233">
        <v>57</v>
      </c>
      <c r="BU109" s="233" t="e">
        <f>#REF!</f>
        <v>#REF!</v>
      </c>
      <c r="BV109" s="225" t="s">
        <v>427</v>
      </c>
    </row>
    <row r="110" spans="1:74" ht="40.5" customHeight="1" x14ac:dyDescent="0.3">
      <c r="A110" s="244"/>
      <c r="B110" s="245" t="s">
        <v>165</v>
      </c>
      <c r="C110" s="540" t="s">
        <v>1696</v>
      </c>
      <c r="D110" s="541"/>
      <c r="E110" s="541"/>
      <c r="F110" s="541"/>
      <c r="G110" s="541"/>
      <c r="H110" s="541"/>
      <c r="I110" s="541"/>
      <c r="J110" s="541"/>
      <c r="K110" s="541"/>
      <c r="L110" s="541"/>
      <c r="M110" s="542"/>
    </row>
    <row r="111" spans="1:74" ht="14.4" x14ac:dyDescent="0.3">
      <c r="A111" s="237" t="s">
        <v>154</v>
      </c>
      <c r="B111" s="260" t="s">
        <v>539</v>
      </c>
      <c r="C111" s="545" t="s">
        <v>540</v>
      </c>
      <c r="D111" s="546"/>
      <c r="E111" s="238" t="s">
        <v>114</v>
      </c>
      <c r="F111" s="238" t="s">
        <v>114</v>
      </c>
      <c r="G111" s="238" t="s">
        <v>114</v>
      </c>
      <c r="H111" s="261">
        <f>SUM(H112:H116)</f>
        <v>0</v>
      </c>
      <c r="I111" s="261">
        <f>SUM(I112:I116)</f>
        <v>0</v>
      </c>
      <c r="J111" s="261">
        <f>SUM(J112:J116)</f>
        <v>0</v>
      </c>
      <c r="K111" s="262" t="s">
        <v>154</v>
      </c>
      <c r="L111" s="261">
        <f>SUM(L112:L116)</f>
        <v>1.881E-2</v>
      </c>
      <c r="M111" s="263" t="s">
        <v>154</v>
      </c>
      <c r="AG111" s="229" t="s">
        <v>154</v>
      </c>
      <c r="AQ111" s="222">
        <f>SUM(AH112:AH116)</f>
        <v>0</v>
      </c>
      <c r="AR111" s="222">
        <f>SUM(AI112:AI116)</f>
        <v>0</v>
      </c>
      <c r="AS111" s="222">
        <f>SUM(AJ112:AJ116)</f>
        <v>0</v>
      </c>
    </row>
    <row r="112" spans="1:74" ht="14.4" x14ac:dyDescent="0.3">
      <c r="A112" s="239" t="s">
        <v>298</v>
      </c>
      <c r="B112" s="223" t="s">
        <v>892</v>
      </c>
      <c r="C112" s="521" t="s">
        <v>893</v>
      </c>
      <c r="D112" s="519"/>
      <c r="E112" s="223" t="s">
        <v>160</v>
      </c>
      <c r="F112" s="233">
        <v>113.5</v>
      </c>
      <c r="G112" s="311">
        <v>0</v>
      </c>
      <c r="H112" s="233">
        <f>F112*AM112</f>
        <v>0</v>
      </c>
      <c r="I112" s="233">
        <f>F112*AN112</f>
        <v>0</v>
      </c>
      <c r="J112" s="233">
        <f>F112*G112</f>
        <v>0</v>
      </c>
      <c r="K112" s="233">
        <v>1.6000000000000001E-4</v>
      </c>
      <c r="L112" s="233">
        <f>F112*K112</f>
        <v>1.8160000000000003E-2</v>
      </c>
      <c r="M112" s="240" t="s">
        <v>472</v>
      </c>
      <c r="X112" s="233">
        <f>IF(AO112="5",BH112,0)</f>
        <v>0</v>
      </c>
      <c r="Z112" s="233">
        <f>IF(AO112="1",BF112,0)</f>
        <v>0</v>
      </c>
      <c r="AA112" s="233">
        <f>IF(AO112="1",BG112,0)</f>
        <v>0</v>
      </c>
      <c r="AB112" s="233">
        <f>IF(AO112="7",BF112,0)</f>
        <v>0</v>
      </c>
      <c r="AC112" s="233">
        <f>IF(AO112="7",BG112,0)</f>
        <v>0</v>
      </c>
      <c r="AD112" s="233">
        <f>IF(AO112="2",BF112,0)</f>
        <v>0</v>
      </c>
      <c r="AE112" s="233">
        <f>IF(AO112="2",BG112,0)</f>
        <v>0</v>
      </c>
      <c r="AF112" s="233">
        <f>IF(AO112="0",BH112,0)</f>
        <v>0</v>
      </c>
      <c r="AG112" s="229" t="s">
        <v>154</v>
      </c>
      <c r="AH112" s="233">
        <f>IF(AL112=0,J112,0)</f>
        <v>0</v>
      </c>
      <c r="AI112" s="233">
        <f>IF(AL112=15,J112,0)</f>
        <v>0</v>
      </c>
      <c r="AJ112" s="233">
        <f>IF(AL112=21,J112,0)</f>
        <v>0</v>
      </c>
      <c r="AL112" s="233">
        <v>21</v>
      </c>
      <c r="AM112" s="233">
        <f>G112*0.06598047</f>
        <v>0</v>
      </c>
      <c r="AN112" s="233">
        <f>G112*(1-0.06598047)</f>
        <v>0</v>
      </c>
      <c r="AO112" s="234" t="s">
        <v>157</v>
      </c>
      <c r="AT112" s="233">
        <f>AU112+AV112</f>
        <v>0</v>
      </c>
      <c r="AU112" s="233">
        <f>F112*AM112</f>
        <v>0</v>
      </c>
      <c r="AV112" s="233">
        <f>F112*AN112</f>
        <v>0</v>
      </c>
      <c r="AW112" s="234" t="s">
        <v>543</v>
      </c>
      <c r="AX112" s="234" t="s">
        <v>356</v>
      </c>
      <c r="AY112" s="229" t="s">
        <v>164</v>
      </c>
      <c r="BA112" s="233">
        <f>AU112+AV112</f>
        <v>0</v>
      </c>
      <c r="BB112" s="233">
        <f>G112/(100-BC112)*100</f>
        <v>0</v>
      </c>
      <c r="BC112" s="233">
        <v>0</v>
      </c>
      <c r="BD112" s="233">
        <f>L112</f>
        <v>1.8160000000000003E-2</v>
      </c>
      <c r="BF112" s="233">
        <f>F112*AM112</f>
        <v>0</v>
      </c>
      <c r="BG112" s="233">
        <f>F112*AN112</f>
        <v>0</v>
      </c>
      <c r="BH112" s="233">
        <f>F112*G112</f>
        <v>0</v>
      </c>
      <c r="BI112" s="233"/>
      <c r="BJ112" s="233">
        <v>87</v>
      </c>
      <c r="BU112" s="233" t="e">
        <f>#REF!</f>
        <v>#REF!</v>
      </c>
      <c r="BV112" s="225" t="s">
        <v>893</v>
      </c>
    </row>
    <row r="113" spans="1:74" ht="54" customHeight="1" x14ac:dyDescent="0.3">
      <c r="A113" s="241"/>
      <c r="B113" s="242" t="s">
        <v>165</v>
      </c>
      <c r="C113" s="530" t="s">
        <v>1697</v>
      </c>
      <c r="D113" s="531"/>
      <c r="E113" s="531"/>
      <c r="F113" s="531"/>
      <c r="G113" s="531"/>
      <c r="H113" s="531"/>
      <c r="I113" s="531"/>
      <c r="J113" s="531"/>
      <c r="K113" s="531"/>
      <c r="L113" s="531"/>
      <c r="M113" s="532"/>
    </row>
    <row r="114" spans="1:74" ht="14.4" x14ac:dyDescent="0.3">
      <c r="A114" s="239" t="s">
        <v>327</v>
      </c>
      <c r="B114" s="223" t="s">
        <v>894</v>
      </c>
      <c r="C114" s="521" t="s">
        <v>895</v>
      </c>
      <c r="D114" s="519"/>
      <c r="E114" s="223" t="s">
        <v>365</v>
      </c>
      <c r="F114" s="233">
        <v>5</v>
      </c>
      <c r="G114" s="311">
        <v>0</v>
      </c>
      <c r="H114" s="233">
        <f>F114*AM114</f>
        <v>0</v>
      </c>
      <c r="I114" s="233">
        <f>F114*AN114</f>
        <v>0</v>
      </c>
      <c r="J114" s="233">
        <f>F114*G114</f>
        <v>0</v>
      </c>
      <c r="K114" s="233">
        <v>4.0000000000000003E-5</v>
      </c>
      <c r="L114" s="233">
        <f>F114*K114</f>
        <v>2.0000000000000001E-4</v>
      </c>
      <c r="M114" s="240" t="s">
        <v>472</v>
      </c>
      <c r="X114" s="233">
        <f>IF(AO114="5",BH114,0)</f>
        <v>0</v>
      </c>
      <c r="Z114" s="233">
        <f>IF(AO114="1",BF114,0)</f>
        <v>0</v>
      </c>
      <c r="AA114" s="233">
        <f>IF(AO114="1",BG114,0)</f>
        <v>0</v>
      </c>
      <c r="AB114" s="233">
        <f>IF(AO114="7",BF114,0)</f>
        <v>0</v>
      </c>
      <c r="AC114" s="233">
        <f>IF(AO114="7",BG114,0)</f>
        <v>0</v>
      </c>
      <c r="AD114" s="233">
        <f>IF(AO114="2",BF114,0)</f>
        <v>0</v>
      </c>
      <c r="AE114" s="233">
        <f>IF(AO114="2",BG114,0)</f>
        <v>0</v>
      </c>
      <c r="AF114" s="233">
        <f>IF(AO114="0",BH114,0)</f>
        <v>0</v>
      </c>
      <c r="AG114" s="229" t="s">
        <v>154</v>
      </c>
      <c r="AH114" s="233">
        <f>IF(AL114=0,J114,0)</f>
        <v>0</v>
      </c>
      <c r="AI114" s="233">
        <f>IF(AL114=15,J114,0)</f>
        <v>0</v>
      </c>
      <c r="AJ114" s="233">
        <f>IF(AL114=21,J114,0)</f>
        <v>0</v>
      </c>
      <c r="AL114" s="233">
        <v>21</v>
      </c>
      <c r="AM114" s="233">
        <f>G114*0.007338129</f>
        <v>0</v>
      </c>
      <c r="AN114" s="233">
        <f>G114*(1-0.007338129)</f>
        <v>0</v>
      </c>
      <c r="AO114" s="234" t="s">
        <v>157</v>
      </c>
      <c r="AT114" s="233">
        <f>AU114+AV114</f>
        <v>0</v>
      </c>
      <c r="AU114" s="233">
        <f>F114*AM114</f>
        <v>0</v>
      </c>
      <c r="AV114" s="233">
        <f>F114*AN114</f>
        <v>0</v>
      </c>
      <c r="AW114" s="234" t="s">
        <v>543</v>
      </c>
      <c r="AX114" s="234" t="s">
        <v>356</v>
      </c>
      <c r="AY114" s="229" t="s">
        <v>164</v>
      </c>
      <c r="BA114" s="233">
        <f>AU114+AV114</f>
        <v>0</v>
      </c>
      <c r="BB114" s="233">
        <f>G114/(100-BC114)*100</f>
        <v>0</v>
      </c>
      <c r="BC114" s="233">
        <v>0</v>
      </c>
      <c r="BD114" s="233">
        <f>L114</f>
        <v>2.0000000000000001E-4</v>
      </c>
      <c r="BF114" s="233">
        <f>F114*AM114</f>
        <v>0</v>
      </c>
      <c r="BG114" s="233">
        <f>F114*AN114</f>
        <v>0</v>
      </c>
      <c r="BH114" s="233">
        <f>F114*G114</f>
        <v>0</v>
      </c>
      <c r="BI114" s="233"/>
      <c r="BJ114" s="233">
        <v>87</v>
      </c>
      <c r="BU114" s="233" t="e">
        <f>#REF!</f>
        <v>#REF!</v>
      </c>
      <c r="BV114" s="225" t="s">
        <v>895</v>
      </c>
    </row>
    <row r="115" spans="1:74" ht="54" customHeight="1" x14ac:dyDescent="0.3">
      <c r="A115" s="241"/>
      <c r="B115" s="242" t="s">
        <v>165</v>
      </c>
      <c r="C115" s="530" t="s">
        <v>1698</v>
      </c>
      <c r="D115" s="531"/>
      <c r="E115" s="531"/>
      <c r="F115" s="531"/>
      <c r="G115" s="531"/>
      <c r="H115" s="531"/>
      <c r="I115" s="531"/>
      <c r="J115" s="531"/>
      <c r="K115" s="531"/>
      <c r="L115" s="531"/>
      <c r="M115" s="532"/>
    </row>
    <row r="116" spans="1:74" ht="14.4" x14ac:dyDescent="0.3">
      <c r="A116" s="239" t="s">
        <v>329</v>
      </c>
      <c r="B116" s="223" t="s">
        <v>896</v>
      </c>
      <c r="C116" s="521" t="s">
        <v>897</v>
      </c>
      <c r="D116" s="519"/>
      <c r="E116" s="223" t="s">
        <v>365</v>
      </c>
      <c r="F116" s="233">
        <v>15</v>
      </c>
      <c r="G116" s="311">
        <v>0</v>
      </c>
      <c r="H116" s="233">
        <f>F116*AM116</f>
        <v>0</v>
      </c>
      <c r="I116" s="233">
        <f>F116*AN116</f>
        <v>0</v>
      </c>
      <c r="J116" s="233">
        <f>F116*G116</f>
        <v>0</v>
      </c>
      <c r="K116" s="233">
        <v>3.0000000000000001E-5</v>
      </c>
      <c r="L116" s="233">
        <f>F116*K116</f>
        <v>4.4999999999999999E-4</v>
      </c>
      <c r="M116" s="240" t="s">
        <v>472</v>
      </c>
      <c r="X116" s="233">
        <f>IF(AO116="5",BH116,0)</f>
        <v>0</v>
      </c>
      <c r="Z116" s="233">
        <f>IF(AO116="1",BF116,0)</f>
        <v>0</v>
      </c>
      <c r="AA116" s="233">
        <f>IF(AO116="1",BG116,0)</f>
        <v>0</v>
      </c>
      <c r="AB116" s="233">
        <f>IF(AO116="7",BF116,0)</f>
        <v>0</v>
      </c>
      <c r="AC116" s="233">
        <f>IF(AO116="7",BG116,0)</f>
        <v>0</v>
      </c>
      <c r="AD116" s="233">
        <f>IF(AO116="2",BF116,0)</f>
        <v>0</v>
      </c>
      <c r="AE116" s="233">
        <f>IF(AO116="2",BG116,0)</f>
        <v>0</v>
      </c>
      <c r="AF116" s="233">
        <f>IF(AO116="0",BH116,0)</f>
        <v>0</v>
      </c>
      <c r="AG116" s="229" t="s">
        <v>154</v>
      </c>
      <c r="AH116" s="233">
        <f>IF(AL116=0,J116,0)</f>
        <v>0</v>
      </c>
      <c r="AI116" s="233">
        <f>IF(AL116=15,J116,0)</f>
        <v>0</v>
      </c>
      <c r="AJ116" s="233">
        <f>IF(AL116=21,J116,0)</f>
        <v>0</v>
      </c>
      <c r="AL116" s="233">
        <v>21</v>
      </c>
      <c r="AM116" s="233">
        <f>G116*0.007120493</f>
        <v>0</v>
      </c>
      <c r="AN116" s="233">
        <f>G116*(1-0.007120493)</f>
        <v>0</v>
      </c>
      <c r="AO116" s="234" t="s">
        <v>157</v>
      </c>
      <c r="AT116" s="233">
        <f>AU116+AV116</f>
        <v>0</v>
      </c>
      <c r="AU116" s="233">
        <f>F116*AM116</f>
        <v>0</v>
      </c>
      <c r="AV116" s="233">
        <f>F116*AN116</f>
        <v>0</v>
      </c>
      <c r="AW116" s="234" t="s">
        <v>543</v>
      </c>
      <c r="AX116" s="234" t="s">
        <v>356</v>
      </c>
      <c r="AY116" s="229" t="s">
        <v>164</v>
      </c>
      <c r="BA116" s="233">
        <f>AU116+AV116</f>
        <v>0</v>
      </c>
      <c r="BB116" s="233">
        <f>G116/(100-BC116)*100</f>
        <v>0</v>
      </c>
      <c r="BC116" s="233">
        <v>0</v>
      </c>
      <c r="BD116" s="233">
        <f>L116</f>
        <v>4.4999999999999999E-4</v>
      </c>
      <c r="BF116" s="233">
        <f>F116*AM116</f>
        <v>0</v>
      </c>
      <c r="BG116" s="233">
        <f>F116*AN116</f>
        <v>0</v>
      </c>
      <c r="BH116" s="233">
        <f>F116*G116</f>
        <v>0</v>
      </c>
      <c r="BI116" s="233"/>
      <c r="BJ116" s="233">
        <v>87</v>
      </c>
      <c r="BU116" s="233" t="e">
        <f>#REF!</f>
        <v>#REF!</v>
      </c>
      <c r="BV116" s="225" t="s">
        <v>897</v>
      </c>
    </row>
    <row r="117" spans="1:74" ht="40.5" customHeight="1" x14ac:dyDescent="0.3">
      <c r="A117" s="241"/>
      <c r="B117" s="242" t="s">
        <v>165</v>
      </c>
      <c r="C117" s="530" t="s">
        <v>1699</v>
      </c>
      <c r="D117" s="531"/>
      <c r="E117" s="531"/>
      <c r="F117" s="531"/>
      <c r="G117" s="531"/>
      <c r="H117" s="531"/>
      <c r="I117" s="531"/>
      <c r="J117" s="531"/>
      <c r="K117" s="531"/>
      <c r="L117" s="531"/>
      <c r="M117" s="532"/>
    </row>
    <row r="118" spans="1:74" ht="14.4" x14ac:dyDescent="0.3">
      <c r="A118" s="239" t="s">
        <v>154</v>
      </c>
      <c r="B118" s="224" t="s">
        <v>360</v>
      </c>
      <c r="C118" s="526" t="s">
        <v>361</v>
      </c>
      <c r="D118" s="527"/>
      <c r="E118" s="223" t="s">
        <v>114</v>
      </c>
      <c r="F118" s="223" t="s">
        <v>114</v>
      </c>
      <c r="G118" s="223" t="s">
        <v>114</v>
      </c>
      <c r="H118" s="235">
        <f>SUM(H119:H137)</f>
        <v>0</v>
      </c>
      <c r="I118" s="235">
        <f>SUM(I119:I137)</f>
        <v>0</v>
      </c>
      <c r="J118" s="235">
        <f>SUM(J119:J137)</f>
        <v>0</v>
      </c>
      <c r="K118" s="230" t="s">
        <v>154</v>
      </c>
      <c r="L118" s="235">
        <f>SUM(L119:L137)</f>
        <v>3.6330000000000001E-2</v>
      </c>
      <c r="M118" s="243" t="s">
        <v>154</v>
      </c>
      <c r="AG118" s="229" t="s">
        <v>154</v>
      </c>
      <c r="AQ118" s="222">
        <f>SUM(AH119:AH137)</f>
        <v>0</v>
      </c>
      <c r="AR118" s="222">
        <f>SUM(AI119:AI137)</f>
        <v>0</v>
      </c>
      <c r="AS118" s="222">
        <f>SUM(AJ119:AJ137)</f>
        <v>0</v>
      </c>
    </row>
    <row r="119" spans="1:74" ht="14.4" x14ac:dyDescent="0.3">
      <c r="A119" s="239" t="s">
        <v>332</v>
      </c>
      <c r="B119" s="223" t="s">
        <v>905</v>
      </c>
      <c r="C119" s="521" t="s">
        <v>906</v>
      </c>
      <c r="D119" s="519"/>
      <c r="E119" s="223" t="s">
        <v>365</v>
      </c>
      <c r="F119" s="233">
        <v>3</v>
      </c>
      <c r="G119" s="311">
        <v>0</v>
      </c>
      <c r="H119" s="233">
        <f>F119*AM119</f>
        <v>0</v>
      </c>
      <c r="I119" s="233">
        <f>F119*AN119</f>
        <v>0</v>
      </c>
      <c r="J119" s="233">
        <f>F119*G119</f>
        <v>0</v>
      </c>
      <c r="K119" s="233">
        <v>0</v>
      </c>
      <c r="L119" s="233">
        <f>F119*K119</f>
        <v>0</v>
      </c>
      <c r="M119" s="240" t="s">
        <v>472</v>
      </c>
      <c r="X119" s="233">
        <f>IF(AO119="5",BH119,0)</f>
        <v>0</v>
      </c>
      <c r="Z119" s="233">
        <f>IF(AO119="1",BF119,0)</f>
        <v>0</v>
      </c>
      <c r="AA119" s="233">
        <f>IF(AO119="1",BG119,0)</f>
        <v>0</v>
      </c>
      <c r="AB119" s="233">
        <f>IF(AO119="7",BF119,0)</f>
        <v>0</v>
      </c>
      <c r="AC119" s="233">
        <f>IF(AO119="7",BG119,0)</f>
        <v>0</v>
      </c>
      <c r="AD119" s="233">
        <f>IF(AO119="2",BF119,0)</f>
        <v>0</v>
      </c>
      <c r="AE119" s="233">
        <f>IF(AO119="2",BG119,0)</f>
        <v>0</v>
      </c>
      <c r="AF119" s="233">
        <f>IF(AO119="0",BH119,0)</f>
        <v>0</v>
      </c>
      <c r="AG119" s="229" t="s">
        <v>154</v>
      </c>
      <c r="AH119" s="233">
        <f>IF(AL119=0,J119,0)</f>
        <v>0</v>
      </c>
      <c r="AI119" s="233">
        <f>IF(AL119=15,J119,0)</f>
        <v>0</v>
      </c>
      <c r="AJ119" s="233">
        <f>IF(AL119=21,J119,0)</f>
        <v>0</v>
      </c>
      <c r="AL119" s="233">
        <v>21</v>
      </c>
      <c r="AM119" s="233">
        <f>G119*0</f>
        <v>0</v>
      </c>
      <c r="AN119" s="233">
        <f>G119*(1-0)</f>
        <v>0</v>
      </c>
      <c r="AO119" s="234" t="s">
        <v>157</v>
      </c>
      <c r="AT119" s="233">
        <f>AU119+AV119</f>
        <v>0</v>
      </c>
      <c r="AU119" s="233">
        <f>F119*AM119</f>
        <v>0</v>
      </c>
      <c r="AV119" s="233">
        <f>F119*AN119</f>
        <v>0</v>
      </c>
      <c r="AW119" s="234" t="s">
        <v>366</v>
      </c>
      <c r="AX119" s="234" t="s">
        <v>356</v>
      </c>
      <c r="AY119" s="229" t="s">
        <v>164</v>
      </c>
      <c r="BA119" s="233">
        <f>AU119+AV119</f>
        <v>0</v>
      </c>
      <c r="BB119" s="233">
        <f>G119/(100-BC119)*100</f>
        <v>0</v>
      </c>
      <c r="BC119" s="233">
        <v>0</v>
      </c>
      <c r="BD119" s="233">
        <f>L119</f>
        <v>0</v>
      </c>
      <c r="BF119" s="233">
        <f>F119*AM119</f>
        <v>0</v>
      </c>
      <c r="BG119" s="233">
        <f>F119*AN119</f>
        <v>0</v>
      </c>
      <c r="BH119" s="233">
        <f>F119*G119</f>
        <v>0</v>
      </c>
      <c r="BI119" s="233"/>
      <c r="BJ119" s="233">
        <v>89</v>
      </c>
      <c r="BU119" s="233" t="e">
        <f>#REF!</f>
        <v>#REF!</v>
      </c>
      <c r="BV119" s="225" t="s">
        <v>906</v>
      </c>
    </row>
    <row r="120" spans="1:74" ht="13.5" customHeight="1" x14ac:dyDescent="0.3">
      <c r="A120" s="241"/>
      <c r="B120" s="242" t="s">
        <v>165</v>
      </c>
      <c r="C120" s="530" t="s">
        <v>907</v>
      </c>
      <c r="D120" s="531"/>
      <c r="E120" s="531"/>
      <c r="F120" s="531"/>
      <c r="G120" s="531"/>
      <c r="H120" s="531"/>
      <c r="I120" s="531"/>
      <c r="J120" s="531"/>
      <c r="K120" s="531"/>
      <c r="L120" s="531"/>
      <c r="M120" s="532"/>
    </row>
    <row r="121" spans="1:74" ht="14.4" x14ac:dyDescent="0.3">
      <c r="A121" s="239" t="s">
        <v>337</v>
      </c>
      <c r="B121" s="223" t="s">
        <v>908</v>
      </c>
      <c r="C121" s="521" t="s">
        <v>909</v>
      </c>
      <c r="D121" s="519"/>
      <c r="E121" s="223" t="s">
        <v>365</v>
      </c>
      <c r="F121" s="233">
        <v>2</v>
      </c>
      <c r="G121" s="311">
        <v>0</v>
      </c>
      <c r="H121" s="233">
        <f>F121*AM121</f>
        <v>0</v>
      </c>
      <c r="I121" s="233">
        <f>F121*AN121</f>
        <v>0</v>
      </c>
      <c r="J121" s="233">
        <f>F121*G121</f>
        <v>0</v>
      </c>
      <c r="K121" s="233">
        <v>0</v>
      </c>
      <c r="L121" s="233">
        <f>F121*K121</f>
        <v>0</v>
      </c>
      <c r="M121" s="240" t="s">
        <v>472</v>
      </c>
      <c r="X121" s="233">
        <f>IF(AO121="5",BH121,0)</f>
        <v>0</v>
      </c>
      <c r="Z121" s="233">
        <f>IF(AO121="1",BF121,0)</f>
        <v>0</v>
      </c>
      <c r="AA121" s="233">
        <f>IF(AO121="1",BG121,0)</f>
        <v>0</v>
      </c>
      <c r="AB121" s="233">
        <f>IF(AO121="7",BF121,0)</f>
        <v>0</v>
      </c>
      <c r="AC121" s="233">
        <f>IF(AO121="7",BG121,0)</f>
        <v>0</v>
      </c>
      <c r="AD121" s="233">
        <f>IF(AO121="2",BF121,0)</f>
        <v>0</v>
      </c>
      <c r="AE121" s="233">
        <f>IF(AO121="2",BG121,0)</f>
        <v>0</v>
      </c>
      <c r="AF121" s="233">
        <f>IF(AO121="0",BH121,0)</f>
        <v>0</v>
      </c>
      <c r="AG121" s="229" t="s">
        <v>154</v>
      </c>
      <c r="AH121" s="233">
        <f>IF(AL121=0,J121,0)</f>
        <v>0</v>
      </c>
      <c r="AI121" s="233">
        <f>IF(AL121=15,J121,0)</f>
        <v>0</v>
      </c>
      <c r="AJ121" s="233">
        <f>IF(AL121=21,J121,0)</f>
        <v>0</v>
      </c>
      <c r="AL121" s="233">
        <v>21</v>
      </c>
      <c r="AM121" s="233">
        <f>G121*0</f>
        <v>0</v>
      </c>
      <c r="AN121" s="233">
        <f>G121*(1-0)</f>
        <v>0</v>
      </c>
      <c r="AO121" s="234" t="s">
        <v>157</v>
      </c>
      <c r="AT121" s="233">
        <f>AU121+AV121</f>
        <v>0</v>
      </c>
      <c r="AU121" s="233">
        <f>F121*AM121</f>
        <v>0</v>
      </c>
      <c r="AV121" s="233">
        <f>F121*AN121</f>
        <v>0</v>
      </c>
      <c r="AW121" s="234" t="s">
        <v>366</v>
      </c>
      <c r="AX121" s="234" t="s">
        <v>356</v>
      </c>
      <c r="AY121" s="229" t="s">
        <v>164</v>
      </c>
      <c r="BA121" s="233">
        <f>AU121+AV121</f>
        <v>0</v>
      </c>
      <c r="BB121" s="233">
        <f>G121/(100-BC121)*100</f>
        <v>0</v>
      </c>
      <c r="BC121" s="233">
        <v>0</v>
      </c>
      <c r="BD121" s="233">
        <f>L121</f>
        <v>0</v>
      </c>
      <c r="BF121" s="233">
        <f>F121*AM121</f>
        <v>0</v>
      </c>
      <c r="BG121" s="233">
        <f>F121*AN121</f>
        <v>0</v>
      </c>
      <c r="BH121" s="233">
        <f>F121*G121</f>
        <v>0</v>
      </c>
      <c r="BI121" s="233"/>
      <c r="BJ121" s="233">
        <v>89</v>
      </c>
      <c r="BU121" s="233" t="e">
        <f>#REF!</f>
        <v>#REF!</v>
      </c>
      <c r="BV121" s="225" t="s">
        <v>909</v>
      </c>
    </row>
    <row r="122" spans="1:74" ht="13.5" customHeight="1" x14ac:dyDescent="0.3">
      <c r="A122" s="241"/>
      <c r="B122" s="242" t="s">
        <v>165</v>
      </c>
      <c r="C122" s="530" t="s">
        <v>910</v>
      </c>
      <c r="D122" s="531"/>
      <c r="E122" s="531"/>
      <c r="F122" s="531"/>
      <c r="G122" s="531"/>
      <c r="H122" s="531"/>
      <c r="I122" s="531"/>
      <c r="J122" s="531"/>
      <c r="K122" s="531"/>
      <c r="L122" s="531"/>
      <c r="M122" s="532"/>
    </row>
    <row r="123" spans="1:74" ht="14.4" x14ac:dyDescent="0.3">
      <c r="A123" s="239" t="s">
        <v>341</v>
      </c>
      <c r="B123" s="223" t="s">
        <v>911</v>
      </c>
      <c r="C123" s="521" t="s">
        <v>912</v>
      </c>
      <c r="D123" s="519"/>
      <c r="E123" s="223" t="s">
        <v>365</v>
      </c>
      <c r="F123" s="233">
        <v>3</v>
      </c>
      <c r="G123" s="311">
        <v>0</v>
      </c>
      <c r="H123" s="233">
        <f>F123*AM123</f>
        <v>0</v>
      </c>
      <c r="I123" s="233">
        <f>F123*AN123</f>
        <v>0</v>
      </c>
      <c r="J123" s="233">
        <f>F123*G123</f>
        <v>0</v>
      </c>
      <c r="K123" s="233">
        <v>0</v>
      </c>
      <c r="L123" s="233">
        <f>F123*K123</f>
        <v>0</v>
      </c>
      <c r="M123" s="240" t="s">
        <v>472</v>
      </c>
      <c r="X123" s="233">
        <f>IF(AO123="5",BH123,0)</f>
        <v>0</v>
      </c>
      <c r="Z123" s="233">
        <f>IF(AO123="1",BF123,0)</f>
        <v>0</v>
      </c>
      <c r="AA123" s="233">
        <f>IF(AO123="1",BG123,0)</f>
        <v>0</v>
      </c>
      <c r="AB123" s="233">
        <f>IF(AO123="7",BF123,0)</f>
        <v>0</v>
      </c>
      <c r="AC123" s="233">
        <f>IF(AO123="7",BG123,0)</f>
        <v>0</v>
      </c>
      <c r="AD123" s="233">
        <f>IF(AO123="2",BF123,0)</f>
        <v>0</v>
      </c>
      <c r="AE123" s="233">
        <f>IF(AO123="2",BG123,0)</f>
        <v>0</v>
      </c>
      <c r="AF123" s="233">
        <f>IF(AO123="0",BH123,0)</f>
        <v>0</v>
      </c>
      <c r="AG123" s="229" t="s">
        <v>154</v>
      </c>
      <c r="AH123" s="233">
        <f>IF(AL123=0,J123,0)</f>
        <v>0</v>
      </c>
      <c r="AI123" s="233">
        <f>IF(AL123=15,J123,0)</f>
        <v>0</v>
      </c>
      <c r="AJ123" s="233">
        <f>IF(AL123=21,J123,0)</f>
        <v>0</v>
      </c>
      <c r="AL123" s="233">
        <v>21</v>
      </c>
      <c r="AM123" s="233">
        <f>G123*0</f>
        <v>0</v>
      </c>
      <c r="AN123" s="233">
        <f>G123*(1-0)</f>
        <v>0</v>
      </c>
      <c r="AO123" s="234" t="s">
        <v>157</v>
      </c>
      <c r="AT123" s="233">
        <f>AU123+AV123</f>
        <v>0</v>
      </c>
      <c r="AU123" s="233">
        <f>F123*AM123</f>
        <v>0</v>
      </c>
      <c r="AV123" s="233">
        <f>F123*AN123</f>
        <v>0</v>
      </c>
      <c r="AW123" s="234" t="s">
        <v>366</v>
      </c>
      <c r="AX123" s="234" t="s">
        <v>356</v>
      </c>
      <c r="AY123" s="229" t="s">
        <v>164</v>
      </c>
      <c r="BA123" s="233">
        <f>AU123+AV123</f>
        <v>0</v>
      </c>
      <c r="BB123" s="233">
        <f>G123/(100-BC123)*100</f>
        <v>0</v>
      </c>
      <c r="BC123" s="233">
        <v>0</v>
      </c>
      <c r="BD123" s="233">
        <f>L123</f>
        <v>0</v>
      </c>
      <c r="BF123" s="233">
        <f>F123*AM123</f>
        <v>0</v>
      </c>
      <c r="BG123" s="233">
        <f>F123*AN123</f>
        <v>0</v>
      </c>
      <c r="BH123" s="233">
        <f>F123*G123</f>
        <v>0</v>
      </c>
      <c r="BI123" s="233"/>
      <c r="BJ123" s="233">
        <v>89</v>
      </c>
      <c r="BU123" s="233" t="e">
        <f>#REF!</f>
        <v>#REF!</v>
      </c>
      <c r="BV123" s="225" t="s">
        <v>912</v>
      </c>
    </row>
    <row r="124" spans="1:74" ht="13.5" customHeight="1" x14ac:dyDescent="0.3">
      <c r="A124" s="241"/>
      <c r="B124" s="242" t="s">
        <v>165</v>
      </c>
      <c r="C124" s="530" t="s">
        <v>913</v>
      </c>
      <c r="D124" s="531"/>
      <c r="E124" s="531"/>
      <c r="F124" s="531"/>
      <c r="G124" s="531"/>
      <c r="H124" s="531"/>
      <c r="I124" s="531"/>
      <c r="J124" s="531"/>
      <c r="K124" s="531"/>
      <c r="L124" s="531"/>
      <c r="M124" s="532"/>
    </row>
    <row r="125" spans="1:74" ht="14.4" x14ac:dyDescent="0.3">
      <c r="A125" s="239" t="s">
        <v>346</v>
      </c>
      <c r="B125" s="223" t="s">
        <v>914</v>
      </c>
      <c r="C125" s="521" t="s">
        <v>915</v>
      </c>
      <c r="D125" s="519"/>
      <c r="E125" s="223" t="s">
        <v>365</v>
      </c>
      <c r="F125" s="233">
        <v>4</v>
      </c>
      <c r="G125" s="311">
        <v>0</v>
      </c>
      <c r="H125" s="233">
        <f>F125*AM125</f>
        <v>0</v>
      </c>
      <c r="I125" s="233">
        <f>F125*AN125</f>
        <v>0</v>
      </c>
      <c r="J125" s="233">
        <f>F125*G125</f>
        <v>0</v>
      </c>
      <c r="K125" s="233">
        <v>0</v>
      </c>
      <c r="L125" s="233">
        <f>F125*K125</f>
        <v>0</v>
      </c>
      <c r="M125" s="240" t="s">
        <v>472</v>
      </c>
      <c r="X125" s="233">
        <f>IF(AO125="5",BH125,0)</f>
        <v>0</v>
      </c>
      <c r="Z125" s="233">
        <f>IF(AO125="1",BF125,0)</f>
        <v>0</v>
      </c>
      <c r="AA125" s="233">
        <f>IF(AO125="1",BG125,0)</f>
        <v>0</v>
      </c>
      <c r="AB125" s="233">
        <f>IF(AO125="7",BF125,0)</f>
        <v>0</v>
      </c>
      <c r="AC125" s="233">
        <f>IF(AO125="7",BG125,0)</f>
        <v>0</v>
      </c>
      <c r="AD125" s="233">
        <f>IF(AO125="2",BF125,0)</f>
        <v>0</v>
      </c>
      <c r="AE125" s="233">
        <f>IF(AO125="2",BG125,0)</f>
        <v>0</v>
      </c>
      <c r="AF125" s="233">
        <f>IF(AO125="0",BH125,0)</f>
        <v>0</v>
      </c>
      <c r="AG125" s="229" t="s">
        <v>154</v>
      </c>
      <c r="AH125" s="233">
        <f>IF(AL125=0,J125,0)</f>
        <v>0</v>
      </c>
      <c r="AI125" s="233">
        <f>IF(AL125=15,J125,0)</f>
        <v>0</v>
      </c>
      <c r="AJ125" s="233">
        <f>IF(AL125=21,J125,0)</f>
        <v>0</v>
      </c>
      <c r="AL125" s="233">
        <v>21</v>
      </c>
      <c r="AM125" s="233">
        <f>G125*0</f>
        <v>0</v>
      </c>
      <c r="AN125" s="233">
        <f>G125*(1-0)</f>
        <v>0</v>
      </c>
      <c r="AO125" s="234" t="s">
        <v>157</v>
      </c>
      <c r="AT125" s="233">
        <f>AU125+AV125</f>
        <v>0</v>
      </c>
      <c r="AU125" s="233">
        <f>F125*AM125</f>
        <v>0</v>
      </c>
      <c r="AV125" s="233">
        <f>F125*AN125</f>
        <v>0</v>
      </c>
      <c r="AW125" s="234" t="s">
        <v>366</v>
      </c>
      <c r="AX125" s="234" t="s">
        <v>356</v>
      </c>
      <c r="AY125" s="229" t="s">
        <v>164</v>
      </c>
      <c r="BA125" s="233">
        <f>AU125+AV125</f>
        <v>0</v>
      </c>
      <c r="BB125" s="233">
        <f>G125/(100-BC125)*100</f>
        <v>0</v>
      </c>
      <c r="BC125" s="233">
        <v>0</v>
      </c>
      <c r="BD125" s="233">
        <f>L125</f>
        <v>0</v>
      </c>
      <c r="BF125" s="233">
        <f>F125*AM125</f>
        <v>0</v>
      </c>
      <c r="BG125" s="233">
        <f>F125*AN125</f>
        <v>0</v>
      </c>
      <c r="BH125" s="233">
        <f>F125*G125</f>
        <v>0</v>
      </c>
      <c r="BI125" s="233"/>
      <c r="BJ125" s="233">
        <v>89</v>
      </c>
      <c r="BU125" s="233" t="e">
        <f>#REF!</f>
        <v>#REF!</v>
      </c>
      <c r="BV125" s="225" t="s">
        <v>915</v>
      </c>
    </row>
    <row r="126" spans="1:74" ht="13.5" customHeight="1" x14ac:dyDescent="0.3">
      <c r="A126" s="241"/>
      <c r="B126" s="242" t="s">
        <v>165</v>
      </c>
      <c r="C126" s="530" t="s">
        <v>916</v>
      </c>
      <c r="D126" s="531"/>
      <c r="E126" s="531"/>
      <c r="F126" s="531"/>
      <c r="G126" s="531"/>
      <c r="H126" s="531"/>
      <c r="I126" s="531"/>
      <c r="J126" s="531"/>
      <c r="K126" s="531"/>
      <c r="L126" s="531"/>
      <c r="M126" s="532"/>
    </row>
    <row r="127" spans="1:74" ht="14.4" x14ac:dyDescent="0.3">
      <c r="A127" s="239" t="s">
        <v>352</v>
      </c>
      <c r="B127" s="223" t="s">
        <v>917</v>
      </c>
      <c r="C127" s="521" t="s">
        <v>918</v>
      </c>
      <c r="D127" s="519"/>
      <c r="E127" s="223" t="s">
        <v>365</v>
      </c>
      <c r="F127" s="233">
        <v>3</v>
      </c>
      <c r="G127" s="311">
        <v>0</v>
      </c>
      <c r="H127" s="233">
        <f>F127*AM127</f>
        <v>0</v>
      </c>
      <c r="I127" s="233">
        <f>F127*AN127</f>
        <v>0</v>
      </c>
      <c r="J127" s="233">
        <f>F127*G127</f>
        <v>0</v>
      </c>
      <c r="K127" s="233">
        <v>1.17E-2</v>
      </c>
      <c r="L127" s="233">
        <f>F127*K127</f>
        <v>3.5099999999999999E-2</v>
      </c>
      <c r="M127" s="240" t="s">
        <v>472</v>
      </c>
      <c r="X127" s="233">
        <f>IF(AO127="5",BH127,0)</f>
        <v>0</v>
      </c>
      <c r="Z127" s="233">
        <f>IF(AO127="1",BF127,0)</f>
        <v>0</v>
      </c>
      <c r="AA127" s="233">
        <f>IF(AO127="1",BG127,0)</f>
        <v>0</v>
      </c>
      <c r="AB127" s="233">
        <f>IF(AO127="7",BF127,0)</f>
        <v>0</v>
      </c>
      <c r="AC127" s="233">
        <f>IF(AO127="7",BG127,0)</f>
        <v>0</v>
      </c>
      <c r="AD127" s="233">
        <f>IF(AO127="2",BF127,0)</f>
        <v>0</v>
      </c>
      <c r="AE127" s="233">
        <f>IF(AO127="2",BG127,0)</f>
        <v>0</v>
      </c>
      <c r="AF127" s="233">
        <f>IF(AO127="0",BH127,0)</f>
        <v>0</v>
      </c>
      <c r="AG127" s="229" t="s">
        <v>154</v>
      </c>
      <c r="AH127" s="233">
        <f>IF(AL127=0,J127,0)</f>
        <v>0</v>
      </c>
      <c r="AI127" s="233">
        <f>IF(AL127=15,J127,0)</f>
        <v>0</v>
      </c>
      <c r="AJ127" s="233">
        <f>IF(AL127=21,J127,0)</f>
        <v>0</v>
      </c>
      <c r="AL127" s="233">
        <v>21</v>
      </c>
      <c r="AM127" s="233">
        <f>G127*0.018124281</f>
        <v>0</v>
      </c>
      <c r="AN127" s="233">
        <f>G127*(1-0.018124281)</f>
        <v>0</v>
      </c>
      <c r="AO127" s="234" t="s">
        <v>157</v>
      </c>
      <c r="AT127" s="233">
        <f>AU127+AV127</f>
        <v>0</v>
      </c>
      <c r="AU127" s="233">
        <f>F127*AM127</f>
        <v>0</v>
      </c>
      <c r="AV127" s="233">
        <f>F127*AN127</f>
        <v>0</v>
      </c>
      <c r="AW127" s="234" t="s">
        <v>366</v>
      </c>
      <c r="AX127" s="234" t="s">
        <v>356</v>
      </c>
      <c r="AY127" s="229" t="s">
        <v>164</v>
      </c>
      <c r="BA127" s="233">
        <f>AU127+AV127</f>
        <v>0</v>
      </c>
      <c r="BB127" s="233">
        <f>G127/(100-BC127)*100</f>
        <v>0</v>
      </c>
      <c r="BC127" s="233">
        <v>0</v>
      </c>
      <c r="BD127" s="233">
        <f>L127</f>
        <v>3.5099999999999999E-2</v>
      </c>
      <c r="BF127" s="233">
        <f>F127*AM127</f>
        <v>0</v>
      </c>
      <c r="BG127" s="233">
        <f>F127*AN127</f>
        <v>0</v>
      </c>
      <c r="BH127" s="233">
        <f>F127*G127</f>
        <v>0</v>
      </c>
      <c r="BI127" s="233"/>
      <c r="BJ127" s="233">
        <v>89</v>
      </c>
      <c r="BU127" s="233" t="e">
        <f>#REF!</f>
        <v>#REF!</v>
      </c>
      <c r="BV127" s="225" t="s">
        <v>918</v>
      </c>
    </row>
    <row r="128" spans="1:74" ht="13.5" customHeight="1" x14ac:dyDescent="0.3">
      <c r="A128" s="241"/>
      <c r="B128" s="242" t="s">
        <v>165</v>
      </c>
      <c r="C128" s="530" t="s">
        <v>919</v>
      </c>
      <c r="D128" s="531"/>
      <c r="E128" s="531"/>
      <c r="F128" s="531"/>
      <c r="G128" s="531"/>
      <c r="H128" s="531"/>
      <c r="I128" s="531"/>
      <c r="J128" s="531"/>
      <c r="K128" s="531"/>
      <c r="L128" s="531"/>
      <c r="M128" s="532"/>
    </row>
    <row r="129" spans="1:74" ht="14.4" x14ac:dyDescent="0.3">
      <c r="A129" s="239" t="s">
        <v>357</v>
      </c>
      <c r="B129" s="223" t="s">
        <v>920</v>
      </c>
      <c r="C129" s="521" t="s">
        <v>921</v>
      </c>
      <c r="D129" s="519"/>
      <c r="E129" s="223" t="s">
        <v>160</v>
      </c>
      <c r="F129" s="233">
        <v>113.5</v>
      </c>
      <c r="G129" s="311">
        <v>0</v>
      </c>
      <c r="H129" s="233">
        <f>F129*AM129</f>
        <v>0</v>
      </c>
      <c r="I129" s="233">
        <f>F129*AN129</f>
        <v>0</v>
      </c>
      <c r="J129" s="233">
        <f>F129*G129</f>
        <v>0</v>
      </c>
      <c r="K129" s="233">
        <v>0</v>
      </c>
      <c r="L129" s="233">
        <f>F129*K129</f>
        <v>0</v>
      </c>
      <c r="M129" s="240" t="s">
        <v>472</v>
      </c>
      <c r="X129" s="233">
        <f>IF(AO129="5",BH129,0)</f>
        <v>0</v>
      </c>
      <c r="Z129" s="233">
        <f>IF(AO129="1",BF129,0)</f>
        <v>0</v>
      </c>
      <c r="AA129" s="233">
        <f>IF(AO129="1",BG129,0)</f>
        <v>0</v>
      </c>
      <c r="AB129" s="233">
        <f>IF(AO129="7",BF129,0)</f>
        <v>0</v>
      </c>
      <c r="AC129" s="233">
        <f>IF(AO129="7",BG129,0)</f>
        <v>0</v>
      </c>
      <c r="AD129" s="233">
        <f>IF(AO129="2",BF129,0)</f>
        <v>0</v>
      </c>
      <c r="AE129" s="233">
        <f>IF(AO129="2",BG129,0)</f>
        <v>0</v>
      </c>
      <c r="AF129" s="233">
        <f>IF(AO129="0",BH129,0)</f>
        <v>0</v>
      </c>
      <c r="AG129" s="229" t="s">
        <v>154</v>
      </c>
      <c r="AH129" s="233">
        <f>IF(AL129=0,J129,0)</f>
        <v>0</v>
      </c>
      <c r="AI129" s="233">
        <f>IF(AL129=15,J129,0)</f>
        <v>0</v>
      </c>
      <c r="AJ129" s="233">
        <f>IF(AL129=21,J129,0)</f>
        <v>0</v>
      </c>
      <c r="AL129" s="233">
        <v>21</v>
      </c>
      <c r="AM129" s="233">
        <f>G129*0.008105465</f>
        <v>0</v>
      </c>
      <c r="AN129" s="233">
        <f>G129*(1-0.008105465)</f>
        <v>0</v>
      </c>
      <c r="AO129" s="234" t="s">
        <v>157</v>
      </c>
      <c r="AT129" s="233">
        <f>AU129+AV129</f>
        <v>0</v>
      </c>
      <c r="AU129" s="233">
        <f>F129*AM129</f>
        <v>0</v>
      </c>
      <c r="AV129" s="233">
        <f>F129*AN129</f>
        <v>0</v>
      </c>
      <c r="AW129" s="234" t="s">
        <v>366</v>
      </c>
      <c r="AX129" s="234" t="s">
        <v>356</v>
      </c>
      <c r="AY129" s="229" t="s">
        <v>164</v>
      </c>
      <c r="BA129" s="233">
        <f>AU129+AV129</f>
        <v>0</v>
      </c>
      <c r="BB129" s="233">
        <f>G129/(100-BC129)*100</f>
        <v>0</v>
      </c>
      <c r="BC129" s="233">
        <v>0</v>
      </c>
      <c r="BD129" s="233">
        <f>L129</f>
        <v>0</v>
      </c>
      <c r="BF129" s="233">
        <f>F129*AM129</f>
        <v>0</v>
      </c>
      <c r="BG129" s="233">
        <f>F129*AN129</f>
        <v>0</v>
      </c>
      <c r="BH129" s="233">
        <f>F129*G129</f>
        <v>0</v>
      </c>
      <c r="BI129" s="233"/>
      <c r="BJ129" s="233">
        <v>89</v>
      </c>
      <c r="BU129" s="233" t="e">
        <f>#REF!</f>
        <v>#REF!</v>
      </c>
      <c r="BV129" s="225" t="s">
        <v>921</v>
      </c>
    </row>
    <row r="130" spans="1:74" ht="40.5" customHeight="1" x14ac:dyDescent="0.3">
      <c r="A130" s="241"/>
      <c r="B130" s="242" t="s">
        <v>165</v>
      </c>
      <c r="C130" s="530" t="s">
        <v>1700</v>
      </c>
      <c r="D130" s="531"/>
      <c r="E130" s="531"/>
      <c r="F130" s="531"/>
      <c r="G130" s="531"/>
      <c r="H130" s="531"/>
      <c r="I130" s="531"/>
      <c r="J130" s="531"/>
      <c r="K130" s="531"/>
      <c r="L130" s="531"/>
      <c r="M130" s="532"/>
    </row>
    <row r="131" spans="1:74" ht="14.4" x14ac:dyDescent="0.3">
      <c r="A131" s="239" t="s">
        <v>362</v>
      </c>
      <c r="B131" s="223" t="s">
        <v>922</v>
      </c>
      <c r="C131" s="521" t="s">
        <v>923</v>
      </c>
      <c r="D131" s="519"/>
      <c r="E131" s="223" t="s">
        <v>924</v>
      </c>
      <c r="F131" s="233">
        <v>3</v>
      </c>
      <c r="G131" s="311">
        <v>0</v>
      </c>
      <c r="H131" s="233">
        <f>F131*AM131</f>
        <v>0</v>
      </c>
      <c r="I131" s="233">
        <f>F131*AN131</f>
        <v>0</v>
      </c>
      <c r="J131" s="233">
        <f>F131*G131</f>
        <v>0</v>
      </c>
      <c r="K131" s="233">
        <v>4.0999999999999999E-4</v>
      </c>
      <c r="L131" s="233">
        <f>F131*K131</f>
        <v>1.23E-3</v>
      </c>
      <c r="M131" s="240" t="s">
        <v>472</v>
      </c>
      <c r="X131" s="233">
        <f>IF(AO131="5",BH131,0)</f>
        <v>0</v>
      </c>
      <c r="Z131" s="233">
        <f>IF(AO131="1",BF131,0)</f>
        <v>0</v>
      </c>
      <c r="AA131" s="233">
        <f>IF(AO131="1",BG131,0)</f>
        <v>0</v>
      </c>
      <c r="AB131" s="233">
        <f>IF(AO131="7",BF131,0)</f>
        <v>0</v>
      </c>
      <c r="AC131" s="233">
        <f>IF(AO131="7",BG131,0)</f>
        <v>0</v>
      </c>
      <c r="AD131" s="233">
        <f>IF(AO131="2",BF131,0)</f>
        <v>0</v>
      </c>
      <c r="AE131" s="233">
        <f>IF(AO131="2",BG131,0)</f>
        <v>0</v>
      </c>
      <c r="AF131" s="233">
        <f>IF(AO131="0",BH131,0)</f>
        <v>0</v>
      </c>
      <c r="AG131" s="229" t="s">
        <v>154</v>
      </c>
      <c r="AH131" s="233">
        <f>IF(AL131=0,J131,0)</f>
        <v>0</v>
      </c>
      <c r="AI131" s="233">
        <f>IF(AL131=15,J131,0)</f>
        <v>0</v>
      </c>
      <c r="AJ131" s="233">
        <f>IF(AL131=21,J131,0)</f>
        <v>0</v>
      </c>
      <c r="AL131" s="233">
        <v>21</v>
      </c>
      <c r="AM131" s="233">
        <f>G131*0.120871568</f>
        <v>0</v>
      </c>
      <c r="AN131" s="233">
        <f>G131*(1-0.120871568)</f>
        <v>0</v>
      </c>
      <c r="AO131" s="234" t="s">
        <v>157</v>
      </c>
      <c r="AT131" s="233">
        <f>AU131+AV131</f>
        <v>0</v>
      </c>
      <c r="AU131" s="233">
        <f>F131*AM131</f>
        <v>0</v>
      </c>
      <c r="AV131" s="233">
        <f>F131*AN131</f>
        <v>0</v>
      </c>
      <c r="AW131" s="234" t="s">
        <v>366</v>
      </c>
      <c r="AX131" s="234" t="s">
        <v>356</v>
      </c>
      <c r="AY131" s="229" t="s">
        <v>164</v>
      </c>
      <c r="BA131" s="233">
        <f>AU131+AV131</f>
        <v>0</v>
      </c>
      <c r="BB131" s="233">
        <f>G131/(100-BC131)*100</f>
        <v>0</v>
      </c>
      <c r="BC131" s="233">
        <v>0</v>
      </c>
      <c r="BD131" s="233">
        <f>L131</f>
        <v>1.23E-3</v>
      </c>
      <c r="BF131" s="233">
        <f>F131*AM131</f>
        <v>0</v>
      </c>
      <c r="BG131" s="233">
        <f>F131*AN131</f>
        <v>0</v>
      </c>
      <c r="BH131" s="233">
        <f>F131*G131</f>
        <v>0</v>
      </c>
      <c r="BI131" s="233"/>
      <c r="BJ131" s="233">
        <v>89</v>
      </c>
      <c r="BU131" s="233" t="e">
        <f>#REF!</f>
        <v>#REF!</v>
      </c>
      <c r="BV131" s="225" t="s">
        <v>923</v>
      </c>
    </row>
    <row r="132" spans="1:74" ht="63.75" customHeight="1" x14ac:dyDescent="0.3">
      <c r="A132" s="241"/>
      <c r="B132" s="242" t="s">
        <v>165</v>
      </c>
      <c r="C132" s="530" t="s">
        <v>1701</v>
      </c>
      <c r="D132" s="531"/>
      <c r="E132" s="531"/>
      <c r="F132" s="531"/>
      <c r="G132" s="531"/>
      <c r="H132" s="531"/>
      <c r="I132" s="531"/>
      <c r="J132" s="531"/>
      <c r="K132" s="531"/>
      <c r="L132" s="531"/>
      <c r="M132" s="532"/>
    </row>
    <row r="133" spans="1:74" ht="14.4" x14ac:dyDescent="0.3">
      <c r="A133" s="239" t="s">
        <v>367</v>
      </c>
      <c r="B133" s="223" t="s">
        <v>925</v>
      </c>
      <c r="C133" s="521" t="s">
        <v>926</v>
      </c>
      <c r="D133" s="519"/>
      <c r="E133" s="223" t="s">
        <v>160</v>
      </c>
      <c r="F133" s="233">
        <v>113.5</v>
      </c>
      <c r="G133" s="311">
        <v>0</v>
      </c>
      <c r="H133" s="233">
        <f>F133*AM133</f>
        <v>0</v>
      </c>
      <c r="I133" s="233">
        <f>F133*AN133</f>
        <v>0</v>
      </c>
      <c r="J133" s="233">
        <f>F133*G133</f>
        <v>0</v>
      </c>
      <c r="K133" s="233">
        <v>0</v>
      </c>
      <c r="L133" s="233">
        <f>F133*K133</f>
        <v>0</v>
      </c>
      <c r="M133" s="240" t="s">
        <v>472</v>
      </c>
      <c r="X133" s="233">
        <f>IF(AO133="5",BH133,0)</f>
        <v>0</v>
      </c>
      <c r="Z133" s="233">
        <f>IF(AO133="1",BF133,0)</f>
        <v>0</v>
      </c>
      <c r="AA133" s="233">
        <f>IF(AO133="1",BG133,0)</f>
        <v>0</v>
      </c>
      <c r="AB133" s="233">
        <f>IF(AO133="7",BF133,0)</f>
        <v>0</v>
      </c>
      <c r="AC133" s="233">
        <f>IF(AO133="7",BG133,0)</f>
        <v>0</v>
      </c>
      <c r="AD133" s="233">
        <f>IF(AO133="2",BF133,0)</f>
        <v>0</v>
      </c>
      <c r="AE133" s="233">
        <f>IF(AO133="2",BG133,0)</f>
        <v>0</v>
      </c>
      <c r="AF133" s="233">
        <f>IF(AO133="0",BH133,0)</f>
        <v>0</v>
      </c>
      <c r="AG133" s="229" t="s">
        <v>154</v>
      </c>
      <c r="AH133" s="233">
        <f>IF(AL133=0,J133,0)</f>
        <v>0</v>
      </c>
      <c r="AI133" s="233">
        <f>IF(AL133=15,J133,0)</f>
        <v>0</v>
      </c>
      <c r="AJ133" s="233">
        <f>IF(AL133=21,J133,0)</f>
        <v>0</v>
      </c>
      <c r="AL133" s="233">
        <v>21</v>
      </c>
      <c r="AM133" s="233">
        <f>G133*0.092259865</f>
        <v>0</v>
      </c>
      <c r="AN133" s="233">
        <f>G133*(1-0.092259865)</f>
        <v>0</v>
      </c>
      <c r="AO133" s="234" t="s">
        <v>157</v>
      </c>
      <c r="AT133" s="233">
        <f>AU133+AV133</f>
        <v>0</v>
      </c>
      <c r="AU133" s="233">
        <f>F133*AM133</f>
        <v>0</v>
      </c>
      <c r="AV133" s="233">
        <f>F133*AN133</f>
        <v>0</v>
      </c>
      <c r="AW133" s="234" t="s">
        <v>366</v>
      </c>
      <c r="AX133" s="234" t="s">
        <v>356</v>
      </c>
      <c r="AY133" s="229" t="s">
        <v>164</v>
      </c>
      <c r="BA133" s="233">
        <f>AU133+AV133</f>
        <v>0</v>
      </c>
      <c r="BB133" s="233">
        <f>G133/(100-BC133)*100</f>
        <v>0</v>
      </c>
      <c r="BC133" s="233">
        <v>0</v>
      </c>
      <c r="BD133" s="233">
        <f>L133</f>
        <v>0</v>
      </c>
      <c r="BF133" s="233">
        <f>F133*AM133</f>
        <v>0</v>
      </c>
      <c r="BG133" s="233">
        <f>F133*AN133</f>
        <v>0</v>
      </c>
      <c r="BH133" s="233">
        <f>F133*G133</f>
        <v>0</v>
      </c>
      <c r="BI133" s="233"/>
      <c r="BJ133" s="233">
        <v>89</v>
      </c>
      <c r="BU133" s="233" t="e">
        <f>#REF!</f>
        <v>#REF!</v>
      </c>
      <c r="BV133" s="225" t="s">
        <v>926</v>
      </c>
    </row>
    <row r="134" spans="1:74" ht="40.5" customHeight="1" x14ac:dyDescent="0.3">
      <c r="A134" s="241"/>
      <c r="B134" s="242" t="s">
        <v>165</v>
      </c>
      <c r="C134" s="530" t="s">
        <v>1702</v>
      </c>
      <c r="D134" s="531"/>
      <c r="E134" s="531"/>
      <c r="F134" s="531"/>
      <c r="G134" s="531"/>
      <c r="H134" s="531"/>
      <c r="I134" s="531"/>
      <c r="J134" s="531"/>
      <c r="K134" s="531"/>
      <c r="L134" s="531"/>
      <c r="M134" s="532"/>
    </row>
    <row r="135" spans="1:74" ht="14.4" x14ac:dyDescent="0.3">
      <c r="A135" s="239" t="s">
        <v>305</v>
      </c>
      <c r="B135" s="223" t="s">
        <v>927</v>
      </c>
      <c r="C135" s="521" t="s">
        <v>928</v>
      </c>
      <c r="D135" s="519"/>
      <c r="E135" s="223" t="s">
        <v>160</v>
      </c>
      <c r="F135" s="233">
        <v>113.5</v>
      </c>
      <c r="G135" s="311">
        <v>0</v>
      </c>
      <c r="H135" s="233">
        <f>F135*AM135</f>
        <v>0</v>
      </c>
      <c r="I135" s="233">
        <f>F135*AN135</f>
        <v>0</v>
      </c>
      <c r="J135" s="233">
        <f>F135*G135</f>
        <v>0</v>
      </c>
      <c r="K135" s="233">
        <v>0</v>
      </c>
      <c r="L135" s="233">
        <f>F135*K135</f>
        <v>0</v>
      </c>
      <c r="M135" s="240" t="s">
        <v>472</v>
      </c>
      <c r="X135" s="233">
        <f>IF(AO135="5",BH135,0)</f>
        <v>0</v>
      </c>
      <c r="Z135" s="233">
        <f>IF(AO135="1",BF135,0)</f>
        <v>0</v>
      </c>
      <c r="AA135" s="233">
        <f>IF(AO135="1",BG135,0)</f>
        <v>0</v>
      </c>
      <c r="AB135" s="233">
        <f>IF(AO135="7",BF135,0)</f>
        <v>0</v>
      </c>
      <c r="AC135" s="233">
        <f>IF(AO135="7",BG135,0)</f>
        <v>0</v>
      </c>
      <c r="AD135" s="233">
        <f>IF(AO135="2",BF135,0)</f>
        <v>0</v>
      </c>
      <c r="AE135" s="233">
        <f>IF(AO135="2",BG135,0)</f>
        <v>0</v>
      </c>
      <c r="AF135" s="233">
        <f>IF(AO135="0",BH135,0)</f>
        <v>0</v>
      </c>
      <c r="AG135" s="229" t="s">
        <v>154</v>
      </c>
      <c r="AH135" s="233">
        <f>IF(AL135=0,J135,0)</f>
        <v>0</v>
      </c>
      <c r="AI135" s="233">
        <f>IF(AL135=15,J135,0)</f>
        <v>0</v>
      </c>
      <c r="AJ135" s="233">
        <f>IF(AL135=21,J135,0)</f>
        <v>0</v>
      </c>
      <c r="AL135" s="233">
        <v>21</v>
      </c>
      <c r="AM135" s="233">
        <f>G135*0</f>
        <v>0</v>
      </c>
      <c r="AN135" s="233">
        <f>G135*(1-0)</f>
        <v>0</v>
      </c>
      <c r="AO135" s="234" t="s">
        <v>157</v>
      </c>
      <c r="AT135" s="233">
        <f>AU135+AV135</f>
        <v>0</v>
      </c>
      <c r="AU135" s="233">
        <f>F135*AM135</f>
        <v>0</v>
      </c>
      <c r="AV135" s="233">
        <f>F135*AN135</f>
        <v>0</v>
      </c>
      <c r="AW135" s="234" t="s">
        <v>366</v>
      </c>
      <c r="AX135" s="234" t="s">
        <v>356</v>
      </c>
      <c r="AY135" s="229" t="s">
        <v>164</v>
      </c>
      <c r="BA135" s="233">
        <f>AU135+AV135</f>
        <v>0</v>
      </c>
      <c r="BB135" s="233">
        <f>G135/(100-BC135)*100</f>
        <v>0</v>
      </c>
      <c r="BC135" s="233">
        <v>0</v>
      </c>
      <c r="BD135" s="233">
        <f>L135</f>
        <v>0</v>
      </c>
      <c r="BF135" s="233">
        <f>F135*AM135</f>
        <v>0</v>
      </c>
      <c r="BG135" s="233">
        <f>F135*AN135</f>
        <v>0</v>
      </c>
      <c r="BH135" s="233">
        <f>F135*G135</f>
        <v>0</v>
      </c>
      <c r="BI135" s="233"/>
      <c r="BJ135" s="233">
        <v>89</v>
      </c>
      <c r="BU135" s="233" t="e">
        <f>#REF!</f>
        <v>#REF!</v>
      </c>
      <c r="BV135" s="225" t="s">
        <v>928</v>
      </c>
    </row>
    <row r="136" spans="1:74" ht="40.5" customHeight="1" x14ac:dyDescent="0.3">
      <c r="A136" s="241"/>
      <c r="B136" s="242" t="s">
        <v>165</v>
      </c>
      <c r="C136" s="530" t="s">
        <v>1703</v>
      </c>
      <c r="D136" s="531"/>
      <c r="E136" s="531"/>
      <c r="F136" s="531"/>
      <c r="G136" s="531"/>
      <c r="H136" s="531"/>
      <c r="I136" s="531"/>
      <c r="J136" s="531"/>
      <c r="K136" s="531"/>
      <c r="L136" s="531"/>
      <c r="M136" s="532"/>
    </row>
    <row r="137" spans="1:74" ht="14.4" x14ac:dyDescent="0.3">
      <c r="A137" s="239" t="s">
        <v>335</v>
      </c>
      <c r="B137" s="223" t="s">
        <v>438</v>
      </c>
      <c r="C137" s="521" t="s">
        <v>439</v>
      </c>
      <c r="D137" s="519"/>
      <c r="E137" s="223" t="s">
        <v>160</v>
      </c>
      <c r="F137" s="233">
        <v>124.85</v>
      </c>
      <c r="G137" s="311">
        <v>0</v>
      </c>
      <c r="H137" s="233">
        <f>F137*AM137</f>
        <v>0</v>
      </c>
      <c r="I137" s="233">
        <f>F137*AN137</f>
        <v>0</v>
      </c>
      <c r="J137" s="233">
        <f>F137*G137</f>
        <v>0</v>
      </c>
      <c r="K137" s="233">
        <v>0</v>
      </c>
      <c r="L137" s="233">
        <f>F137*K137</f>
        <v>0</v>
      </c>
      <c r="M137" s="240" t="s">
        <v>472</v>
      </c>
      <c r="X137" s="233">
        <f>IF(AO137="5",BH137,0)</f>
        <v>0</v>
      </c>
      <c r="Z137" s="233">
        <f>IF(AO137="1",BF137,0)</f>
        <v>0</v>
      </c>
      <c r="AA137" s="233">
        <f>IF(AO137="1",BG137,0)</f>
        <v>0</v>
      </c>
      <c r="AB137" s="233">
        <f>IF(AO137="7",BF137,0)</f>
        <v>0</v>
      </c>
      <c r="AC137" s="233">
        <f>IF(AO137="7",BG137,0)</f>
        <v>0</v>
      </c>
      <c r="AD137" s="233">
        <f>IF(AO137="2",BF137,0)</f>
        <v>0</v>
      </c>
      <c r="AE137" s="233">
        <f>IF(AO137="2",BG137,0)</f>
        <v>0</v>
      </c>
      <c r="AF137" s="233">
        <f>IF(AO137="0",BH137,0)</f>
        <v>0</v>
      </c>
      <c r="AG137" s="229" t="s">
        <v>154</v>
      </c>
      <c r="AH137" s="233">
        <f>IF(AL137=0,J137,0)</f>
        <v>0</v>
      </c>
      <c r="AI137" s="233">
        <f>IF(AL137=15,J137,0)</f>
        <v>0</v>
      </c>
      <c r="AJ137" s="233">
        <f>IF(AL137=21,J137,0)</f>
        <v>0</v>
      </c>
      <c r="AL137" s="233">
        <v>21</v>
      </c>
      <c r="AM137" s="233">
        <f>G137*0.353986405</f>
        <v>0</v>
      </c>
      <c r="AN137" s="233">
        <f>G137*(1-0.353986405)</f>
        <v>0</v>
      </c>
      <c r="AO137" s="234" t="s">
        <v>157</v>
      </c>
      <c r="AT137" s="233">
        <f>AU137+AV137</f>
        <v>0</v>
      </c>
      <c r="AU137" s="233">
        <f>F137*AM137</f>
        <v>0</v>
      </c>
      <c r="AV137" s="233">
        <f>F137*AN137</f>
        <v>0</v>
      </c>
      <c r="AW137" s="234" t="s">
        <v>366</v>
      </c>
      <c r="AX137" s="234" t="s">
        <v>356</v>
      </c>
      <c r="AY137" s="229" t="s">
        <v>164</v>
      </c>
      <c r="BA137" s="233">
        <f>AU137+AV137</f>
        <v>0</v>
      </c>
      <c r="BB137" s="233">
        <f>G137/(100-BC137)*100</f>
        <v>0</v>
      </c>
      <c r="BC137" s="233">
        <v>0</v>
      </c>
      <c r="BD137" s="233">
        <f>L137</f>
        <v>0</v>
      </c>
      <c r="BF137" s="233">
        <f>F137*AM137</f>
        <v>0</v>
      </c>
      <c r="BG137" s="233">
        <f>F137*AN137</f>
        <v>0</v>
      </c>
      <c r="BH137" s="233">
        <f>F137*G137</f>
        <v>0</v>
      </c>
      <c r="BI137" s="233"/>
      <c r="BJ137" s="233">
        <v>89</v>
      </c>
      <c r="BU137" s="233" t="e">
        <f>#REF!</f>
        <v>#REF!</v>
      </c>
      <c r="BV137" s="225" t="s">
        <v>439</v>
      </c>
    </row>
    <row r="138" spans="1:74" ht="40.5" customHeight="1" x14ac:dyDescent="0.3">
      <c r="A138" s="241"/>
      <c r="B138" s="242" t="s">
        <v>165</v>
      </c>
      <c r="C138" s="530" t="s">
        <v>1704</v>
      </c>
      <c r="D138" s="531"/>
      <c r="E138" s="531"/>
      <c r="F138" s="531"/>
      <c r="G138" s="531"/>
      <c r="H138" s="531"/>
      <c r="I138" s="531"/>
      <c r="J138" s="531"/>
      <c r="K138" s="531"/>
      <c r="L138" s="531"/>
      <c r="M138" s="532"/>
    </row>
    <row r="139" spans="1:74" ht="14.4" x14ac:dyDescent="0.3">
      <c r="A139" s="239" t="s">
        <v>154</v>
      </c>
      <c r="B139" s="224" t="s">
        <v>370</v>
      </c>
      <c r="C139" s="526" t="s">
        <v>371</v>
      </c>
      <c r="D139" s="527"/>
      <c r="E139" s="223" t="s">
        <v>114</v>
      </c>
      <c r="F139" s="223" t="s">
        <v>114</v>
      </c>
      <c r="G139" s="223" t="s">
        <v>114</v>
      </c>
      <c r="H139" s="235">
        <f>SUM(H140:H140)</f>
        <v>0</v>
      </c>
      <c r="I139" s="235">
        <f>SUM(I140:I140)</f>
        <v>0</v>
      </c>
      <c r="J139" s="235">
        <f>SUM(J140:J140)</f>
        <v>0</v>
      </c>
      <c r="K139" s="230" t="s">
        <v>154</v>
      </c>
      <c r="L139" s="235">
        <f>SUM(L140:L140)</f>
        <v>7.9449999999999993E-2</v>
      </c>
      <c r="M139" s="243" t="s">
        <v>154</v>
      </c>
      <c r="AG139" s="229" t="s">
        <v>154</v>
      </c>
      <c r="AQ139" s="222">
        <f>SUM(AH140:AH140)</f>
        <v>0</v>
      </c>
      <c r="AR139" s="222">
        <f>SUM(AI140:AI140)</f>
        <v>0</v>
      </c>
      <c r="AS139" s="222">
        <f>SUM(AJ140:AJ140)</f>
        <v>0</v>
      </c>
    </row>
    <row r="140" spans="1:74" ht="14.4" x14ac:dyDescent="0.3">
      <c r="A140" s="239" t="s">
        <v>384</v>
      </c>
      <c r="B140" s="223" t="s">
        <v>372</v>
      </c>
      <c r="C140" s="521" t="s">
        <v>373</v>
      </c>
      <c r="D140" s="519"/>
      <c r="E140" s="223" t="s">
        <v>160</v>
      </c>
      <c r="F140" s="233">
        <v>113.5</v>
      </c>
      <c r="G140" s="311">
        <v>0</v>
      </c>
      <c r="H140" s="233">
        <f>F140*AM140</f>
        <v>0</v>
      </c>
      <c r="I140" s="233">
        <f>F140*AN140</f>
        <v>0</v>
      </c>
      <c r="J140" s="233">
        <f>F140*G140</f>
        <v>0</v>
      </c>
      <c r="K140" s="233">
        <v>6.9999999999999999E-4</v>
      </c>
      <c r="L140" s="233">
        <f>F140*K140</f>
        <v>7.9449999999999993E-2</v>
      </c>
      <c r="M140" s="240" t="s">
        <v>472</v>
      </c>
      <c r="X140" s="233">
        <f>IF(AO140="5",BH140,0)</f>
        <v>0</v>
      </c>
      <c r="Z140" s="233">
        <f>IF(AO140="1",BF140,0)</f>
        <v>0</v>
      </c>
      <c r="AA140" s="233">
        <f>IF(AO140="1",BG140,0)</f>
        <v>0</v>
      </c>
      <c r="AB140" s="233">
        <f>IF(AO140="7",BF140,0)</f>
        <v>0</v>
      </c>
      <c r="AC140" s="233">
        <f>IF(AO140="7",BG140,0)</f>
        <v>0</v>
      </c>
      <c r="AD140" s="233">
        <f>IF(AO140="2",BF140,0)</f>
        <v>0</v>
      </c>
      <c r="AE140" s="233">
        <f>IF(AO140="2",BG140,0)</f>
        <v>0</v>
      </c>
      <c r="AF140" s="233">
        <f>IF(AO140="0",BH140,0)</f>
        <v>0</v>
      </c>
      <c r="AG140" s="229" t="s">
        <v>154</v>
      </c>
      <c r="AH140" s="233">
        <f>IF(AL140=0,J140,0)</f>
        <v>0</v>
      </c>
      <c r="AI140" s="233">
        <f>IF(AL140=15,J140,0)</f>
        <v>0</v>
      </c>
      <c r="AJ140" s="233">
        <f>IF(AL140=21,J140,0)</f>
        <v>0</v>
      </c>
      <c r="AL140" s="233">
        <v>21</v>
      </c>
      <c r="AM140" s="233">
        <f>G140*0.071213708</f>
        <v>0</v>
      </c>
      <c r="AN140" s="233">
        <f>G140*(1-0.071213708)</f>
        <v>0</v>
      </c>
      <c r="AO140" s="234" t="s">
        <v>157</v>
      </c>
      <c r="AT140" s="233">
        <f>AU140+AV140</f>
        <v>0</v>
      </c>
      <c r="AU140" s="233">
        <f>F140*AM140</f>
        <v>0</v>
      </c>
      <c r="AV140" s="233">
        <f>F140*AN140</f>
        <v>0</v>
      </c>
      <c r="AW140" s="234" t="s">
        <v>374</v>
      </c>
      <c r="AX140" s="234" t="s">
        <v>375</v>
      </c>
      <c r="AY140" s="229" t="s">
        <v>164</v>
      </c>
      <c r="BA140" s="233">
        <f>AU140+AV140</f>
        <v>0</v>
      </c>
      <c r="BB140" s="233">
        <f>G140/(100-BC140)*100</f>
        <v>0</v>
      </c>
      <c r="BC140" s="233">
        <v>0</v>
      </c>
      <c r="BD140" s="233">
        <f>L140</f>
        <v>7.9449999999999993E-2</v>
      </c>
      <c r="BF140" s="233">
        <f>F140*AM140</f>
        <v>0</v>
      </c>
      <c r="BG140" s="233">
        <f>F140*AN140</f>
        <v>0</v>
      </c>
      <c r="BH140" s="233">
        <f>F140*G140</f>
        <v>0</v>
      </c>
      <c r="BI140" s="233"/>
      <c r="BJ140" s="233">
        <v>93</v>
      </c>
      <c r="BU140" s="233" t="e">
        <f>#REF!</f>
        <v>#REF!</v>
      </c>
      <c r="BV140" s="225" t="s">
        <v>373</v>
      </c>
    </row>
    <row r="141" spans="1:74" ht="40.5" customHeight="1" x14ac:dyDescent="0.3">
      <c r="A141" s="241"/>
      <c r="B141" s="242" t="s">
        <v>165</v>
      </c>
      <c r="C141" s="530" t="s">
        <v>1705</v>
      </c>
      <c r="D141" s="531"/>
      <c r="E141" s="531"/>
      <c r="F141" s="531"/>
      <c r="G141" s="531"/>
      <c r="H141" s="531"/>
      <c r="I141" s="531"/>
      <c r="J141" s="531"/>
      <c r="K141" s="531"/>
      <c r="L141" s="531"/>
      <c r="M141" s="532"/>
    </row>
    <row r="142" spans="1:74" ht="14.4" x14ac:dyDescent="0.3">
      <c r="A142" s="239" t="s">
        <v>154</v>
      </c>
      <c r="B142" s="224" t="s">
        <v>376</v>
      </c>
      <c r="C142" s="526" t="s">
        <v>377</v>
      </c>
      <c r="D142" s="527"/>
      <c r="E142" s="223" t="s">
        <v>114</v>
      </c>
      <c r="F142" s="223" t="s">
        <v>114</v>
      </c>
      <c r="G142" s="223" t="s">
        <v>114</v>
      </c>
      <c r="H142" s="235">
        <f>SUM(H143:H143)</f>
        <v>0</v>
      </c>
      <c r="I142" s="235">
        <f>SUM(I143:I143)</f>
        <v>0</v>
      </c>
      <c r="J142" s="235">
        <f>SUM(J143:J143)</f>
        <v>0</v>
      </c>
      <c r="K142" s="230" t="s">
        <v>154</v>
      </c>
      <c r="L142" s="235">
        <f>SUM(L143:L143)</f>
        <v>0</v>
      </c>
      <c r="M142" s="243" t="s">
        <v>154</v>
      </c>
      <c r="AG142" s="229" t="s">
        <v>154</v>
      </c>
      <c r="AQ142" s="222">
        <f>SUM(AH143:AH143)</f>
        <v>0</v>
      </c>
      <c r="AR142" s="222">
        <f>SUM(AI143:AI143)</f>
        <v>0</v>
      </c>
      <c r="AS142" s="222">
        <f>SUM(AJ143:AJ143)</f>
        <v>0</v>
      </c>
    </row>
    <row r="143" spans="1:74" ht="14.4" x14ac:dyDescent="0.3">
      <c r="A143" s="239" t="s">
        <v>344</v>
      </c>
      <c r="B143" s="223" t="s">
        <v>378</v>
      </c>
      <c r="C143" s="521" t="s">
        <v>379</v>
      </c>
      <c r="D143" s="519"/>
      <c r="E143" s="223" t="s">
        <v>380</v>
      </c>
      <c r="F143" s="233">
        <v>203.27</v>
      </c>
      <c r="G143" s="311">
        <v>0</v>
      </c>
      <c r="H143" s="233">
        <f>F143*AM143</f>
        <v>0</v>
      </c>
      <c r="I143" s="233">
        <f>F143*AN143</f>
        <v>0</v>
      </c>
      <c r="J143" s="233">
        <f>F143*G143</f>
        <v>0</v>
      </c>
      <c r="K143" s="233">
        <v>0</v>
      </c>
      <c r="L143" s="233">
        <f>F143*K143</f>
        <v>0</v>
      </c>
      <c r="M143" s="240" t="s">
        <v>472</v>
      </c>
      <c r="X143" s="233">
        <f>IF(AO143="5",BH143,0)</f>
        <v>0</v>
      </c>
      <c r="Z143" s="233">
        <f>IF(AO143="1",BF143,0)</f>
        <v>0</v>
      </c>
      <c r="AA143" s="233">
        <f>IF(AO143="1",BG143,0)</f>
        <v>0</v>
      </c>
      <c r="AB143" s="233">
        <f>IF(AO143="7",BF143,0)</f>
        <v>0</v>
      </c>
      <c r="AC143" s="233">
        <f>IF(AO143="7",BG143,0)</f>
        <v>0</v>
      </c>
      <c r="AD143" s="233">
        <f>IF(AO143="2",BF143,0)</f>
        <v>0</v>
      </c>
      <c r="AE143" s="233">
        <f>IF(AO143="2",BG143,0)</f>
        <v>0</v>
      </c>
      <c r="AF143" s="233">
        <f>IF(AO143="0",BH143,0)</f>
        <v>0</v>
      </c>
      <c r="AG143" s="229" t="s">
        <v>154</v>
      </c>
      <c r="AH143" s="233">
        <f>IF(AL143=0,J143,0)</f>
        <v>0</v>
      </c>
      <c r="AI143" s="233">
        <f>IF(AL143=15,J143,0)</f>
        <v>0</v>
      </c>
      <c r="AJ143" s="233">
        <f>IF(AL143=21,J143,0)</f>
        <v>0</v>
      </c>
      <c r="AL143" s="233">
        <v>21</v>
      </c>
      <c r="AM143" s="233">
        <f>G143*0</f>
        <v>0</v>
      </c>
      <c r="AN143" s="233">
        <f>G143*(1-0)</f>
        <v>0</v>
      </c>
      <c r="AO143" s="234" t="s">
        <v>157</v>
      </c>
      <c r="AT143" s="233">
        <f>AU143+AV143</f>
        <v>0</v>
      </c>
      <c r="AU143" s="233">
        <f>F143*AM143</f>
        <v>0</v>
      </c>
      <c r="AV143" s="233">
        <f>F143*AN143</f>
        <v>0</v>
      </c>
      <c r="AW143" s="234" t="s">
        <v>381</v>
      </c>
      <c r="AX143" s="234" t="s">
        <v>375</v>
      </c>
      <c r="AY143" s="229" t="s">
        <v>164</v>
      </c>
      <c r="BA143" s="233">
        <f>AU143+AV143</f>
        <v>0</v>
      </c>
      <c r="BB143" s="233">
        <f>G143/(100-BC143)*100</f>
        <v>0</v>
      </c>
      <c r="BC143" s="233">
        <v>0</v>
      </c>
      <c r="BD143" s="233">
        <f>L143</f>
        <v>0</v>
      </c>
      <c r="BF143" s="233">
        <f>F143*AM143</f>
        <v>0</v>
      </c>
      <c r="BG143" s="233">
        <f>F143*AN143</f>
        <v>0</v>
      </c>
      <c r="BH143" s="233">
        <f>F143*G143</f>
        <v>0</v>
      </c>
      <c r="BI143" s="233"/>
      <c r="BJ143" s="233">
        <v>97</v>
      </c>
      <c r="BU143" s="233" t="e">
        <f>#REF!</f>
        <v>#REF!</v>
      </c>
      <c r="BV143" s="225" t="s">
        <v>379</v>
      </c>
    </row>
    <row r="144" spans="1:74" ht="27" customHeight="1" x14ac:dyDescent="0.3">
      <c r="A144" s="244"/>
      <c r="B144" s="245" t="s">
        <v>165</v>
      </c>
      <c r="C144" s="540" t="s">
        <v>1706</v>
      </c>
      <c r="D144" s="541"/>
      <c r="E144" s="541"/>
      <c r="F144" s="541"/>
      <c r="G144" s="541"/>
      <c r="H144" s="541"/>
      <c r="I144" s="541"/>
      <c r="J144" s="541"/>
      <c r="K144" s="541"/>
      <c r="L144" s="541"/>
      <c r="M144" s="542"/>
    </row>
    <row r="145" spans="1:74" ht="14.4" x14ac:dyDescent="0.3">
      <c r="A145" s="237" t="s">
        <v>154</v>
      </c>
      <c r="B145" s="260" t="s">
        <v>382</v>
      </c>
      <c r="C145" s="545" t="s">
        <v>383</v>
      </c>
      <c r="D145" s="546"/>
      <c r="E145" s="238" t="s">
        <v>114</v>
      </c>
      <c r="F145" s="238" t="s">
        <v>114</v>
      </c>
      <c r="G145" s="238" t="s">
        <v>114</v>
      </c>
      <c r="H145" s="261">
        <f>SUM(H146:H151)</f>
        <v>0</v>
      </c>
      <c r="I145" s="261">
        <f>SUM(I146:I151)</f>
        <v>0</v>
      </c>
      <c r="J145" s="261">
        <f>SUM(J146:J151)</f>
        <v>0</v>
      </c>
      <c r="K145" s="262" t="s">
        <v>154</v>
      </c>
      <c r="L145" s="261">
        <f>SUM(L146:L151)</f>
        <v>0</v>
      </c>
      <c r="M145" s="263" t="s">
        <v>154</v>
      </c>
      <c r="AG145" s="229" t="s">
        <v>154</v>
      </c>
      <c r="AQ145" s="222">
        <f>SUM(AH146:AH151)</f>
        <v>0</v>
      </c>
      <c r="AR145" s="222">
        <f>SUM(AI146:AI151)</f>
        <v>0</v>
      </c>
      <c r="AS145" s="222">
        <f>SUM(AJ146:AJ151)</f>
        <v>0</v>
      </c>
    </row>
    <row r="146" spans="1:74" ht="14.4" x14ac:dyDescent="0.3">
      <c r="A146" s="239" t="s">
        <v>390</v>
      </c>
      <c r="B146" s="223" t="s">
        <v>385</v>
      </c>
      <c r="C146" s="521" t="s">
        <v>386</v>
      </c>
      <c r="D146" s="519"/>
      <c r="E146" s="223" t="s">
        <v>380</v>
      </c>
      <c r="F146" s="233">
        <v>271.02999999999997</v>
      </c>
      <c r="G146" s="311">
        <v>0</v>
      </c>
      <c r="H146" s="233">
        <f>F146*AM146</f>
        <v>0</v>
      </c>
      <c r="I146" s="233">
        <f>F146*AN146</f>
        <v>0</v>
      </c>
      <c r="J146" s="233">
        <f>F146*G146</f>
        <v>0</v>
      </c>
      <c r="K146" s="233">
        <v>0</v>
      </c>
      <c r="L146" s="233">
        <f>F146*K146</f>
        <v>0</v>
      </c>
      <c r="M146" s="240" t="s">
        <v>472</v>
      </c>
      <c r="X146" s="233">
        <f>IF(AO146="5",BH146,0)</f>
        <v>0</v>
      </c>
      <c r="Z146" s="233">
        <f>IF(AO146="1",BF146,0)</f>
        <v>0</v>
      </c>
      <c r="AA146" s="233">
        <f>IF(AO146="1",BG146,0)</f>
        <v>0</v>
      </c>
      <c r="AB146" s="233">
        <f>IF(AO146="7",BF146,0)</f>
        <v>0</v>
      </c>
      <c r="AC146" s="233">
        <f>IF(AO146="7",BG146,0)</f>
        <v>0</v>
      </c>
      <c r="AD146" s="233">
        <f>IF(AO146="2",BF146,0)</f>
        <v>0</v>
      </c>
      <c r="AE146" s="233">
        <f>IF(AO146="2",BG146,0)</f>
        <v>0</v>
      </c>
      <c r="AF146" s="233">
        <f>IF(AO146="0",BH146,0)</f>
        <v>0</v>
      </c>
      <c r="AG146" s="229" t="s">
        <v>154</v>
      </c>
      <c r="AH146" s="233">
        <f>IF(AL146=0,J146,0)</f>
        <v>0</v>
      </c>
      <c r="AI146" s="233">
        <f>IF(AL146=15,J146,0)</f>
        <v>0</v>
      </c>
      <c r="AJ146" s="233">
        <f>IF(AL146=21,J146,0)</f>
        <v>0</v>
      </c>
      <c r="AL146" s="233">
        <v>21</v>
      </c>
      <c r="AM146" s="233">
        <f>G146*0</f>
        <v>0</v>
      </c>
      <c r="AN146" s="233">
        <f>G146*(1-0)</f>
        <v>0</v>
      </c>
      <c r="AO146" s="234" t="s">
        <v>177</v>
      </c>
      <c r="AT146" s="233">
        <f>AU146+AV146</f>
        <v>0</v>
      </c>
      <c r="AU146" s="233">
        <f>F146*AM146</f>
        <v>0</v>
      </c>
      <c r="AV146" s="233">
        <f>F146*AN146</f>
        <v>0</v>
      </c>
      <c r="AW146" s="234" t="s">
        <v>387</v>
      </c>
      <c r="AX146" s="234" t="s">
        <v>375</v>
      </c>
      <c r="AY146" s="229" t="s">
        <v>164</v>
      </c>
      <c r="BA146" s="233">
        <f>AU146+AV146</f>
        <v>0</v>
      </c>
      <c r="BB146" s="233">
        <f>G146/(100-BC146)*100</f>
        <v>0</v>
      </c>
      <c r="BC146" s="233">
        <v>0</v>
      </c>
      <c r="BD146" s="233">
        <f>L146</f>
        <v>0</v>
      </c>
      <c r="BF146" s="233">
        <f>F146*AM146</f>
        <v>0</v>
      </c>
      <c r="BG146" s="233">
        <f>F146*AN146</f>
        <v>0</v>
      </c>
      <c r="BH146" s="233">
        <f>F146*G146</f>
        <v>0</v>
      </c>
      <c r="BI146" s="233"/>
      <c r="BJ146" s="233"/>
      <c r="BU146" s="233" t="e">
        <f>#REF!</f>
        <v>#REF!</v>
      </c>
      <c r="BV146" s="225" t="s">
        <v>386</v>
      </c>
    </row>
    <row r="147" spans="1:74" ht="14.4" x14ac:dyDescent="0.3">
      <c r="A147" s="239" t="s">
        <v>393</v>
      </c>
      <c r="B147" s="223" t="s">
        <v>388</v>
      </c>
      <c r="C147" s="521" t="s">
        <v>389</v>
      </c>
      <c r="D147" s="519"/>
      <c r="E147" s="223" t="s">
        <v>380</v>
      </c>
      <c r="F147" s="233">
        <v>4675.2700000000004</v>
      </c>
      <c r="G147" s="311">
        <v>0</v>
      </c>
      <c r="H147" s="233">
        <f>F147*AM147</f>
        <v>0</v>
      </c>
      <c r="I147" s="233">
        <f>F147*AN147</f>
        <v>0</v>
      </c>
      <c r="J147" s="233">
        <f>F147*G147</f>
        <v>0</v>
      </c>
      <c r="K147" s="233">
        <v>0</v>
      </c>
      <c r="L147" s="233">
        <f>F147*K147</f>
        <v>0</v>
      </c>
      <c r="M147" s="240" t="s">
        <v>472</v>
      </c>
      <c r="X147" s="233">
        <f>IF(AO147="5",BH147,0)</f>
        <v>0</v>
      </c>
      <c r="Z147" s="233">
        <f>IF(AO147="1",BF147,0)</f>
        <v>0</v>
      </c>
      <c r="AA147" s="233">
        <f>IF(AO147="1",BG147,0)</f>
        <v>0</v>
      </c>
      <c r="AB147" s="233">
        <f>IF(AO147="7",BF147,0)</f>
        <v>0</v>
      </c>
      <c r="AC147" s="233">
        <f>IF(AO147="7",BG147,0)</f>
        <v>0</v>
      </c>
      <c r="AD147" s="233">
        <f>IF(AO147="2",BF147,0)</f>
        <v>0</v>
      </c>
      <c r="AE147" s="233">
        <f>IF(AO147="2",BG147,0)</f>
        <v>0</v>
      </c>
      <c r="AF147" s="233">
        <f>IF(AO147="0",BH147,0)</f>
        <v>0</v>
      </c>
      <c r="AG147" s="229" t="s">
        <v>154</v>
      </c>
      <c r="AH147" s="233">
        <f>IF(AL147=0,J147,0)</f>
        <v>0</v>
      </c>
      <c r="AI147" s="233">
        <f>IF(AL147=15,J147,0)</f>
        <v>0</v>
      </c>
      <c r="AJ147" s="233">
        <f>IF(AL147=21,J147,0)</f>
        <v>0</v>
      </c>
      <c r="AL147" s="233">
        <v>21</v>
      </c>
      <c r="AM147" s="233">
        <f>G147*0</f>
        <v>0</v>
      </c>
      <c r="AN147" s="233">
        <f>G147*(1-0)</f>
        <v>0</v>
      </c>
      <c r="AO147" s="234" t="s">
        <v>177</v>
      </c>
      <c r="AT147" s="233">
        <f>AU147+AV147</f>
        <v>0</v>
      </c>
      <c r="AU147" s="233">
        <f>F147*AM147</f>
        <v>0</v>
      </c>
      <c r="AV147" s="233">
        <f>F147*AN147</f>
        <v>0</v>
      </c>
      <c r="AW147" s="234" t="s">
        <v>387</v>
      </c>
      <c r="AX147" s="234" t="s">
        <v>375</v>
      </c>
      <c r="AY147" s="229" t="s">
        <v>164</v>
      </c>
      <c r="BA147" s="233">
        <f>AU147+AV147</f>
        <v>0</v>
      </c>
      <c r="BB147" s="233">
        <f>G147/(100-BC147)*100</f>
        <v>0</v>
      </c>
      <c r="BC147" s="233">
        <v>0</v>
      </c>
      <c r="BD147" s="233">
        <f>L147</f>
        <v>0</v>
      </c>
      <c r="BF147" s="233">
        <f>F147*AM147</f>
        <v>0</v>
      </c>
      <c r="BG147" s="233">
        <f>F147*AN147</f>
        <v>0</v>
      </c>
      <c r="BH147" s="233">
        <f>F147*G147</f>
        <v>0</v>
      </c>
      <c r="BI147" s="233"/>
      <c r="BJ147" s="233"/>
      <c r="BU147" s="233" t="e">
        <f>#REF!</f>
        <v>#REF!</v>
      </c>
      <c r="BV147" s="225" t="s">
        <v>389</v>
      </c>
    </row>
    <row r="148" spans="1:74" ht="40.5" customHeight="1" x14ac:dyDescent="0.3">
      <c r="A148" s="241"/>
      <c r="B148" s="242" t="s">
        <v>165</v>
      </c>
      <c r="C148" s="530" t="s">
        <v>1707</v>
      </c>
      <c r="D148" s="531"/>
      <c r="E148" s="531"/>
      <c r="F148" s="531"/>
      <c r="G148" s="531"/>
      <c r="H148" s="531"/>
      <c r="I148" s="531"/>
      <c r="J148" s="531"/>
      <c r="K148" s="531"/>
      <c r="L148" s="531"/>
      <c r="M148" s="532"/>
    </row>
    <row r="149" spans="1:74" ht="14.4" x14ac:dyDescent="0.3">
      <c r="A149" s="239" t="s">
        <v>396</v>
      </c>
      <c r="B149" s="223" t="s">
        <v>391</v>
      </c>
      <c r="C149" s="521" t="s">
        <v>392</v>
      </c>
      <c r="D149" s="519"/>
      <c r="E149" s="223" t="s">
        <v>380</v>
      </c>
      <c r="F149" s="233">
        <v>67.760000000000005</v>
      </c>
      <c r="G149" s="311">
        <v>0</v>
      </c>
      <c r="H149" s="233">
        <f>F149*AM149</f>
        <v>0</v>
      </c>
      <c r="I149" s="233">
        <f>F149*AN149</f>
        <v>0</v>
      </c>
      <c r="J149" s="233">
        <f>F149*G149</f>
        <v>0</v>
      </c>
      <c r="K149" s="233">
        <v>0</v>
      </c>
      <c r="L149" s="233">
        <f>F149*K149</f>
        <v>0</v>
      </c>
      <c r="M149" s="240" t="s">
        <v>472</v>
      </c>
      <c r="X149" s="233">
        <f>IF(AO149="5",BH149,0)</f>
        <v>0</v>
      </c>
      <c r="Z149" s="233">
        <f>IF(AO149="1",BF149,0)</f>
        <v>0</v>
      </c>
      <c r="AA149" s="233">
        <f>IF(AO149="1",BG149,0)</f>
        <v>0</v>
      </c>
      <c r="AB149" s="233">
        <f>IF(AO149="7",BF149,0)</f>
        <v>0</v>
      </c>
      <c r="AC149" s="233">
        <f>IF(AO149="7",BG149,0)</f>
        <v>0</v>
      </c>
      <c r="AD149" s="233">
        <f>IF(AO149="2",BF149,0)</f>
        <v>0</v>
      </c>
      <c r="AE149" s="233">
        <f>IF(AO149="2",BG149,0)</f>
        <v>0</v>
      </c>
      <c r="AF149" s="233">
        <f>IF(AO149="0",BH149,0)</f>
        <v>0</v>
      </c>
      <c r="AG149" s="229" t="s">
        <v>154</v>
      </c>
      <c r="AH149" s="233">
        <f>IF(AL149=0,J149,0)</f>
        <v>0</v>
      </c>
      <c r="AI149" s="233">
        <f>IF(AL149=15,J149,0)</f>
        <v>0</v>
      </c>
      <c r="AJ149" s="233">
        <f>IF(AL149=21,J149,0)</f>
        <v>0</v>
      </c>
      <c r="AL149" s="233">
        <v>21</v>
      </c>
      <c r="AM149" s="233">
        <f>G149*0</f>
        <v>0</v>
      </c>
      <c r="AN149" s="233">
        <f>G149*(1-0)</f>
        <v>0</v>
      </c>
      <c r="AO149" s="234" t="s">
        <v>177</v>
      </c>
      <c r="AT149" s="233">
        <f>AU149+AV149</f>
        <v>0</v>
      </c>
      <c r="AU149" s="233">
        <f>F149*AM149</f>
        <v>0</v>
      </c>
      <c r="AV149" s="233">
        <f>F149*AN149</f>
        <v>0</v>
      </c>
      <c r="AW149" s="234" t="s">
        <v>387</v>
      </c>
      <c r="AX149" s="234" t="s">
        <v>375</v>
      </c>
      <c r="AY149" s="229" t="s">
        <v>164</v>
      </c>
      <c r="BA149" s="233">
        <f>AU149+AV149</f>
        <v>0</v>
      </c>
      <c r="BB149" s="233">
        <f>G149/(100-BC149)*100</f>
        <v>0</v>
      </c>
      <c r="BC149" s="233">
        <v>0</v>
      </c>
      <c r="BD149" s="233">
        <f>L149</f>
        <v>0</v>
      </c>
      <c r="BF149" s="233">
        <f>F149*AM149</f>
        <v>0</v>
      </c>
      <c r="BG149" s="233">
        <f>F149*AN149</f>
        <v>0</v>
      </c>
      <c r="BH149" s="233">
        <f>F149*G149</f>
        <v>0</v>
      </c>
      <c r="BI149" s="233"/>
      <c r="BJ149" s="233"/>
      <c r="BU149" s="233" t="e">
        <f>#REF!</f>
        <v>#REF!</v>
      </c>
      <c r="BV149" s="225" t="s">
        <v>392</v>
      </c>
    </row>
    <row r="150" spans="1:74" ht="40.5" customHeight="1" x14ac:dyDescent="0.3">
      <c r="A150" s="241"/>
      <c r="B150" s="242" t="s">
        <v>165</v>
      </c>
      <c r="C150" s="530" t="s">
        <v>1708</v>
      </c>
      <c r="D150" s="531"/>
      <c r="E150" s="531"/>
      <c r="F150" s="531"/>
      <c r="G150" s="531"/>
      <c r="H150" s="531"/>
      <c r="I150" s="531"/>
      <c r="J150" s="531"/>
      <c r="K150" s="531"/>
      <c r="L150" s="531"/>
      <c r="M150" s="532"/>
    </row>
    <row r="151" spans="1:74" ht="26.4" x14ac:dyDescent="0.3">
      <c r="A151" s="239" t="s">
        <v>401</v>
      </c>
      <c r="B151" s="223" t="s">
        <v>385</v>
      </c>
      <c r="C151" s="521" t="s">
        <v>443</v>
      </c>
      <c r="D151" s="519"/>
      <c r="E151" s="223" t="s">
        <v>380</v>
      </c>
      <c r="F151" s="233">
        <v>518.51</v>
      </c>
      <c r="G151" s="311">
        <v>0</v>
      </c>
      <c r="H151" s="233">
        <f>F151*AM151</f>
        <v>0</v>
      </c>
      <c r="I151" s="233">
        <f>F151*AN151</f>
        <v>0</v>
      </c>
      <c r="J151" s="233">
        <f>F151*G151</f>
        <v>0</v>
      </c>
      <c r="K151" s="233">
        <v>0</v>
      </c>
      <c r="L151" s="233">
        <f>F151*K151</f>
        <v>0</v>
      </c>
      <c r="M151" s="240" t="s">
        <v>472</v>
      </c>
      <c r="X151" s="233">
        <f>IF(AO151="5",BH151,0)</f>
        <v>0</v>
      </c>
      <c r="Z151" s="233">
        <f>IF(AO151="1",BF151,0)</f>
        <v>0</v>
      </c>
      <c r="AA151" s="233">
        <f>IF(AO151="1",BG151,0)</f>
        <v>0</v>
      </c>
      <c r="AB151" s="233">
        <f>IF(AO151="7",BF151,0)</f>
        <v>0</v>
      </c>
      <c r="AC151" s="233">
        <f>IF(AO151="7",BG151,0)</f>
        <v>0</v>
      </c>
      <c r="AD151" s="233">
        <f>IF(AO151="2",BF151,0)</f>
        <v>0</v>
      </c>
      <c r="AE151" s="233">
        <f>IF(AO151="2",BG151,0)</f>
        <v>0</v>
      </c>
      <c r="AF151" s="233">
        <f>IF(AO151="0",BH151,0)</f>
        <v>0</v>
      </c>
      <c r="AG151" s="229" t="s">
        <v>154</v>
      </c>
      <c r="AH151" s="233">
        <f>IF(AL151=0,J151,0)</f>
        <v>0</v>
      </c>
      <c r="AI151" s="233">
        <f>IF(AL151=15,J151,0)</f>
        <v>0</v>
      </c>
      <c r="AJ151" s="233">
        <f>IF(AL151=21,J151,0)</f>
        <v>0</v>
      </c>
      <c r="AL151" s="233">
        <v>21</v>
      </c>
      <c r="AM151" s="233">
        <f>G151*0</f>
        <v>0</v>
      </c>
      <c r="AN151" s="233">
        <f>G151*(1-0)</f>
        <v>0</v>
      </c>
      <c r="AO151" s="234" t="s">
        <v>177</v>
      </c>
      <c r="AT151" s="233">
        <f>AU151+AV151</f>
        <v>0</v>
      </c>
      <c r="AU151" s="233">
        <f>F151*AM151</f>
        <v>0</v>
      </c>
      <c r="AV151" s="233">
        <f>F151*AN151</f>
        <v>0</v>
      </c>
      <c r="AW151" s="234" t="s">
        <v>387</v>
      </c>
      <c r="AX151" s="234" t="s">
        <v>375</v>
      </c>
      <c r="AY151" s="229" t="s">
        <v>164</v>
      </c>
      <c r="BA151" s="233">
        <f>AU151+AV151</f>
        <v>0</v>
      </c>
      <c r="BB151" s="233">
        <f>G151/(100-BC151)*100</f>
        <v>0</v>
      </c>
      <c r="BC151" s="233">
        <v>0</v>
      </c>
      <c r="BD151" s="233">
        <f>L151</f>
        <v>0</v>
      </c>
      <c r="BF151" s="233">
        <f>F151*AM151</f>
        <v>0</v>
      </c>
      <c r="BG151" s="233">
        <f>F151*AN151</f>
        <v>0</v>
      </c>
      <c r="BH151" s="233">
        <f>F151*G151</f>
        <v>0</v>
      </c>
      <c r="BI151" s="233"/>
      <c r="BJ151" s="233"/>
      <c r="BU151" s="233" t="e">
        <f>#REF!</f>
        <v>#REF!</v>
      </c>
      <c r="BV151" s="225" t="s">
        <v>443</v>
      </c>
    </row>
    <row r="152" spans="1:74" ht="14.4" x14ac:dyDescent="0.3">
      <c r="A152" s="239" t="s">
        <v>154</v>
      </c>
      <c r="B152" s="224" t="s">
        <v>399</v>
      </c>
      <c r="C152" s="526" t="s">
        <v>400</v>
      </c>
      <c r="D152" s="527"/>
      <c r="E152" s="223" t="s">
        <v>114</v>
      </c>
      <c r="F152" s="223" t="s">
        <v>114</v>
      </c>
      <c r="G152" s="223" t="s">
        <v>114</v>
      </c>
      <c r="H152" s="235">
        <f>SUM(H153:H155)</f>
        <v>0</v>
      </c>
      <c r="I152" s="235">
        <f>SUM(I153:I155)</f>
        <v>0</v>
      </c>
      <c r="J152" s="235">
        <f>SUM(J153:J155)</f>
        <v>0</v>
      </c>
      <c r="K152" s="230" t="s">
        <v>154</v>
      </c>
      <c r="L152" s="235">
        <f>SUM(L153:L155)</f>
        <v>0</v>
      </c>
      <c r="M152" s="243" t="s">
        <v>154</v>
      </c>
      <c r="AG152" s="229" t="s">
        <v>154</v>
      </c>
      <c r="AQ152" s="222">
        <f>SUM(AH153:AH155)</f>
        <v>0</v>
      </c>
      <c r="AR152" s="222">
        <f>SUM(AI153:AI155)</f>
        <v>0</v>
      </c>
      <c r="AS152" s="222">
        <f>SUM(AJ153:AJ155)</f>
        <v>0</v>
      </c>
    </row>
    <row r="153" spans="1:74" ht="14.4" x14ac:dyDescent="0.3">
      <c r="A153" s="239" t="s">
        <v>405</v>
      </c>
      <c r="B153" s="223" t="s">
        <v>402</v>
      </c>
      <c r="C153" s="521" t="s">
        <v>403</v>
      </c>
      <c r="D153" s="519"/>
      <c r="E153" s="223" t="s">
        <v>380</v>
      </c>
      <c r="F153" s="233">
        <v>1.1299999999999999</v>
      </c>
      <c r="G153" s="311">
        <v>0</v>
      </c>
      <c r="H153" s="233">
        <f>F153*AM153</f>
        <v>0</v>
      </c>
      <c r="I153" s="233">
        <f>F153*AN153</f>
        <v>0</v>
      </c>
      <c r="J153" s="233">
        <f>F153*G153</f>
        <v>0</v>
      </c>
      <c r="K153" s="233">
        <v>0</v>
      </c>
      <c r="L153" s="233">
        <f>F153*K153</f>
        <v>0</v>
      </c>
      <c r="M153" s="240" t="s">
        <v>472</v>
      </c>
      <c r="X153" s="233">
        <f>IF(AO153="5",BH153,0)</f>
        <v>0</v>
      </c>
      <c r="Z153" s="233">
        <f>IF(AO153="1",BF153,0)</f>
        <v>0</v>
      </c>
      <c r="AA153" s="233">
        <f>IF(AO153="1",BG153,0)</f>
        <v>0</v>
      </c>
      <c r="AB153" s="233">
        <f>IF(AO153="7",BF153,0)</f>
        <v>0</v>
      </c>
      <c r="AC153" s="233">
        <f>IF(AO153="7",BG153,0)</f>
        <v>0</v>
      </c>
      <c r="AD153" s="233">
        <f>IF(AO153="2",BF153,0)</f>
        <v>0</v>
      </c>
      <c r="AE153" s="233">
        <f>IF(AO153="2",BG153,0)</f>
        <v>0</v>
      </c>
      <c r="AF153" s="233">
        <f>IF(AO153="0",BH153,0)</f>
        <v>0</v>
      </c>
      <c r="AG153" s="229" t="s">
        <v>154</v>
      </c>
      <c r="AH153" s="233">
        <f>IF(AL153=0,J153,0)</f>
        <v>0</v>
      </c>
      <c r="AI153" s="233">
        <f>IF(AL153=15,J153,0)</f>
        <v>0</v>
      </c>
      <c r="AJ153" s="233">
        <f>IF(AL153=21,J153,0)</f>
        <v>0</v>
      </c>
      <c r="AL153" s="233">
        <v>21</v>
      </c>
      <c r="AM153" s="233">
        <f>G153*0</f>
        <v>0</v>
      </c>
      <c r="AN153" s="233">
        <f>G153*(1-0)</f>
        <v>0</v>
      </c>
      <c r="AO153" s="234" t="s">
        <v>177</v>
      </c>
      <c r="AT153" s="233">
        <f>AU153+AV153</f>
        <v>0</v>
      </c>
      <c r="AU153" s="233">
        <f>F153*AM153</f>
        <v>0</v>
      </c>
      <c r="AV153" s="233">
        <f>F153*AN153</f>
        <v>0</v>
      </c>
      <c r="AW153" s="234" t="s">
        <v>404</v>
      </c>
      <c r="AX153" s="234" t="s">
        <v>375</v>
      </c>
      <c r="AY153" s="229" t="s">
        <v>164</v>
      </c>
      <c r="BA153" s="233">
        <f>AU153+AV153</f>
        <v>0</v>
      </c>
      <c r="BB153" s="233">
        <f>G153/(100-BC153)*100</f>
        <v>0</v>
      </c>
      <c r="BC153" s="233">
        <v>0</v>
      </c>
      <c r="BD153" s="233">
        <f>L153</f>
        <v>0</v>
      </c>
      <c r="BF153" s="233">
        <f>F153*AM153</f>
        <v>0</v>
      </c>
      <c r="BG153" s="233">
        <f>F153*AN153</f>
        <v>0</v>
      </c>
      <c r="BH153" s="233">
        <f>F153*G153</f>
        <v>0</v>
      </c>
      <c r="BI153" s="233"/>
      <c r="BJ153" s="233"/>
      <c r="BU153" s="233" t="e">
        <f>#REF!</f>
        <v>#REF!</v>
      </c>
      <c r="BV153" s="225" t="s">
        <v>403</v>
      </c>
    </row>
    <row r="154" spans="1:74" ht="14.4" x14ac:dyDescent="0.3">
      <c r="A154" s="239" t="s">
        <v>408</v>
      </c>
      <c r="B154" s="223" t="s">
        <v>406</v>
      </c>
      <c r="C154" s="521" t="s">
        <v>407</v>
      </c>
      <c r="D154" s="519"/>
      <c r="E154" s="223" t="s">
        <v>380</v>
      </c>
      <c r="F154" s="233">
        <v>173.24</v>
      </c>
      <c r="G154" s="311">
        <v>0</v>
      </c>
      <c r="H154" s="233">
        <f>F154*AM154</f>
        <v>0</v>
      </c>
      <c r="I154" s="233">
        <f>F154*AN154</f>
        <v>0</v>
      </c>
      <c r="J154" s="233">
        <f>F154*G154</f>
        <v>0</v>
      </c>
      <c r="K154" s="233">
        <v>0</v>
      </c>
      <c r="L154" s="233">
        <f>F154*K154</f>
        <v>0</v>
      </c>
      <c r="M154" s="240" t="s">
        <v>472</v>
      </c>
      <c r="X154" s="233">
        <f>IF(AO154="5",BH154,0)</f>
        <v>0</v>
      </c>
      <c r="Z154" s="233">
        <f>IF(AO154="1",BF154,0)</f>
        <v>0</v>
      </c>
      <c r="AA154" s="233">
        <f>IF(AO154="1",BG154,0)</f>
        <v>0</v>
      </c>
      <c r="AB154" s="233">
        <f>IF(AO154="7",BF154,0)</f>
        <v>0</v>
      </c>
      <c r="AC154" s="233">
        <f>IF(AO154="7",BG154,0)</f>
        <v>0</v>
      </c>
      <c r="AD154" s="233">
        <f>IF(AO154="2",BF154,0)</f>
        <v>0</v>
      </c>
      <c r="AE154" s="233">
        <f>IF(AO154="2",BG154,0)</f>
        <v>0</v>
      </c>
      <c r="AF154" s="233">
        <f>IF(AO154="0",BH154,0)</f>
        <v>0</v>
      </c>
      <c r="AG154" s="229" t="s">
        <v>154</v>
      </c>
      <c r="AH154" s="233">
        <f>IF(AL154=0,J154,0)</f>
        <v>0</v>
      </c>
      <c r="AI154" s="233">
        <f>IF(AL154=15,J154,0)</f>
        <v>0</v>
      </c>
      <c r="AJ154" s="233">
        <f>IF(AL154=21,J154,0)</f>
        <v>0</v>
      </c>
      <c r="AL154" s="233">
        <v>21</v>
      </c>
      <c r="AM154" s="233">
        <f>G154*0</f>
        <v>0</v>
      </c>
      <c r="AN154" s="233">
        <f>G154*(1-0)</f>
        <v>0</v>
      </c>
      <c r="AO154" s="234" t="s">
        <v>177</v>
      </c>
      <c r="AT154" s="233">
        <f>AU154+AV154</f>
        <v>0</v>
      </c>
      <c r="AU154" s="233">
        <f>F154*AM154</f>
        <v>0</v>
      </c>
      <c r="AV154" s="233">
        <f>F154*AN154</f>
        <v>0</v>
      </c>
      <c r="AW154" s="234" t="s">
        <v>404</v>
      </c>
      <c r="AX154" s="234" t="s">
        <v>375</v>
      </c>
      <c r="AY154" s="229" t="s">
        <v>164</v>
      </c>
      <c r="BA154" s="233">
        <f>AU154+AV154</f>
        <v>0</v>
      </c>
      <c r="BB154" s="233">
        <f>G154/(100-BC154)*100</f>
        <v>0</v>
      </c>
      <c r="BC154" s="233">
        <v>0</v>
      </c>
      <c r="BD154" s="233">
        <f>L154</f>
        <v>0</v>
      </c>
      <c r="BF154" s="233">
        <f>F154*AM154</f>
        <v>0</v>
      </c>
      <c r="BG154" s="233">
        <f>F154*AN154</f>
        <v>0</v>
      </c>
      <c r="BH154" s="233">
        <f>F154*G154</f>
        <v>0</v>
      </c>
      <c r="BI154" s="233"/>
      <c r="BJ154" s="233"/>
      <c r="BU154" s="233" t="e">
        <f>#REF!</f>
        <v>#REF!</v>
      </c>
      <c r="BV154" s="225" t="s">
        <v>407</v>
      </c>
    </row>
    <row r="155" spans="1:74" ht="14.4" x14ac:dyDescent="0.3">
      <c r="A155" s="239" t="s">
        <v>413</v>
      </c>
      <c r="B155" s="223" t="s">
        <v>409</v>
      </c>
      <c r="C155" s="521" t="s">
        <v>410</v>
      </c>
      <c r="D155" s="519"/>
      <c r="E155" s="223" t="s">
        <v>380</v>
      </c>
      <c r="F155" s="233">
        <v>11.24</v>
      </c>
      <c r="G155" s="311">
        <v>0</v>
      </c>
      <c r="H155" s="233">
        <f>F155*AM155</f>
        <v>0</v>
      </c>
      <c r="I155" s="233">
        <f>F155*AN155</f>
        <v>0</v>
      </c>
      <c r="J155" s="233">
        <f>F155*G155</f>
        <v>0</v>
      </c>
      <c r="K155" s="233">
        <v>0</v>
      </c>
      <c r="L155" s="233">
        <f>F155*K155</f>
        <v>0</v>
      </c>
      <c r="M155" s="240" t="s">
        <v>472</v>
      </c>
      <c r="X155" s="233">
        <f>IF(AO155="5",BH155,0)</f>
        <v>0</v>
      </c>
      <c r="Z155" s="233">
        <f>IF(AO155="1",BF155,0)</f>
        <v>0</v>
      </c>
      <c r="AA155" s="233">
        <f>IF(AO155="1",BG155,0)</f>
        <v>0</v>
      </c>
      <c r="AB155" s="233">
        <f>IF(AO155="7",BF155,0)</f>
        <v>0</v>
      </c>
      <c r="AC155" s="233">
        <f>IF(AO155="7",BG155,0)</f>
        <v>0</v>
      </c>
      <c r="AD155" s="233">
        <f>IF(AO155="2",BF155,0)</f>
        <v>0</v>
      </c>
      <c r="AE155" s="233">
        <f>IF(AO155="2",BG155,0)</f>
        <v>0</v>
      </c>
      <c r="AF155" s="233">
        <f>IF(AO155="0",BH155,0)</f>
        <v>0</v>
      </c>
      <c r="AG155" s="229" t="s">
        <v>154</v>
      </c>
      <c r="AH155" s="233">
        <f>IF(AL155=0,J155,0)</f>
        <v>0</v>
      </c>
      <c r="AI155" s="233">
        <f>IF(AL155=15,J155,0)</f>
        <v>0</v>
      </c>
      <c r="AJ155" s="233">
        <f>IF(AL155=21,J155,0)</f>
        <v>0</v>
      </c>
      <c r="AL155" s="233">
        <v>21</v>
      </c>
      <c r="AM155" s="233">
        <f>G155*0</f>
        <v>0</v>
      </c>
      <c r="AN155" s="233">
        <f>G155*(1-0)</f>
        <v>0</v>
      </c>
      <c r="AO155" s="234" t="s">
        <v>177</v>
      </c>
      <c r="AT155" s="233">
        <f>AU155+AV155</f>
        <v>0</v>
      </c>
      <c r="AU155" s="233">
        <f>F155*AM155</f>
        <v>0</v>
      </c>
      <c r="AV155" s="233">
        <f>F155*AN155</f>
        <v>0</v>
      </c>
      <c r="AW155" s="234" t="s">
        <v>404</v>
      </c>
      <c r="AX155" s="234" t="s">
        <v>375</v>
      </c>
      <c r="AY155" s="229" t="s">
        <v>164</v>
      </c>
      <c r="BA155" s="233">
        <f>AU155+AV155</f>
        <v>0</v>
      </c>
      <c r="BB155" s="233">
        <f>G155/(100-BC155)*100</f>
        <v>0</v>
      </c>
      <c r="BC155" s="233">
        <v>0</v>
      </c>
      <c r="BD155" s="233">
        <f>L155</f>
        <v>0</v>
      </c>
      <c r="BF155" s="233">
        <f>F155*AM155</f>
        <v>0</v>
      </c>
      <c r="BG155" s="233">
        <f>F155*AN155</f>
        <v>0</v>
      </c>
      <c r="BH155" s="233">
        <f>F155*G155</f>
        <v>0</v>
      </c>
      <c r="BI155" s="233"/>
      <c r="BJ155" s="233"/>
      <c r="BU155" s="233" t="e">
        <f>#REF!</f>
        <v>#REF!</v>
      </c>
      <c r="BV155" s="225" t="s">
        <v>410</v>
      </c>
    </row>
    <row r="156" spans="1:74" ht="14.4" x14ac:dyDescent="0.3">
      <c r="A156" s="239" t="s">
        <v>154</v>
      </c>
      <c r="B156" s="224" t="s">
        <v>1383</v>
      </c>
      <c r="C156" s="526" t="s">
        <v>449</v>
      </c>
      <c r="D156" s="527"/>
      <c r="E156" s="223" t="s">
        <v>114</v>
      </c>
      <c r="F156" s="223" t="s">
        <v>114</v>
      </c>
      <c r="G156" s="223" t="s">
        <v>114</v>
      </c>
      <c r="H156" s="235">
        <f>SUM(H157:H181)</f>
        <v>0</v>
      </c>
      <c r="I156" s="235">
        <f>SUM(I157:I181)</f>
        <v>0</v>
      </c>
      <c r="J156" s="235">
        <f>SUM(J157:J181)</f>
        <v>0</v>
      </c>
      <c r="K156" s="230" t="s">
        <v>154</v>
      </c>
      <c r="L156" s="235">
        <f>SUM(L157:L181)</f>
        <v>10.150118600000001</v>
      </c>
      <c r="M156" s="243" t="s">
        <v>154</v>
      </c>
      <c r="AG156" s="229" t="s">
        <v>154</v>
      </c>
      <c r="AQ156" s="222">
        <f>SUM(AH157:AH181)</f>
        <v>0</v>
      </c>
      <c r="AR156" s="222">
        <f>SUM(AI157:AI181)</f>
        <v>0</v>
      </c>
      <c r="AS156" s="222">
        <f>SUM(AJ157:AJ181)</f>
        <v>0</v>
      </c>
    </row>
    <row r="157" spans="1:74" ht="14.4" x14ac:dyDescent="0.3">
      <c r="A157" s="239" t="s">
        <v>419</v>
      </c>
      <c r="B157" s="223" t="s">
        <v>929</v>
      </c>
      <c r="C157" s="521" t="s">
        <v>930</v>
      </c>
      <c r="D157" s="519"/>
      <c r="E157" s="223" t="s">
        <v>365</v>
      </c>
      <c r="F157" s="233">
        <v>15.61</v>
      </c>
      <c r="G157" s="311">
        <v>0</v>
      </c>
      <c r="H157" s="233">
        <f>F157*AM157</f>
        <v>0</v>
      </c>
      <c r="I157" s="233">
        <f>F157*AN157</f>
        <v>0</v>
      </c>
      <c r="J157" s="233">
        <f>F157*G157</f>
        <v>0</v>
      </c>
      <c r="K157" s="233">
        <v>5.8200000000000002E-2</v>
      </c>
      <c r="L157" s="233">
        <f>F157*K157</f>
        <v>0.90850200000000003</v>
      </c>
      <c r="M157" s="240" t="s">
        <v>472</v>
      </c>
      <c r="X157" s="233">
        <f>IF(AO157="5",BH157,0)</f>
        <v>0</v>
      </c>
      <c r="Z157" s="233">
        <f>IF(AO157="1",BF157,0)</f>
        <v>0</v>
      </c>
      <c r="AA157" s="233">
        <f>IF(AO157="1",BG157,0)</f>
        <v>0</v>
      </c>
      <c r="AB157" s="233">
        <f>IF(AO157="7",BF157,0)</f>
        <v>0</v>
      </c>
      <c r="AC157" s="233">
        <f>IF(AO157="7",BG157,0)</f>
        <v>0</v>
      </c>
      <c r="AD157" s="233">
        <f>IF(AO157="2",BF157,0)</f>
        <v>0</v>
      </c>
      <c r="AE157" s="233">
        <f>IF(AO157="2",BG157,0)</f>
        <v>0</v>
      </c>
      <c r="AF157" s="233">
        <f>IF(AO157="0",BH157,0)</f>
        <v>0</v>
      </c>
      <c r="AG157" s="229" t="s">
        <v>154</v>
      </c>
      <c r="AH157" s="233">
        <f>IF(AL157=0,J157,0)</f>
        <v>0</v>
      </c>
      <c r="AI157" s="233">
        <f>IF(AL157=15,J157,0)</f>
        <v>0</v>
      </c>
      <c r="AJ157" s="233">
        <f>IF(AL157=21,J157,0)</f>
        <v>0</v>
      </c>
      <c r="AL157" s="233">
        <v>21</v>
      </c>
      <c r="AM157" s="233">
        <f>G157*1</f>
        <v>0</v>
      </c>
      <c r="AN157" s="233">
        <f>G157*(1-1)</f>
        <v>0</v>
      </c>
      <c r="AO157" s="234" t="s">
        <v>453</v>
      </c>
      <c r="AT157" s="233">
        <f>AU157+AV157</f>
        <v>0</v>
      </c>
      <c r="AU157" s="233">
        <f>F157*AM157</f>
        <v>0</v>
      </c>
      <c r="AV157" s="233">
        <f>F157*AN157</f>
        <v>0</v>
      </c>
      <c r="AW157" s="234" t="s">
        <v>454</v>
      </c>
      <c r="AX157" s="234" t="s">
        <v>455</v>
      </c>
      <c r="AY157" s="229" t="s">
        <v>164</v>
      </c>
      <c r="BA157" s="233">
        <f>AU157+AV157</f>
        <v>0</v>
      </c>
      <c r="BB157" s="233">
        <f>G157/(100-BC157)*100</f>
        <v>0</v>
      </c>
      <c r="BC157" s="233">
        <v>0</v>
      </c>
      <c r="BD157" s="233">
        <f>L157</f>
        <v>0.90850200000000003</v>
      </c>
      <c r="BF157" s="233">
        <f>F157*AM157</f>
        <v>0</v>
      </c>
      <c r="BG157" s="233">
        <f>F157*AN157</f>
        <v>0</v>
      </c>
      <c r="BH157" s="233">
        <f>F157*G157</f>
        <v>0</v>
      </c>
      <c r="BI157" s="233"/>
      <c r="BJ157" s="233"/>
      <c r="BU157" s="233" t="e">
        <f>#REF!</f>
        <v>#REF!</v>
      </c>
      <c r="BV157" s="225" t="s">
        <v>930</v>
      </c>
    </row>
    <row r="158" spans="1:74" ht="67.5" customHeight="1" x14ac:dyDescent="0.3">
      <c r="A158" s="241"/>
      <c r="B158" s="242" t="s">
        <v>165</v>
      </c>
      <c r="C158" s="530" t="s">
        <v>1709</v>
      </c>
      <c r="D158" s="531"/>
      <c r="E158" s="531"/>
      <c r="F158" s="531"/>
      <c r="G158" s="531"/>
      <c r="H158" s="531"/>
      <c r="I158" s="531"/>
      <c r="J158" s="531"/>
      <c r="K158" s="531"/>
      <c r="L158" s="531"/>
      <c r="M158" s="532"/>
    </row>
    <row r="159" spans="1:74" ht="14.4" x14ac:dyDescent="0.3">
      <c r="A159" s="239" t="s">
        <v>548</v>
      </c>
      <c r="B159" s="223" t="s">
        <v>931</v>
      </c>
      <c r="C159" s="521" t="s">
        <v>932</v>
      </c>
      <c r="D159" s="519"/>
      <c r="E159" s="223" t="s">
        <v>365</v>
      </c>
      <c r="F159" s="233">
        <v>5.2</v>
      </c>
      <c r="G159" s="311">
        <v>0</v>
      </c>
      <c r="H159" s="233">
        <f>F159*AM159</f>
        <v>0</v>
      </c>
      <c r="I159" s="233">
        <f>F159*AN159</f>
        <v>0</v>
      </c>
      <c r="J159" s="233">
        <f>F159*G159</f>
        <v>0</v>
      </c>
      <c r="K159" s="233">
        <v>2.9100000000000001E-2</v>
      </c>
      <c r="L159" s="233">
        <f>F159*K159</f>
        <v>0.15132000000000001</v>
      </c>
      <c r="M159" s="240" t="s">
        <v>472</v>
      </c>
      <c r="X159" s="233">
        <f>IF(AO159="5",BH159,0)</f>
        <v>0</v>
      </c>
      <c r="Z159" s="233">
        <f>IF(AO159="1",BF159,0)</f>
        <v>0</v>
      </c>
      <c r="AA159" s="233">
        <f>IF(AO159="1",BG159,0)</f>
        <v>0</v>
      </c>
      <c r="AB159" s="233">
        <f>IF(AO159="7",BF159,0)</f>
        <v>0</v>
      </c>
      <c r="AC159" s="233">
        <f>IF(AO159="7",BG159,0)</f>
        <v>0</v>
      </c>
      <c r="AD159" s="233">
        <f>IF(AO159="2",BF159,0)</f>
        <v>0</v>
      </c>
      <c r="AE159" s="233">
        <f>IF(AO159="2",BG159,0)</f>
        <v>0</v>
      </c>
      <c r="AF159" s="233">
        <f>IF(AO159="0",BH159,0)</f>
        <v>0</v>
      </c>
      <c r="AG159" s="229" t="s">
        <v>154</v>
      </c>
      <c r="AH159" s="233">
        <f>IF(AL159=0,J159,0)</f>
        <v>0</v>
      </c>
      <c r="AI159" s="233">
        <f>IF(AL159=15,J159,0)</f>
        <v>0</v>
      </c>
      <c r="AJ159" s="233">
        <f>IF(AL159=21,J159,0)</f>
        <v>0</v>
      </c>
      <c r="AL159" s="233">
        <v>21</v>
      </c>
      <c r="AM159" s="233">
        <f>G159*1</f>
        <v>0</v>
      </c>
      <c r="AN159" s="233">
        <f>G159*(1-1)</f>
        <v>0</v>
      </c>
      <c r="AO159" s="234" t="s">
        <v>453</v>
      </c>
      <c r="AT159" s="233">
        <f>AU159+AV159</f>
        <v>0</v>
      </c>
      <c r="AU159" s="233">
        <f>F159*AM159</f>
        <v>0</v>
      </c>
      <c r="AV159" s="233">
        <f>F159*AN159</f>
        <v>0</v>
      </c>
      <c r="AW159" s="234" t="s">
        <v>454</v>
      </c>
      <c r="AX159" s="234" t="s">
        <v>455</v>
      </c>
      <c r="AY159" s="229" t="s">
        <v>164</v>
      </c>
      <c r="BA159" s="233">
        <f>AU159+AV159</f>
        <v>0</v>
      </c>
      <c r="BB159" s="233">
        <f>G159/(100-BC159)*100</f>
        <v>0</v>
      </c>
      <c r="BC159" s="233">
        <v>0</v>
      </c>
      <c r="BD159" s="233">
        <f>L159</f>
        <v>0.15132000000000001</v>
      </c>
      <c r="BF159" s="233">
        <f>F159*AM159</f>
        <v>0</v>
      </c>
      <c r="BG159" s="233">
        <f>F159*AN159</f>
        <v>0</v>
      </c>
      <c r="BH159" s="233">
        <f>F159*G159</f>
        <v>0</v>
      </c>
      <c r="BI159" s="233"/>
      <c r="BJ159" s="233"/>
      <c r="BU159" s="233" t="e">
        <f>#REF!</f>
        <v>#REF!</v>
      </c>
      <c r="BV159" s="225" t="s">
        <v>932</v>
      </c>
    </row>
    <row r="160" spans="1:74" ht="67.5" customHeight="1" x14ac:dyDescent="0.3">
      <c r="A160" s="241"/>
      <c r="B160" s="242" t="s">
        <v>165</v>
      </c>
      <c r="C160" s="530" t="s">
        <v>1710</v>
      </c>
      <c r="D160" s="531"/>
      <c r="E160" s="531"/>
      <c r="F160" s="531"/>
      <c r="G160" s="531"/>
      <c r="H160" s="531"/>
      <c r="I160" s="531"/>
      <c r="J160" s="531"/>
      <c r="K160" s="531"/>
      <c r="L160" s="531"/>
      <c r="M160" s="532"/>
    </row>
    <row r="161" spans="1:74" ht="14.4" x14ac:dyDescent="0.3">
      <c r="A161" s="239" t="s">
        <v>551</v>
      </c>
      <c r="B161" s="223" t="s">
        <v>933</v>
      </c>
      <c r="C161" s="521" t="s">
        <v>934</v>
      </c>
      <c r="D161" s="519"/>
      <c r="E161" s="223" t="s">
        <v>365</v>
      </c>
      <c r="F161" s="233">
        <v>5</v>
      </c>
      <c r="G161" s="311">
        <v>0</v>
      </c>
      <c r="H161" s="233">
        <f>F161*AM161</f>
        <v>0</v>
      </c>
      <c r="I161" s="233">
        <f>F161*AN161</f>
        <v>0</v>
      </c>
      <c r="J161" s="233">
        <f>F161*G161</f>
        <v>0</v>
      </c>
      <c r="K161" s="233">
        <v>3.6700000000000001E-3</v>
      </c>
      <c r="L161" s="233">
        <f>F161*K161</f>
        <v>1.8350000000000002E-2</v>
      </c>
      <c r="M161" s="240" t="s">
        <v>472</v>
      </c>
      <c r="X161" s="233">
        <f>IF(AO161="5",BH161,0)</f>
        <v>0</v>
      </c>
      <c r="Z161" s="233">
        <f>IF(AO161="1",BF161,0)</f>
        <v>0</v>
      </c>
      <c r="AA161" s="233">
        <f>IF(AO161="1",BG161,0)</f>
        <v>0</v>
      </c>
      <c r="AB161" s="233">
        <f>IF(AO161="7",BF161,0)</f>
        <v>0</v>
      </c>
      <c r="AC161" s="233">
        <f>IF(AO161="7",BG161,0)</f>
        <v>0</v>
      </c>
      <c r="AD161" s="233">
        <f>IF(AO161="2",BF161,0)</f>
        <v>0</v>
      </c>
      <c r="AE161" s="233">
        <f>IF(AO161="2",BG161,0)</f>
        <v>0</v>
      </c>
      <c r="AF161" s="233">
        <f>IF(AO161="0",BH161,0)</f>
        <v>0</v>
      </c>
      <c r="AG161" s="229" t="s">
        <v>154</v>
      </c>
      <c r="AH161" s="233">
        <f>IF(AL161=0,J161,0)</f>
        <v>0</v>
      </c>
      <c r="AI161" s="233">
        <f>IF(AL161=15,J161,0)</f>
        <v>0</v>
      </c>
      <c r="AJ161" s="233">
        <f>IF(AL161=21,J161,0)</f>
        <v>0</v>
      </c>
      <c r="AL161" s="233">
        <v>21</v>
      </c>
      <c r="AM161" s="233">
        <f>G161*1</f>
        <v>0</v>
      </c>
      <c r="AN161" s="233">
        <f>G161*(1-1)</f>
        <v>0</v>
      </c>
      <c r="AO161" s="234" t="s">
        <v>453</v>
      </c>
      <c r="AT161" s="233">
        <f>AU161+AV161</f>
        <v>0</v>
      </c>
      <c r="AU161" s="233">
        <f>F161*AM161</f>
        <v>0</v>
      </c>
      <c r="AV161" s="233">
        <f>F161*AN161</f>
        <v>0</v>
      </c>
      <c r="AW161" s="234" t="s">
        <v>454</v>
      </c>
      <c r="AX161" s="234" t="s">
        <v>455</v>
      </c>
      <c r="AY161" s="229" t="s">
        <v>164</v>
      </c>
      <c r="BA161" s="233">
        <f>AU161+AV161</f>
        <v>0</v>
      </c>
      <c r="BB161" s="233">
        <f>G161/(100-BC161)*100</f>
        <v>0</v>
      </c>
      <c r="BC161" s="233">
        <v>0</v>
      </c>
      <c r="BD161" s="233">
        <f>L161</f>
        <v>1.8350000000000002E-2</v>
      </c>
      <c r="BF161" s="233">
        <f>F161*AM161</f>
        <v>0</v>
      </c>
      <c r="BG161" s="233">
        <f>F161*AN161</f>
        <v>0</v>
      </c>
      <c r="BH161" s="233">
        <f>F161*G161</f>
        <v>0</v>
      </c>
      <c r="BI161" s="233"/>
      <c r="BJ161" s="233"/>
      <c r="BU161" s="233" t="e">
        <f>#REF!</f>
        <v>#REF!</v>
      </c>
      <c r="BV161" s="225" t="s">
        <v>934</v>
      </c>
    </row>
    <row r="162" spans="1:74" ht="40.5" customHeight="1" x14ac:dyDescent="0.3">
      <c r="A162" s="241"/>
      <c r="B162" s="242" t="s">
        <v>165</v>
      </c>
      <c r="C162" s="530" t="s">
        <v>1711</v>
      </c>
      <c r="D162" s="531"/>
      <c r="E162" s="531"/>
      <c r="F162" s="531"/>
      <c r="G162" s="531"/>
      <c r="H162" s="531"/>
      <c r="I162" s="531"/>
      <c r="J162" s="531"/>
      <c r="K162" s="531"/>
      <c r="L162" s="531"/>
      <c r="M162" s="532"/>
    </row>
    <row r="163" spans="1:74" ht="14.4" x14ac:dyDescent="0.3">
      <c r="A163" s="239" t="s">
        <v>555</v>
      </c>
      <c r="B163" s="223" t="s">
        <v>935</v>
      </c>
      <c r="C163" s="521" t="s">
        <v>936</v>
      </c>
      <c r="D163" s="519"/>
      <c r="E163" s="223" t="s">
        <v>365</v>
      </c>
      <c r="F163" s="233">
        <v>2.0299999999999998</v>
      </c>
      <c r="G163" s="311">
        <v>0</v>
      </c>
      <c r="H163" s="233">
        <f>F163*AM163</f>
        <v>0</v>
      </c>
      <c r="I163" s="233">
        <f>F163*AN163</f>
        <v>0</v>
      </c>
      <c r="J163" s="233">
        <f>F163*G163</f>
        <v>0</v>
      </c>
      <c r="K163" s="233">
        <v>2.65E-3</v>
      </c>
      <c r="L163" s="233">
        <f>F163*K163</f>
        <v>5.3794999999999997E-3</v>
      </c>
      <c r="M163" s="240" t="s">
        <v>472</v>
      </c>
      <c r="X163" s="233">
        <f>IF(AO163="5",BH163,0)</f>
        <v>0</v>
      </c>
      <c r="Z163" s="233">
        <f>IF(AO163="1",BF163,0)</f>
        <v>0</v>
      </c>
      <c r="AA163" s="233">
        <f>IF(AO163="1",BG163,0)</f>
        <v>0</v>
      </c>
      <c r="AB163" s="233">
        <f>IF(AO163="7",BF163,0)</f>
        <v>0</v>
      </c>
      <c r="AC163" s="233">
        <f>IF(AO163="7",BG163,0)</f>
        <v>0</v>
      </c>
      <c r="AD163" s="233">
        <f>IF(AO163="2",BF163,0)</f>
        <v>0</v>
      </c>
      <c r="AE163" s="233">
        <f>IF(AO163="2",BG163,0)</f>
        <v>0</v>
      </c>
      <c r="AF163" s="233">
        <f>IF(AO163="0",BH163,0)</f>
        <v>0</v>
      </c>
      <c r="AG163" s="229" t="s">
        <v>154</v>
      </c>
      <c r="AH163" s="233">
        <f>IF(AL163=0,J163,0)</f>
        <v>0</v>
      </c>
      <c r="AI163" s="233">
        <f>IF(AL163=15,J163,0)</f>
        <v>0</v>
      </c>
      <c r="AJ163" s="233">
        <f>IF(AL163=21,J163,0)</f>
        <v>0</v>
      </c>
      <c r="AL163" s="233">
        <v>21</v>
      </c>
      <c r="AM163" s="233">
        <f>G163*1</f>
        <v>0</v>
      </c>
      <c r="AN163" s="233">
        <f>G163*(1-1)</f>
        <v>0</v>
      </c>
      <c r="AO163" s="234" t="s">
        <v>453</v>
      </c>
      <c r="AT163" s="233">
        <f>AU163+AV163</f>
        <v>0</v>
      </c>
      <c r="AU163" s="233">
        <f>F163*AM163</f>
        <v>0</v>
      </c>
      <c r="AV163" s="233">
        <f>F163*AN163</f>
        <v>0</v>
      </c>
      <c r="AW163" s="234" t="s">
        <v>454</v>
      </c>
      <c r="AX163" s="234" t="s">
        <v>455</v>
      </c>
      <c r="AY163" s="229" t="s">
        <v>164</v>
      </c>
      <c r="BA163" s="233">
        <f>AU163+AV163</f>
        <v>0</v>
      </c>
      <c r="BB163" s="233">
        <f>G163/(100-BC163)*100</f>
        <v>0</v>
      </c>
      <c r="BC163" s="233">
        <v>0</v>
      </c>
      <c r="BD163" s="233">
        <f>L163</f>
        <v>5.3794999999999997E-3</v>
      </c>
      <c r="BF163" s="233">
        <f>F163*AM163</f>
        <v>0</v>
      </c>
      <c r="BG163" s="233">
        <f>F163*AN163</f>
        <v>0</v>
      </c>
      <c r="BH163" s="233">
        <f>F163*G163</f>
        <v>0</v>
      </c>
      <c r="BI163" s="233"/>
      <c r="BJ163" s="233"/>
      <c r="BU163" s="233" t="e">
        <f>#REF!</f>
        <v>#REF!</v>
      </c>
      <c r="BV163" s="225" t="s">
        <v>936</v>
      </c>
    </row>
    <row r="164" spans="1:74" ht="54" customHeight="1" x14ac:dyDescent="0.3">
      <c r="A164" s="241"/>
      <c r="B164" s="242" t="s">
        <v>165</v>
      </c>
      <c r="C164" s="530" t="s">
        <v>1655</v>
      </c>
      <c r="D164" s="531"/>
      <c r="E164" s="531"/>
      <c r="F164" s="531"/>
      <c r="G164" s="531"/>
      <c r="H164" s="531"/>
      <c r="I164" s="531"/>
      <c r="J164" s="531"/>
      <c r="K164" s="531"/>
      <c r="L164" s="531"/>
      <c r="M164" s="532"/>
    </row>
    <row r="165" spans="1:74" ht="14.4" x14ac:dyDescent="0.3">
      <c r="A165" s="239" t="s">
        <v>559</v>
      </c>
      <c r="B165" s="223" t="s">
        <v>937</v>
      </c>
      <c r="C165" s="521" t="s">
        <v>938</v>
      </c>
      <c r="D165" s="519"/>
      <c r="E165" s="223" t="s">
        <v>365</v>
      </c>
      <c r="F165" s="233">
        <v>2.0299999999999998</v>
      </c>
      <c r="G165" s="311">
        <v>0</v>
      </c>
      <c r="H165" s="233">
        <f>F165*AM165</f>
        <v>0</v>
      </c>
      <c r="I165" s="233">
        <f>F165*AN165</f>
        <v>0</v>
      </c>
      <c r="J165" s="233">
        <f>F165*G165</f>
        <v>0</v>
      </c>
      <c r="K165" s="233">
        <v>2.2499999999999998E-3</v>
      </c>
      <c r="L165" s="233">
        <f>F165*K165</f>
        <v>4.5674999999999995E-3</v>
      </c>
      <c r="M165" s="240" t="s">
        <v>472</v>
      </c>
      <c r="X165" s="233">
        <f>IF(AO165="5",BH165,0)</f>
        <v>0</v>
      </c>
      <c r="Z165" s="233">
        <f>IF(AO165="1",BF165,0)</f>
        <v>0</v>
      </c>
      <c r="AA165" s="233">
        <f>IF(AO165="1",BG165,0)</f>
        <v>0</v>
      </c>
      <c r="AB165" s="233">
        <f>IF(AO165="7",BF165,0)</f>
        <v>0</v>
      </c>
      <c r="AC165" s="233">
        <f>IF(AO165="7",BG165,0)</f>
        <v>0</v>
      </c>
      <c r="AD165" s="233">
        <f>IF(AO165="2",BF165,0)</f>
        <v>0</v>
      </c>
      <c r="AE165" s="233">
        <f>IF(AO165="2",BG165,0)</f>
        <v>0</v>
      </c>
      <c r="AF165" s="233">
        <f>IF(AO165="0",BH165,0)</f>
        <v>0</v>
      </c>
      <c r="AG165" s="229" t="s">
        <v>154</v>
      </c>
      <c r="AH165" s="233">
        <f>IF(AL165=0,J165,0)</f>
        <v>0</v>
      </c>
      <c r="AI165" s="233">
        <f>IF(AL165=15,J165,0)</f>
        <v>0</v>
      </c>
      <c r="AJ165" s="233">
        <f>IF(AL165=21,J165,0)</f>
        <v>0</v>
      </c>
      <c r="AL165" s="233">
        <v>21</v>
      </c>
      <c r="AM165" s="233">
        <f>G165*1</f>
        <v>0</v>
      </c>
      <c r="AN165" s="233">
        <f>G165*(1-1)</f>
        <v>0</v>
      </c>
      <c r="AO165" s="234" t="s">
        <v>453</v>
      </c>
      <c r="AT165" s="233">
        <f>AU165+AV165</f>
        <v>0</v>
      </c>
      <c r="AU165" s="233">
        <f>F165*AM165</f>
        <v>0</v>
      </c>
      <c r="AV165" s="233">
        <f>F165*AN165</f>
        <v>0</v>
      </c>
      <c r="AW165" s="234" t="s">
        <v>454</v>
      </c>
      <c r="AX165" s="234" t="s">
        <v>455</v>
      </c>
      <c r="AY165" s="229" t="s">
        <v>164</v>
      </c>
      <c r="BA165" s="233">
        <f>AU165+AV165</f>
        <v>0</v>
      </c>
      <c r="BB165" s="233">
        <f>G165/(100-BC165)*100</f>
        <v>0</v>
      </c>
      <c r="BC165" s="233">
        <v>0</v>
      </c>
      <c r="BD165" s="233">
        <f>L165</f>
        <v>4.5674999999999995E-3</v>
      </c>
      <c r="BF165" s="233">
        <f>F165*AM165</f>
        <v>0</v>
      </c>
      <c r="BG165" s="233">
        <f>F165*AN165</f>
        <v>0</v>
      </c>
      <c r="BH165" s="233">
        <f>F165*G165</f>
        <v>0</v>
      </c>
      <c r="BI165" s="233"/>
      <c r="BJ165" s="233"/>
      <c r="BU165" s="233" t="e">
        <f>#REF!</f>
        <v>#REF!</v>
      </c>
      <c r="BV165" s="225" t="s">
        <v>938</v>
      </c>
    </row>
    <row r="166" spans="1:74" ht="54" customHeight="1" x14ac:dyDescent="0.3">
      <c r="A166" s="241"/>
      <c r="B166" s="242" t="s">
        <v>165</v>
      </c>
      <c r="C166" s="530" t="s">
        <v>1656</v>
      </c>
      <c r="D166" s="531"/>
      <c r="E166" s="531"/>
      <c r="F166" s="531"/>
      <c r="G166" s="531"/>
      <c r="H166" s="531"/>
      <c r="I166" s="531"/>
      <c r="J166" s="531"/>
      <c r="K166" s="531"/>
      <c r="L166" s="531"/>
      <c r="M166" s="532"/>
    </row>
    <row r="167" spans="1:74" ht="14.4" x14ac:dyDescent="0.3">
      <c r="A167" s="239" t="s">
        <v>562</v>
      </c>
      <c r="B167" s="223" t="s">
        <v>939</v>
      </c>
      <c r="C167" s="521" t="s">
        <v>940</v>
      </c>
      <c r="D167" s="519"/>
      <c r="E167" s="223" t="s">
        <v>365</v>
      </c>
      <c r="F167" s="233">
        <v>3.04</v>
      </c>
      <c r="G167" s="311">
        <v>0</v>
      </c>
      <c r="H167" s="233">
        <f>F167*AM167</f>
        <v>0</v>
      </c>
      <c r="I167" s="233">
        <f>F167*AN167</f>
        <v>0</v>
      </c>
      <c r="J167" s="233">
        <f>F167*G167</f>
        <v>0</v>
      </c>
      <c r="K167" s="233">
        <v>2E-3</v>
      </c>
      <c r="L167" s="233">
        <f>F167*K167</f>
        <v>6.0800000000000003E-3</v>
      </c>
      <c r="M167" s="240" t="s">
        <v>472</v>
      </c>
      <c r="X167" s="233">
        <f>IF(AO167="5",BH167,0)</f>
        <v>0</v>
      </c>
      <c r="Z167" s="233">
        <f>IF(AO167="1",BF167,0)</f>
        <v>0</v>
      </c>
      <c r="AA167" s="233">
        <f>IF(AO167="1",BG167,0)</f>
        <v>0</v>
      </c>
      <c r="AB167" s="233">
        <f>IF(AO167="7",BF167,0)</f>
        <v>0</v>
      </c>
      <c r="AC167" s="233">
        <f>IF(AO167="7",BG167,0)</f>
        <v>0</v>
      </c>
      <c r="AD167" s="233">
        <f>IF(AO167="2",BF167,0)</f>
        <v>0</v>
      </c>
      <c r="AE167" s="233">
        <f>IF(AO167="2",BG167,0)</f>
        <v>0</v>
      </c>
      <c r="AF167" s="233">
        <f>IF(AO167="0",BH167,0)</f>
        <v>0</v>
      </c>
      <c r="AG167" s="229" t="s">
        <v>154</v>
      </c>
      <c r="AH167" s="233">
        <f>IF(AL167=0,J167,0)</f>
        <v>0</v>
      </c>
      <c r="AI167" s="233">
        <f>IF(AL167=15,J167,0)</f>
        <v>0</v>
      </c>
      <c r="AJ167" s="233">
        <f>IF(AL167=21,J167,0)</f>
        <v>0</v>
      </c>
      <c r="AL167" s="233">
        <v>21</v>
      </c>
      <c r="AM167" s="233">
        <f>G167*1</f>
        <v>0</v>
      </c>
      <c r="AN167" s="233">
        <f>G167*(1-1)</f>
        <v>0</v>
      </c>
      <c r="AO167" s="234" t="s">
        <v>453</v>
      </c>
      <c r="AT167" s="233">
        <f>AU167+AV167</f>
        <v>0</v>
      </c>
      <c r="AU167" s="233">
        <f>F167*AM167</f>
        <v>0</v>
      </c>
      <c r="AV167" s="233">
        <f>F167*AN167</f>
        <v>0</v>
      </c>
      <c r="AW167" s="234" t="s">
        <v>454</v>
      </c>
      <c r="AX167" s="234" t="s">
        <v>455</v>
      </c>
      <c r="AY167" s="229" t="s">
        <v>164</v>
      </c>
      <c r="BA167" s="233">
        <f>AU167+AV167</f>
        <v>0</v>
      </c>
      <c r="BB167" s="233">
        <f>G167/(100-BC167)*100</f>
        <v>0</v>
      </c>
      <c r="BC167" s="233">
        <v>0</v>
      </c>
      <c r="BD167" s="233">
        <f>L167</f>
        <v>6.0800000000000003E-3</v>
      </c>
      <c r="BF167" s="233">
        <f>F167*AM167</f>
        <v>0</v>
      </c>
      <c r="BG167" s="233">
        <f>F167*AN167</f>
        <v>0</v>
      </c>
      <c r="BH167" s="233">
        <f>F167*G167</f>
        <v>0</v>
      </c>
      <c r="BI167" s="233"/>
      <c r="BJ167" s="233"/>
      <c r="BU167" s="233" t="e">
        <f>#REF!</f>
        <v>#REF!</v>
      </c>
      <c r="BV167" s="225" t="s">
        <v>940</v>
      </c>
    </row>
    <row r="168" spans="1:74" ht="54" customHeight="1" x14ac:dyDescent="0.3">
      <c r="A168" s="241"/>
      <c r="B168" s="242" t="s">
        <v>165</v>
      </c>
      <c r="C168" s="530" t="s">
        <v>1657</v>
      </c>
      <c r="D168" s="531"/>
      <c r="E168" s="531"/>
      <c r="F168" s="531"/>
      <c r="G168" s="531"/>
      <c r="H168" s="531"/>
      <c r="I168" s="531"/>
      <c r="J168" s="531"/>
      <c r="K168" s="531"/>
      <c r="L168" s="531"/>
      <c r="M168" s="532"/>
    </row>
    <row r="169" spans="1:74" ht="14.4" x14ac:dyDescent="0.3">
      <c r="A169" s="239" t="s">
        <v>566</v>
      </c>
      <c r="B169" s="223" t="s">
        <v>941</v>
      </c>
      <c r="C169" s="521" t="s">
        <v>942</v>
      </c>
      <c r="D169" s="519"/>
      <c r="E169" s="223" t="s">
        <v>365</v>
      </c>
      <c r="F169" s="233">
        <v>8.1199999999999992</v>
      </c>
      <c r="G169" s="311">
        <v>0</v>
      </c>
      <c r="H169" s="233">
        <f>F169*AM169</f>
        <v>0</v>
      </c>
      <c r="I169" s="233">
        <f>F169*AN169</f>
        <v>0</v>
      </c>
      <c r="J169" s="233">
        <f>F169*G169</f>
        <v>0</v>
      </c>
      <c r="K169" s="233">
        <v>2.33E-3</v>
      </c>
      <c r="L169" s="233">
        <f>F169*K169</f>
        <v>1.8919599999999998E-2</v>
      </c>
      <c r="M169" s="240" t="s">
        <v>472</v>
      </c>
      <c r="X169" s="233">
        <f>IF(AO169="5",BH169,0)</f>
        <v>0</v>
      </c>
      <c r="Z169" s="233">
        <f>IF(AO169="1",BF169,0)</f>
        <v>0</v>
      </c>
      <c r="AA169" s="233">
        <f>IF(AO169="1",BG169,0)</f>
        <v>0</v>
      </c>
      <c r="AB169" s="233">
        <f>IF(AO169="7",BF169,0)</f>
        <v>0</v>
      </c>
      <c r="AC169" s="233">
        <f>IF(AO169="7",BG169,0)</f>
        <v>0</v>
      </c>
      <c r="AD169" s="233">
        <f>IF(AO169="2",BF169,0)</f>
        <v>0</v>
      </c>
      <c r="AE169" s="233">
        <f>IF(AO169="2",BG169,0)</f>
        <v>0</v>
      </c>
      <c r="AF169" s="233">
        <f>IF(AO169="0",BH169,0)</f>
        <v>0</v>
      </c>
      <c r="AG169" s="229" t="s">
        <v>154</v>
      </c>
      <c r="AH169" s="233">
        <f>IF(AL169=0,J169,0)</f>
        <v>0</v>
      </c>
      <c r="AI169" s="233">
        <f>IF(AL169=15,J169,0)</f>
        <v>0</v>
      </c>
      <c r="AJ169" s="233">
        <f>IF(AL169=21,J169,0)</f>
        <v>0</v>
      </c>
      <c r="AL169" s="233">
        <v>21</v>
      </c>
      <c r="AM169" s="233">
        <f>G169*1</f>
        <v>0</v>
      </c>
      <c r="AN169" s="233">
        <f>G169*(1-1)</f>
        <v>0</v>
      </c>
      <c r="AO169" s="234" t="s">
        <v>453</v>
      </c>
      <c r="AT169" s="233">
        <f>AU169+AV169</f>
        <v>0</v>
      </c>
      <c r="AU169" s="233">
        <f>F169*AM169</f>
        <v>0</v>
      </c>
      <c r="AV169" s="233">
        <f>F169*AN169</f>
        <v>0</v>
      </c>
      <c r="AW169" s="234" t="s">
        <v>454</v>
      </c>
      <c r="AX169" s="234" t="s">
        <v>455</v>
      </c>
      <c r="AY169" s="229" t="s">
        <v>164</v>
      </c>
      <c r="BA169" s="233">
        <f>AU169+AV169</f>
        <v>0</v>
      </c>
      <c r="BB169" s="233">
        <f>G169/(100-BC169)*100</f>
        <v>0</v>
      </c>
      <c r="BC169" s="233">
        <v>0</v>
      </c>
      <c r="BD169" s="233">
        <f>L169</f>
        <v>1.8919599999999998E-2</v>
      </c>
      <c r="BF169" s="233">
        <f>F169*AM169</f>
        <v>0</v>
      </c>
      <c r="BG169" s="233">
        <f>F169*AN169</f>
        <v>0</v>
      </c>
      <c r="BH169" s="233">
        <f>F169*G169</f>
        <v>0</v>
      </c>
      <c r="BI169" s="233"/>
      <c r="BJ169" s="233"/>
      <c r="BU169" s="233" t="e">
        <f>#REF!</f>
        <v>#REF!</v>
      </c>
      <c r="BV169" s="225" t="s">
        <v>942</v>
      </c>
    </row>
    <row r="170" spans="1:74" ht="54" customHeight="1" x14ac:dyDescent="0.3">
      <c r="A170" s="244"/>
      <c r="B170" s="245" t="s">
        <v>165</v>
      </c>
      <c r="C170" s="540" t="s">
        <v>1658</v>
      </c>
      <c r="D170" s="541"/>
      <c r="E170" s="541"/>
      <c r="F170" s="541"/>
      <c r="G170" s="541"/>
      <c r="H170" s="541"/>
      <c r="I170" s="541"/>
      <c r="J170" s="541"/>
      <c r="K170" s="541"/>
      <c r="L170" s="541"/>
      <c r="M170" s="542"/>
    </row>
    <row r="171" spans="1:74" ht="14.4" x14ac:dyDescent="0.3">
      <c r="A171" s="237" t="s">
        <v>570</v>
      </c>
      <c r="B171" s="238" t="s">
        <v>972</v>
      </c>
      <c r="C171" s="543" t="s">
        <v>973</v>
      </c>
      <c r="D171" s="544"/>
      <c r="E171" s="238" t="s">
        <v>365</v>
      </c>
      <c r="F171" s="258">
        <v>2</v>
      </c>
      <c r="G171" s="311">
        <v>0</v>
      </c>
      <c r="H171" s="258">
        <f t="shared" ref="H171:H179" si="0">F171*AM171</f>
        <v>0</v>
      </c>
      <c r="I171" s="258">
        <f t="shared" ref="I171:I179" si="1">F171*AN171</f>
        <v>0</v>
      </c>
      <c r="J171" s="258">
        <f t="shared" ref="J171:J179" si="2">F171*G171</f>
        <v>0</v>
      </c>
      <c r="K171" s="258">
        <v>0.08</v>
      </c>
      <c r="L171" s="258">
        <f t="shared" ref="L171:L179" si="3">F171*K171</f>
        <v>0.16</v>
      </c>
      <c r="M171" s="259" t="s">
        <v>472</v>
      </c>
      <c r="X171" s="233">
        <f t="shared" ref="X171:X179" si="4">IF(AO171="5",BH171,0)</f>
        <v>0</v>
      </c>
      <c r="Z171" s="233">
        <f t="shared" ref="Z171:Z179" si="5">IF(AO171="1",BF171,0)</f>
        <v>0</v>
      </c>
      <c r="AA171" s="233">
        <f t="shared" ref="AA171:AA179" si="6">IF(AO171="1",BG171,0)</f>
        <v>0</v>
      </c>
      <c r="AB171" s="233">
        <f t="shared" ref="AB171:AB179" si="7">IF(AO171="7",BF171,0)</f>
        <v>0</v>
      </c>
      <c r="AC171" s="233">
        <f t="shared" ref="AC171:AC179" si="8">IF(AO171="7",BG171,0)</f>
        <v>0</v>
      </c>
      <c r="AD171" s="233">
        <f t="shared" ref="AD171:AD179" si="9">IF(AO171="2",BF171,0)</f>
        <v>0</v>
      </c>
      <c r="AE171" s="233">
        <f t="shared" ref="AE171:AE179" si="10">IF(AO171="2",BG171,0)</f>
        <v>0</v>
      </c>
      <c r="AF171" s="233">
        <f t="shared" ref="AF171:AF179" si="11">IF(AO171="0",BH171,0)</f>
        <v>0</v>
      </c>
      <c r="AG171" s="229" t="s">
        <v>154</v>
      </c>
      <c r="AH171" s="233">
        <f t="shared" ref="AH171:AH179" si="12">IF(AL171=0,J171,0)</f>
        <v>0</v>
      </c>
      <c r="AI171" s="233">
        <f t="shared" ref="AI171:AI179" si="13">IF(AL171=15,J171,0)</f>
        <v>0</v>
      </c>
      <c r="AJ171" s="233">
        <f t="shared" ref="AJ171:AJ179" si="14">IF(AL171=21,J171,0)</f>
        <v>0</v>
      </c>
      <c r="AL171" s="233">
        <v>21</v>
      </c>
      <c r="AM171" s="233">
        <f t="shared" ref="AM171:AM179" si="15">G171*1</f>
        <v>0</v>
      </c>
      <c r="AN171" s="233">
        <f t="shared" ref="AN171:AN179" si="16">G171*(1-1)</f>
        <v>0</v>
      </c>
      <c r="AO171" s="234" t="s">
        <v>453</v>
      </c>
      <c r="AT171" s="233">
        <f t="shared" ref="AT171:AT179" si="17">AU171+AV171</f>
        <v>0</v>
      </c>
      <c r="AU171" s="233">
        <f t="shared" ref="AU171:AU179" si="18">F171*AM171</f>
        <v>0</v>
      </c>
      <c r="AV171" s="233">
        <f t="shared" ref="AV171:AV179" si="19">F171*AN171</f>
        <v>0</v>
      </c>
      <c r="AW171" s="234" t="s">
        <v>454</v>
      </c>
      <c r="AX171" s="234" t="s">
        <v>455</v>
      </c>
      <c r="AY171" s="229" t="s">
        <v>164</v>
      </c>
      <c r="BA171" s="233">
        <f t="shared" ref="BA171:BA179" si="20">AU171+AV171</f>
        <v>0</v>
      </c>
      <c r="BB171" s="233">
        <f t="shared" ref="BB171:BB179" si="21">G171/(100-BC171)*100</f>
        <v>0</v>
      </c>
      <c r="BC171" s="233">
        <v>0</v>
      </c>
      <c r="BD171" s="233">
        <f t="shared" ref="BD171:BD179" si="22">L171</f>
        <v>0.16</v>
      </c>
      <c r="BF171" s="233">
        <f t="shared" ref="BF171:BF179" si="23">F171*AM171</f>
        <v>0</v>
      </c>
      <c r="BG171" s="233">
        <f t="shared" ref="BG171:BG179" si="24">F171*AN171</f>
        <v>0</v>
      </c>
      <c r="BH171" s="233">
        <f t="shared" ref="BH171:BH179" si="25">F171*G171</f>
        <v>0</v>
      </c>
      <c r="BI171" s="233"/>
      <c r="BJ171" s="233"/>
      <c r="BU171" s="233" t="e">
        <f>#REF!</f>
        <v>#REF!</v>
      </c>
      <c r="BV171" s="225" t="s">
        <v>973</v>
      </c>
    </row>
    <row r="172" spans="1:74" ht="14.4" x14ac:dyDescent="0.3">
      <c r="A172" s="239" t="s">
        <v>573</v>
      </c>
      <c r="B172" s="223" t="s">
        <v>943</v>
      </c>
      <c r="C172" s="521" t="s">
        <v>944</v>
      </c>
      <c r="D172" s="519"/>
      <c r="E172" s="223" t="s">
        <v>365</v>
      </c>
      <c r="F172" s="233">
        <v>1</v>
      </c>
      <c r="G172" s="311">
        <v>0</v>
      </c>
      <c r="H172" s="233">
        <f t="shared" si="0"/>
        <v>0</v>
      </c>
      <c r="I172" s="233">
        <f t="shared" si="1"/>
        <v>0</v>
      </c>
      <c r="J172" s="233">
        <f t="shared" si="2"/>
        <v>0</v>
      </c>
      <c r="K172" s="233">
        <v>6.8000000000000005E-2</v>
      </c>
      <c r="L172" s="233">
        <f t="shared" si="3"/>
        <v>6.8000000000000005E-2</v>
      </c>
      <c r="M172" s="240" t="s">
        <v>472</v>
      </c>
      <c r="X172" s="233">
        <f t="shared" si="4"/>
        <v>0</v>
      </c>
      <c r="Z172" s="233">
        <f t="shared" si="5"/>
        <v>0</v>
      </c>
      <c r="AA172" s="233">
        <f t="shared" si="6"/>
        <v>0</v>
      </c>
      <c r="AB172" s="233">
        <f t="shared" si="7"/>
        <v>0</v>
      </c>
      <c r="AC172" s="233">
        <f t="shared" si="8"/>
        <v>0</v>
      </c>
      <c r="AD172" s="233">
        <f t="shared" si="9"/>
        <v>0</v>
      </c>
      <c r="AE172" s="233">
        <f t="shared" si="10"/>
        <v>0</v>
      </c>
      <c r="AF172" s="233">
        <f t="shared" si="11"/>
        <v>0</v>
      </c>
      <c r="AG172" s="229" t="s">
        <v>154</v>
      </c>
      <c r="AH172" s="233">
        <f t="shared" si="12"/>
        <v>0</v>
      </c>
      <c r="AI172" s="233">
        <f t="shared" si="13"/>
        <v>0</v>
      </c>
      <c r="AJ172" s="233">
        <f t="shared" si="14"/>
        <v>0</v>
      </c>
      <c r="AL172" s="233">
        <v>21</v>
      </c>
      <c r="AM172" s="233">
        <f t="shared" si="15"/>
        <v>0</v>
      </c>
      <c r="AN172" s="233">
        <f t="shared" si="16"/>
        <v>0</v>
      </c>
      <c r="AO172" s="234" t="s">
        <v>453</v>
      </c>
      <c r="AT172" s="233">
        <f t="shared" si="17"/>
        <v>0</v>
      </c>
      <c r="AU172" s="233">
        <f t="shared" si="18"/>
        <v>0</v>
      </c>
      <c r="AV172" s="233">
        <f t="shared" si="19"/>
        <v>0</v>
      </c>
      <c r="AW172" s="234" t="s">
        <v>454</v>
      </c>
      <c r="AX172" s="234" t="s">
        <v>455</v>
      </c>
      <c r="AY172" s="229" t="s">
        <v>164</v>
      </c>
      <c r="BA172" s="233">
        <f t="shared" si="20"/>
        <v>0</v>
      </c>
      <c r="BB172" s="233">
        <f t="shared" si="21"/>
        <v>0</v>
      </c>
      <c r="BC172" s="233">
        <v>0</v>
      </c>
      <c r="BD172" s="233">
        <f t="shared" si="22"/>
        <v>6.8000000000000005E-2</v>
      </c>
      <c r="BF172" s="233">
        <f t="shared" si="23"/>
        <v>0</v>
      </c>
      <c r="BG172" s="233">
        <f t="shared" si="24"/>
        <v>0</v>
      </c>
      <c r="BH172" s="233">
        <f t="shared" si="25"/>
        <v>0</v>
      </c>
      <c r="BI172" s="233"/>
      <c r="BJ172" s="233"/>
      <c r="BU172" s="233" t="e">
        <f>#REF!</f>
        <v>#REF!</v>
      </c>
      <c r="BV172" s="225" t="s">
        <v>944</v>
      </c>
    </row>
    <row r="173" spans="1:74" ht="14.4" x14ac:dyDescent="0.3">
      <c r="A173" s="239" t="s">
        <v>576</v>
      </c>
      <c r="B173" s="223" t="s">
        <v>949</v>
      </c>
      <c r="C173" s="521" t="s">
        <v>950</v>
      </c>
      <c r="D173" s="519"/>
      <c r="E173" s="223" t="s">
        <v>365</v>
      </c>
      <c r="F173" s="233">
        <v>3</v>
      </c>
      <c r="G173" s="311">
        <v>0</v>
      </c>
      <c r="H173" s="233">
        <f t="shared" si="0"/>
        <v>0</v>
      </c>
      <c r="I173" s="233">
        <f t="shared" si="1"/>
        <v>0</v>
      </c>
      <c r="J173" s="233">
        <f t="shared" si="2"/>
        <v>0</v>
      </c>
      <c r="K173" s="233">
        <v>0.58499999999999996</v>
      </c>
      <c r="L173" s="233">
        <f t="shared" si="3"/>
        <v>1.7549999999999999</v>
      </c>
      <c r="M173" s="240" t="s">
        <v>472</v>
      </c>
      <c r="X173" s="233">
        <f t="shared" si="4"/>
        <v>0</v>
      </c>
      <c r="Z173" s="233">
        <f t="shared" si="5"/>
        <v>0</v>
      </c>
      <c r="AA173" s="233">
        <f t="shared" si="6"/>
        <v>0</v>
      </c>
      <c r="AB173" s="233">
        <f t="shared" si="7"/>
        <v>0</v>
      </c>
      <c r="AC173" s="233">
        <f t="shared" si="8"/>
        <v>0</v>
      </c>
      <c r="AD173" s="233">
        <f t="shared" si="9"/>
        <v>0</v>
      </c>
      <c r="AE173" s="233">
        <f t="shared" si="10"/>
        <v>0</v>
      </c>
      <c r="AF173" s="233">
        <f t="shared" si="11"/>
        <v>0</v>
      </c>
      <c r="AG173" s="229" t="s">
        <v>154</v>
      </c>
      <c r="AH173" s="233">
        <f t="shared" si="12"/>
        <v>0</v>
      </c>
      <c r="AI173" s="233">
        <f t="shared" si="13"/>
        <v>0</v>
      </c>
      <c r="AJ173" s="233">
        <f t="shared" si="14"/>
        <v>0</v>
      </c>
      <c r="AL173" s="233">
        <v>21</v>
      </c>
      <c r="AM173" s="233">
        <f t="shared" si="15"/>
        <v>0</v>
      </c>
      <c r="AN173" s="233">
        <f t="shared" si="16"/>
        <v>0</v>
      </c>
      <c r="AO173" s="234" t="s">
        <v>453</v>
      </c>
      <c r="AT173" s="233">
        <f t="shared" si="17"/>
        <v>0</v>
      </c>
      <c r="AU173" s="233">
        <f t="shared" si="18"/>
        <v>0</v>
      </c>
      <c r="AV173" s="233">
        <f t="shared" si="19"/>
        <v>0</v>
      </c>
      <c r="AW173" s="234" t="s">
        <v>454</v>
      </c>
      <c r="AX173" s="234" t="s">
        <v>455</v>
      </c>
      <c r="AY173" s="229" t="s">
        <v>164</v>
      </c>
      <c r="BA173" s="233">
        <f t="shared" si="20"/>
        <v>0</v>
      </c>
      <c r="BB173" s="233">
        <f t="shared" si="21"/>
        <v>0</v>
      </c>
      <c r="BC173" s="233">
        <v>0</v>
      </c>
      <c r="BD173" s="233">
        <f t="shared" si="22"/>
        <v>1.7549999999999999</v>
      </c>
      <c r="BF173" s="233">
        <f t="shared" si="23"/>
        <v>0</v>
      </c>
      <c r="BG173" s="233">
        <f t="shared" si="24"/>
        <v>0</v>
      </c>
      <c r="BH173" s="233">
        <f t="shared" si="25"/>
        <v>0</v>
      </c>
      <c r="BI173" s="233"/>
      <c r="BJ173" s="233"/>
      <c r="BU173" s="233" t="e">
        <f>#REF!</f>
        <v>#REF!</v>
      </c>
      <c r="BV173" s="225" t="s">
        <v>950</v>
      </c>
    </row>
    <row r="174" spans="1:74" ht="14.4" x14ac:dyDescent="0.3">
      <c r="A174" s="239" t="s">
        <v>580</v>
      </c>
      <c r="B174" s="223" t="s">
        <v>951</v>
      </c>
      <c r="C174" s="521" t="s">
        <v>952</v>
      </c>
      <c r="D174" s="519"/>
      <c r="E174" s="223" t="s">
        <v>365</v>
      </c>
      <c r="F174" s="233">
        <v>1</v>
      </c>
      <c r="G174" s="311">
        <v>0</v>
      </c>
      <c r="H174" s="233">
        <f t="shared" si="0"/>
        <v>0</v>
      </c>
      <c r="I174" s="233">
        <f t="shared" si="1"/>
        <v>0</v>
      </c>
      <c r="J174" s="233">
        <f t="shared" si="2"/>
        <v>0</v>
      </c>
      <c r="K174" s="233">
        <v>0.5</v>
      </c>
      <c r="L174" s="233">
        <f t="shared" si="3"/>
        <v>0.5</v>
      </c>
      <c r="M174" s="240" t="s">
        <v>472</v>
      </c>
      <c r="X174" s="233">
        <f t="shared" si="4"/>
        <v>0</v>
      </c>
      <c r="Z174" s="233">
        <f t="shared" si="5"/>
        <v>0</v>
      </c>
      <c r="AA174" s="233">
        <f t="shared" si="6"/>
        <v>0</v>
      </c>
      <c r="AB174" s="233">
        <f t="shared" si="7"/>
        <v>0</v>
      </c>
      <c r="AC174" s="233">
        <f t="shared" si="8"/>
        <v>0</v>
      </c>
      <c r="AD174" s="233">
        <f t="shared" si="9"/>
        <v>0</v>
      </c>
      <c r="AE174" s="233">
        <f t="shared" si="10"/>
        <v>0</v>
      </c>
      <c r="AF174" s="233">
        <f t="shared" si="11"/>
        <v>0</v>
      </c>
      <c r="AG174" s="229" t="s">
        <v>154</v>
      </c>
      <c r="AH174" s="233">
        <f t="shared" si="12"/>
        <v>0</v>
      </c>
      <c r="AI174" s="233">
        <f t="shared" si="13"/>
        <v>0</v>
      </c>
      <c r="AJ174" s="233">
        <f t="shared" si="14"/>
        <v>0</v>
      </c>
      <c r="AL174" s="233">
        <v>21</v>
      </c>
      <c r="AM174" s="233">
        <f t="shared" si="15"/>
        <v>0</v>
      </c>
      <c r="AN174" s="233">
        <f t="shared" si="16"/>
        <v>0</v>
      </c>
      <c r="AO174" s="234" t="s">
        <v>453</v>
      </c>
      <c r="AT174" s="233">
        <f t="shared" si="17"/>
        <v>0</v>
      </c>
      <c r="AU174" s="233">
        <f t="shared" si="18"/>
        <v>0</v>
      </c>
      <c r="AV174" s="233">
        <f t="shared" si="19"/>
        <v>0</v>
      </c>
      <c r="AW174" s="234" t="s">
        <v>454</v>
      </c>
      <c r="AX174" s="234" t="s">
        <v>455</v>
      </c>
      <c r="AY174" s="229" t="s">
        <v>164</v>
      </c>
      <c r="BA174" s="233">
        <f t="shared" si="20"/>
        <v>0</v>
      </c>
      <c r="BB174" s="233">
        <f t="shared" si="21"/>
        <v>0</v>
      </c>
      <c r="BC174" s="233">
        <v>0</v>
      </c>
      <c r="BD174" s="233">
        <f t="shared" si="22"/>
        <v>0.5</v>
      </c>
      <c r="BF174" s="233">
        <f t="shared" si="23"/>
        <v>0</v>
      </c>
      <c r="BG174" s="233">
        <f t="shared" si="24"/>
        <v>0</v>
      </c>
      <c r="BH174" s="233">
        <f t="shared" si="25"/>
        <v>0</v>
      </c>
      <c r="BI174" s="233"/>
      <c r="BJ174" s="233"/>
      <c r="BU174" s="233" t="e">
        <f>#REF!</f>
        <v>#REF!</v>
      </c>
      <c r="BV174" s="225" t="s">
        <v>952</v>
      </c>
    </row>
    <row r="175" spans="1:74" ht="14.4" x14ac:dyDescent="0.3">
      <c r="A175" s="239" t="s">
        <v>584</v>
      </c>
      <c r="B175" s="223" t="s">
        <v>953</v>
      </c>
      <c r="C175" s="521" t="s">
        <v>954</v>
      </c>
      <c r="D175" s="519"/>
      <c r="E175" s="223" t="s">
        <v>365</v>
      </c>
      <c r="F175" s="233">
        <v>1</v>
      </c>
      <c r="G175" s="311">
        <v>0</v>
      </c>
      <c r="H175" s="233">
        <f t="shared" si="0"/>
        <v>0</v>
      </c>
      <c r="I175" s="233">
        <f t="shared" si="1"/>
        <v>0</v>
      </c>
      <c r="J175" s="233">
        <f t="shared" si="2"/>
        <v>0</v>
      </c>
      <c r="K175" s="233">
        <v>1</v>
      </c>
      <c r="L175" s="233">
        <f t="shared" si="3"/>
        <v>1</v>
      </c>
      <c r="M175" s="240" t="s">
        <v>472</v>
      </c>
      <c r="X175" s="233">
        <f t="shared" si="4"/>
        <v>0</v>
      </c>
      <c r="Z175" s="233">
        <f t="shared" si="5"/>
        <v>0</v>
      </c>
      <c r="AA175" s="233">
        <f t="shared" si="6"/>
        <v>0</v>
      </c>
      <c r="AB175" s="233">
        <f t="shared" si="7"/>
        <v>0</v>
      </c>
      <c r="AC175" s="233">
        <f t="shared" si="8"/>
        <v>0</v>
      </c>
      <c r="AD175" s="233">
        <f t="shared" si="9"/>
        <v>0</v>
      </c>
      <c r="AE175" s="233">
        <f t="shared" si="10"/>
        <v>0</v>
      </c>
      <c r="AF175" s="233">
        <f t="shared" si="11"/>
        <v>0</v>
      </c>
      <c r="AG175" s="229" t="s">
        <v>154</v>
      </c>
      <c r="AH175" s="233">
        <f t="shared" si="12"/>
        <v>0</v>
      </c>
      <c r="AI175" s="233">
        <f t="shared" si="13"/>
        <v>0</v>
      </c>
      <c r="AJ175" s="233">
        <f t="shared" si="14"/>
        <v>0</v>
      </c>
      <c r="AL175" s="233">
        <v>21</v>
      </c>
      <c r="AM175" s="233">
        <f t="shared" si="15"/>
        <v>0</v>
      </c>
      <c r="AN175" s="233">
        <f t="shared" si="16"/>
        <v>0</v>
      </c>
      <c r="AO175" s="234" t="s">
        <v>453</v>
      </c>
      <c r="AT175" s="233">
        <f t="shared" si="17"/>
        <v>0</v>
      </c>
      <c r="AU175" s="233">
        <f t="shared" si="18"/>
        <v>0</v>
      </c>
      <c r="AV175" s="233">
        <f t="shared" si="19"/>
        <v>0</v>
      </c>
      <c r="AW175" s="234" t="s">
        <v>454</v>
      </c>
      <c r="AX175" s="234" t="s">
        <v>455</v>
      </c>
      <c r="AY175" s="229" t="s">
        <v>164</v>
      </c>
      <c r="BA175" s="233">
        <f t="shared" si="20"/>
        <v>0</v>
      </c>
      <c r="BB175" s="233">
        <f t="shared" si="21"/>
        <v>0</v>
      </c>
      <c r="BC175" s="233">
        <v>0</v>
      </c>
      <c r="BD175" s="233">
        <f t="shared" si="22"/>
        <v>1</v>
      </c>
      <c r="BF175" s="233">
        <f t="shared" si="23"/>
        <v>0</v>
      </c>
      <c r="BG175" s="233">
        <f t="shared" si="24"/>
        <v>0</v>
      </c>
      <c r="BH175" s="233">
        <f t="shared" si="25"/>
        <v>0</v>
      </c>
      <c r="BI175" s="233"/>
      <c r="BJ175" s="233"/>
      <c r="BU175" s="233" t="e">
        <f>#REF!</f>
        <v>#REF!</v>
      </c>
      <c r="BV175" s="225" t="s">
        <v>954</v>
      </c>
    </row>
    <row r="176" spans="1:74" ht="14.4" x14ac:dyDescent="0.3">
      <c r="A176" s="239" t="s">
        <v>585</v>
      </c>
      <c r="B176" s="223" t="s">
        <v>955</v>
      </c>
      <c r="C176" s="521" t="s">
        <v>956</v>
      </c>
      <c r="D176" s="519"/>
      <c r="E176" s="223" t="s">
        <v>365</v>
      </c>
      <c r="F176" s="233">
        <v>2</v>
      </c>
      <c r="G176" s="311">
        <v>0</v>
      </c>
      <c r="H176" s="233">
        <f t="shared" si="0"/>
        <v>0</v>
      </c>
      <c r="I176" s="233">
        <f t="shared" si="1"/>
        <v>0</v>
      </c>
      <c r="J176" s="233">
        <f t="shared" si="2"/>
        <v>0</v>
      </c>
      <c r="K176" s="233">
        <v>1.6</v>
      </c>
      <c r="L176" s="233">
        <f t="shared" si="3"/>
        <v>3.2</v>
      </c>
      <c r="M176" s="240" t="s">
        <v>472</v>
      </c>
      <c r="X176" s="233">
        <f t="shared" si="4"/>
        <v>0</v>
      </c>
      <c r="Z176" s="233">
        <f t="shared" si="5"/>
        <v>0</v>
      </c>
      <c r="AA176" s="233">
        <f t="shared" si="6"/>
        <v>0</v>
      </c>
      <c r="AB176" s="233">
        <f t="shared" si="7"/>
        <v>0</v>
      </c>
      <c r="AC176" s="233">
        <f t="shared" si="8"/>
        <v>0</v>
      </c>
      <c r="AD176" s="233">
        <f t="shared" si="9"/>
        <v>0</v>
      </c>
      <c r="AE176" s="233">
        <f t="shared" si="10"/>
        <v>0</v>
      </c>
      <c r="AF176" s="233">
        <f t="shared" si="11"/>
        <v>0</v>
      </c>
      <c r="AG176" s="229" t="s">
        <v>154</v>
      </c>
      <c r="AH176" s="233">
        <f t="shared" si="12"/>
        <v>0</v>
      </c>
      <c r="AI176" s="233">
        <f t="shared" si="13"/>
        <v>0</v>
      </c>
      <c r="AJ176" s="233">
        <f t="shared" si="14"/>
        <v>0</v>
      </c>
      <c r="AL176" s="233">
        <v>21</v>
      </c>
      <c r="AM176" s="233">
        <f t="shared" si="15"/>
        <v>0</v>
      </c>
      <c r="AN176" s="233">
        <f t="shared" si="16"/>
        <v>0</v>
      </c>
      <c r="AO176" s="234" t="s">
        <v>453</v>
      </c>
      <c r="AT176" s="233">
        <f t="shared" si="17"/>
        <v>0</v>
      </c>
      <c r="AU176" s="233">
        <f t="shared" si="18"/>
        <v>0</v>
      </c>
      <c r="AV176" s="233">
        <f t="shared" si="19"/>
        <v>0</v>
      </c>
      <c r="AW176" s="234" t="s">
        <v>454</v>
      </c>
      <c r="AX176" s="234" t="s">
        <v>455</v>
      </c>
      <c r="AY176" s="229" t="s">
        <v>164</v>
      </c>
      <c r="BA176" s="233">
        <f t="shared" si="20"/>
        <v>0</v>
      </c>
      <c r="BB176" s="233">
        <f t="shared" si="21"/>
        <v>0</v>
      </c>
      <c r="BC176" s="233">
        <v>0</v>
      </c>
      <c r="BD176" s="233">
        <f t="shared" si="22"/>
        <v>3.2</v>
      </c>
      <c r="BF176" s="233">
        <f t="shared" si="23"/>
        <v>0</v>
      </c>
      <c r="BG176" s="233">
        <f t="shared" si="24"/>
        <v>0</v>
      </c>
      <c r="BH176" s="233">
        <f t="shared" si="25"/>
        <v>0</v>
      </c>
      <c r="BI176" s="233"/>
      <c r="BJ176" s="233"/>
      <c r="BU176" s="233" t="e">
        <f>#REF!</f>
        <v>#REF!</v>
      </c>
      <c r="BV176" s="225" t="s">
        <v>956</v>
      </c>
    </row>
    <row r="177" spans="1:74" ht="14.4" x14ac:dyDescent="0.3">
      <c r="A177" s="239" t="s">
        <v>589</v>
      </c>
      <c r="B177" s="223" t="s">
        <v>957</v>
      </c>
      <c r="C177" s="521" t="s">
        <v>958</v>
      </c>
      <c r="D177" s="519"/>
      <c r="E177" s="223" t="s">
        <v>365</v>
      </c>
      <c r="F177" s="233">
        <v>1</v>
      </c>
      <c r="G177" s="311">
        <v>0</v>
      </c>
      <c r="H177" s="233">
        <f t="shared" si="0"/>
        <v>0</v>
      </c>
      <c r="I177" s="233">
        <f t="shared" si="1"/>
        <v>0</v>
      </c>
      <c r="J177" s="233">
        <f t="shared" si="2"/>
        <v>0</v>
      </c>
      <c r="K177" s="233">
        <v>1.87</v>
      </c>
      <c r="L177" s="233">
        <f t="shared" si="3"/>
        <v>1.87</v>
      </c>
      <c r="M177" s="240" t="s">
        <v>472</v>
      </c>
      <c r="X177" s="233">
        <f t="shared" si="4"/>
        <v>0</v>
      </c>
      <c r="Z177" s="233">
        <f t="shared" si="5"/>
        <v>0</v>
      </c>
      <c r="AA177" s="233">
        <f t="shared" si="6"/>
        <v>0</v>
      </c>
      <c r="AB177" s="233">
        <f t="shared" si="7"/>
        <v>0</v>
      </c>
      <c r="AC177" s="233">
        <f t="shared" si="8"/>
        <v>0</v>
      </c>
      <c r="AD177" s="233">
        <f t="shared" si="9"/>
        <v>0</v>
      </c>
      <c r="AE177" s="233">
        <f t="shared" si="10"/>
        <v>0</v>
      </c>
      <c r="AF177" s="233">
        <f t="shared" si="11"/>
        <v>0</v>
      </c>
      <c r="AG177" s="229" t="s">
        <v>154</v>
      </c>
      <c r="AH177" s="233">
        <f t="shared" si="12"/>
        <v>0</v>
      </c>
      <c r="AI177" s="233">
        <f t="shared" si="13"/>
        <v>0</v>
      </c>
      <c r="AJ177" s="233">
        <f t="shared" si="14"/>
        <v>0</v>
      </c>
      <c r="AL177" s="233">
        <v>21</v>
      </c>
      <c r="AM177" s="233">
        <f t="shared" si="15"/>
        <v>0</v>
      </c>
      <c r="AN177" s="233">
        <f t="shared" si="16"/>
        <v>0</v>
      </c>
      <c r="AO177" s="234" t="s">
        <v>453</v>
      </c>
      <c r="AT177" s="233">
        <f t="shared" si="17"/>
        <v>0</v>
      </c>
      <c r="AU177" s="233">
        <f t="shared" si="18"/>
        <v>0</v>
      </c>
      <c r="AV177" s="233">
        <f t="shared" si="19"/>
        <v>0</v>
      </c>
      <c r="AW177" s="234" t="s">
        <v>454</v>
      </c>
      <c r="AX177" s="234" t="s">
        <v>455</v>
      </c>
      <c r="AY177" s="229" t="s">
        <v>164</v>
      </c>
      <c r="BA177" s="233">
        <f t="shared" si="20"/>
        <v>0</v>
      </c>
      <c r="BB177" s="233">
        <f t="shared" si="21"/>
        <v>0</v>
      </c>
      <c r="BC177" s="233">
        <v>0</v>
      </c>
      <c r="BD177" s="233">
        <f t="shared" si="22"/>
        <v>1.87</v>
      </c>
      <c r="BF177" s="233">
        <f t="shared" si="23"/>
        <v>0</v>
      </c>
      <c r="BG177" s="233">
        <f t="shared" si="24"/>
        <v>0</v>
      </c>
      <c r="BH177" s="233">
        <f t="shared" si="25"/>
        <v>0</v>
      </c>
      <c r="BI177" s="233"/>
      <c r="BJ177" s="233"/>
      <c r="BU177" s="233" t="e">
        <f>#REF!</f>
        <v>#REF!</v>
      </c>
      <c r="BV177" s="225" t="s">
        <v>958</v>
      </c>
    </row>
    <row r="178" spans="1:74" ht="14.4" x14ac:dyDescent="0.3">
      <c r="A178" s="239" t="s">
        <v>593</v>
      </c>
      <c r="B178" s="223" t="s">
        <v>961</v>
      </c>
      <c r="C178" s="521" t="s">
        <v>962</v>
      </c>
      <c r="D178" s="519"/>
      <c r="E178" s="223" t="s">
        <v>365</v>
      </c>
      <c r="F178" s="233">
        <v>5</v>
      </c>
      <c r="G178" s="311">
        <v>0</v>
      </c>
      <c r="H178" s="233">
        <f t="shared" si="0"/>
        <v>0</v>
      </c>
      <c r="I178" s="233">
        <f t="shared" si="1"/>
        <v>0</v>
      </c>
      <c r="J178" s="233">
        <f t="shared" si="2"/>
        <v>0</v>
      </c>
      <c r="K178" s="233">
        <v>2E-3</v>
      </c>
      <c r="L178" s="233">
        <f t="shared" si="3"/>
        <v>0.01</v>
      </c>
      <c r="M178" s="240" t="s">
        <v>472</v>
      </c>
      <c r="X178" s="233">
        <f t="shared" si="4"/>
        <v>0</v>
      </c>
      <c r="Z178" s="233">
        <f t="shared" si="5"/>
        <v>0</v>
      </c>
      <c r="AA178" s="233">
        <f t="shared" si="6"/>
        <v>0</v>
      </c>
      <c r="AB178" s="233">
        <f t="shared" si="7"/>
        <v>0</v>
      </c>
      <c r="AC178" s="233">
        <f t="shared" si="8"/>
        <v>0</v>
      </c>
      <c r="AD178" s="233">
        <f t="shared" si="9"/>
        <v>0</v>
      </c>
      <c r="AE178" s="233">
        <f t="shared" si="10"/>
        <v>0</v>
      </c>
      <c r="AF178" s="233">
        <f t="shared" si="11"/>
        <v>0</v>
      </c>
      <c r="AG178" s="229" t="s">
        <v>154</v>
      </c>
      <c r="AH178" s="233">
        <f t="shared" si="12"/>
        <v>0</v>
      </c>
      <c r="AI178" s="233">
        <f t="shared" si="13"/>
        <v>0</v>
      </c>
      <c r="AJ178" s="233">
        <f t="shared" si="14"/>
        <v>0</v>
      </c>
      <c r="AL178" s="233">
        <v>21</v>
      </c>
      <c r="AM178" s="233">
        <f t="shared" si="15"/>
        <v>0</v>
      </c>
      <c r="AN178" s="233">
        <f t="shared" si="16"/>
        <v>0</v>
      </c>
      <c r="AO178" s="234" t="s">
        <v>453</v>
      </c>
      <c r="AT178" s="233">
        <f t="shared" si="17"/>
        <v>0</v>
      </c>
      <c r="AU178" s="233">
        <f t="shared" si="18"/>
        <v>0</v>
      </c>
      <c r="AV178" s="233">
        <f t="shared" si="19"/>
        <v>0</v>
      </c>
      <c r="AW178" s="234" t="s">
        <v>454</v>
      </c>
      <c r="AX178" s="234" t="s">
        <v>455</v>
      </c>
      <c r="AY178" s="229" t="s">
        <v>164</v>
      </c>
      <c r="BA178" s="233">
        <f t="shared" si="20"/>
        <v>0</v>
      </c>
      <c r="BB178" s="233">
        <f t="shared" si="21"/>
        <v>0</v>
      </c>
      <c r="BC178" s="233">
        <v>0</v>
      </c>
      <c r="BD178" s="233">
        <f t="shared" si="22"/>
        <v>0.01</v>
      </c>
      <c r="BF178" s="233">
        <f t="shared" si="23"/>
        <v>0</v>
      </c>
      <c r="BG178" s="233">
        <f t="shared" si="24"/>
        <v>0</v>
      </c>
      <c r="BH178" s="233">
        <f t="shared" si="25"/>
        <v>0</v>
      </c>
      <c r="BI178" s="233"/>
      <c r="BJ178" s="233"/>
      <c r="BU178" s="233" t="e">
        <f>#REF!</f>
        <v>#REF!</v>
      </c>
      <c r="BV178" s="225" t="s">
        <v>962</v>
      </c>
    </row>
    <row r="179" spans="1:74" ht="14.4" x14ac:dyDescent="0.3">
      <c r="A179" s="239" t="s">
        <v>597</v>
      </c>
      <c r="B179" s="223" t="s">
        <v>974</v>
      </c>
      <c r="C179" s="521" t="s">
        <v>964</v>
      </c>
      <c r="D179" s="519"/>
      <c r="E179" s="223" t="s">
        <v>365</v>
      </c>
      <c r="F179" s="233">
        <v>1</v>
      </c>
      <c r="G179" s="311">
        <v>0</v>
      </c>
      <c r="H179" s="233">
        <f t="shared" si="0"/>
        <v>0</v>
      </c>
      <c r="I179" s="233">
        <f t="shared" si="1"/>
        <v>0</v>
      </c>
      <c r="J179" s="233">
        <f t="shared" si="2"/>
        <v>0</v>
      </c>
      <c r="K179" s="233">
        <v>0.158</v>
      </c>
      <c r="L179" s="233">
        <f t="shared" si="3"/>
        <v>0.158</v>
      </c>
      <c r="M179" s="240" t="s">
        <v>472</v>
      </c>
      <c r="X179" s="233">
        <f t="shared" si="4"/>
        <v>0</v>
      </c>
      <c r="Z179" s="233">
        <f t="shared" si="5"/>
        <v>0</v>
      </c>
      <c r="AA179" s="233">
        <f t="shared" si="6"/>
        <v>0</v>
      </c>
      <c r="AB179" s="233">
        <f t="shared" si="7"/>
        <v>0</v>
      </c>
      <c r="AC179" s="233">
        <f t="shared" si="8"/>
        <v>0</v>
      </c>
      <c r="AD179" s="233">
        <f t="shared" si="9"/>
        <v>0</v>
      </c>
      <c r="AE179" s="233">
        <f t="shared" si="10"/>
        <v>0</v>
      </c>
      <c r="AF179" s="233">
        <f t="shared" si="11"/>
        <v>0</v>
      </c>
      <c r="AG179" s="229" t="s">
        <v>154</v>
      </c>
      <c r="AH179" s="233">
        <f t="shared" si="12"/>
        <v>0</v>
      </c>
      <c r="AI179" s="233">
        <f t="shared" si="13"/>
        <v>0</v>
      </c>
      <c r="AJ179" s="233">
        <f t="shared" si="14"/>
        <v>0</v>
      </c>
      <c r="AL179" s="233">
        <v>21</v>
      </c>
      <c r="AM179" s="233">
        <f t="shared" si="15"/>
        <v>0</v>
      </c>
      <c r="AN179" s="233">
        <f t="shared" si="16"/>
        <v>0</v>
      </c>
      <c r="AO179" s="234" t="s">
        <v>453</v>
      </c>
      <c r="AT179" s="233">
        <f t="shared" si="17"/>
        <v>0</v>
      </c>
      <c r="AU179" s="233">
        <f t="shared" si="18"/>
        <v>0</v>
      </c>
      <c r="AV179" s="233">
        <f t="shared" si="19"/>
        <v>0</v>
      </c>
      <c r="AW179" s="234" t="s">
        <v>454</v>
      </c>
      <c r="AX179" s="234" t="s">
        <v>455</v>
      </c>
      <c r="AY179" s="229" t="s">
        <v>164</v>
      </c>
      <c r="BA179" s="233">
        <f t="shared" si="20"/>
        <v>0</v>
      </c>
      <c r="BB179" s="233">
        <f t="shared" si="21"/>
        <v>0</v>
      </c>
      <c r="BC179" s="233">
        <v>0</v>
      </c>
      <c r="BD179" s="233">
        <f t="shared" si="22"/>
        <v>0.158</v>
      </c>
      <c r="BF179" s="233">
        <f t="shared" si="23"/>
        <v>0</v>
      </c>
      <c r="BG179" s="233">
        <f t="shared" si="24"/>
        <v>0</v>
      </c>
      <c r="BH179" s="233">
        <f t="shared" si="25"/>
        <v>0</v>
      </c>
      <c r="BI179" s="233"/>
      <c r="BJ179" s="233"/>
      <c r="BU179" s="233" t="e">
        <f>#REF!</f>
        <v>#REF!</v>
      </c>
      <c r="BV179" s="225" t="s">
        <v>964</v>
      </c>
    </row>
    <row r="180" spans="1:74" ht="27" customHeight="1" x14ac:dyDescent="0.3">
      <c r="A180" s="241"/>
      <c r="B180" s="242" t="s">
        <v>165</v>
      </c>
      <c r="C180" s="530" t="s">
        <v>965</v>
      </c>
      <c r="D180" s="531"/>
      <c r="E180" s="531"/>
      <c r="F180" s="531"/>
      <c r="G180" s="531"/>
      <c r="H180" s="531"/>
      <c r="I180" s="531"/>
      <c r="J180" s="531"/>
      <c r="K180" s="531"/>
      <c r="L180" s="531"/>
      <c r="M180" s="532"/>
    </row>
    <row r="181" spans="1:74" ht="14.4" x14ac:dyDescent="0.3">
      <c r="A181" s="239" t="s">
        <v>350</v>
      </c>
      <c r="B181" s="223" t="s">
        <v>975</v>
      </c>
      <c r="C181" s="521" t="s">
        <v>967</v>
      </c>
      <c r="D181" s="519"/>
      <c r="E181" s="223" t="s">
        <v>365</v>
      </c>
      <c r="F181" s="233">
        <v>2</v>
      </c>
      <c r="G181" s="311">
        <v>0</v>
      </c>
      <c r="H181" s="233">
        <f>F181*AM181</f>
        <v>0</v>
      </c>
      <c r="I181" s="233">
        <f>F181*AN181</f>
        <v>0</v>
      </c>
      <c r="J181" s="233">
        <f>F181*G181</f>
        <v>0</v>
      </c>
      <c r="K181" s="233">
        <v>0.158</v>
      </c>
      <c r="L181" s="233">
        <f>F181*K181</f>
        <v>0.316</v>
      </c>
      <c r="M181" s="240" t="s">
        <v>472</v>
      </c>
      <c r="X181" s="233">
        <f>IF(AO181="5",BH181,0)</f>
        <v>0</v>
      </c>
      <c r="Z181" s="233">
        <f>IF(AO181="1",BF181,0)</f>
        <v>0</v>
      </c>
      <c r="AA181" s="233">
        <f>IF(AO181="1",BG181,0)</f>
        <v>0</v>
      </c>
      <c r="AB181" s="233">
        <f>IF(AO181="7",BF181,0)</f>
        <v>0</v>
      </c>
      <c r="AC181" s="233">
        <f>IF(AO181="7",BG181,0)</f>
        <v>0</v>
      </c>
      <c r="AD181" s="233">
        <f>IF(AO181="2",BF181,0)</f>
        <v>0</v>
      </c>
      <c r="AE181" s="233">
        <f>IF(AO181="2",BG181,0)</f>
        <v>0</v>
      </c>
      <c r="AF181" s="233">
        <f>IF(AO181="0",BH181,0)</f>
        <v>0</v>
      </c>
      <c r="AG181" s="229" t="s">
        <v>154</v>
      </c>
      <c r="AH181" s="233">
        <f>IF(AL181=0,J181,0)</f>
        <v>0</v>
      </c>
      <c r="AI181" s="233">
        <f>IF(AL181=15,J181,0)</f>
        <v>0</v>
      </c>
      <c r="AJ181" s="233">
        <f>IF(AL181=21,J181,0)</f>
        <v>0</v>
      </c>
      <c r="AL181" s="233">
        <v>21</v>
      </c>
      <c r="AM181" s="233">
        <f>G181*1</f>
        <v>0</v>
      </c>
      <c r="AN181" s="233">
        <f>G181*(1-1)</f>
        <v>0</v>
      </c>
      <c r="AO181" s="234" t="s">
        <v>453</v>
      </c>
      <c r="AT181" s="233">
        <f>AU181+AV181</f>
        <v>0</v>
      </c>
      <c r="AU181" s="233">
        <f>F181*AM181</f>
        <v>0</v>
      </c>
      <c r="AV181" s="233">
        <f>F181*AN181</f>
        <v>0</v>
      </c>
      <c r="AW181" s="234" t="s">
        <v>454</v>
      </c>
      <c r="AX181" s="234" t="s">
        <v>455</v>
      </c>
      <c r="AY181" s="229" t="s">
        <v>164</v>
      </c>
      <c r="BA181" s="233">
        <f>AU181+AV181</f>
        <v>0</v>
      </c>
      <c r="BB181" s="233">
        <f>G181/(100-BC181)*100</f>
        <v>0</v>
      </c>
      <c r="BC181" s="233">
        <v>0</v>
      </c>
      <c r="BD181" s="233">
        <f>L181</f>
        <v>0.316</v>
      </c>
      <c r="BF181" s="233">
        <f>F181*AM181</f>
        <v>0</v>
      </c>
      <c r="BG181" s="233">
        <f>F181*AN181</f>
        <v>0</v>
      </c>
      <c r="BH181" s="233">
        <f>F181*G181</f>
        <v>0</v>
      </c>
      <c r="BI181" s="233"/>
      <c r="BJ181" s="233"/>
      <c r="BU181" s="233" t="e">
        <f>#REF!</f>
        <v>#REF!</v>
      </c>
      <c r="BV181" s="225" t="s">
        <v>967</v>
      </c>
    </row>
    <row r="182" spans="1:74" ht="27" customHeight="1" x14ac:dyDescent="0.3">
      <c r="A182" s="244"/>
      <c r="B182" s="245" t="s">
        <v>165</v>
      </c>
      <c r="C182" s="540" t="s">
        <v>968</v>
      </c>
      <c r="D182" s="541"/>
      <c r="E182" s="541"/>
      <c r="F182" s="541"/>
      <c r="G182" s="541"/>
      <c r="H182" s="541"/>
      <c r="I182" s="541"/>
      <c r="J182" s="541"/>
      <c r="K182" s="541"/>
      <c r="L182" s="541"/>
      <c r="M182" s="542"/>
    </row>
    <row r="183" spans="1:74" ht="14.4" x14ac:dyDescent="0.3">
      <c r="H183" s="527" t="s">
        <v>423</v>
      </c>
      <c r="I183" s="527"/>
      <c r="J183" s="235">
        <f>J12+J15+J28+J31+J48+J53+J70+J76+J81+J87+J90+J93+J108+J111+J118+J139+J142+J145+J152+J156</f>
        <v>0</v>
      </c>
    </row>
    <row r="184" spans="1:74" ht="14.4" x14ac:dyDescent="0.3">
      <c r="A184" s="236" t="s">
        <v>165</v>
      </c>
    </row>
    <row r="185" spans="1:74" ht="13.5" customHeight="1" x14ac:dyDescent="0.3">
      <c r="A185" s="521" t="s">
        <v>1387</v>
      </c>
      <c r="B185" s="519"/>
      <c r="C185" s="519"/>
      <c r="D185" s="519"/>
      <c r="E185" s="519"/>
      <c r="F185" s="519"/>
      <c r="G185" s="519"/>
      <c r="H185" s="519"/>
      <c r="I185" s="519"/>
      <c r="J185" s="519"/>
      <c r="K185" s="519"/>
      <c r="L185" s="519"/>
      <c r="M185" s="519"/>
    </row>
    <row r="186" spans="1:74" ht="15" customHeight="1" x14ac:dyDescent="0.3">
      <c r="A186" s="549" t="s">
        <v>1161</v>
      </c>
      <c r="B186" s="550"/>
      <c r="C186" s="550"/>
      <c r="D186" s="550"/>
      <c r="E186" s="550"/>
      <c r="F186" s="550"/>
      <c r="G186" s="550"/>
      <c r="H186" s="550"/>
      <c r="I186" s="550"/>
      <c r="J186" s="550"/>
      <c r="K186" s="550"/>
      <c r="L186" s="550"/>
      <c r="M186" s="550"/>
    </row>
  </sheetData>
  <sheetProtection algorithmName="SHA-512" hashValue="F/40213A+hpwj7tAlF29KbQV8NTxyrUU9a6mKs9T5AzBu+bZj0uPENbai5QFVMBSyML4gYPTxlbj5YHTLyEU8A==" saltValue="TrEaCIFzwqnFiOAFpbhh4Q==" spinCount="100000" sheet="1" objects="1" scenarios="1" formatCells="0" formatColumns="0" formatRows="0" insertColumns="0" insertRows="0" insertHyperlinks="0"/>
  <mergeCells count="203">
    <mergeCell ref="A4:B5"/>
    <mergeCell ref="C4:D5"/>
    <mergeCell ref="E4:F5"/>
    <mergeCell ref="G4:G5"/>
    <mergeCell ref="H4:H5"/>
    <mergeCell ref="A1:M1"/>
    <mergeCell ref="A2:B3"/>
    <mergeCell ref="C2:D3"/>
    <mergeCell ref="E2:F3"/>
    <mergeCell ref="G2:G3"/>
    <mergeCell ref="H2:H3"/>
    <mergeCell ref="A8:B9"/>
    <mergeCell ref="C8:D9"/>
    <mergeCell ref="E8:F9"/>
    <mergeCell ref="G8:G9"/>
    <mergeCell ref="H8:H9"/>
    <mergeCell ref="A6:B7"/>
    <mergeCell ref="C6:D7"/>
    <mergeCell ref="E6:F7"/>
    <mergeCell ref="G6:G7"/>
    <mergeCell ref="H6:H7"/>
    <mergeCell ref="C14:M14"/>
    <mergeCell ref="C15:D15"/>
    <mergeCell ref="C16:D16"/>
    <mergeCell ref="C17:M17"/>
    <mergeCell ref="C18:D18"/>
    <mergeCell ref="C19:M19"/>
    <mergeCell ref="C10:D10"/>
    <mergeCell ref="H10:J10"/>
    <mergeCell ref="K10:L10"/>
    <mergeCell ref="C11:D11"/>
    <mergeCell ref="C12:D12"/>
    <mergeCell ref="C13:D13"/>
    <mergeCell ref="C26:D26"/>
    <mergeCell ref="C27:M27"/>
    <mergeCell ref="C28:D28"/>
    <mergeCell ref="C29:D29"/>
    <mergeCell ref="C30:M30"/>
    <mergeCell ref="C31:D31"/>
    <mergeCell ref="C20:D20"/>
    <mergeCell ref="C21:M21"/>
    <mergeCell ref="C22:D22"/>
    <mergeCell ref="C23:M23"/>
    <mergeCell ref="C24:D24"/>
    <mergeCell ref="C25:M25"/>
    <mergeCell ref="C38:D38"/>
    <mergeCell ref="C39:M39"/>
    <mergeCell ref="C40:D40"/>
    <mergeCell ref="C41:M41"/>
    <mergeCell ref="C42:D42"/>
    <mergeCell ref="C43:M43"/>
    <mergeCell ref="C32:D32"/>
    <mergeCell ref="C33:M33"/>
    <mergeCell ref="C34:D34"/>
    <mergeCell ref="C35:M35"/>
    <mergeCell ref="C36:D36"/>
    <mergeCell ref="C37:M37"/>
    <mergeCell ref="C50:M50"/>
    <mergeCell ref="C51:D51"/>
    <mergeCell ref="C52:M52"/>
    <mergeCell ref="C53:D53"/>
    <mergeCell ref="C54:D54"/>
    <mergeCell ref="C55:M55"/>
    <mergeCell ref="C44:D44"/>
    <mergeCell ref="C45:M45"/>
    <mergeCell ref="C46:D46"/>
    <mergeCell ref="C47:M47"/>
    <mergeCell ref="C48:D48"/>
    <mergeCell ref="C49:D49"/>
    <mergeCell ref="C62:D62"/>
    <mergeCell ref="C63:M63"/>
    <mergeCell ref="C64:D64"/>
    <mergeCell ref="C65:M65"/>
    <mergeCell ref="C66:D66"/>
    <mergeCell ref="C67:M67"/>
    <mergeCell ref="C56:D56"/>
    <mergeCell ref="C57:M57"/>
    <mergeCell ref="C58:D58"/>
    <mergeCell ref="C59:M59"/>
    <mergeCell ref="C60:D60"/>
    <mergeCell ref="C61:M61"/>
    <mergeCell ref="C74:D74"/>
    <mergeCell ref="C75:M75"/>
    <mergeCell ref="C76:D76"/>
    <mergeCell ref="C77:D77"/>
    <mergeCell ref="C78:M78"/>
    <mergeCell ref="C79:D79"/>
    <mergeCell ref="C68:D68"/>
    <mergeCell ref="C69:M69"/>
    <mergeCell ref="C70:D70"/>
    <mergeCell ref="C71:D71"/>
    <mergeCell ref="C72:M72"/>
    <mergeCell ref="C73:D73"/>
    <mergeCell ref="C86:D86"/>
    <mergeCell ref="C87:D87"/>
    <mergeCell ref="C88:D88"/>
    <mergeCell ref="C89:M89"/>
    <mergeCell ref="C90:D90"/>
    <mergeCell ref="C91:D91"/>
    <mergeCell ref="C80:M80"/>
    <mergeCell ref="C81:D81"/>
    <mergeCell ref="C82:D82"/>
    <mergeCell ref="C83:M83"/>
    <mergeCell ref="C84:D84"/>
    <mergeCell ref="C85:M85"/>
    <mergeCell ref="C98:D98"/>
    <mergeCell ref="C99:M99"/>
    <mergeCell ref="C100:D100"/>
    <mergeCell ref="C101:M101"/>
    <mergeCell ref="C102:D102"/>
    <mergeCell ref="C103:M103"/>
    <mergeCell ref="C92:M92"/>
    <mergeCell ref="C93:D93"/>
    <mergeCell ref="C94:D94"/>
    <mergeCell ref="C95:M95"/>
    <mergeCell ref="C96:D96"/>
    <mergeCell ref="C97:M97"/>
    <mergeCell ref="C110:M110"/>
    <mergeCell ref="C111:D111"/>
    <mergeCell ref="C112:D112"/>
    <mergeCell ref="C113:M113"/>
    <mergeCell ref="C114:D114"/>
    <mergeCell ref="C115:M115"/>
    <mergeCell ref="C104:D104"/>
    <mergeCell ref="C105:M105"/>
    <mergeCell ref="C106:D106"/>
    <mergeCell ref="C107:M107"/>
    <mergeCell ref="C108:D108"/>
    <mergeCell ref="C109:D109"/>
    <mergeCell ref="C122:M122"/>
    <mergeCell ref="C123:D123"/>
    <mergeCell ref="C124:M124"/>
    <mergeCell ref="C125:D125"/>
    <mergeCell ref="C126:M126"/>
    <mergeCell ref="C127:D127"/>
    <mergeCell ref="C116:D116"/>
    <mergeCell ref="C117:M117"/>
    <mergeCell ref="C118:D118"/>
    <mergeCell ref="C119:D119"/>
    <mergeCell ref="C120:M120"/>
    <mergeCell ref="C121:D121"/>
    <mergeCell ref="C134:M134"/>
    <mergeCell ref="C135:D135"/>
    <mergeCell ref="C136:M136"/>
    <mergeCell ref="C137:D137"/>
    <mergeCell ref="C138:M138"/>
    <mergeCell ref="C139:D139"/>
    <mergeCell ref="C128:M128"/>
    <mergeCell ref="C129:D129"/>
    <mergeCell ref="C130:M130"/>
    <mergeCell ref="C131:D131"/>
    <mergeCell ref="C132:M132"/>
    <mergeCell ref="C133:D133"/>
    <mergeCell ref="C146:D146"/>
    <mergeCell ref="C147:D147"/>
    <mergeCell ref="C148:M148"/>
    <mergeCell ref="C149:D149"/>
    <mergeCell ref="C150:M150"/>
    <mergeCell ref="C151:D151"/>
    <mergeCell ref="C140:D140"/>
    <mergeCell ref="C141:M141"/>
    <mergeCell ref="C142:D142"/>
    <mergeCell ref="C143:D143"/>
    <mergeCell ref="C144:M144"/>
    <mergeCell ref="C145:D145"/>
    <mergeCell ref="C168:M168"/>
    <mergeCell ref="C169:D169"/>
    <mergeCell ref="C158:M158"/>
    <mergeCell ref="C159:D159"/>
    <mergeCell ref="C160:M160"/>
    <mergeCell ref="C161:D161"/>
    <mergeCell ref="C162:M162"/>
    <mergeCell ref="C163:D163"/>
    <mergeCell ref="C152:D152"/>
    <mergeCell ref="C153:D153"/>
    <mergeCell ref="C154:D154"/>
    <mergeCell ref="C155:D155"/>
    <mergeCell ref="C156:D156"/>
    <mergeCell ref="C157:D157"/>
    <mergeCell ref="C182:M182"/>
    <mergeCell ref="H183:I183"/>
    <mergeCell ref="A185:M185"/>
    <mergeCell ref="A186:M186"/>
    <mergeCell ref="I2:M3"/>
    <mergeCell ref="I4:M5"/>
    <mergeCell ref="I6:M7"/>
    <mergeCell ref="I8:M9"/>
    <mergeCell ref="C176:D176"/>
    <mergeCell ref="C177:D177"/>
    <mergeCell ref="C178:D178"/>
    <mergeCell ref="C179:D179"/>
    <mergeCell ref="C180:M180"/>
    <mergeCell ref="C181:D181"/>
    <mergeCell ref="C170:M170"/>
    <mergeCell ref="C171:D171"/>
    <mergeCell ref="C172:D172"/>
    <mergeCell ref="C173:D173"/>
    <mergeCell ref="C174:D174"/>
    <mergeCell ref="C175:D175"/>
    <mergeCell ref="C164:M164"/>
    <mergeCell ref="C165:D165"/>
    <mergeCell ref="C166:M166"/>
    <mergeCell ref="C167:D167"/>
  </mergeCells>
  <pageMargins left="0.78740157480314965" right="0.39370078740157483" top="0.39370078740157483" bottom="0.39370078740157483" header="0" footer="0.39370078740157483"/>
  <pageSetup paperSize="9" scale="63" fitToHeight="0" orientation="landscape" r:id="rId1"/>
  <headerFooter>
    <oddFooter>&amp;L&amp;A&amp;C&amp;F&amp;Rstran &amp;N / strana &amp;P</oddFooter>
  </headerFooter>
  <rowBreaks count="6" manualBreakCount="6">
    <brk id="27" max="12" man="1"/>
    <brk id="55" max="12" man="1"/>
    <brk id="80" max="12" man="1"/>
    <brk id="110" max="12" man="1"/>
    <brk id="144" max="12" man="1"/>
    <brk id="170" max="12"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9B688-98F0-4CCE-94A2-DA4DD6D086D6}">
  <sheetPr codeName="List10">
    <pageSetUpPr fitToPage="1"/>
  </sheetPr>
  <dimension ref="A1:BV183"/>
  <sheetViews>
    <sheetView view="pageBreakPreview" zoomScale="55" zoomScaleNormal="10" zoomScaleSheetLayoutView="55" workbookViewId="0">
      <pane ySplit="11" topLeftCell="A12" activePane="bottomLeft" state="frozen"/>
      <selection pane="bottomLeft" sqref="A1:M1"/>
    </sheetView>
  </sheetViews>
  <sheetFormatPr defaultColWidth="12.109375" defaultRowHeight="15" customHeight="1" x14ac:dyDescent="0.3"/>
  <cols>
    <col min="1" max="1" width="4" style="221" customWidth="1"/>
    <col min="2" max="2" width="17.88671875" style="221" customWidth="1"/>
    <col min="3" max="3" width="42.88671875" style="221" customWidth="1"/>
    <col min="4" max="4" width="35.6640625" style="221" customWidth="1"/>
    <col min="5" max="5" width="4.88671875" style="221" customWidth="1"/>
    <col min="6" max="6" width="12.88671875" style="221" customWidth="1"/>
    <col min="7" max="7" width="12" style="221" customWidth="1"/>
    <col min="8" max="10" width="15.6640625" style="221" customWidth="1"/>
    <col min="11" max="12" width="11.6640625" style="221" customWidth="1"/>
    <col min="13" max="13" width="13.44140625" style="221" customWidth="1"/>
    <col min="14" max="73" width="12.109375" style="221"/>
    <col min="74" max="74" width="78.5546875" style="221" hidden="1" customWidth="1"/>
    <col min="75" max="16384" width="12.109375" style="221"/>
  </cols>
  <sheetData>
    <row r="1" spans="1:74" ht="54.75" customHeight="1" thickBot="1" x14ac:dyDescent="0.35">
      <c r="A1" s="523" t="s">
        <v>2303</v>
      </c>
      <c r="B1" s="524"/>
      <c r="C1" s="524"/>
      <c r="D1" s="524"/>
      <c r="E1" s="524"/>
      <c r="F1" s="524"/>
      <c r="G1" s="524"/>
      <c r="H1" s="524"/>
      <c r="I1" s="524"/>
      <c r="J1" s="524"/>
      <c r="K1" s="524"/>
      <c r="L1" s="524"/>
      <c r="M1" s="525"/>
      <c r="AQ1" s="222">
        <f>SUM(AH1:AH2)</f>
        <v>0</v>
      </c>
      <c r="AR1" s="222">
        <f>SUM(AI1:AI2)</f>
        <v>0</v>
      </c>
      <c r="AS1" s="222">
        <f>SUM(AJ1:AJ2)</f>
        <v>0</v>
      </c>
    </row>
    <row r="2" spans="1:74" ht="15" customHeight="1" x14ac:dyDescent="0.3">
      <c r="A2" s="518" t="s">
        <v>112</v>
      </c>
      <c r="B2" s="519"/>
      <c r="C2" s="526" t="s">
        <v>68</v>
      </c>
      <c r="D2" s="527"/>
      <c r="E2" s="565" t="s">
        <v>113</v>
      </c>
      <c r="F2" s="565"/>
      <c r="G2" s="522" t="s">
        <v>1156</v>
      </c>
      <c r="H2" s="551" t="s">
        <v>457</v>
      </c>
      <c r="I2" s="551" t="s">
        <v>69</v>
      </c>
      <c r="J2" s="551"/>
      <c r="K2" s="551"/>
      <c r="L2" s="551"/>
      <c r="M2" s="552"/>
    </row>
    <row r="3" spans="1:74" ht="14.4" x14ac:dyDescent="0.3">
      <c r="A3" s="520"/>
      <c r="B3" s="519"/>
      <c r="C3" s="527"/>
      <c r="D3" s="527"/>
      <c r="E3" s="565"/>
      <c r="F3" s="565"/>
      <c r="G3" s="522"/>
      <c r="H3" s="551"/>
      <c r="I3" s="551"/>
      <c r="J3" s="551"/>
      <c r="K3" s="551"/>
      <c r="L3" s="551"/>
      <c r="M3" s="552"/>
    </row>
    <row r="4" spans="1:74" ht="15" customHeight="1" x14ac:dyDescent="0.3">
      <c r="A4" s="518" t="s">
        <v>115</v>
      </c>
      <c r="B4" s="519"/>
      <c r="C4" s="521" t="s">
        <v>88</v>
      </c>
      <c r="D4" s="519"/>
      <c r="E4" s="565" t="s">
        <v>116</v>
      </c>
      <c r="F4" s="565"/>
      <c r="G4" s="522" t="s">
        <v>1156</v>
      </c>
      <c r="H4" s="551" t="s">
        <v>458</v>
      </c>
      <c r="I4" s="551" t="s">
        <v>1157</v>
      </c>
      <c r="J4" s="551"/>
      <c r="K4" s="551"/>
      <c r="L4" s="551"/>
      <c r="M4" s="552"/>
    </row>
    <row r="5" spans="1:74" ht="14.4" x14ac:dyDescent="0.3">
      <c r="A5" s="520"/>
      <c r="B5" s="519"/>
      <c r="C5" s="519"/>
      <c r="D5" s="519"/>
      <c r="E5" s="565"/>
      <c r="F5" s="565"/>
      <c r="G5" s="522"/>
      <c r="H5" s="551"/>
      <c r="I5" s="551"/>
      <c r="J5" s="551"/>
      <c r="K5" s="551"/>
      <c r="L5" s="551"/>
      <c r="M5" s="552"/>
    </row>
    <row r="6" spans="1:74" ht="15" customHeight="1" x14ac:dyDescent="0.3">
      <c r="A6" s="518" t="s">
        <v>117</v>
      </c>
      <c r="B6" s="519"/>
      <c r="C6" s="521" t="s">
        <v>459</v>
      </c>
      <c r="D6" s="519"/>
      <c r="E6" s="565" t="s">
        <v>119</v>
      </c>
      <c r="F6" s="565"/>
      <c r="G6" s="522" t="s">
        <v>1156</v>
      </c>
      <c r="H6" s="551" t="s">
        <v>460</v>
      </c>
      <c r="I6" s="551" t="s">
        <v>461</v>
      </c>
      <c r="J6" s="551"/>
      <c r="K6" s="551"/>
      <c r="L6" s="551"/>
      <c r="M6" s="552"/>
    </row>
    <row r="7" spans="1:74" ht="14.4" x14ac:dyDescent="0.3">
      <c r="A7" s="520"/>
      <c r="B7" s="519"/>
      <c r="C7" s="519"/>
      <c r="D7" s="519"/>
      <c r="E7" s="565"/>
      <c r="F7" s="565"/>
      <c r="G7" s="522"/>
      <c r="H7" s="551"/>
      <c r="I7" s="551"/>
      <c r="J7" s="551"/>
      <c r="K7" s="551"/>
      <c r="L7" s="551"/>
      <c r="M7" s="552"/>
    </row>
    <row r="8" spans="1:74" ht="14.4" x14ac:dyDescent="0.3">
      <c r="A8" s="518" t="s">
        <v>120</v>
      </c>
      <c r="B8" s="519"/>
      <c r="C8" s="521" t="s">
        <v>121</v>
      </c>
      <c r="D8" s="519"/>
      <c r="E8" s="565" t="s">
        <v>122</v>
      </c>
      <c r="F8" s="565"/>
      <c r="G8" s="522" t="s">
        <v>1155</v>
      </c>
      <c r="H8" s="551" t="s">
        <v>462</v>
      </c>
      <c r="I8" s="551" t="s">
        <v>1158</v>
      </c>
      <c r="J8" s="551"/>
      <c r="K8" s="551"/>
      <c r="L8" s="551"/>
      <c r="M8" s="552"/>
    </row>
    <row r="9" spans="1:74" thickBot="1" x14ac:dyDescent="0.35">
      <c r="A9" s="607"/>
      <c r="B9" s="533"/>
      <c r="C9" s="533"/>
      <c r="D9" s="533"/>
      <c r="E9" s="576"/>
      <c r="F9" s="576"/>
      <c r="G9" s="534"/>
      <c r="H9" s="553"/>
      <c r="I9" s="553"/>
      <c r="J9" s="553"/>
      <c r="K9" s="553"/>
      <c r="L9" s="553"/>
      <c r="M9" s="554"/>
    </row>
    <row r="10" spans="1:74" ht="14.4" x14ac:dyDescent="0.3">
      <c r="A10" s="246" t="s">
        <v>123</v>
      </c>
      <c r="B10" s="247" t="s">
        <v>124</v>
      </c>
      <c r="C10" s="555" t="s">
        <v>125</v>
      </c>
      <c r="D10" s="556"/>
      <c r="E10" s="247" t="s">
        <v>126</v>
      </c>
      <c r="F10" s="248" t="s">
        <v>127</v>
      </c>
      <c r="G10" s="249" t="s">
        <v>128</v>
      </c>
      <c r="H10" s="557" t="s">
        <v>129</v>
      </c>
      <c r="I10" s="558"/>
      <c r="J10" s="559"/>
      <c r="K10" s="558" t="s">
        <v>130</v>
      </c>
      <c r="L10" s="558"/>
      <c r="M10" s="250" t="s">
        <v>131</v>
      </c>
      <c r="BI10" s="229" t="s">
        <v>132</v>
      </c>
      <c r="BJ10" s="230" t="s">
        <v>133</v>
      </c>
      <c r="BU10" s="230" t="s">
        <v>134</v>
      </c>
    </row>
    <row r="11" spans="1:74" thickBot="1" x14ac:dyDescent="0.35">
      <c r="A11" s="251" t="s">
        <v>114</v>
      </c>
      <c r="B11" s="252" t="s">
        <v>114</v>
      </c>
      <c r="C11" s="528" t="s">
        <v>135</v>
      </c>
      <c r="D11" s="529"/>
      <c r="E11" s="252" t="s">
        <v>114</v>
      </c>
      <c r="F11" s="252" t="s">
        <v>114</v>
      </c>
      <c r="G11" s="253" t="s">
        <v>136</v>
      </c>
      <c r="H11" s="254" t="s">
        <v>137</v>
      </c>
      <c r="I11" s="255" t="s">
        <v>138</v>
      </c>
      <c r="J11" s="256" t="s">
        <v>139</v>
      </c>
      <c r="K11" s="255" t="s">
        <v>140</v>
      </c>
      <c r="L11" s="253" t="s">
        <v>139</v>
      </c>
      <c r="M11" s="257" t="s">
        <v>141</v>
      </c>
      <c r="X11" s="229" t="s">
        <v>142</v>
      </c>
      <c r="Y11" s="229" t="s">
        <v>143</v>
      </c>
      <c r="Z11" s="229" t="s">
        <v>144</v>
      </c>
      <c r="AA11" s="229" t="s">
        <v>145</v>
      </c>
      <c r="AB11" s="229" t="s">
        <v>146</v>
      </c>
      <c r="AC11" s="229" t="s">
        <v>147</v>
      </c>
      <c r="AD11" s="229" t="s">
        <v>148</v>
      </c>
      <c r="AE11" s="229" t="s">
        <v>149</v>
      </c>
      <c r="AF11" s="229" t="s">
        <v>150</v>
      </c>
      <c r="BF11" s="229" t="s">
        <v>151</v>
      </c>
      <c r="BG11" s="229" t="s">
        <v>152</v>
      </c>
      <c r="BH11" s="229" t="s">
        <v>153</v>
      </c>
    </row>
    <row r="12" spans="1:74" ht="14.4" x14ac:dyDescent="0.3">
      <c r="A12" s="239" t="s">
        <v>154</v>
      </c>
      <c r="B12" s="224" t="s">
        <v>155</v>
      </c>
      <c r="C12" s="526" t="s">
        <v>156</v>
      </c>
      <c r="D12" s="527"/>
      <c r="E12" s="223" t="s">
        <v>114</v>
      </c>
      <c r="F12" s="223" t="s">
        <v>114</v>
      </c>
      <c r="G12" s="223" t="s">
        <v>114</v>
      </c>
      <c r="H12" s="235">
        <f>SUM(H13:H25)</f>
        <v>0</v>
      </c>
      <c r="I12" s="235">
        <f>SUM(I13:I25)</f>
        <v>0</v>
      </c>
      <c r="J12" s="235">
        <f>SUM(J13:J25)</f>
        <v>0</v>
      </c>
      <c r="K12" s="230" t="s">
        <v>154</v>
      </c>
      <c r="L12" s="235">
        <f>SUM(L13:L25)</f>
        <v>11.02216</v>
      </c>
      <c r="M12" s="243" t="s">
        <v>154</v>
      </c>
      <c r="AG12" s="229" t="s">
        <v>154</v>
      </c>
      <c r="AQ12" s="222">
        <f>SUM(AH13:AH25)</f>
        <v>0</v>
      </c>
      <c r="AR12" s="222">
        <f>SUM(AI13:AI25)</f>
        <v>0</v>
      </c>
      <c r="AS12" s="222">
        <f>SUM(AJ13:AJ25)</f>
        <v>0</v>
      </c>
    </row>
    <row r="13" spans="1:74" ht="14.4" x14ac:dyDescent="0.3">
      <c r="A13" s="239" t="s">
        <v>157</v>
      </c>
      <c r="B13" s="223" t="s">
        <v>167</v>
      </c>
      <c r="C13" s="521" t="s">
        <v>168</v>
      </c>
      <c r="D13" s="519"/>
      <c r="E13" s="223" t="s">
        <v>160</v>
      </c>
      <c r="F13" s="233">
        <v>3.48</v>
      </c>
      <c r="G13" s="311">
        <v>0</v>
      </c>
      <c r="H13" s="233">
        <f>F13*AM13</f>
        <v>0</v>
      </c>
      <c r="I13" s="233">
        <f>F13*AN13</f>
        <v>0</v>
      </c>
      <c r="J13" s="233">
        <f>F13*G13</f>
        <v>0</v>
      </c>
      <c r="K13" s="233">
        <v>8.6899999999999998E-3</v>
      </c>
      <c r="L13" s="233">
        <f>F13*K13</f>
        <v>3.0241199999999999E-2</v>
      </c>
      <c r="M13" s="240" t="s">
        <v>472</v>
      </c>
      <c r="X13" s="233">
        <f>IF(AO13="5",BH13,0)</f>
        <v>0</v>
      </c>
      <c r="Z13" s="233">
        <f>IF(AO13="1",BF13,0)</f>
        <v>0</v>
      </c>
      <c r="AA13" s="233">
        <f>IF(AO13="1",BG13,0)</f>
        <v>0</v>
      </c>
      <c r="AB13" s="233">
        <f>IF(AO13="7",BF13,0)</f>
        <v>0</v>
      </c>
      <c r="AC13" s="233">
        <f>IF(AO13="7",BG13,0)</f>
        <v>0</v>
      </c>
      <c r="AD13" s="233">
        <f>IF(AO13="2",BF13,0)</f>
        <v>0</v>
      </c>
      <c r="AE13" s="233">
        <f>IF(AO13="2",BG13,0)</f>
        <v>0</v>
      </c>
      <c r="AF13" s="233">
        <f>IF(AO13="0",BH13,0)</f>
        <v>0</v>
      </c>
      <c r="AG13" s="229" t="s">
        <v>154</v>
      </c>
      <c r="AH13" s="233">
        <f>IF(AL13=0,J13,0)</f>
        <v>0</v>
      </c>
      <c r="AI13" s="233">
        <f>IF(AL13=15,J13,0)</f>
        <v>0</v>
      </c>
      <c r="AJ13" s="233">
        <f>IF(AL13=21,J13,0)</f>
        <v>0</v>
      </c>
      <c r="AL13" s="233">
        <v>15</v>
      </c>
      <c r="AM13" s="233">
        <f>G13*0.063874674</f>
        <v>0</v>
      </c>
      <c r="AN13" s="233">
        <f>G13*(1-0.063874674)</f>
        <v>0</v>
      </c>
      <c r="AO13" s="234" t="s">
        <v>157</v>
      </c>
      <c r="AT13" s="233">
        <f>AU13+AV13</f>
        <v>0</v>
      </c>
      <c r="AU13" s="233">
        <f>F13*AM13</f>
        <v>0</v>
      </c>
      <c r="AV13" s="233">
        <f>F13*AN13</f>
        <v>0</v>
      </c>
      <c r="AW13" s="234" t="s">
        <v>162</v>
      </c>
      <c r="AX13" s="234" t="s">
        <v>163</v>
      </c>
      <c r="AY13" s="229" t="s">
        <v>164</v>
      </c>
      <c r="BA13" s="233">
        <f>AU13+AV13</f>
        <v>0</v>
      </c>
      <c r="BB13" s="233">
        <f>G13/(100-BC13)*100</f>
        <v>0</v>
      </c>
      <c r="BC13" s="233">
        <v>0</v>
      </c>
      <c r="BD13" s="233">
        <f>L13</f>
        <v>3.0241199999999999E-2</v>
      </c>
      <c r="BF13" s="233">
        <f>F13*AM13</f>
        <v>0</v>
      </c>
      <c r="BG13" s="233">
        <f>F13*AN13</f>
        <v>0</v>
      </c>
      <c r="BH13" s="233">
        <f>F13*G13</f>
        <v>0</v>
      </c>
      <c r="BI13" s="233"/>
      <c r="BJ13" s="233">
        <v>11</v>
      </c>
      <c r="BU13" s="233" t="e">
        <f>#REF!</f>
        <v>#REF!</v>
      </c>
      <c r="BV13" s="225" t="s">
        <v>168</v>
      </c>
    </row>
    <row r="14" spans="1:74" ht="40.5" customHeight="1" x14ac:dyDescent="0.3">
      <c r="A14" s="241"/>
      <c r="B14" s="242" t="s">
        <v>165</v>
      </c>
      <c r="C14" s="530" t="s">
        <v>1712</v>
      </c>
      <c r="D14" s="531"/>
      <c r="E14" s="531"/>
      <c r="F14" s="531"/>
      <c r="G14" s="531"/>
      <c r="H14" s="531"/>
      <c r="I14" s="531"/>
      <c r="J14" s="531"/>
      <c r="K14" s="531"/>
      <c r="L14" s="531"/>
      <c r="M14" s="532"/>
    </row>
    <row r="15" spans="1:74" ht="14.4" x14ac:dyDescent="0.3">
      <c r="A15" s="239" t="s">
        <v>166</v>
      </c>
      <c r="B15" s="223" t="s">
        <v>158</v>
      </c>
      <c r="C15" s="521" t="s">
        <v>159</v>
      </c>
      <c r="D15" s="519"/>
      <c r="E15" s="223" t="s">
        <v>160</v>
      </c>
      <c r="F15" s="233">
        <v>2.61</v>
      </c>
      <c r="G15" s="311">
        <v>0</v>
      </c>
      <c r="H15" s="233">
        <f>F15*AM15</f>
        <v>0</v>
      </c>
      <c r="I15" s="233">
        <f>F15*AN15</f>
        <v>0</v>
      </c>
      <c r="J15" s="233">
        <f>F15*G15</f>
        <v>0</v>
      </c>
      <c r="K15" s="233">
        <v>2.478E-2</v>
      </c>
      <c r="L15" s="233">
        <f>F15*K15</f>
        <v>6.4675799999999992E-2</v>
      </c>
      <c r="M15" s="240" t="s">
        <v>472</v>
      </c>
      <c r="X15" s="233">
        <f>IF(AO15="5",BH15,0)</f>
        <v>0</v>
      </c>
      <c r="Z15" s="233">
        <f>IF(AO15="1",BF15,0)</f>
        <v>0</v>
      </c>
      <c r="AA15" s="233">
        <f>IF(AO15="1",BG15,0)</f>
        <v>0</v>
      </c>
      <c r="AB15" s="233">
        <f>IF(AO15="7",BF15,0)</f>
        <v>0</v>
      </c>
      <c r="AC15" s="233">
        <f>IF(AO15="7",BG15,0)</f>
        <v>0</v>
      </c>
      <c r="AD15" s="233">
        <f>IF(AO15="2",BF15,0)</f>
        <v>0</v>
      </c>
      <c r="AE15" s="233">
        <f>IF(AO15="2",BG15,0)</f>
        <v>0</v>
      </c>
      <c r="AF15" s="233">
        <f>IF(AO15="0",BH15,0)</f>
        <v>0</v>
      </c>
      <c r="AG15" s="229" t="s">
        <v>154</v>
      </c>
      <c r="AH15" s="233">
        <f>IF(AL15=0,J15,0)</f>
        <v>0</v>
      </c>
      <c r="AI15" s="233">
        <f>IF(AL15=15,J15,0)</f>
        <v>0</v>
      </c>
      <c r="AJ15" s="233">
        <f>IF(AL15=21,J15,0)</f>
        <v>0</v>
      </c>
      <c r="AL15" s="233">
        <v>15</v>
      </c>
      <c r="AM15" s="233">
        <f>G15*0.071410196</f>
        <v>0</v>
      </c>
      <c r="AN15" s="233">
        <f>G15*(1-0.071410196)</f>
        <v>0</v>
      </c>
      <c r="AO15" s="234" t="s">
        <v>157</v>
      </c>
      <c r="AT15" s="233">
        <f>AU15+AV15</f>
        <v>0</v>
      </c>
      <c r="AU15" s="233">
        <f>F15*AM15</f>
        <v>0</v>
      </c>
      <c r="AV15" s="233">
        <f>F15*AN15</f>
        <v>0</v>
      </c>
      <c r="AW15" s="234" t="s">
        <v>162</v>
      </c>
      <c r="AX15" s="234" t="s">
        <v>163</v>
      </c>
      <c r="AY15" s="229" t="s">
        <v>164</v>
      </c>
      <c r="BA15" s="233">
        <f>AU15+AV15</f>
        <v>0</v>
      </c>
      <c r="BB15" s="233">
        <f>G15/(100-BC15)*100</f>
        <v>0</v>
      </c>
      <c r="BC15" s="233">
        <v>0</v>
      </c>
      <c r="BD15" s="233">
        <f>L15</f>
        <v>6.4675799999999992E-2</v>
      </c>
      <c r="BF15" s="233">
        <f>F15*AM15</f>
        <v>0</v>
      </c>
      <c r="BG15" s="233">
        <f>F15*AN15</f>
        <v>0</v>
      </c>
      <c r="BH15" s="233">
        <f>F15*G15</f>
        <v>0</v>
      </c>
      <c r="BI15" s="233"/>
      <c r="BJ15" s="233">
        <v>11</v>
      </c>
      <c r="BU15" s="233" t="e">
        <f>#REF!</f>
        <v>#REF!</v>
      </c>
      <c r="BV15" s="225" t="s">
        <v>159</v>
      </c>
    </row>
    <row r="16" spans="1:74" ht="40.5" customHeight="1" x14ac:dyDescent="0.3">
      <c r="A16" s="241"/>
      <c r="B16" s="242" t="s">
        <v>165</v>
      </c>
      <c r="C16" s="530" t="s">
        <v>1713</v>
      </c>
      <c r="D16" s="531"/>
      <c r="E16" s="531"/>
      <c r="F16" s="531"/>
      <c r="G16" s="531"/>
      <c r="H16" s="531"/>
      <c r="I16" s="531"/>
      <c r="J16" s="531"/>
      <c r="K16" s="531"/>
      <c r="L16" s="531"/>
      <c r="M16" s="532"/>
    </row>
    <row r="17" spans="1:74" ht="14.4" x14ac:dyDescent="0.3">
      <c r="A17" s="239" t="s">
        <v>169</v>
      </c>
      <c r="B17" s="223" t="s">
        <v>170</v>
      </c>
      <c r="C17" s="521" t="s">
        <v>171</v>
      </c>
      <c r="D17" s="519"/>
      <c r="E17" s="223" t="s">
        <v>172</v>
      </c>
      <c r="F17" s="233">
        <v>40</v>
      </c>
      <c r="G17" s="311">
        <v>0</v>
      </c>
      <c r="H17" s="233">
        <f>F17*AM17</f>
        <v>0</v>
      </c>
      <c r="I17" s="233">
        <f>F17*AN17</f>
        <v>0</v>
      </c>
      <c r="J17" s="233">
        <f>F17*G17</f>
        <v>0</v>
      </c>
      <c r="K17" s="233">
        <v>0</v>
      </c>
      <c r="L17" s="233">
        <f>F17*K17</f>
        <v>0</v>
      </c>
      <c r="M17" s="240" t="s">
        <v>472</v>
      </c>
      <c r="X17" s="233">
        <f>IF(AO17="5",BH17,0)</f>
        <v>0</v>
      </c>
      <c r="Z17" s="233">
        <f>IF(AO17="1",BF17,0)</f>
        <v>0</v>
      </c>
      <c r="AA17" s="233">
        <f>IF(AO17="1",BG17,0)</f>
        <v>0</v>
      </c>
      <c r="AB17" s="233">
        <f>IF(AO17="7",BF17,0)</f>
        <v>0</v>
      </c>
      <c r="AC17" s="233">
        <f>IF(AO17="7",BG17,0)</f>
        <v>0</v>
      </c>
      <c r="AD17" s="233">
        <f>IF(AO17="2",BF17,0)</f>
        <v>0</v>
      </c>
      <c r="AE17" s="233">
        <f>IF(AO17="2",BG17,0)</f>
        <v>0</v>
      </c>
      <c r="AF17" s="233">
        <f>IF(AO17="0",BH17,0)</f>
        <v>0</v>
      </c>
      <c r="AG17" s="229" t="s">
        <v>154</v>
      </c>
      <c r="AH17" s="233">
        <f>IF(AL17=0,J17,0)</f>
        <v>0</v>
      </c>
      <c r="AI17" s="233">
        <f>IF(AL17=15,J17,0)</f>
        <v>0</v>
      </c>
      <c r="AJ17" s="233">
        <f>IF(AL17=21,J17,0)</f>
        <v>0</v>
      </c>
      <c r="AL17" s="233">
        <v>15</v>
      </c>
      <c r="AM17" s="233">
        <f>G17*0</f>
        <v>0</v>
      </c>
      <c r="AN17" s="233">
        <f>G17*(1-0)</f>
        <v>0</v>
      </c>
      <c r="AO17" s="234" t="s">
        <v>157</v>
      </c>
      <c r="AT17" s="233">
        <f>AU17+AV17</f>
        <v>0</v>
      </c>
      <c r="AU17" s="233">
        <f>F17*AM17</f>
        <v>0</v>
      </c>
      <c r="AV17" s="233">
        <f>F17*AN17</f>
        <v>0</v>
      </c>
      <c r="AW17" s="234" t="s">
        <v>162</v>
      </c>
      <c r="AX17" s="234" t="s">
        <v>163</v>
      </c>
      <c r="AY17" s="229" t="s">
        <v>164</v>
      </c>
      <c r="BA17" s="233">
        <f>AU17+AV17</f>
        <v>0</v>
      </c>
      <c r="BB17" s="233">
        <f>G17/(100-BC17)*100</f>
        <v>0</v>
      </c>
      <c r="BC17" s="233">
        <v>0</v>
      </c>
      <c r="BD17" s="233">
        <f>L17</f>
        <v>0</v>
      </c>
      <c r="BF17" s="233">
        <f>F17*AM17</f>
        <v>0</v>
      </c>
      <c r="BG17" s="233">
        <f>F17*AN17</f>
        <v>0</v>
      </c>
      <c r="BH17" s="233">
        <f>F17*G17</f>
        <v>0</v>
      </c>
      <c r="BI17" s="233"/>
      <c r="BJ17" s="233">
        <v>11</v>
      </c>
      <c r="BU17" s="233" t="e">
        <f>#REF!</f>
        <v>#REF!</v>
      </c>
      <c r="BV17" s="225" t="s">
        <v>171</v>
      </c>
    </row>
    <row r="18" spans="1:74" ht="40.5" customHeight="1" x14ac:dyDescent="0.3">
      <c r="A18" s="241"/>
      <c r="B18" s="242" t="s">
        <v>165</v>
      </c>
      <c r="C18" s="530" t="s">
        <v>1714</v>
      </c>
      <c r="D18" s="531"/>
      <c r="E18" s="531"/>
      <c r="F18" s="531"/>
      <c r="G18" s="531"/>
      <c r="H18" s="531"/>
      <c r="I18" s="531"/>
      <c r="J18" s="531"/>
      <c r="K18" s="531"/>
      <c r="L18" s="531"/>
      <c r="M18" s="532"/>
    </row>
    <row r="19" spans="1:74" ht="14.4" x14ac:dyDescent="0.3">
      <c r="A19" s="239" t="s">
        <v>173</v>
      </c>
      <c r="B19" s="223" t="s">
        <v>174</v>
      </c>
      <c r="C19" s="521" t="s">
        <v>175</v>
      </c>
      <c r="D19" s="519"/>
      <c r="E19" s="223" t="s">
        <v>176</v>
      </c>
      <c r="F19" s="233">
        <v>5</v>
      </c>
      <c r="G19" s="311">
        <v>0</v>
      </c>
      <c r="H19" s="233">
        <f>F19*AM19</f>
        <v>0</v>
      </c>
      <c r="I19" s="233">
        <f>F19*AN19</f>
        <v>0</v>
      </c>
      <c r="J19" s="233">
        <f>F19*G19</f>
        <v>0</v>
      </c>
      <c r="K19" s="233">
        <v>0</v>
      </c>
      <c r="L19" s="233">
        <f>F19*K19</f>
        <v>0</v>
      </c>
      <c r="M19" s="240" t="s">
        <v>472</v>
      </c>
      <c r="X19" s="233">
        <f>IF(AO19="5",BH19,0)</f>
        <v>0</v>
      </c>
      <c r="Z19" s="233">
        <f>IF(AO19="1",BF19,0)</f>
        <v>0</v>
      </c>
      <c r="AA19" s="233">
        <f>IF(AO19="1",BG19,0)</f>
        <v>0</v>
      </c>
      <c r="AB19" s="233">
        <f>IF(AO19="7",BF19,0)</f>
        <v>0</v>
      </c>
      <c r="AC19" s="233">
        <f>IF(AO19="7",BG19,0)</f>
        <v>0</v>
      </c>
      <c r="AD19" s="233">
        <f>IF(AO19="2",BF19,0)</f>
        <v>0</v>
      </c>
      <c r="AE19" s="233">
        <f>IF(AO19="2",BG19,0)</f>
        <v>0</v>
      </c>
      <c r="AF19" s="233">
        <f>IF(AO19="0",BH19,0)</f>
        <v>0</v>
      </c>
      <c r="AG19" s="229" t="s">
        <v>154</v>
      </c>
      <c r="AH19" s="233">
        <f>IF(AL19=0,J19,0)</f>
        <v>0</v>
      </c>
      <c r="AI19" s="233">
        <f>IF(AL19=15,J19,0)</f>
        <v>0</v>
      </c>
      <c r="AJ19" s="233">
        <f>IF(AL19=21,J19,0)</f>
        <v>0</v>
      </c>
      <c r="AL19" s="233">
        <v>15</v>
      </c>
      <c r="AM19" s="233">
        <f>G19*0</f>
        <v>0</v>
      </c>
      <c r="AN19" s="233">
        <f>G19*(1-0)</f>
        <v>0</v>
      </c>
      <c r="AO19" s="234" t="s">
        <v>157</v>
      </c>
      <c r="AT19" s="233">
        <f>AU19+AV19</f>
        <v>0</v>
      </c>
      <c r="AU19" s="233">
        <f>F19*AM19</f>
        <v>0</v>
      </c>
      <c r="AV19" s="233">
        <f>F19*AN19</f>
        <v>0</v>
      </c>
      <c r="AW19" s="234" t="s">
        <v>162</v>
      </c>
      <c r="AX19" s="234" t="s">
        <v>163</v>
      </c>
      <c r="AY19" s="229" t="s">
        <v>164</v>
      </c>
      <c r="BA19" s="233">
        <f>AU19+AV19</f>
        <v>0</v>
      </c>
      <c r="BB19" s="233">
        <f>G19/(100-BC19)*100</f>
        <v>0</v>
      </c>
      <c r="BC19" s="233">
        <v>0</v>
      </c>
      <c r="BD19" s="233">
        <f>L19</f>
        <v>0</v>
      </c>
      <c r="BF19" s="233">
        <f>F19*AM19</f>
        <v>0</v>
      </c>
      <c r="BG19" s="233">
        <f>F19*AN19</f>
        <v>0</v>
      </c>
      <c r="BH19" s="233">
        <f>F19*G19</f>
        <v>0</v>
      </c>
      <c r="BI19" s="233"/>
      <c r="BJ19" s="233">
        <v>11</v>
      </c>
      <c r="BU19" s="233" t="e">
        <f>#REF!</f>
        <v>#REF!</v>
      </c>
      <c r="BV19" s="225" t="s">
        <v>175</v>
      </c>
    </row>
    <row r="20" spans="1:74" ht="40.5" customHeight="1" x14ac:dyDescent="0.3">
      <c r="A20" s="241"/>
      <c r="B20" s="242" t="s">
        <v>165</v>
      </c>
      <c r="C20" s="530" t="s">
        <v>1715</v>
      </c>
      <c r="D20" s="531"/>
      <c r="E20" s="531"/>
      <c r="F20" s="531"/>
      <c r="G20" s="531"/>
      <c r="H20" s="531"/>
      <c r="I20" s="531"/>
      <c r="J20" s="531"/>
      <c r="K20" s="531"/>
      <c r="L20" s="531"/>
      <c r="M20" s="532"/>
    </row>
    <row r="21" spans="1:74" ht="14.4" x14ac:dyDescent="0.3">
      <c r="A21" s="239" t="s">
        <v>177</v>
      </c>
      <c r="B21" s="223" t="s">
        <v>182</v>
      </c>
      <c r="C21" s="521" t="s">
        <v>976</v>
      </c>
      <c r="D21" s="519"/>
      <c r="E21" s="223" t="s">
        <v>180</v>
      </c>
      <c r="F21" s="233">
        <v>6.03</v>
      </c>
      <c r="G21" s="311">
        <v>0</v>
      </c>
      <c r="H21" s="233">
        <f>F21*AM21</f>
        <v>0</v>
      </c>
      <c r="I21" s="233">
        <f>F21*AN21</f>
        <v>0</v>
      </c>
      <c r="J21" s="233">
        <f>F21*G21</f>
        <v>0</v>
      </c>
      <c r="K21" s="233">
        <v>0.90010000000000001</v>
      </c>
      <c r="L21" s="233">
        <f>F21*K21</f>
        <v>5.4276030000000004</v>
      </c>
      <c r="M21" s="240" t="s">
        <v>472</v>
      </c>
      <c r="X21" s="233">
        <f>IF(AO21="5",BH21,0)</f>
        <v>0</v>
      </c>
      <c r="Z21" s="233">
        <f>IF(AO21="1",BF21,0)</f>
        <v>0</v>
      </c>
      <c r="AA21" s="233">
        <f>IF(AO21="1",BG21,0)</f>
        <v>0</v>
      </c>
      <c r="AB21" s="233">
        <f>IF(AO21="7",BF21,0)</f>
        <v>0</v>
      </c>
      <c r="AC21" s="233">
        <f>IF(AO21="7",BG21,0)</f>
        <v>0</v>
      </c>
      <c r="AD21" s="233">
        <f>IF(AO21="2",BF21,0)</f>
        <v>0</v>
      </c>
      <c r="AE21" s="233">
        <f>IF(AO21="2",BG21,0)</f>
        <v>0</v>
      </c>
      <c r="AF21" s="233">
        <f>IF(AO21="0",BH21,0)</f>
        <v>0</v>
      </c>
      <c r="AG21" s="229" t="s">
        <v>154</v>
      </c>
      <c r="AH21" s="233">
        <f>IF(AL21=0,J21,0)</f>
        <v>0</v>
      </c>
      <c r="AI21" s="233">
        <f>IF(AL21=15,J21,0)</f>
        <v>0</v>
      </c>
      <c r="AJ21" s="233">
        <f>IF(AL21=21,J21,0)</f>
        <v>0</v>
      </c>
      <c r="AL21" s="233">
        <v>15</v>
      </c>
      <c r="AM21" s="233">
        <f>G21*0.006693302</f>
        <v>0</v>
      </c>
      <c r="AN21" s="233">
        <f>G21*(1-0.006693302)</f>
        <v>0</v>
      </c>
      <c r="AO21" s="234" t="s">
        <v>157</v>
      </c>
      <c r="AT21" s="233">
        <f>AU21+AV21</f>
        <v>0</v>
      </c>
      <c r="AU21" s="233">
        <f>F21*AM21</f>
        <v>0</v>
      </c>
      <c r="AV21" s="233">
        <f>F21*AN21</f>
        <v>0</v>
      </c>
      <c r="AW21" s="234" t="s">
        <v>162</v>
      </c>
      <c r="AX21" s="234" t="s">
        <v>163</v>
      </c>
      <c r="AY21" s="229" t="s">
        <v>164</v>
      </c>
      <c r="BA21" s="233">
        <f>AU21+AV21</f>
        <v>0</v>
      </c>
      <c r="BB21" s="233">
        <f>G21/(100-BC21)*100</f>
        <v>0</v>
      </c>
      <c r="BC21" s="233">
        <v>0</v>
      </c>
      <c r="BD21" s="233">
        <f>L21</f>
        <v>5.4276030000000004</v>
      </c>
      <c r="BF21" s="233">
        <f>F21*AM21</f>
        <v>0</v>
      </c>
      <c r="BG21" s="233">
        <f>F21*AN21</f>
        <v>0</v>
      </c>
      <c r="BH21" s="233">
        <f>F21*G21</f>
        <v>0</v>
      </c>
      <c r="BI21" s="233"/>
      <c r="BJ21" s="233">
        <v>11</v>
      </c>
      <c r="BU21" s="233" t="e">
        <f>#REF!</f>
        <v>#REF!</v>
      </c>
      <c r="BV21" s="225" t="s">
        <v>976</v>
      </c>
    </row>
    <row r="22" spans="1:74" ht="162" customHeight="1" x14ac:dyDescent="0.3">
      <c r="A22" s="241"/>
      <c r="B22" s="242" t="s">
        <v>165</v>
      </c>
      <c r="C22" s="530" t="s">
        <v>1716</v>
      </c>
      <c r="D22" s="531"/>
      <c r="E22" s="531"/>
      <c r="F22" s="531"/>
      <c r="G22" s="531"/>
      <c r="H22" s="531"/>
      <c r="I22" s="531"/>
      <c r="J22" s="531"/>
      <c r="K22" s="531"/>
      <c r="L22" s="531"/>
      <c r="M22" s="532"/>
    </row>
    <row r="23" spans="1:74" ht="14.4" x14ac:dyDescent="0.3">
      <c r="A23" s="239" t="s">
        <v>181</v>
      </c>
      <c r="B23" s="223" t="s">
        <v>977</v>
      </c>
      <c r="C23" s="521" t="s">
        <v>978</v>
      </c>
      <c r="D23" s="519"/>
      <c r="E23" s="223" t="s">
        <v>180</v>
      </c>
      <c r="F23" s="233">
        <v>5.74</v>
      </c>
      <c r="G23" s="311">
        <v>0</v>
      </c>
      <c r="H23" s="233">
        <f>F23*AM23</f>
        <v>0</v>
      </c>
      <c r="I23" s="233">
        <f>F23*AN23</f>
        <v>0</v>
      </c>
      <c r="J23" s="233">
        <f>F23*G23</f>
        <v>0</v>
      </c>
      <c r="K23" s="233">
        <v>0.39600000000000002</v>
      </c>
      <c r="L23" s="233">
        <f>F23*K23</f>
        <v>2.2730400000000004</v>
      </c>
      <c r="M23" s="240" t="s">
        <v>472</v>
      </c>
      <c r="X23" s="233">
        <f>IF(AO23="5",BH23,0)</f>
        <v>0</v>
      </c>
      <c r="Z23" s="233">
        <f>IF(AO23="1",BF23,0)</f>
        <v>0</v>
      </c>
      <c r="AA23" s="233">
        <f>IF(AO23="1",BG23,0)</f>
        <v>0</v>
      </c>
      <c r="AB23" s="233">
        <f>IF(AO23="7",BF23,0)</f>
        <v>0</v>
      </c>
      <c r="AC23" s="233">
        <f>IF(AO23="7",BG23,0)</f>
        <v>0</v>
      </c>
      <c r="AD23" s="233">
        <f>IF(AO23="2",BF23,0)</f>
        <v>0</v>
      </c>
      <c r="AE23" s="233">
        <f>IF(AO23="2",BG23,0)</f>
        <v>0</v>
      </c>
      <c r="AF23" s="233">
        <f>IF(AO23="0",BH23,0)</f>
        <v>0</v>
      </c>
      <c r="AG23" s="229" t="s">
        <v>154</v>
      </c>
      <c r="AH23" s="233">
        <f>IF(AL23=0,J23,0)</f>
        <v>0</v>
      </c>
      <c r="AI23" s="233">
        <f>IF(AL23=15,J23,0)</f>
        <v>0</v>
      </c>
      <c r="AJ23" s="233">
        <f>IF(AL23=21,J23,0)</f>
        <v>0</v>
      </c>
      <c r="AL23" s="233">
        <v>15</v>
      </c>
      <c r="AM23" s="233">
        <f>G23*0</f>
        <v>0</v>
      </c>
      <c r="AN23" s="233">
        <f>G23*(1-0)</f>
        <v>0</v>
      </c>
      <c r="AO23" s="234" t="s">
        <v>157</v>
      </c>
      <c r="AT23" s="233">
        <f>AU23+AV23</f>
        <v>0</v>
      </c>
      <c r="AU23" s="233">
        <f>F23*AM23</f>
        <v>0</v>
      </c>
      <c r="AV23" s="233">
        <f>F23*AN23</f>
        <v>0</v>
      </c>
      <c r="AW23" s="234" t="s">
        <v>162</v>
      </c>
      <c r="AX23" s="234" t="s">
        <v>163</v>
      </c>
      <c r="AY23" s="229" t="s">
        <v>164</v>
      </c>
      <c r="BA23" s="233">
        <f>AU23+AV23</f>
        <v>0</v>
      </c>
      <c r="BB23" s="233">
        <f>G23/(100-BC23)*100</f>
        <v>0</v>
      </c>
      <c r="BC23" s="233">
        <v>0</v>
      </c>
      <c r="BD23" s="233">
        <f>L23</f>
        <v>2.2730400000000004</v>
      </c>
      <c r="BF23" s="233">
        <f>F23*AM23</f>
        <v>0</v>
      </c>
      <c r="BG23" s="233">
        <f>F23*AN23</f>
        <v>0</v>
      </c>
      <c r="BH23" s="233">
        <f>F23*G23</f>
        <v>0</v>
      </c>
      <c r="BI23" s="233"/>
      <c r="BJ23" s="233">
        <v>11</v>
      </c>
      <c r="BU23" s="233" t="e">
        <f>#REF!</f>
        <v>#REF!</v>
      </c>
      <c r="BV23" s="225" t="s">
        <v>978</v>
      </c>
    </row>
    <row r="24" spans="1:74" ht="67.5" customHeight="1" x14ac:dyDescent="0.3">
      <c r="A24" s="241"/>
      <c r="B24" s="242" t="s">
        <v>165</v>
      </c>
      <c r="C24" s="530" t="s">
        <v>1717</v>
      </c>
      <c r="D24" s="531"/>
      <c r="E24" s="531"/>
      <c r="F24" s="531"/>
      <c r="G24" s="531"/>
      <c r="H24" s="531"/>
      <c r="I24" s="531"/>
      <c r="J24" s="531"/>
      <c r="K24" s="531"/>
      <c r="L24" s="531"/>
      <c r="M24" s="532"/>
    </row>
    <row r="25" spans="1:74" ht="14.4" x14ac:dyDescent="0.3">
      <c r="A25" s="239" t="s">
        <v>184</v>
      </c>
      <c r="B25" s="223" t="s">
        <v>185</v>
      </c>
      <c r="C25" s="521" t="s">
        <v>979</v>
      </c>
      <c r="D25" s="519"/>
      <c r="E25" s="223" t="s">
        <v>180</v>
      </c>
      <c r="F25" s="233">
        <v>2.92</v>
      </c>
      <c r="G25" s="311">
        <v>0</v>
      </c>
      <c r="H25" s="233">
        <f>F25*AM25</f>
        <v>0</v>
      </c>
      <c r="I25" s="233">
        <f>F25*AN25</f>
        <v>0</v>
      </c>
      <c r="J25" s="233">
        <f>F25*G25</f>
        <v>0</v>
      </c>
      <c r="K25" s="233">
        <v>1.105</v>
      </c>
      <c r="L25" s="233">
        <f>F25*K25</f>
        <v>3.2265999999999999</v>
      </c>
      <c r="M25" s="240" t="s">
        <v>472</v>
      </c>
      <c r="X25" s="233">
        <f>IF(AO25="5",BH25,0)</f>
        <v>0</v>
      </c>
      <c r="Z25" s="233">
        <f>IF(AO25="1",BF25,0)</f>
        <v>0</v>
      </c>
      <c r="AA25" s="233">
        <f>IF(AO25="1",BG25,0)</f>
        <v>0</v>
      </c>
      <c r="AB25" s="233">
        <f>IF(AO25="7",BF25,0)</f>
        <v>0</v>
      </c>
      <c r="AC25" s="233">
        <f>IF(AO25="7",BG25,0)</f>
        <v>0</v>
      </c>
      <c r="AD25" s="233">
        <f>IF(AO25="2",BF25,0)</f>
        <v>0</v>
      </c>
      <c r="AE25" s="233">
        <f>IF(AO25="2",BG25,0)</f>
        <v>0</v>
      </c>
      <c r="AF25" s="233">
        <f>IF(AO25="0",BH25,0)</f>
        <v>0</v>
      </c>
      <c r="AG25" s="229" t="s">
        <v>154</v>
      </c>
      <c r="AH25" s="233">
        <f>IF(AL25=0,J25,0)</f>
        <v>0</v>
      </c>
      <c r="AI25" s="233">
        <f>IF(AL25=15,J25,0)</f>
        <v>0</v>
      </c>
      <c r="AJ25" s="233">
        <f>IF(AL25=21,J25,0)</f>
        <v>0</v>
      </c>
      <c r="AL25" s="233">
        <v>15</v>
      </c>
      <c r="AM25" s="233">
        <f>G25*0</f>
        <v>0</v>
      </c>
      <c r="AN25" s="233">
        <f>G25*(1-0)</f>
        <v>0</v>
      </c>
      <c r="AO25" s="234" t="s">
        <v>157</v>
      </c>
      <c r="AT25" s="233">
        <f>AU25+AV25</f>
        <v>0</v>
      </c>
      <c r="AU25" s="233">
        <f>F25*AM25</f>
        <v>0</v>
      </c>
      <c r="AV25" s="233">
        <f>F25*AN25</f>
        <v>0</v>
      </c>
      <c r="AW25" s="234" t="s">
        <v>162</v>
      </c>
      <c r="AX25" s="234" t="s">
        <v>163</v>
      </c>
      <c r="AY25" s="229" t="s">
        <v>164</v>
      </c>
      <c r="BA25" s="233">
        <f>AU25+AV25</f>
        <v>0</v>
      </c>
      <c r="BB25" s="233">
        <f>G25/(100-BC25)*100</f>
        <v>0</v>
      </c>
      <c r="BC25" s="233">
        <v>0</v>
      </c>
      <c r="BD25" s="233">
        <f>L25</f>
        <v>3.2265999999999999</v>
      </c>
      <c r="BF25" s="233">
        <f>F25*AM25</f>
        <v>0</v>
      </c>
      <c r="BG25" s="233">
        <f>F25*AN25</f>
        <v>0</v>
      </c>
      <c r="BH25" s="233">
        <f>F25*G25</f>
        <v>0</v>
      </c>
      <c r="BI25" s="233"/>
      <c r="BJ25" s="233">
        <v>11</v>
      </c>
      <c r="BU25" s="233" t="e">
        <f>#REF!</f>
        <v>#REF!</v>
      </c>
      <c r="BV25" s="225" t="s">
        <v>979</v>
      </c>
    </row>
    <row r="26" spans="1:74" ht="121.5" customHeight="1" x14ac:dyDescent="0.3">
      <c r="A26" s="244"/>
      <c r="B26" s="245" t="s">
        <v>165</v>
      </c>
      <c r="C26" s="540" t="s">
        <v>1718</v>
      </c>
      <c r="D26" s="541"/>
      <c r="E26" s="541"/>
      <c r="F26" s="541"/>
      <c r="G26" s="541"/>
      <c r="H26" s="541"/>
      <c r="I26" s="541"/>
      <c r="J26" s="541"/>
      <c r="K26" s="541"/>
      <c r="L26" s="541"/>
      <c r="M26" s="542"/>
    </row>
    <row r="27" spans="1:74" ht="14.4" x14ac:dyDescent="0.3">
      <c r="A27" s="237" t="s">
        <v>154</v>
      </c>
      <c r="B27" s="260" t="s">
        <v>191</v>
      </c>
      <c r="C27" s="545" t="s">
        <v>192</v>
      </c>
      <c r="D27" s="546"/>
      <c r="E27" s="238" t="s">
        <v>114</v>
      </c>
      <c r="F27" s="238" t="s">
        <v>114</v>
      </c>
      <c r="G27" s="238" t="s">
        <v>114</v>
      </c>
      <c r="H27" s="261">
        <f>SUM(H28:H30)</f>
        <v>0</v>
      </c>
      <c r="I27" s="261">
        <f>SUM(I28:I30)</f>
        <v>0</v>
      </c>
      <c r="J27" s="261">
        <f>SUM(J28:J30)</f>
        <v>0</v>
      </c>
      <c r="K27" s="262" t="s">
        <v>154</v>
      </c>
      <c r="L27" s="261">
        <f>SUM(L28:L30)</f>
        <v>0</v>
      </c>
      <c r="M27" s="263" t="s">
        <v>154</v>
      </c>
      <c r="AG27" s="229" t="s">
        <v>154</v>
      </c>
      <c r="AQ27" s="222">
        <f>SUM(AH28:AH30)</f>
        <v>0</v>
      </c>
      <c r="AR27" s="222">
        <f>SUM(AI28:AI30)</f>
        <v>0</v>
      </c>
      <c r="AS27" s="222">
        <f>SUM(AJ28:AJ30)</f>
        <v>0</v>
      </c>
    </row>
    <row r="28" spans="1:74" ht="14.4" x14ac:dyDescent="0.3">
      <c r="A28" s="239" t="s">
        <v>187</v>
      </c>
      <c r="B28" s="223" t="s">
        <v>194</v>
      </c>
      <c r="C28" s="521" t="s">
        <v>195</v>
      </c>
      <c r="D28" s="519"/>
      <c r="E28" s="223" t="s">
        <v>196</v>
      </c>
      <c r="F28" s="233">
        <v>4.79</v>
      </c>
      <c r="G28" s="311">
        <v>0</v>
      </c>
      <c r="H28" s="233">
        <f>F28*AM28</f>
        <v>0</v>
      </c>
      <c r="I28" s="233">
        <f>F28*AN28</f>
        <v>0</v>
      </c>
      <c r="J28" s="233">
        <f>F28*G28</f>
        <v>0</v>
      </c>
      <c r="K28" s="233">
        <v>0</v>
      </c>
      <c r="L28" s="233">
        <f>F28*K28</f>
        <v>0</v>
      </c>
      <c r="M28" s="240" t="s">
        <v>472</v>
      </c>
      <c r="X28" s="233">
        <f>IF(AO28="5",BH28,0)</f>
        <v>0</v>
      </c>
      <c r="Z28" s="233">
        <f>IF(AO28="1",BF28,0)</f>
        <v>0</v>
      </c>
      <c r="AA28" s="233">
        <f>IF(AO28="1",BG28,0)</f>
        <v>0</v>
      </c>
      <c r="AB28" s="233">
        <f>IF(AO28="7",BF28,0)</f>
        <v>0</v>
      </c>
      <c r="AC28" s="233">
        <f>IF(AO28="7",BG28,0)</f>
        <v>0</v>
      </c>
      <c r="AD28" s="233">
        <f>IF(AO28="2",BF28,0)</f>
        <v>0</v>
      </c>
      <c r="AE28" s="233">
        <f>IF(AO28="2",BG28,0)</f>
        <v>0</v>
      </c>
      <c r="AF28" s="233">
        <f>IF(AO28="0",BH28,0)</f>
        <v>0</v>
      </c>
      <c r="AG28" s="229" t="s">
        <v>154</v>
      </c>
      <c r="AH28" s="233">
        <f>IF(AL28=0,J28,0)</f>
        <v>0</v>
      </c>
      <c r="AI28" s="233">
        <f>IF(AL28=15,J28,0)</f>
        <v>0</v>
      </c>
      <c r="AJ28" s="233">
        <f>IF(AL28=21,J28,0)</f>
        <v>0</v>
      </c>
      <c r="AL28" s="233">
        <v>15</v>
      </c>
      <c r="AM28" s="233">
        <f>G28*0</f>
        <v>0</v>
      </c>
      <c r="AN28" s="233">
        <f>G28*(1-0)</f>
        <v>0</v>
      </c>
      <c r="AO28" s="234" t="s">
        <v>157</v>
      </c>
      <c r="AT28" s="233">
        <f>AU28+AV28</f>
        <v>0</v>
      </c>
      <c r="AU28" s="233">
        <f>F28*AM28</f>
        <v>0</v>
      </c>
      <c r="AV28" s="233">
        <f>F28*AN28</f>
        <v>0</v>
      </c>
      <c r="AW28" s="234" t="s">
        <v>197</v>
      </c>
      <c r="AX28" s="234" t="s">
        <v>163</v>
      </c>
      <c r="AY28" s="229" t="s">
        <v>164</v>
      </c>
      <c r="BA28" s="233">
        <f>AU28+AV28</f>
        <v>0</v>
      </c>
      <c r="BB28" s="233">
        <f>G28/(100-BC28)*100</f>
        <v>0</v>
      </c>
      <c r="BC28" s="233">
        <v>0</v>
      </c>
      <c r="BD28" s="233">
        <f>L28</f>
        <v>0</v>
      </c>
      <c r="BF28" s="233">
        <f>F28*AM28</f>
        <v>0</v>
      </c>
      <c r="BG28" s="233">
        <f>F28*AN28</f>
        <v>0</v>
      </c>
      <c r="BH28" s="233">
        <f>F28*G28</f>
        <v>0</v>
      </c>
      <c r="BI28" s="233"/>
      <c r="BJ28" s="233">
        <v>12</v>
      </c>
      <c r="BU28" s="233" t="e">
        <f>#REF!</f>
        <v>#REF!</v>
      </c>
      <c r="BV28" s="225" t="s">
        <v>195</v>
      </c>
    </row>
    <row r="29" spans="1:74" ht="40.5" customHeight="1" x14ac:dyDescent="0.3">
      <c r="A29" s="241"/>
      <c r="B29" s="242" t="s">
        <v>165</v>
      </c>
      <c r="C29" s="530" t="s">
        <v>1719</v>
      </c>
      <c r="D29" s="531"/>
      <c r="E29" s="531"/>
      <c r="F29" s="531"/>
      <c r="G29" s="531"/>
      <c r="H29" s="531"/>
      <c r="I29" s="531"/>
      <c r="J29" s="531"/>
      <c r="K29" s="531"/>
      <c r="L29" s="531"/>
      <c r="M29" s="532"/>
    </row>
    <row r="30" spans="1:74" ht="14.4" x14ac:dyDescent="0.3">
      <c r="A30" s="239" t="s">
        <v>193</v>
      </c>
      <c r="B30" s="223" t="s">
        <v>199</v>
      </c>
      <c r="C30" s="521" t="s">
        <v>200</v>
      </c>
      <c r="D30" s="519"/>
      <c r="E30" s="223" t="s">
        <v>196</v>
      </c>
      <c r="F30" s="233">
        <v>1.5</v>
      </c>
      <c r="G30" s="311">
        <v>0</v>
      </c>
      <c r="H30" s="233">
        <f>F30*AM30</f>
        <v>0</v>
      </c>
      <c r="I30" s="233">
        <f>F30*AN30</f>
        <v>0</v>
      </c>
      <c r="J30" s="233">
        <f>F30*G30</f>
        <v>0</v>
      </c>
      <c r="K30" s="233">
        <v>0</v>
      </c>
      <c r="L30" s="233">
        <f>F30*K30</f>
        <v>0</v>
      </c>
      <c r="M30" s="240" t="s">
        <v>472</v>
      </c>
      <c r="X30" s="233">
        <f>IF(AO30="5",BH30,0)</f>
        <v>0</v>
      </c>
      <c r="Z30" s="233">
        <f>IF(AO30="1",BF30,0)</f>
        <v>0</v>
      </c>
      <c r="AA30" s="233">
        <f>IF(AO30="1",BG30,0)</f>
        <v>0</v>
      </c>
      <c r="AB30" s="233">
        <f>IF(AO30="7",BF30,0)</f>
        <v>0</v>
      </c>
      <c r="AC30" s="233">
        <f>IF(AO30="7",BG30,0)</f>
        <v>0</v>
      </c>
      <c r="AD30" s="233">
        <f>IF(AO30="2",BF30,0)</f>
        <v>0</v>
      </c>
      <c r="AE30" s="233">
        <f>IF(AO30="2",BG30,0)</f>
        <v>0</v>
      </c>
      <c r="AF30" s="233">
        <f>IF(AO30="0",BH30,0)</f>
        <v>0</v>
      </c>
      <c r="AG30" s="229" t="s">
        <v>154</v>
      </c>
      <c r="AH30" s="233">
        <f>IF(AL30=0,J30,0)</f>
        <v>0</v>
      </c>
      <c r="AI30" s="233">
        <f>IF(AL30=15,J30,0)</f>
        <v>0</v>
      </c>
      <c r="AJ30" s="233">
        <f>IF(AL30=21,J30,0)</f>
        <v>0</v>
      </c>
      <c r="AL30" s="233">
        <v>15</v>
      </c>
      <c r="AM30" s="233">
        <f>G30*0</f>
        <v>0</v>
      </c>
      <c r="AN30" s="233">
        <f>G30*(1-0)</f>
        <v>0</v>
      </c>
      <c r="AO30" s="234" t="s">
        <v>157</v>
      </c>
      <c r="AT30" s="233">
        <f>AU30+AV30</f>
        <v>0</v>
      </c>
      <c r="AU30" s="233">
        <f>F30*AM30</f>
        <v>0</v>
      </c>
      <c r="AV30" s="233">
        <f>F30*AN30</f>
        <v>0</v>
      </c>
      <c r="AW30" s="234" t="s">
        <v>197</v>
      </c>
      <c r="AX30" s="234" t="s">
        <v>163</v>
      </c>
      <c r="AY30" s="229" t="s">
        <v>164</v>
      </c>
      <c r="BA30" s="233">
        <f>AU30+AV30</f>
        <v>0</v>
      </c>
      <c r="BB30" s="233">
        <f>G30/(100-BC30)*100</f>
        <v>0</v>
      </c>
      <c r="BC30" s="233">
        <v>0</v>
      </c>
      <c r="BD30" s="233">
        <f>L30</f>
        <v>0</v>
      </c>
      <c r="BF30" s="233">
        <f>F30*AM30</f>
        <v>0</v>
      </c>
      <c r="BG30" s="233">
        <f>F30*AN30</f>
        <v>0</v>
      </c>
      <c r="BH30" s="233">
        <f>F30*G30</f>
        <v>0</v>
      </c>
      <c r="BI30" s="233"/>
      <c r="BJ30" s="233">
        <v>12</v>
      </c>
      <c r="BU30" s="233" t="e">
        <f>#REF!</f>
        <v>#REF!</v>
      </c>
      <c r="BV30" s="225" t="s">
        <v>200</v>
      </c>
    </row>
    <row r="31" spans="1:74" ht="13.5" customHeight="1" x14ac:dyDescent="0.3">
      <c r="A31" s="241"/>
      <c r="B31" s="242" t="s">
        <v>165</v>
      </c>
      <c r="C31" s="530" t="s">
        <v>480</v>
      </c>
      <c r="D31" s="531"/>
      <c r="E31" s="531"/>
      <c r="F31" s="531"/>
      <c r="G31" s="531"/>
      <c r="H31" s="531"/>
      <c r="I31" s="531"/>
      <c r="J31" s="531"/>
      <c r="K31" s="531"/>
      <c r="L31" s="531"/>
      <c r="M31" s="532"/>
    </row>
    <row r="32" spans="1:74" ht="14.4" x14ac:dyDescent="0.3">
      <c r="A32" s="239" t="s">
        <v>154</v>
      </c>
      <c r="B32" s="224" t="s">
        <v>201</v>
      </c>
      <c r="C32" s="526" t="s">
        <v>202</v>
      </c>
      <c r="D32" s="527"/>
      <c r="E32" s="223" t="s">
        <v>114</v>
      </c>
      <c r="F32" s="223" t="s">
        <v>114</v>
      </c>
      <c r="G32" s="223" t="s">
        <v>114</v>
      </c>
      <c r="H32" s="235">
        <f>SUM(H33:H47)</f>
        <v>0</v>
      </c>
      <c r="I32" s="235">
        <f>SUM(I33:I47)</f>
        <v>0</v>
      </c>
      <c r="J32" s="235">
        <f>SUM(J33:J47)</f>
        <v>0</v>
      </c>
      <c r="K32" s="230" t="s">
        <v>154</v>
      </c>
      <c r="L32" s="235">
        <f>SUM(L33:L47)</f>
        <v>0</v>
      </c>
      <c r="M32" s="243" t="s">
        <v>154</v>
      </c>
      <c r="AG32" s="229" t="s">
        <v>154</v>
      </c>
      <c r="AQ32" s="222">
        <f>SUM(AH33:AH47)</f>
        <v>0</v>
      </c>
      <c r="AR32" s="222">
        <f>SUM(AI33:AI47)</f>
        <v>0</v>
      </c>
      <c r="AS32" s="222">
        <f>SUM(AJ33:AJ47)</f>
        <v>0</v>
      </c>
    </row>
    <row r="33" spans="1:74" ht="14.4" x14ac:dyDescent="0.3">
      <c r="A33" s="239" t="s">
        <v>198</v>
      </c>
      <c r="B33" s="223" t="s">
        <v>203</v>
      </c>
      <c r="C33" s="521" t="s">
        <v>204</v>
      </c>
      <c r="D33" s="519"/>
      <c r="E33" s="223" t="s">
        <v>196</v>
      </c>
      <c r="F33" s="233">
        <v>25.1</v>
      </c>
      <c r="G33" s="311">
        <v>0</v>
      </c>
      <c r="H33" s="233">
        <f>F33*AM33</f>
        <v>0</v>
      </c>
      <c r="I33" s="233">
        <f>F33*AN33</f>
        <v>0</v>
      </c>
      <c r="J33" s="233">
        <f>F33*G33</f>
        <v>0</v>
      </c>
      <c r="K33" s="233">
        <v>0</v>
      </c>
      <c r="L33" s="233">
        <f>F33*K33</f>
        <v>0</v>
      </c>
      <c r="M33" s="240" t="s">
        <v>472</v>
      </c>
      <c r="X33" s="233">
        <f>IF(AO33="5",BH33,0)</f>
        <v>0</v>
      </c>
      <c r="Z33" s="233">
        <f>IF(AO33="1",BF33,0)</f>
        <v>0</v>
      </c>
      <c r="AA33" s="233">
        <f>IF(AO33="1",BG33,0)</f>
        <v>0</v>
      </c>
      <c r="AB33" s="233">
        <f>IF(AO33="7",BF33,0)</f>
        <v>0</v>
      </c>
      <c r="AC33" s="233">
        <f>IF(AO33="7",BG33,0)</f>
        <v>0</v>
      </c>
      <c r="AD33" s="233">
        <f>IF(AO33="2",BF33,0)</f>
        <v>0</v>
      </c>
      <c r="AE33" s="233">
        <f>IF(AO33="2",BG33,0)</f>
        <v>0</v>
      </c>
      <c r="AF33" s="233">
        <f>IF(AO33="0",BH33,0)</f>
        <v>0</v>
      </c>
      <c r="AG33" s="229" t="s">
        <v>154</v>
      </c>
      <c r="AH33" s="233">
        <f>IF(AL33=0,J33,0)</f>
        <v>0</v>
      </c>
      <c r="AI33" s="233">
        <f>IF(AL33=15,J33,0)</f>
        <v>0</v>
      </c>
      <c r="AJ33" s="233">
        <f>IF(AL33=21,J33,0)</f>
        <v>0</v>
      </c>
      <c r="AL33" s="233">
        <v>15</v>
      </c>
      <c r="AM33" s="233">
        <f>G33*0</f>
        <v>0</v>
      </c>
      <c r="AN33" s="233">
        <f>G33*(1-0)</f>
        <v>0</v>
      </c>
      <c r="AO33" s="234" t="s">
        <v>157</v>
      </c>
      <c r="AT33" s="233">
        <f>AU33+AV33</f>
        <v>0</v>
      </c>
      <c r="AU33" s="233">
        <f>F33*AM33</f>
        <v>0</v>
      </c>
      <c r="AV33" s="233">
        <f>F33*AN33</f>
        <v>0</v>
      </c>
      <c r="AW33" s="234" t="s">
        <v>205</v>
      </c>
      <c r="AX33" s="234" t="s">
        <v>163</v>
      </c>
      <c r="AY33" s="229" t="s">
        <v>164</v>
      </c>
      <c r="BA33" s="233">
        <f>AU33+AV33</f>
        <v>0</v>
      </c>
      <c r="BB33" s="233">
        <f>G33/(100-BC33)*100</f>
        <v>0</v>
      </c>
      <c r="BC33" s="233">
        <v>0</v>
      </c>
      <c r="BD33" s="233">
        <f>L33</f>
        <v>0</v>
      </c>
      <c r="BF33" s="233">
        <f>F33*AM33</f>
        <v>0</v>
      </c>
      <c r="BG33" s="233">
        <f>F33*AN33</f>
        <v>0</v>
      </c>
      <c r="BH33" s="233">
        <f>F33*G33</f>
        <v>0</v>
      </c>
      <c r="BI33" s="233"/>
      <c r="BJ33" s="233">
        <v>13</v>
      </c>
      <c r="BU33" s="233" t="e">
        <f>#REF!</f>
        <v>#REF!</v>
      </c>
      <c r="BV33" s="225" t="s">
        <v>204</v>
      </c>
    </row>
    <row r="34" spans="1:74" ht="94.5" customHeight="1" x14ac:dyDescent="0.3">
      <c r="A34" s="241"/>
      <c r="B34" s="242" t="s">
        <v>165</v>
      </c>
      <c r="C34" s="530" t="s">
        <v>1720</v>
      </c>
      <c r="D34" s="531"/>
      <c r="E34" s="531"/>
      <c r="F34" s="531"/>
      <c r="G34" s="531"/>
      <c r="H34" s="531"/>
      <c r="I34" s="531"/>
      <c r="J34" s="531"/>
      <c r="K34" s="531"/>
      <c r="L34" s="531"/>
      <c r="M34" s="532"/>
    </row>
    <row r="35" spans="1:74" ht="14.4" x14ac:dyDescent="0.3">
      <c r="A35" s="239" t="s">
        <v>155</v>
      </c>
      <c r="B35" s="223" t="s">
        <v>206</v>
      </c>
      <c r="C35" s="521" t="s">
        <v>481</v>
      </c>
      <c r="D35" s="519"/>
      <c r="E35" s="223" t="s">
        <v>196</v>
      </c>
      <c r="F35" s="233">
        <v>12.55</v>
      </c>
      <c r="G35" s="311">
        <v>0</v>
      </c>
      <c r="H35" s="233">
        <f>F35*AM35</f>
        <v>0</v>
      </c>
      <c r="I35" s="233">
        <f>F35*AN35</f>
        <v>0</v>
      </c>
      <c r="J35" s="233">
        <f>F35*G35</f>
        <v>0</v>
      </c>
      <c r="K35" s="233">
        <v>0</v>
      </c>
      <c r="L35" s="233">
        <f>F35*K35</f>
        <v>0</v>
      </c>
      <c r="M35" s="240" t="s">
        <v>472</v>
      </c>
      <c r="X35" s="233">
        <f>IF(AO35="5",BH35,0)</f>
        <v>0</v>
      </c>
      <c r="Z35" s="233">
        <f>IF(AO35="1",BF35,0)</f>
        <v>0</v>
      </c>
      <c r="AA35" s="233">
        <f>IF(AO35="1",BG35,0)</f>
        <v>0</v>
      </c>
      <c r="AB35" s="233">
        <f>IF(AO35="7",BF35,0)</f>
        <v>0</v>
      </c>
      <c r="AC35" s="233">
        <f>IF(AO35="7",BG35,0)</f>
        <v>0</v>
      </c>
      <c r="AD35" s="233">
        <f>IF(AO35="2",BF35,0)</f>
        <v>0</v>
      </c>
      <c r="AE35" s="233">
        <f>IF(AO35="2",BG35,0)</f>
        <v>0</v>
      </c>
      <c r="AF35" s="233">
        <f>IF(AO35="0",BH35,0)</f>
        <v>0</v>
      </c>
      <c r="AG35" s="229" t="s">
        <v>154</v>
      </c>
      <c r="AH35" s="233">
        <f>IF(AL35=0,J35,0)</f>
        <v>0</v>
      </c>
      <c r="AI35" s="233">
        <f>IF(AL35=15,J35,0)</f>
        <v>0</v>
      </c>
      <c r="AJ35" s="233">
        <f>IF(AL35=21,J35,0)</f>
        <v>0</v>
      </c>
      <c r="AL35" s="233">
        <v>15</v>
      </c>
      <c r="AM35" s="233">
        <f>G35*0</f>
        <v>0</v>
      </c>
      <c r="AN35" s="233">
        <f>G35*(1-0)</f>
        <v>0</v>
      </c>
      <c r="AO35" s="234" t="s">
        <v>157</v>
      </c>
      <c r="AT35" s="233">
        <f>AU35+AV35</f>
        <v>0</v>
      </c>
      <c r="AU35" s="233">
        <f>F35*AM35</f>
        <v>0</v>
      </c>
      <c r="AV35" s="233">
        <f>F35*AN35</f>
        <v>0</v>
      </c>
      <c r="AW35" s="234" t="s">
        <v>205</v>
      </c>
      <c r="AX35" s="234" t="s">
        <v>163</v>
      </c>
      <c r="AY35" s="229" t="s">
        <v>164</v>
      </c>
      <c r="BA35" s="233">
        <f>AU35+AV35</f>
        <v>0</v>
      </c>
      <c r="BB35" s="233">
        <f>G35/(100-BC35)*100</f>
        <v>0</v>
      </c>
      <c r="BC35" s="233">
        <v>0</v>
      </c>
      <c r="BD35" s="233">
        <f>L35</f>
        <v>0</v>
      </c>
      <c r="BF35" s="233">
        <f>F35*AM35</f>
        <v>0</v>
      </c>
      <c r="BG35" s="233">
        <f>F35*AN35</f>
        <v>0</v>
      </c>
      <c r="BH35" s="233">
        <f>F35*G35</f>
        <v>0</v>
      </c>
      <c r="BI35" s="233"/>
      <c r="BJ35" s="233">
        <v>13</v>
      </c>
      <c r="BU35" s="233" t="e">
        <f>#REF!</f>
        <v>#REF!</v>
      </c>
      <c r="BV35" s="225" t="s">
        <v>481</v>
      </c>
    </row>
    <row r="36" spans="1:74" ht="40.5" customHeight="1" x14ac:dyDescent="0.3">
      <c r="A36" s="241"/>
      <c r="B36" s="242" t="s">
        <v>165</v>
      </c>
      <c r="C36" s="530" t="s">
        <v>1721</v>
      </c>
      <c r="D36" s="531"/>
      <c r="E36" s="531"/>
      <c r="F36" s="531"/>
      <c r="G36" s="531"/>
      <c r="H36" s="531"/>
      <c r="I36" s="531"/>
      <c r="J36" s="531"/>
      <c r="K36" s="531"/>
      <c r="L36" s="531"/>
      <c r="M36" s="532"/>
    </row>
    <row r="37" spans="1:74" ht="14.4" x14ac:dyDescent="0.3">
      <c r="A37" s="239" t="s">
        <v>191</v>
      </c>
      <c r="B37" s="223" t="s">
        <v>208</v>
      </c>
      <c r="C37" s="521" t="s">
        <v>209</v>
      </c>
      <c r="D37" s="519"/>
      <c r="E37" s="223" t="s">
        <v>196</v>
      </c>
      <c r="F37" s="233">
        <v>20.09</v>
      </c>
      <c r="G37" s="311">
        <v>0</v>
      </c>
      <c r="H37" s="233">
        <f>F37*AM37</f>
        <v>0</v>
      </c>
      <c r="I37" s="233">
        <f>F37*AN37</f>
        <v>0</v>
      </c>
      <c r="J37" s="233">
        <f>F37*G37</f>
        <v>0</v>
      </c>
      <c r="K37" s="233">
        <v>0</v>
      </c>
      <c r="L37" s="233">
        <f>F37*K37</f>
        <v>0</v>
      </c>
      <c r="M37" s="240" t="s">
        <v>472</v>
      </c>
      <c r="X37" s="233">
        <f>IF(AO37="5",BH37,0)</f>
        <v>0</v>
      </c>
      <c r="Z37" s="233">
        <f>IF(AO37="1",BF37,0)</f>
        <v>0</v>
      </c>
      <c r="AA37" s="233">
        <f>IF(AO37="1",BG37,0)</f>
        <v>0</v>
      </c>
      <c r="AB37" s="233">
        <f>IF(AO37="7",BF37,0)</f>
        <v>0</v>
      </c>
      <c r="AC37" s="233">
        <f>IF(AO37="7",BG37,0)</f>
        <v>0</v>
      </c>
      <c r="AD37" s="233">
        <f>IF(AO37="2",BF37,0)</f>
        <v>0</v>
      </c>
      <c r="AE37" s="233">
        <f>IF(AO37="2",BG37,0)</f>
        <v>0</v>
      </c>
      <c r="AF37" s="233">
        <f>IF(AO37="0",BH37,0)</f>
        <v>0</v>
      </c>
      <c r="AG37" s="229" t="s">
        <v>154</v>
      </c>
      <c r="AH37" s="233">
        <f>IF(AL37=0,J37,0)</f>
        <v>0</v>
      </c>
      <c r="AI37" s="233">
        <f>IF(AL37=15,J37,0)</f>
        <v>0</v>
      </c>
      <c r="AJ37" s="233">
        <f>IF(AL37=21,J37,0)</f>
        <v>0</v>
      </c>
      <c r="AL37" s="233">
        <v>15</v>
      </c>
      <c r="AM37" s="233">
        <f>G37*0</f>
        <v>0</v>
      </c>
      <c r="AN37" s="233">
        <f>G37*(1-0)</f>
        <v>0</v>
      </c>
      <c r="AO37" s="234" t="s">
        <v>157</v>
      </c>
      <c r="AT37" s="233">
        <f>AU37+AV37</f>
        <v>0</v>
      </c>
      <c r="AU37" s="233">
        <f>F37*AM37</f>
        <v>0</v>
      </c>
      <c r="AV37" s="233">
        <f>F37*AN37</f>
        <v>0</v>
      </c>
      <c r="AW37" s="234" t="s">
        <v>205</v>
      </c>
      <c r="AX37" s="234" t="s">
        <v>163</v>
      </c>
      <c r="AY37" s="229" t="s">
        <v>164</v>
      </c>
      <c r="BA37" s="233">
        <f>AU37+AV37</f>
        <v>0</v>
      </c>
      <c r="BB37" s="233">
        <f>G37/(100-BC37)*100</f>
        <v>0</v>
      </c>
      <c r="BC37" s="233">
        <v>0</v>
      </c>
      <c r="BD37" s="233">
        <f>L37</f>
        <v>0</v>
      </c>
      <c r="BF37" s="233">
        <f>F37*AM37</f>
        <v>0</v>
      </c>
      <c r="BG37" s="233">
        <f>F37*AN37</f>
        <v>0</v>
      </c>
      <c r="BH37" s="233">
        <f>F37*G37</f>
        <v>0</v>
      </c>
      <c r="BI37" s="233"/>
      <c r="BJ37" s="233">
        <v>13</v>
      </c>
      <c r="BU37" s="233" t="e">
        <f>#REF!</f>
        <v>#REF!</v>
      </c>
      <c r="BV37" s="225" t="s">
        <v>209</v>
      </c>
    </row>
    <row r="38" spans="1:74" ht="94.5" customHeight="1" x14ac:dyDescent="0.3">
      <c r="A38" s="241"/>
      <c r="B38" s="242" t="s">
        <v>165</v>
      </c>
      <c r="C38" s="530" t="s">
        <v>1722</v>
      </c>
      <c r="D38" s="531"/>
      <c r="E38" s="531"/>
      <c r="F38" s="531"/>
      <c r="G38" s="531"/>
      <c r="H38" s="531"/>
      <c r="I38" s="531"/>
      <c r="J38" s="531"/>
      <c r="K38" s="531"/>
      <c r="L38" s="531"/>
      <c r="M38" s="532"/>
    </row>
    <row r="39" spans="1:74" ht="14.4" x14ac:dyDescent="0.3">
      <c r="A39" s="239" t="s">
        <v>201</v>
      </c>
      <c r="B39" s="223" t="s">
        <v>211</v>
      </c>
      <c r="C39" s="521" t="s">
        <v>482</v>
      </c>
      <c r="D39" s="519"/>
      <c r="E39" s="223" t="s">
        <v>196</v>
      </c>
      <c r="F39" s="233">
        <v>5.0199999999999996</v>
      </c>
      <c r="G39" s="311">
        <v>0</v>
      </c>
      <c r="H39" s="233">
        <f>F39*AM39</f>
        <v>0</v>
      </c>
      <c r="I39" s="233">
        <f>F39*AN39</f>
        <v>0</v>
      </c>
      <c r="J39" s="233">
        <f>F39*G39</f>
        <v>0</v>
      </c>
      <c r="K39" s="233">
        <v>0</v>
      </c>
      <c r="L39" s="233">
        <f>F39*K39</f>
        <v>0</v>
      </c>
      <c r="M39" s="240" t="s">
        <v>472</v>
      </c>
      <c r="X39" s="233">
        <f>IF(AO39="5",BH39,0)</f>
        <v>0</v>
      </c>
      <c r="Z39" s="233">
        <f>IF(AO39="1",BF39,0)</f>
        <v>0</v>
      </c>
      <c r="AA39" s="233">
        <f>IF(AO39="1",BG39,0)</f>
        <v>0</v>
      </c>
      <c r="AB39" s="233">
        <f>IF(AO39="7",BF39,0)</f>
        <v>0</v>
      </c>
      <c r="AC39" s="233">
        <f>IF(AO39="7",BG39,0)</f>
        <v>0</v>
      </c>
      <c r="AD39" s="233">
        <f>IF(AO39="2",BF39,0)</f>
        <v>0</v>
      </c>
      <c r="AE39" s="233">
        <f>IF(AO39="2",BG39,0)</f>
        <v>0</v>
      </c>
      <c r="AF39" s="233">
        <f>IF(AO39="0",BH39,0)</f>
        <v>0</v>
      </c>
      <c r="AG39" s="229" t="s">
        <v>154</v>
      </c>
      <c r="AH39" s="233">
        <f>IF(AL39=0,J39,0)</f>
        <v>0</v>
      </c>
      <c r="AI39" s="233">
        <f>IF(AL39=15,J39,0)</f>
        <v>0</v>
      </c>
      <c r="AJ39" s="233">
        <f>IF(AL39=21,J39,0)</f>
        <v>0</v>
      </c>
      <c r="AL39" s="233">
        <v>15</v>
      </c>
      <c r="AM39" s="233">
        <f>G39*0</f>
        <v>0</v>
      </c>
      <c r="AN39" s="233">
        <f>G39*(1-0)</f>
        <v>0</v>
      </c>
      <c r="AO39" s="234" t="s">
        <v>157</v>
      </c>
      <c r="AT39" s="233">
        <f>AU39+AV39</f>
        <v>0</v>
      </c>
      <c r="AU39" s="233">
        <f>F39*AM39</f>
        <v>0</v>
      </c>
      <c r="AV39" s="233">
        <f>F39*AN39</f>
        <v>0</v>
      </c>
      <c r="AW39" s="234" t="s">
        <v>205</v>
      </c>
      <c r="AX39" s="234" t="s">
        <v>163</v>
      </c>
      <c r="AY39" s="229" t="s">
        <v>164</v>
      </c>
      <c r="BA39" s="233">
        <f>AU39+AV39</f>
        <v>0</v>
      </c>
      <c r="BB39" s="233">
        <f>G39/(100-BC39)*100</f>
        <v>0</v>
      </c>
      <c r="BC39" s="233">
        <v>0</v>
      </c>
      <c r="BD39" s="233">
        <f>L39</f>
        <v>0</v>
      </c>
      <c r="BF39" s="233">
        <f>F39*AM39</f>
        <v>0</v>
      </c>
      <c r="BG39" s="233">
        <f>F39*AN39</f>
        <v>0</v>
      </c>
      <c r="BH39" s="233">
        <f>F39*G39</f>
        <v>0</v>
      </c>
      <c r="BI39" s="233"/>
      <c r="BJ39" s="233">
        <v>13</v>
      </c>
      <c r="BU39" s="233" t="e">
        <f>#REF!</f>
        <v>#REF!</v>
      </c>
      <c r="BV39" s="225" t="s">
        <v>482</v>
      </c>
    </row>
    <row r="40" spans="1:74" ht="40.5" customHeight="1" x14ac:dyDescent="0.3">
      <c r="A40" s="241"/>
      <c r="B40" s="242" t="s">
        <v>165</v>
      </c>
      <c r="C40" s="530" t="s">
        <v>1723</v>
      </c>
      <c r="D40" s="531"/>
      <c r="E40" s="531"/>
      <c r="F40" s="531"/>
      <c r="G40" s="531"/>
      <c r="H40" s="531"/>
      <c r="I40" s="531"/>
      <c r="J40" s="531"/>
      <c r="K40" s="531"/>
      <c r="L40" s="531"/>
      <c r="M40" s="532"/>
    </row>
    <row r="41" spans="1:74" ht="14.4" x14ac:dyDescent="0.3">
      <c r="A41" s="239" t="s">
        <v>210</v>
      </c>
      <c r="B41" s="223" t="s">
        <v>213</v>
      </c>
      <c r="C41" s="521" t="s">
        <v>214</v>
      </c>
      <c r="D41" s="519"/>
      <c r="E41" s="223" t="s">
        <v>196</v>
      </c>
      <c r="F41" s="233">
        <v>5.0199999999999996</v>
      </c>
      <c r="G41" s="311">
        <v>0</v>
      </c>
      <c r="H41" s="233">
        <f>F41*AM41</f>
        <v>0</v>
      </c>
      <c r="I41" s="233">
        <f>F41*AN41</f>
        <v>0</v>
      </c>
      <c r="J41" s="233">
        <f>F41*G41</f>
        <v>0</v>
      </c>
      <c r="K41" s="233">
        <v>0</v>
      </c>
      <c r="L41" s="233">
        <f>F41*K41</f>
        <v>0</v>
      </c>
      <c r="M41" s="240" t="s">
        <v>472</v>
      </c>
      <c r="X41" s="233">
        <f>IF(AO41="5",BH41,0)</f>
        <v>0</v>
      </c>
      <c r="Z41" s="233">
        <f>IF(AO41="1",BF41,0)</f>
        <v>0</v>
      </c>
      <c r="AA41" s="233">
        <f>IF(AO41="1",BG41,0)</f>
        <v>0</v>
      </c>
      <c r="AB41" s="233">
        <f>IF(AO41="7",BF41,0)</f>
        <v>0</v>
      </c>
      <c r="AC41" s="233">
        <f>IF(AO41="7",BG41,0)</f>
        <v>0</v>
      </c>
      <c r="AD41" s="233">
        <f>IF(AO41="2",BF41,0)</f>
        <v>0</v>
      </c>
      <c r="AE41" s="233">
        <f>IF(AO41="2",BG41,0)</f>
        <v>0</v>
      </c>
      <c r="AF41" s="233">
        <f>IF(AO41="0",BH41,0)</f>
        <v>0</v>
      </c>
      <c r="AG41" s="229" t="s">
        <v>154</v>
      </c>
      <c r="AH41" s="233">
        <f>IF(AL41=0,J41,0)</f>
        <v>0</v>
      </c>
      <c r="AI41" s="233">
        <f>IF(AL41=15,J41,0)</f>
        <v>0</v>
      </c>
      <c r="AJ41" s="233">
        <f>IF(AL41=21,J41,0)</f>
        <v>0</v>
      </c>
      <c r="AL41" s="233">
        <v>15</v>
      </c>
      <c r="AM41" s="233">
        <f>G41*0</f>
        <v>0</v>
      </c>
      <c r="AN41" s="233">
        <f>G41*(1-0)</f>
        <v>0</v>
      </c>
      <c r="AO41" s="234" t="s">
        <v>157</v>
      </c>
      <c r="AT41" s="233">
        <f>AU41+AV41</f>
        <v>0</v>
      </c>
      <c r="AU41" s="233">
        <f>F41*AM41</f>
        <v>0</v>
      </c>
      <c r="AV41" s="233">
        <f>F41*AN41</f>
        <v>0</v>
      </c>
      <c r="AW41" s="234" t="s">
        <v>205</v>
      </c>
      <c r="AX41" s="234" t="s">
        <v>163</v>
      </c>
      <c r="AY41" s="229" t="s">
        <v>164</v>
      </c>
      <c r="BA41" s="233">
        <f>AU41+AV41</f>
        <v>0</v>
      </c>
      <c r="BB41" s="233">
        <f>G41/(100-BC41)*100</f>
        <v>0</v>
      </c>
      <c r="BC41" s="233">
        <v>0</v>
      </c>
      <c r="BD41" s="233">
        <f>L41</f>
        <v>0</v>
      </c>
      <c r="BF41" s="233">
        <f>F41*AM41</f>
        <v>0</v>
      </c>
      <c r="BG41" s="233">
        <f>F41*AN41</f>
        <v>0</v>
      </c>
      <c r="BH41" s="233">
        <f>F41*G41</f>
        <v>0</v>
      </c>
      <c r="BI41" s="233"/>
      <c r="BJ41" s="233">
        <v>13</v>
      </c>
      <c r="BU41" s="233" t="e">
        <f>#REF!</f>
        <v>#REF!</v>
      </c>
      <c r="BV41" s="225" t="s">
        <v>214</v>
      </c>
    </row>
    <row r="42" spans="1:74" ht="108" customHeight="1" x14ac:dyDescent="0.3">
      <c r="A42" s="241"/>
      <c r="B42" s="242" t="s">
        <v>165</v>
      </c>
      <c r="C42" s="530" t="s">
        <v>1724</v>
      </c>
      <c r="D42" s="531"/>
      <c r="E42" s="531"/>
      <c r="F42" s="531"/>
      <c r="G42" s="531"/>
      <c r="H42" s="531"/>
      <c r="I42" s="531"/>
      <c r="J42" s="531"/>
      <c r="K42" s="531"/>
      <c r="L42" s="531"/>
      <c r="M42" s="532"/>
    </row>
    <row r="43" spans="1:74" ht="14.4" x14ac:dyDescent="0.3">
      <c r="A43" s="239" t="s">
        <v>161</v>
      </c>
      <c r="B43" s="223" t="s">
        <v>216</v>
      </c>
      <c r="C43" s="521" t="s">
        <v>217</v>
      </c>
      <c r="D43" s="519"/>
      <c r="E43" s="223" t="s">
        <v>196</v>
      </c>
      <c r="F43" s="233">
        <v>2</v>
      </c>
      <c r="G43" s="311">
        <v>0</v>
      </c>
      <c r="H43" s="233">
        <f>F43*AM43</f>
        <v>0</v>
      </c>
      <c r="I43" s="233">
        <f>F43*AN43</f>
        <v>0</v>
      </c>
      <c r="J43" s="233">
        <f>F43*G43</f>
        <v>0</v>
      </c>
      <c r="K43" s="233">
        <v>0</v>
      </c>
      <c r="L43" s="233">
        <f>F43*K43</f>
        <v>0</v>
      </c>
      <c r="M43" s="240" t="s">
        <v>472</v>
      </c>
      <c r="X43" s="233">
        <f>IF(AO43="5",BH43,0)</f>
        <v>0</v>
      </c>
      <c r="Z43" s="233">
        <f>IF(AO43="1",BF43,0)</f>
        <v>0</v>
      </c>
      <c r="AA43" s="233">
        <f>IF(AO43="1",BG43,0)</f>
        <v>0</v>
      </c>
      <c r="AB43" s="233">
        <f>IF(AO43="7",BF43,0)</f>
        <v>0</v>
      </c>
      <c r="AC43" s="233">
        <f>IF(AO43="7",BG43,0)</f>
        <v>0</v>
      </c>
      <c r="AD43" s="233">
        <f>IF(AO43="2",BF43,0)</f>
        <v>0</v>
      </c>
      <c r="AE43" s="233">
        <f>IF(AO43="2",BG43,0)</f>
        <v>0</v>
      </c>
      <c r="AF43" s="233">
        <f>IF(AO43="0",BH43,0)</f>
        <v>0</v>
      </c>
      <c r="AG43" s="229" t="s">
        <v>154</v>
      </c>
      <c r="AH43" s="233">
        <f>IF(AL43=0,J43,0)</f>
        <v>0</v>
      </c>
      <c r="AI43" s="233">
        <f>IF(AL43=15,J43,0)</f>
        <v>0</v>
      </c>
      <c r="AJ43" s="233">
        <f>IF(AL43=21,J43,0)</f>
        <v>0</v>
      </c>
      <c r="AL43" s="233">
        <v>15</v>
      </c>
      <c r="AM43" s="233">
        <f>G43*0</f>
        <v>0</v>
      </c>
      <c r="AN43" s="233">
        <f>G43*(1-0)</f>
        <v>0</v>
      </c>
      <c r="AO43" s="234" t="s">
        <v>157</v>
      </c>
      <c r="AT43" s="233">
        <f>AU43+AV43</f>
        <v>0</v>
      </c>
      <c r="AU43" s="233">
        <f>F43*AM43</f>
        <v>0</v>
      </c>
      <c r="AV43" s="233">
        <f>F43*AN43</f>
        <v>0</v>
      </c>
      <c r="AW43" s="234" t="s">
        <v>205</v>
      </c>
      <c r="AX43" s="234" t="s">
        <v>163</v>
      </c>
      <c r="AY43" s="229" t="s">
        <v>164</v>
      </c>
      <c r="BA43" s="233">
        <f>AU43+AV43</f>
        <v>0</v>
      </c>
      <c r="BB43" s="233">
        <f>G43/(100-BC43)*100</f>
        <v>0</v>
      </c>
      <c r="BC43" s="233">
        <v>0</v>
      </c>
      <c r="BD43" s="233">
        <f>L43</f>
        <v>0</v>
      </c>
      <c r="BF43" s="233">
        <f>F43*AM43</f>
        <v>0</v>
      </c>
      <c r="BG43" s="233">
        <f>F43*AN43</f>
        <v>0</v>
      </c>
      <c r="BH43" s="233">
        <f>F43*G43</f>
        <v>0</v>
      </c>
      <c r="BI43" s="233"/>
      <c r="BJ43" s="233">
        <v>13</v>
      </c>
      <c r="BU43" s="233" t="e">
        <f>#REF!</f>
        <v>#REF!</v>
      </c>
      <c r="BV43" s="225" t="s">
        <v>217</v>
      </c>
    </row>
    <row r="44" spans="1:74" ht="13.5" customHeight="1" x14ac:dyDescent="0.3">
      <c r="A44" s="241"/>
      <c r="B44" s="242" t="s">
        <v>165</v>
      </c>
      <c r="C44" s="530" t="s">
        <v>218</v>
      </c>
      <c r="D44" s="531"/>
      <c r="E44" s="531"/>
      <c r="F44" s="531"/>
      <c r="G44" s="531"/>
      <c r="H44" s="531"/>
      <c r="I44" s="531"/>
      <c r="J44" s="531"/>
      <c r="K44" s="531"/>
      <c r="L44" s="531"/>
      <c r="M44" s="532"/>
    </row>
    <row r="45" spans="1:74" ht="14.4" x14ac:dyDescent="0.3">
      <c r="A45" s="239" t="s">
        <v>215</v>
      </c>
      <c r="B45" s="223" t="s">
        <v>483</v>
      </c>
      <c r="C45" s="521" t="s">
        <v>484</v>
      </c>
      <c r="D45" s="519"/>
      <c r="E45" s="223" t="s">
        <v>196</v>
      </c>
      <c r="F45" s="233">
        <v>2.75</v>
      </c>
      <c r="G45" s="311">
        <v>0</v>
      </c>
      <c r="H45" s="233">
        <f>F45*AM45</f>
        <v>0</v>
      </c>
      <c r="I45" s="233">
        <f>F45*AN45</f>
        <v>0</v>
      </c>
      <c r="J45" s="233">
        <f>F45*G45</f>
        <v>0</v>
      </c>
      <c r="K45" s="233">
        <v>0</v>
      </c>
      <c r="L45" s="233">
        <f>F45*K45</f>
        <v>0</v>
      </c>
      <c r="M45" s="240" t="s">
        <v>472</v>
      </c>
      <c r="X45" s="233">
        <f>IF(AO45="5",BH45,0)</f>
        <v>0</v>
      </c>
      <c r="Z45" s="233">
        <f>IF(AO45="1",BF45,0)</f>
        <v>0</v>
      </c>
      <c r="AA45" s="233">
        <f>IF(AO45="1",BG45,0)</f>
        <v>0</v>
      </c>
      <c r="AB45" s="233">
        <f>IF(AO45="7",BF45,0)</f>
        <v>0</v>
      </c>
      <c r="AC45" s="233">
        <f>IF(AO45="7",BG45,0)</f>
        <v>0</v>
      </c>
      <c r="AD45" s="233">
        <f>IF(AO45="2",BF45,0)</f>
        <v>0</v>
      </c>
      <c r="AE45" s="233">
        <f>IF(AO45="2",BG45,0)</f>
        <v>0</v>
      </c>
      <c r="AF45" s="233">
        <f>IF(AO45="0",BH45,0)</f>
        <v>0</v>
      </c>
      <c r="AG45" s="229" t="s">
        <v>154</v>
      </c>
      <c r="AH45" s="233">
        <f>IF(AL45=0,J45,0)</f>
        <v>0</v>
      </c>
      <c r="AI45" s="233">
        <f>IF(AL45=15,J45,0)</f>
        <v>0</v>
      </c>
      <c r="AJ45" s="233">
        <f>IF(AL45=21,J45,0)</f>
        <v>0</v>
      </c>
      <c r="AL45" s="233">
        <v>15</v>
      </c>
      <c r="AM45" s="233">
        <f>G45*0</f>
        <v>0</v>
      </c>
      <c r="AN45" s="233">
        <f>G45*(1-0)</f>
        <v>0</v>
      </c>
      <c r="AO45" s="234" t="s">
        <v>157</v>
      </c>
      <c r="AT45" s="233">
        <f>AU45+AV45</f>
        <v>0</v>
      </c>
      <c r="AU45" s="233">
        <f>F45*AM45</f>
        <v>0</v>
      </c>
      <c r="AV45" s="233">
        <f>F45*AN45</f>
        <v>0</v>
      </c>
      <c r="AW45" s="234" t="s">
        <v>205</v>
      </c>
      <c r="AX45" s="234" t="s">
        <v>163</v>
      </c>
      <c r="AY45" s="229" t="s">
        <v>164</v>
      </c>
      <c r="BA45" s="233">
        <f>AU45+AV45</f>
        <v>0</v>
      </c>
      <c r="BB45" s="233">
        <f>G45/(100-BC45)*100</f>
        <v>0</v>
      </c>
      <c r="BC45" s="233">
        <v>0</v>
      </c>
      <c r="BD45" s="233">
        <f>L45</f>
        <v>0</v>
      </c>
      <c r="BF45" s="233">
        <f>F45*AM45</f>
        <v>0</v>
      </c>
      <c r="BG45" s="233">
        <f>F45*AN45</f>
        <v>0</v>
      </c>
      <c r="BH45" s="233">
        <f>F45*G45</f>
        <v>0</v>
      </c>
      <c r="BI45" s="233"/>
      <c r="BJ45" s="233">
        <v>13</v>
      </c>
      <c r="BU45" s="233" t="e">
        <f>#REF!</f>
        <v>#REF!</v>
      </c>
      <c r="BV45" s="225" t="s">
        <v>484</v>
      </c>
    </row>
    <row r="46" spans="1:74" ht="40.5" customHeight="1" x14ac:dyDescent="0.3">
      <c r="A46" s="241"/>
      <c r="B46" s="242" t="s">
        <v>165</v>
      </c>
      <c r="C46" s="530" t="s">
        <v>1404</v>
      </c>
      <c r="D46" s="531"/>
      <c r="E46" s="531"/>
      <c r="F46" s="531"/>
      <c r="G46" s="531"/>
      <c r="H46" s="531"/>
      <c r="I46" s="531"/>
      <c r="J46" s="531"/>
      <c r="K46" s="531"/>
      <c r="L46" s="531"/>
      <c r="M46" s="532"/>
    </row>
    <row r="47" spans="1:74" ht="14.4" x14ac:dyDescent="0.3">
      <c r="A47" s="239" t="s">
        <v>220</v>
      </c>
      <c r="B47" s="223" t="s">
        <v>888</v>
      </c>
      <c r="C47" s="521" t="s">
        <v>889</v>
      </c>
      <c r="D47" s="519"/>
      <c r="E47" s="223" t="s">
        <v>196</v>
      </c>
      <c r="F47" s="233">
        <v>54.96</v>
      </c>
      <c r="G47" s="311">
        <v>0</v>
      </c>
      <c r="H47" s="233">
        <f>F47*AM47</f>
        <v>0</v>
      </c>
      <c r="I47" s="233">
        <f>F47*AN47</f>
        <v>0</v>
      </c>
      <c r="J47" s="233">
        <f>F47*G47</f>
        <v>0</v>
      </c>
      <c r="K47" s="233">
        <v>0</v>
      </c>
      <c r="L47" s="233">
        <f>F47*K47</f>
        <v>0</v>
      </c>
      <c r="M47" s="240" t="s">
        <v>472</v>
      </c>
      <c r="X47" s="233">
        <f>IF(AO47="5",BH47,0)</f>
        <v>0</v>
      </c>
      <c r="Z47" s="233">
        <f>IF(AO47="1",BF47,0)</f>
        <v>0</v>
      </c>
      <c r="AA47" s="233">
        <f>IF(AO47="1",BG47,0)</f>
        <v>0</v>
      </c>
      <c r="AB47" s="233">
        <f>IF(AO47="7",BF47,0)</f>
        <v>0</v>
      </c>
      <c r="AC47" s="233">
        <f>IF(AO47="7",BG47,0)</f>
        <v>0</v>
      </c>
      <c r="AD47" s="233">
        <f>IF(AO47="2",BF47,0)</f>
        <v>0</v>
      </c>
      <c r="AE47" s="233">
        <f>IF(AO47="2",BG47,0)</f>
        <v>0</v>
      </c>
      <c r="AF47" s="233">
        <f>IF(AO47="0",BH47,0)</f>
        <v>0</v>
      </c>
      <c r="AG47" s="229" t="s">
        <v>154</v>
      </c>
      <c r="AH47" s="233">
        <f>IF(AL47=0,J47,0)</f>
        <v>0</v>
      </c>
      <c r="AI47" s="233">
        <f>IF(AL47=15,J47,0)</f>
        <v>0</v>
      </c>
      <c r="AJ47" s="233">
        <f>IF(AL47=21,J47,0)</f>
        <v>0</v>
      </c>
      <c r="AL47" s="233">
        <v>15</v>
      </c>
      <c r="AM47" s="233">
        <f>G47*0</f>
        <v>0</v>
      </c>
      <c r="AN47" s="233">
        <f>G47*(1-0)</f>
        <v>0</v>
      </c>
      <c r="AO47" s="234" t="s">
        <v>157</v>
      </c>
      <c r="AT47" s="233">
        <f>AU47+AV47</f>
        <v>0</v>
      </c>
      <c r="AU47" s="233">
        <f>F47*AM47</f>
        <v>0</v>
      </c>
      <c r="AV47" s="233">
        <f>F47*AN47</f>
        <v>0</v>
      </c>
      <c r="AW47" s="234" t="s">
        <v>205</v>
      </c>
      <c r="AX47" s="234" t="s">
        <v>163</v>
      </c>
      <c r="AY47" s="229" t="s">
        <v>164</v>
      </c>
      <c r="BA47" s="233">
        <f>AU47+AV47</f>
        <v>0</v>
      </c>
      <c r="BB47" s="233">
        <f>G47/(100-BC47)*100</f>
        <v>0</v>
      </c>
      <c r="BC47" s="233">
        <v>0</v>
      </c>
      <c r="BD47" s="233">
        <f>L47</f>
        <v>0</v>
      </c>
      <c r="BF47" s="233">
        <f>F47*AM47</f>
        <v>0</v>
      </c>
      <c r="BG47" s="233">
        <f>F47*AN47</f>
        <v>0</v>
      </c>
      <c r="BH47" s="233">
        <f>F47*G47</f>
        <v>0</v>
      </c>
      <c r="BI47" s="233"/>
      <c r="BJ47" s="233">
        <v>13</v>
      </c>
      <c r="BU47" s="233" t="e">
        <f>#REF!</f>
        <v>#REF!</v>
      </c>
      <c r="BV47" s="225" t="s">
        <v>889</v>
      </c>
    </row>
    <row r="48" spans="1:74" ht="40.5" customHeight="1" x14ac:dyDescent="0.3">
      <c r="A48" s="241"/>
      <c r="B48" s="242" t="s">
        <v>165</v>
      </c>
      <c r="C48" s="530" t="s">
        <v>1725</v>
      </c>
      <c r="D48" s="531"/>
      <c r="E48" s="531"/>
      <c r="F48" s="531"/>
      <c r="G48" s="531"/>
      <c r="H48" s="531"/>
      <c r="I48" s="531"/>
      <c r="J48" s="531"/>
      <c r="K48" s="531"/>
      <c r="L48" s="531"/>
      <c r="M48" s="532"/>
    </row>
    <row r="49" spans="1:74" ht="14.4" x14ac:dyDescent="0.3">
      <c r="A49" s="239" t="s">
        <v>154</v>
      </c>
      <c r="B49" s="224" t="s">
        <v>161</v>
      </c>
      <c r="C49" s="526" t="s">
        <v>219</v>
      </c>
      <c r="D49" s="527"/>
      <c r="E49" s="223" t="s">
        <v>114</v>
      </c>
      <c r="F49" s="223" t="s">
        <v>114</v>
      </c>
      <c r="G49" s="223" t="s">
        <v>114</v>
      </c>
      <c r="H49" s="235">
        <f>SUM(H50:H52)</f>
        <v>0</v>
      </c>
      <c r="I49" s="235">
        <f>SUM(I50:I52)</f>
        <v>0</v>
      </c>
      <c r="J49" s="235">
        <f>SUM(J50:J52)</f>
        <v>0</v>
      </c>
      <c r="K49" s="230" t="s">
        <v>154</v>
      </c>
      <c r="L49" s="235">
        <f>SUM(L50:L52)</f>
        <v>5.8514400000000001E-2</v>
      </c>
      <c r="M49" s="243" t="s">
        <v>154</v>
      </c>
      <c r="AG49" s="229" t="s">
        <v>154</v>
      </c>
      <c r="AQ49" s="222">
        <f>SUM(AH50:AH52)</f>
        <v>0</v>
      </c>
      <c r="AR49" s="222">
        <f>SUM(AI50:AI52)</f>
        <v>0</v>
      </c>
      <c r="AS49" s="222">
        <f>SUM(AJ50:AJ52)</f>
        <v>0</v>
      </c>
    </row>
    <row r="50" spans="1:74" ht="14.4" x14ac:dyDescent="0.3">
      <c r="A50" s="239" t="s">
        <v>224</v>
      </c>
      <c r="B50" s="223" t="s">
        <v>221</v>
      </c>
      <c r="C50" s="521" t="s">
        <v>222</v>
      </c>
      <c r="D50" s="519"/>
      <c r="E50" s="223" t="s">
        <v>180</v>
      </c>
      <c r="F50" s="233">
        <v>68.040000000000006</v>
      </c>
      <c r="G50" s="311">
        <v>0</v>
      </c>
      <c r="H50" s="233">
        <f>F50*AM50</f>
        <v>0</v>
      </c>
      <c r="I50" s="233">
        <f>F50*AN50</f>
        <v>0</v>
      </c>
      <c r="J50" s="233">
        <f>F50*G50</f>
        <v>0</v>
      </c>
      <c r="K50" s="233">
        <v>8.5999999999999998E-4</v>
      </c>
      <c r="L50" s="233">
        <f>F50*K50</f>
        <v>5.8514400000000001E-2</v>
      </c>
      <c r="M50" s="240" t="s">
        <v>472</v>
      </c>
      <c r="X50" s="233">
        <f>IF(AO50="5",BH50,0)</f>
        <v>0</v>
      </c>
      <c r="Z50" s="233">
        <f>IF(AO50="1",BF50,0)</f>
        <v>0</v>
      </c>
      <c r="AA50" s="233">
        <f>IF(AO50="1",BG50,0)</f>
        <v>0</v>
      </c>
      <c r="AB50" s="233">
        <f>IF(AO50="7",BF50,0)</f>
        <v>0</v>
      </c>
      <c r="AC50" s="233">
        <f>IF(AO50="7",BG50,0)</f>
        <v>0</v>
      </c>
      <c r="AD50" s="233">
        <f>IF(AO50="2",BF50,0)</f>
        <v>0</v>
      </c>
      <c r="AE50" s="233">
        <f>IF(AO50="2",BG50,0)</f>
        <v>0</v>
      </c>
      <c r="AF50" s="233">
        <f>IF(AO50="0",BH50,0)</f>
        <v>0</v>
      </c>
      <c r="AG50" s="229" t="s">
        <v>154</v>
      </c>
      <c r="AH50" s="233">
        <f>IF(AL50=0,J50,0)</f>
        <v>0</v>
      </c>
      <c r="AI50" s="233">
        <f>IF(AL50=15,J50,0)</f>
        <v>0</v>
      </c>
      <c r="AJ50" s="233">
        <f>IF(AL50=21,J50,0)</f>
        <v>0</v>
      </c>
      <c r="AL50" s="233">
        <v>15</v>
      </c>
      <c r="AM50" s="233">
        <f>G50*0.083527313</f>
        <v>0</v>
      </c>
      <c r="AN50" s="233">
        <f>G50*(1-0.083527313)</f>
        <v>0</v>
      </c>
      <c r="AO50" s="234" t="s">
        <v>157</v>
      </c>
      <c r="AT50" s="233">
        <f>AU50+AV50</f>
        <v>0</v>
      </c>
      <c r="AU50" s="233">
        <f>F50*AM50</f>
        <v>0</v>
      </c>
      <c r="AV50" s="233">
        <f>F50*AN50</f>
        <v>0</v>
      </c>
      <c r="AW50" s="234" t="s">
        <v>223</v>
      </c>
      <c r="AX50" s="234" t="s">
        <v>163</v>
      </c>
      <c r="AY50" s="229" t="s">
        <v>164</v>
      </c>
      <c r="BA50" s="233">
        <f>AU50+AV50</f>
        <v>0</v>
      </c>
      <c r="BB50" s="233">
        <f>G50/(100-BC50)*100</f>
        <v>0</v>
      </c>
      <c r="BC50" s="233">
        <v>0</v>
      </c>
      <c r="BD50" s="233">
        <f>L50</f>
        <v>5.8514400000000001E-2</v>
      </c>
      <c r="BF50" s="233">
        <f>F50*AM50</f>
        <v>0</v>
      </c>
      <c r="BG50" s="233">
        <f>F50*AN50</f>
        <v>0</v>
      </c>
      <c r="BH50" s="233">
        <f>F50*G50</f>
        <v>0</v>
      </c>
      <c r="BI50" s="233"/>
      <c r="BJ50" s="233">
        <v>15</v>
      </c>
      <c r="BU50" s="233" t="e">
        <f>#REF!</f>
        <v>#REF!</v>
      </c>
      <c r="BV50" s="225" t="s">
        <v>222</v>
      </c>
    </row>
    <row r="51" spans="1:74" ht="40.5" customHeight="1" x14ac:dyDescent="0.3">
      <c r="A51" s="241"/>
      <c r="B51" s="242" t="s">
        <v>165</v>
      </c>
      <c r="C51" s="530" t="s">
        <v>1726</v>
      </c>
      <c r="D51" s="531"/>
      <c r="E51" s="531"/>
      <c r="F51" s="531"/>
      <c r="G51" s="531"/>
      <c r="H51" s="531"/>
      <c r="I51" s="531"/>
      <c r="J51" s="531"/>
      <c r="K51" s="531"/>
      <c r="L51" s="531"/>
      <c r="M51" s="532"/>
    </row>
    <row r="52" spans="1:74" ht="14.4" x14ac:dyDescent="0.3">
      <c r="A52" s="239" t="s">
        <v>228</v>
      </c>
      <c r="B52" s="223" t="s">
        <v>225</v>
      </c>
      <c r="C52" s="521" t="s">
        <v>226</v>
      </c>
      <c r="D52" s="519"/>
      <c r="E52" s="223" t="s">
        <v>180</v>
      </c>
      <c r="F52" s="233">
        <v>68.040000000000006</v>
      </c>
      <c r="G52" s="311">
        <v>0</v>
      </c>
      <c r="H52" s="233">
        <f>F52*AM52</f>
        <v>0</v>
      </c>
      <c r="I52" s="233">
        <f>F52*AN52</f>
        <v>0</v>
      </c>
      <c r="J52" s="233">
        <f>F52*G52</f>
        <v>0</v>
      </c>
      <c r="K52" s="233">
        <v>0</v>
      </c>
      <c r="L52" s="233">
        <f>F52*K52</f>
        <v>0</v>
      </c>
      <c r="M52" s="240" t="s">
        <v>472</v>
      </c>
      <c r="X52" s="233">
        <f>IF(AO52="5",BH52,0)</f>
        <v>0</v>
      </c>
      <c r="Z52" s="233">
        <f>IF(AO52="1",BF52,0)</f>
        <v>0</v>
      </c>
      <c r="AA52" s="233">
        <f>IF(AO52="1",BG52,0)</f>
        <v>0</v>
      </c>
      <c r="AB52" s="233">
        <f>IF(AO52="7",BF52,0)</f>
        <v>0</v>
      </c>
      <c r="AC52" s="233">
        <f>IF(AO52="7",BG52,0)</f>
        <v>0</v>
      </c>
      <c r="AD52" s="233">
        <f>IF(AO52="2",BF52,0)</f>
        <v>0</v>
      </c>
      <c r="AE52" s="233">
        <f>IF(AO52="2",BG52,0)</f>
        <v>0</v>
      </c>
      <c r="AF52" s="233">
        <f>IF(AO52="0",BH52,0)</f>
        <v>0</v>
      </c>
      <c r="AG52" s="229" t="s">
        <v>154</v>
      </c>
      <c r="AH52" s="233">
        <f>IF(AL52=0,J52,0)</f>
        <v>0</v>
      </c>
      <c r="AI52" s="233">
        <f>IF(AL52=15,J52,0)</f>
        <v>0</v>
      </c>
      <c r="AJ52" s="233">
        <f>IF(AL52=21,J52,0)</f>
        <v>0</v>
      </c>
      <c r="AL52" s="233">
        <v>15</v>
      </c>
      <c r="AM52" s="233">
        <f>G52*0</f>
        <v>0</v>
      </c>
      <c r="AN52" s="233">
        <f>G52*(1-0)</f>
        <v>0</v>
      </c>
      <c r="AO52" s="234" t="s">
        <v>157</v>
      </c>
      <c r="AT52" s="233">
        <f>AU52+AV52</f>
        <v>0</v>
      </c>
      <c r="AU52" s="233">
        <f>F52*AM52</f>
        <v>0</v>
      </c>
      <c r="AV52" s="233">
        <f>F52*AN52</f>
        <v>0</v>
      </c>
      <c r="AW52" s="234" t="s">
        <v>223</v>
      </c>
      <c r="AX52" s="234" t="s">
        <v>163</v>
      </c>
      <c r="AY52" s="229" t="s">
        <v>164</v>
      </c>
      <c r="BA52" s="233">
        <f>AU52+AV52</f>
        <v>0</v>
      </c>
      <c r="BB52" s="233">
        <f>G52/(100-BC52)*100</f>
        <v>0</v>
      </c>
      <c r="BC52" s="233">
        <v>0</v>
      </c>
      <c r="BD52" s="233">
        <f>L52</f>
        <v>0</v>
      </c>
      <c r="BF52" s="233">
        <f>F52*AM52</f>
        <v>0</v>
      </c>
      <c r="BG52" s="233">
        <f>F52*AN52</f>
        <v>0</v>
      </c>
      <c r="BH52" s="233">
        <f>F52*G52</f>
        <v>0</v>
      </c>
      <c r="BI52" s="233"/>
      <c r="BJ52" s="233">
        <v>15</v>
      </c>
      <c r="BU52" s="233" t="e">
        <f>#REF!</f>
        <v>#REF!</v>
      </c>
      <c r="BV52" s="225" t="s">
        <v>226</v>
      </c>
    </row>
    <row r="53" spans="1:74" ht="40.5" customHeight="1" x14ac:dyDescent="0.3">
      <c r="A53" s="244"/>
      <c r="B53" s="245" t="s">
        <v>165</v>
      </c>
      <c r="C53" s="540" t="s">
        <v>1727</v>
      </c>
      <c r="D53" s="541"/>
      <c r="E53" s="541"/>
      <c r="F53" s="541"/>
      <c r="G53" s="541"/>
      <c r="H53" s="541"/>
      <c r="I53" s="541"/>
      <c r="J53" s="541"/>
      <c r="K53" s="541"/>
      <c r="L53" s="541"/>
      <c r="M53" s="542"/>
    </row>
    <row r="54" spans="1:74" ht="14.4" x14ac:dyDescent="0.3">
      <c r="A54" s="237" t="s">
        <v>154</v>
      </c>
      <c r="B54" s="260" t="s">
        <v>215</v>
      </c>
      <c r="C54" s="545" t="s">
        <v>227</v>
      </c>
      <c r="D54" s="546"/>
      <c r="E54" s="238" t="s">
        <v>114</v>
      </c>
      <c r="F54" s="238" t="s">
        <v>114</v>
      </c>
      <c r="G54" s="238" t="s">
        <v>114</v>
      </c>
      <c r="H54" s="261">
        <f>SUM(H55:H73)</f>
        <v>0</v>
      </c>
      <c r="I54" s="261">
        <f>SUM(I55:I73)</f>
        <v>0</v>
      </c>
      <c r="J54" s="261">
        <f>SUM(J55:J73)</f>
        <v>0</v>
      </c>
      <c r="K54" s="262" t="s">
        <v>154</v>
      </c>
      <c r="L54" s="261">
        <f>SUM(L55:L73)</f>
        <v>0</v>
      </c>
      <c r="M54" s="263" t="s">
        <v>154</v>
      </c>
      <c r="AG54" s="229" t="s">
        <v>154</v>
      </c>
      <c r="AQ54" s="222">
        <f>SUM(AH55:AH73)</f>
        <v>0</v>
      </c>
      <c r="AR54" s="222">
        <f>SUM(AI55:AI73)</f>
        <v>0</v>
      </c>
      <c r="AS54" s="222">
        <f>SUM(AJ55:AJ73)</f>
        <v>0</v>
      </c>
    </row>
    <row r="55" spans="1:74" ht="14.4" x14ac:dyDescent="0.3">
      <c r="A55" s="239" t="s">
        <v>232</v>
      </c>
      <c r="B55" s="223" t="s">
        <v>229</v>
      </c>
      <c r="C55" s="521" t="s">
        <v>230</v>
      </c>
      <c r="D55" s="519"/>
      <c r="E55" s="223" t="s">
        <v>196</v>
      </c>
      <c r="F55" s="233">
        <v>1.36</v>
      </c>
      <c r="G55" s="311">
        <v>0</v>
      </c>
      <c r="H55" s="233">
        <f>F55*AM55</f>
        <v>0</v>
      </c>
      <c r="I55" s="233">
        <f>F55*AN55</f>
        <v>0</v>
      </c>
      <c r="J55" s="233">
        <f>F55*G55</f>
        <v>0</v>
      </c>
      <c r="K55" s="233">
        <v>0</v>
      </c>
      <c r="L55" s="233">
        <f>F55*K55</f>
        <v>0</v>
      </c>
      <c r="M55" s="240" t="s">
        <v>472</v>
      </c>
      <c r="X55" s="233">
        <f>IF(AO55="5",BH55,0)</f>
        <v>0</v>
      </c>
      <c r="Z55" s="233">
        <f>IF(AO55="1",BF55,0)</f>
        <v>0</v>
      </c>
      <c r="AA55" s="233">
        <f>IF(AO55="1",BG55,0)</f>
        <v>0</v>
      </c>
      <c r="AB55" s="233">
        <f>IF(AO55="7",BF55,0)</f>
        <v>0</v>
      </c>
      <c r="AC55" s="233">
        <f>IF(AO55="7",BG55,0)</f>
        <v>0</v>
      </c>
      <c r="AD55" s="233">
        <f>IF(AO55="2",BF55,0)</f>
        <v>0</v>
      </c>
      <c r="AE55" s="233">
        <f>IF(AO55="2",BG55,0)</f>
        <v>0</v>
      </c>
      <c r="AF55" s="233">
        <f>IF(AO55="0",BH55,0)</f>
        <v>0</v>
      </c>
      <c r="AG55" s="229" t="s">
        <v>154</v>
      </c>
      <c r="AH55" s="233">
        <f>IF(AL55=0,J55,0)</f>
        <v>0</v>
      </c>
      <c r="AI55" s="233">
        <f>IF(AL55=15,J55,0)</f>
        <v>0</v>
      </c>
      <c r="AJ55" s="233">
        <f>IF(AL55=21,J55,0)</f>
        <v>0</v>
      </c>
      <c r="AL55" s="233">
        <v>15</v>
      </c>
      <c r="AM55" s="233">
        <f>G55*0</f>
        <v>0</v>
      </c>
      <c r="AN55" s="233">
        <f>G55*(1-0)</f>
        <v>0</v>
      </c>
      <c r="AO55" s="234" t="s">
        <v>157</v>
      </c>
      <c r="AT55" s="233">
        <f>AU55+AV55</f>
        <v>0</v>
      </c>
      <c r="AU55" s="233">
        <f>F55*AM55</f>
        <v>0</v>
      </c>
      <c r="AV55" s="233">
        <f>F55*AN55</f>
        <v>0</v>
      </c>
      <c r="AW55" s="234" t="s">
        <v>231</v>
      </c>
      <c r="AX55" s="234" t="s">
        <v>163</v>
      </c>
      <c r="AY55" s="229" t="s">
        <v>164</v>
      </c>
      <c r="BA55" s="233">
        <f>AU55+AV55</f>
        <v>0</v>
      </c>
      <c r="BB55" s="233">
        <f>G55/(100-BC55)*100</f>
        <v>0</v>
      </c>
      <c r="BC55" s="233">
        <v>0</v>
      </c>
      <c r="BD55" s="233">
        <f>L55</f>
        <v>0</v>
      </c>
      <c r="BF55" s="233">
        <f>F55*AM55</f>
        <v>0</v>
      </c>
      <c r="BG55" s="233">
        <f>F55*AN55</f>
        <v>0</v>
      </c>
      <c r="BH55" s="233">
        <f>F55*G55</f>
        <v>0</v>
      </c>
      <c r="BI55" s="233"/>
      <c r="BJ55" s="233">
        <v>16</v>
      </c>
      <c r="BU55" s="233" t="e">
        <f>#REF!</f>
        <v>#REF!</v>
      </c>
      <c r="BV55" s="225" t="s">
        <v>230</v>
      </c>
    </row>
    <row r="56" spans="1:74" ht="54" customHeight="1" x14ac:dyDescent="0.3">
      <c r="A56" s="241"/>
      <c r="B56" s="242" t="s">
        <v>165</v>
      </c>
      <c r="C56" s="530" t="s">
        <v>1728</v>
      </c>
      <c r="D56" s="531"/>
      <c r="E56" s="531"/>
      <c r="F56" s="531"/>
      <c r="G56" s="531"/>
      <c r="H56" s="531"/>
      <c r="I56" s="531"/>
      <c r="J56" s="531"/>
      <c r="K56" s="531"/>
      <c r="L56" s="531"/>
      <c r="M56" s="532"/>
    </row>
    <row r="57" spans="1:74" ht="14.4" x14ac:dyDescent="0.3">
      <c r="A57" s="239" t="s">
        <v>235</v>
      </c>
      <c r="B57" s="223" t="s">
        <v>233</v>
      </c>
      <c r="C57" s="521" t="s">
        <v>234</v>
      </c>
      <c r="D57" s="519"/>
      <c r="E57" s="223" t="s">
        <v>196</v>
      </c>
      <c r="F57" s="233">
        <v>0.28999999999999998</v>
      </c>
      <c r="G57" s="311">
        <v>0</v>
      </c>
      <c r="H57" s="233">
        <f>F57*AM57</f>
        <v>0</v>
      </c>
      <c r="I57" s="233">
        <f>F57*AN57</f>
        <v>0</v>
      </c>
      <c r="J57" s="233">
        <f>F57*G57</f>
        <v>0</v>
      </c>
      <c r="K57" s="233">
        <v>0</v>
      </c>
      <c r="L57" s="233">
        <f>F57*K57</f>
        <v>0</v>
      </c>
      <c r="M57" s="240" t="s">
        <v>472</v>
      </c>
      <c r="X57" s="233">
        <f>IF(AO57="5",BH57,0)</f>
        <v>0</v>
      </c>
      <c r="Z57" s="233">
        <f>IF(AO57="1",BF57,0)</f>
        <v>0</v>
      </c>
      <c r="AA57" s="233">
        <f>IF(AO57="1",BG57,0)</f>
        <v>0</v>
      </c>
      <c r="AB57" s="233">
        <f>IF(AO57="7",BF57,0)</f>
        <v>0</v>
      </c>
      <c r="AC57" s="233">
        <f>IF(AO57="7",BG57,0)</f>
        <v>0</v>
      </c>
      <c r="AD57" s="233">
        <f>IF(AO57="2",BF57,0)</f>
        <v>0</v>
      </c>
      <c r="AE57" s="233">
        <f>IF(AO57="2",BG57,0)</f>
        <v>0</v>
      </c>
      <c r="AF57" s="233">
        <f>IF(AO57="0",BH57,0)</f>
        <v>0</v>
      </c>
      <c r="AG57" s="229" t="s">
        <v>154</v>
      </c>
      <c r="AH57" s="233">
        <f>IF(AL57=0,J57,0)</f>
        <v>0</v>
      </c>
      <c r="AI57" s="233">
        <f>IF(AL57=15,J57,0)</f>
        <v>0</v>
      </c>
      <c r="AJ57" s="233">
        <f>IF(AL57=21,J57,0)</f>
        <v>0</v>
      </c>
      <c r="AL57" s="233">
        <v>15</v>
      </c>
      <c r="AM57" s="233">
        <f>G57*0</f>
        <v>0</v>
      </c>
      <c r="AN57" s="233">
        <f>G57*(1-0)</f>
        <v>0</v>
      </c>
      <c r="AO57" s="234" t="s">
        <v>157</v>
      </c>
      <c r="AT57" s="233">
        <f>AU57+AV57</f>
        <v>0</v>
      </c>
      <c r="AU57" s="233">
        <f>F57*AM57</f>
        <v>0</v>
      </c>
      <c r="AV57" s="233">
        <f>F57*AN57</f>
        <v>0</v>
      </c>
      <c r="AW57" s="234" t="s">
        <v>231</v>
      </c>
      <c r="AX57" s="234" t="s">
        <v>163</v>
      </c>
      <c r="AY57" s="229" t="s">
        <v>164</v>
      </c>
      <c r="BA57" s="233">
        <f>AU57+AV57</f>
        <v>0</v>
      </c>
      <c r="BB57" s="233">
        <f>G57/(100-BC57)*100</f>
        <v>0</v>
      </c>
      <c r="BC57" s="233">
        <v>0</v>
      </c>
      <c r="BD57" s="233">
        <f>L57</f>
        <v>0</v>
      </c>
      <c r="BF57" s="233">
        <f>F57*AM57</f>
        <v>0</v>
      </c>
      <c r="BG57" s="233">
        <f>F57*AN57</f>
        <v>0</v>
      </c>
      <c r="BH57" s="233">
        <f>F57*G57</f>
        <v>0</v>
      </c>
      <c r="BI57" s="233"/>
      <c r="BJ57" s="233">
        <v>16</v>
      </c>
      <c r="BU57" s="233" t="e">
        <f>#REF!</f>
        <v>#REF!</v>
      </c>
      <c r="BV57" s="225" t="s">
        <v>234</v>
      </c>
    </row>
    <row r="58" spans="1:74" ht="67.5" customHeight="1" x14ac:dyDescent="0.3">
      <c r="A58" s="241"/>
      <c r="B58" s="242" t="s">
        <v>165</v>
      </c>
      <c r="C58" s="530" t="s">
        <v>1729</v>
      </c>
      <c r="D58" s="531"/>
      <c r="E58" s="531"/>
      <c r="F58" s="531"/>
      <c r="G58" s="531"/>
      <c r="H58" s="531"/>
      <c r="I58" s="531"/>
      <c r="J58" s="531"/>
      <c r="K58" s="531"/>
      <c r="L58" s="531"/>
      <c r="M58" s="532"/>
    </row>
    <row r="59" spans="1:74" ht="14.4" x14ac:dyDescent="0.3">
      <c r="A59" s="239" t="s">
        <v>238</v>
      </c>
      <c r="B59" s="223" t="s">
        <v>503</v>
      </c>
      <c r="C59" s="521" t="s">
        <v>237</v>
      </c>
      <c r="D59" s="519"/>
      <c r="E59" s="223" t="s">
        <v>196</v>
      </c>
      <c r="F59" s="233">
        <v>11.49</v>
      </c>
      <c r="G59" s="311">
        <v>0</v>
      </c>
      <c r="H59" s="233">
        <f>F59*AM59</f>
        <v>0</v>
      </c>
      <c r="I59" s="233">
        <f>F59*AN59</f>
        <v>0</v>
      </c>
      <c r="J59" s="233">
        <f>F59*G59</f>
        <v>0</v>
      </c>
      <c r="K59" s="233">
        <v>0</v>
      </c>
      <c r="L59" s="233">
        <f>F59*K59</f>
        <v>0</v>
      </c>
      <c r="M59" s="240" t="s">
        <v>472</v>
      </c>
      <c r="X59" s="233">
        <f>IF(AO59="5",BH59,0)</f>
        <v>0</v>
      </c>
      <c r="Z59" s="233">
        <f>IF(AO59="1",BF59,0)</f>
        <v>0</v>
      </c>
      <c r="AA59" s="233">
        <f>IF(AO59="1",BG59,0)</f>
        <v>0</v>
      </c>
      <c r="AB59" s="233">
        <f>IF(AO59="7",BF59,0)</f>
        <v>0</v>
      </c>
      <c r="AC59" s="233">
        <f>IF(AO59="7",BG59,0)</f>
        <v>0</v>
      </c>
      <c r="AD59" s="233">
        <f>IF(AO59="2",BF59,0)</f>
        <v>0</v>
      </c>
      <c r="AE59" s="233">
        <f>IF(AO59="2",BG59,0)</f>
        <v>0</v>
      </c>
      <c r="AF59" s="233">
        <f>IF(AO59="0",BH59,0)</f>
        <v>0</v>
      </c>
      <c r="AG59" s="229" t="s">
        <v>154</v>
      </c>
      <c r="AH59" s="233">
        <f>IF(AL59=0,J59,0)</f>
        <v>0</v>
      </c>
      <c r="AI59" s="233">
        <f>IF(AL59=15,J59,0)</f>
        <v>0</v>
      </c>
      <c r="AJ59" s="233">
        <f>IF(AL59=21,J59,0)</f>
        <v>0</v>
      </c>
      <c r="AL59" s="233">
        <v>15</v>
      </c>
      <c r="AM59" s="233">
        <f>G59*0</f>
        <v>0</v>
      </c>
      <c r="AN59" s="233">
        <f>G59*(1-0)</f>
        <v>0</v>
      </c>
      <c r="AO59" s="234" t="s">
        <v>157</v>
      </c>
      <c r="AT59" s="233">
        <f>AU59+AV59</f>
        <v>0</v>
      </c>
      <c r="AU59" s="233">
        <f>F59*AM59</f>
        <v>0</v>
      </c>
      <c r="AV59" s="233">
        <f>F59*AN59</f>
        <v>0</v>
      </c>
      <c r="AW59" s="234" t="s">
        <v>231</v>
      </c>
      <c r="AX59" s="234" t="s">
        <v>163</v>
      </c>
      <c r="AY59" s="229" t="s">
        <v>164</v>
      </c>
      <c r="BA59" s="233">
        <f>AU59+AV59</f>
        <v>0</v>
      </c>
      <c r="BB59" s="233">
        <f>G59/(100-BC59)*100</f>
        <v>0</v>
      </c>
      <c r="BC59" s="233">
        <v>0</v>
      </c>
      <c r="BD59" s="233">
        <f>L59</f>
        <v>0</v>
      </c>
      <c r="BF59" s="233">
        <f>F59*AM59</f>
        <v>0</v>
      </c>
      <c r="BG59" s="233">
        <f>F59*AN59</f>
        <v>0</v>
      </c>
      <c r="BH59" s="233">
        <f>F59*G59</f>
        <v>0</v>
      </c>
      <c r="BI59" s="233"/>
      <c r="BJ59" s="233">
        <v>16</v>
      </c>
      <c r="BU59" s="233" t="e">
        <f>#REF!</f>
        <v>#REF!</v>
      </c>
      <c r="BV59" s="225" t="s">
        <v>237</v>
      </c>
    </row>
    <row r="60" spans="1:74" ht="67.5" customHeight="1" x14ac:dyDescent="0.3">
      <c r="A60" s="241"/>
      <c r="B60" s="242" t="s">
        <v>165</v>
      </c>
      <c r="C60" s="530" t="s">
        <v>1730</v>
      </c>
      <c r="D60" s="531"/>
      <c r="E60" s="531"/>
      <c r="F60" s="531"/>
      <c r="G60" s="531"/>
      <c r="H60" s="531"/>
      <c r="I60" s="531"/>
      <c r="J60" s="531"/>
      <c r="K60" s="531"/>
      <c r="L60" s="531"/>
      <c r="M60" s="532"/>
    </row>
    <row r="61" spans="1:74" ht="14.4" x14ac:dyDescent="0.3">
      <c r="A61" s="239" t="s">
        <v>241</v>
      </c>
      <c r="B61" s="223" t="s">
        <v>504</v>
      </c>
      <c r="C61" s="521" t="s">
        <v>240</v>
      </c>
      <c r="D61" s="519"/>
      <c r="E61" s="223" t="s">
        <v>196</v>
      </c>
      <c r="F61" s="233">
        <v>160.86000000000001</v>
      </c>
      <c r="G61" s="311">
        <v>0</v>
      </c>
      <c r="H61" s="233">
        <f>F61*AM61</f>
        <v>0</v>
      </c>
      <c r="I61" s="233">
        <f>F61*AN61</f>
        <v>0</v>
      </c>
      <c r="J61" s="233">
        <f>F61*G61</f>
        <v>0</v>
      </c>
      <c r="K61" s="233">
        <v>0</v>
      </c>
      <c r="L61" s="233">
        <f>F61*K61</f>
        <v>0</v>
      </c>
      <c r="M61" s="240" t="s">
        <v>472</v>
      </c>
      <c r="X61" s="233">
        <f>IF(AO61="5",BH61,0)</f>
        <v>0</v>
      </c>
      <c r="Z61" s="233">
        <f>IF(AO61="1",BF61,0)</f>
        <v>0</v>
      </c>
      <c r="AA61" s="233">
        <f>IF(AO61="1",BG61,0)</f>
        <v>0</v>
      </c>
      <c r="AB61" s="233">
        <f>IF(AO61="7",BF61,0)</f>
        <v>0</v>
      </c>
      <c r="AC61" s="233">
        <f>IF(AO61="7",BG61,0)</f>
        <v>0</v>
      </c>
      <c r="AD61" s="233">
        <f>IF(AO61="2",BF61,0)</f>
        <v>0</v>
      </c>
      <c r="AE61" s="233">
        <f>IF(AO61="2",BG61,0)</f>
        <v>0</v>
      </c>
      <c r="AF61" s="233">
        <f>IF(AO61="0",BH61,0)</f>
        <v>0</v>
      </c>
      <c r="AG61" s="229" t="s">
        <v>154</v>
      </c>
      <c r="AH61" s="233">
        <f>IF(AL61=0,J61,0)</f>
        <v>0</v>
      </c>
      <c r="AI61" s="233">
        <f>IF(AL61=15,J61,0)</f>
        <v>0</v>
      </c>
      <c r="AJ61" s="233">
        <f>IF(AL61=21,J61,0)</f>
        <v>0</v>
      </c>
      <c r="AL61" s="233">
        <v>15</v>
      </c>
      <c r="AM61" s="233">
        <f>G61*0</f>
        <v>0</v>
      </c>
      <c r="AN61" s="233">
        <f>G61*(1-0)</f>
        <v>0</v>
      </c>
      <c r="AO61" s="234" t="s">
        <v>157</v>
      </c>
      <c r="AT61" s="233">
        <f>AU61+AV61</f>
        <v>0</v>
      </c>
      <c r="AU61" s="233">
        <f>F61*AM61</f>
        <v>0</v>
      </c>
      <c r="AV61" s="233">
        <f>F61*AN61</f>
        <v>0</v>
      </c>
      <c r="AW61" s="234" t="s">
        <v>231</v>
      </c>
      <c r="AX61" s="234" t="s">
        <v>163</v>
      </c>
      <c r="AY61" s="229" t="s">
        <v>164</v>
      </c>
      <c r="BA61" s="233">
        <f>AU61+AV61</f>
        <v>0</v>
      </c>
      <c r="BB61" s="233">
        <f>G61/(100-BC61)*100</f>
        <v>0</v>
      </c>
      <c r="BC61" s="233">
        <v>0</v>
      </c>
      <c r="BD61" s="233">
        <f>L61</f>
        <v>0</v>
      </c>
      <c r="BF61" s="233">
        <f>F61*AM61</f>
        <v>0</v>
      </c>
      <c r="BG61" s="233">
        <f>F61*AN61</f>
        <v>0</v>
      </c>
      <c r="BH61" s="233">
        <f>F61*G61</f>
        <v>0</v>
      </c>
      <c r="BI61" s="233"/>
      <c r="BJ61" s="233">
        <v>16</v>
      </c>
      <c r="BU61" s="233" t="e">
        <f>#REF!</f>
        <v>#REF!</v>
      </c>
      <c r="BV61" s="225" t="s">
        <v>240</v>
      </c>
    </row>
    <row r="62" spans="1:74" ht="54" customHeight="1" x14ac:dyDescent="0.3">
      <c r="A62" s="241"/>
      <c r="B62" s="242" t="s">
        <v>165</v>
      </c>
      <c r="C62" s="530" t="s">
        <v>1731</v>
      </c>
      <c r="D62" s="531"/>
      <c r="E62" s="531"/>
      <c r="F62" s="531"/>
      <c r="G62" s="531"/>
      <c r="H62" s="531"/>
      <c r="I62" s="531"/>
      <c r="J62" s="531"/>
      <c r="K62" s="531"/>
      <c r="L62" s="531"/>
      <c r="M62" s="532"/>
    </row>
    <row r="63" spans="1:74" ht="14.4" x14ac:dyDescent="0.3">
      <c r="A63" s="239" t="s">
        <v>244</v>
      </c>
      <c r="B63" s="223" t="s">
        <v>505</v>
      </c>
      <c r="C63" s="521" t="s">
        <v>243</v>
      </c>
      <c r="D63" s="519"/>
      <c r="E63" s="223" t="s">
        <v>196</v>
      </c>
      <c r="F63" s="233">
        <v>9.77</v>
      </c>
      <c r="G63" s="311">
        <v>0</v>
      </c>
      <c r="H63" s="233">
        <f>F63*AM63</f>
        <v>0</v>
      </c>
      <c r="I63" s="233">
        <f>F63*AN63</f>
        <v>0</v>
      </c>
      <c r="J63" s="233">
        <f>F63*G63</f>
        <v>0</v>
      </c>
      <c r="K63" s="233">
        <v>0</v>
      </c>
      <c r="L63" s="233">
        <f>F63*K63</f>
        <v>0</v>
      </c>
      <c r="M63" s="240" t="s">
        <v>472</v>
      </c>
      <c r="X63" s="233">
        <f>IF(AO63="5",BH63,0)</f>
        <v>0</v>
      </c>
      <c r="Z63" s="233">
        <f>IF(AO63="1",BF63,0)</f>
        <v>0</v>
      </c>
      <c r="AA63" s="233">
        <f>IF(AO63="1",BG63,0)</f>
        <v>0</v>
      </c>
      <c r="AB63" s="233">
        <f>IF(AO63="7",BF63,0)</f>
        <v>0</v>
      </c>
      <c r="AC63" s="233">
        <f>IF(AO63="7",BG63,0)</f>
        <v>0</v>
      </c>
      <c r="AD63" s="233">
        <f>IF(AO63="2",BF63,0)</f>
        <v>0</v>
      </c>
      <c r="AE63" s="233">
        <f>IF(AO63="2",BG63,0)</f>
        <v>0</v>
      </c>
      <c r="AF63" s="233">
        <f>IF(AO63="0",BH63,0)</f>
        <v>0</v>
      </c>
      <c r="AG63" s="229" t="s">
        <v>154</v>
      </c>
      <c r="AH63" s="233">
        <f>IF(AL63=0,J63,0)</f>
        <v>0</v>
      </c>
      <c r="AI63" s="233">
        <f>IF(AL63=15,J63,0)</f>
        <v>0</v>
      </c>
      <c r="AJ63" s="233">
        <f>IF(AL63=21,J63,0)</f>
        <v>0</v>
      </c>
      <c r="AL63" s="233">
        <v>15</v>
      </c>
      <c r="AM63" s="233">
        <f>G63*0</f>
        <v>0</v>
      </c>
      <c r="AN63" s="233">
        <f>G63*(1-0)</f>
        <v>0</v>
      </c>
      <c r="AO63" s="234" t="s">
        <v>157</v>
      </c>
      <c r="AT63" s="233">
        <f>AU63+AV63</f>
        <v>0</v>
      </c>
      <c r="AU63" s="233">
        <f>F63*AM63</f>
        <v>0</v>
      </c>
      <c r="AV63" s="233">
        <f>F63*AN63</f>
        <v>0</v>
      </c>
      <c r="AW63" s="234" t="s">
        <v>231</v>
      </c>
      <c r="AX63" s="234" t="s">
        <v>163</v>
      </c>
      <c r="AY63" s="229" t="s">
        <v>164</v>
      </c>
      <c r="BA63" s="233">
        <f>AU63+AV63</f>
        <v>0</v>
      </c>
      <c r="BB63" s="233">
        <f>G63/(100-BC63)*100</f>
        <v>0</v>
      </c>
      <c r="BC63" s="233">
        <v>0</v>
      </c>
      <c r="BD63" s="233">
        <f>L63</f>
        <v>0</v>
      </c>
      <c r="BF63" s="233">
        <f>F63*AM63</f>
        <v>0</v>
      </c>
      <c r="BG63" s="233">
        <f>F63*AN63</f>
        <v>0</v>
      </c>
      <c r="BH63" s="233">
        <f>F63*G63</f>
        <v>0</v>
      </c>
      <c r="BI63" s="233"/>
      <c r="BJ63" s="233">
        <v>16</v>
      </c>
      <c r="BU63" s="233" t="e">
        <f>#REF!</f>
        <v>#REF!</v>
      </c>
      <c r="BV63" s="225" t="s">
        <v>243</v>
      </c>
    </row>
    <row r="64" spans="1:74" ht="54" customHeight="1" x14ac:dyDescent="0.3">
      <c r="A64" s="241"/>
      <c r="B64" s="242" t="s">
        <v>165</v>
      </c>
      <c r="C64" s="530" t="s">
        <v>1732</v>
      </c>
      <c r="D64" s="531"/>
      <c r="E64" s="531"/>
      <c r="F64" s="531"/>
      <c r="G64" s="531"/>
      <c r="H64" s="531"/>
      <c r="I64" s="531"/>
      <c r="J64" s="531"/>
      <c r="K64" s="531"/>
      <c r="L64" s="531"/>
      <c r="M64" s="532"/>
    </row>
    <row r="65" spans="1:74" ht="14.4" x14ac:dyDescent="0.3">
      <c r="A65" s="239" t="s">
        <v>247</v>
      </c>
      <c r="B65" s="223" t="s">
        <v>506</v>
      </c>
      <c r="C65" s="521" t="s">
        <v>246</v>
      </c>
      <c r="D65" s="519"/>
      <c r="E65" s="223" t="s">
        <v>196</v>
      </c>
      <c r="F65" s="233">
        <v>136.78</v>
      </c>
      <c r="G65" s="311">
        <v>0</v>
      </c>
      <c r="H65" s="233">
        <f>F65*AM65</f>
        <v>0</v>
      </c>
      <c r="I65" s="233">
        <f>F65*AN65</f>
        <v>0</v>
      </c>
      <c r="J65" s="233">
        <f>F65*G65</f>
        <v>0</v>
      </c>
      <c r="K65" s="233">
        <v>0</v>
      </c>
      <c r="L65" s="233">
        <f>F65*K65</f>
        <v>0</v>
      </c>
      <c r="M65" s="240" t="s">
        <v>472</v>
      </c>
      <c r="X65" s="233">
        <f>IF(AO65="5",BH65,0)</f>
        <v>0</v>
      </c>
      <c r="Z65" s="233">
        <f>IF(AO65="1",BF65,0)</f>
        <v>0</v>
      </c>
      <c r="AA65" s="233">
        <f>IF(AO65="1",BG65,0)</f>
        <v>0</v>
      </c>
      <c r="AB65" s="233">
        <f>IF(AO65="7",BF65,0)</f>
        <v>0</v>
      </c>
      <c r="AC65" s="233">
        <f>IF(AO65="7",BG65,0)</f>
        <v>0</v>
      </c>
      <c r="AD65" s="233">
        <f>IF(AO65="2",BF65,0)</f>
        <v>0</v>
      </c>
      <c r="AE65" s="233">
        <f>IF(AO65="2",BG65,0)</f>
        <v>0</v>
      </c>
      <c r="AF65" s="233">
        <f>IF(AO65="0",BH65,0)</f>
        <v>0</v>
      </c>
      <c r="AG65" s="229" t="s">
        <v>154</v>
      </c>
      <c r="AH65" s="233">
        <f>IF(AL65=0,J65,0)</f>
        <v>0</v>
      </c>
      <c r="AI65" s="233">
        <f>IF(AL65=15,J65,0)</f>
        <v>0</v>
      </c>
      <c r="AJ65" s="233">
        <f>IF(AL65=21,J65,0)</f>
        <v>0</v>
      </c>
      <c r="AL65" s="233">
        <v>15</v>
      </c>
      <c r="AM65" s="233">
        <f>G65*0</f>
        <v>0</v>
      </c>
      <c r="AN65" s="233">
        <f>G65*(1-0)</f>
        <v>0</v>
      </c>
      <c r="AO65" s="234" t="s">
        <v>157</v>
      </c>
      <c r="AT65" s="233">
        <f>AU65+AV65</f>
        <v>0</v>
      </c>
      <c r="AU65" s="233">
        <f>F65*AM65</f>
        <v>0</v>
      </c>
      <c r="AV65" s="233">
        <f>F65*AN65</f>
        <v>0</v>
      </c>
      <c r="AW65" s="234" t="s">
        <v>231</v>
      </c>
      <c r="AX65" s="234" t="s">
        <v>163</v>
      </c>
      <c r="AY65" s="229" t="s">
        <v>164</v>
      </c>
      <c r="BA65" s="233">
        <f>AU65+AV65</f>
        <v>0</v>
      </c>
      <c r="BB65" s="233">
        <f>G65/(100-BC65)*100</f>
        <v>0</v>
      </c>
      <c r="BC65" s="233">
        <v>0</v>
      </c>
      <c r="BD65" s="233">
        <f>L65</f>
        <v>0</v>
      </c>
      <c r="BF65" s="233">
        <f>F65*AM65</f>
        <v>0</v>
      </c>
      <c r="BG65" s="233">
        <f>F65*AN65</f>
        <v>0</v>
      </c>
      <c r="BH65" s="233">
        <f>F65*G65</f>
        <v>0</v>
      </c>
      <c r="BI65" s="233"/>
      <c r="BJ65" s="233">
        <v>16</v>
      </c>
      <c r="BU65" s="233" t="e">
        <f>#REF!</f>
        <v>#REF!</v>
      </c>
      <c r="BV65" s="225" t="s">
        <v>246</v>
      </c>
    </row>
    <row r="66" spans="1:74" ht="54" customHeight="1" x14ac:dyDescent="0.3">
      <c r="A66" s="241"/>
      <c r="B66" s="242" t="s">
        <v>165</v>
      </c>
      <c r="C66" s="530" t="s">
        <v>1733</v>
      </c>
      <c r="D66" s="531"/>
      <c r="E66" s="531"/>
      <c r="F66" s="531"/>
      <c r="G66" s="531"/>
      <c r="H66" s="531"/>
      <c r="I66" s="531"/>
      <c r="J66" s="531"/>
      <c r="K66" s="531"/>
      <c r="L66" s="531"/>
      <c r="M66" s="532"/>
    </row>
    <row r="67" spans="1:74" ht="14.4" x14ac:dyDescent="0.3">
      <c r="A67" s="239" t="s">
        <v>250</v>
      </c>
      <c r="B67" s="223" t="s">
        <v>248</v>
      </c>
      <c r="C67" s="521" t="s">
        <v>249</v>
      </c>
      <c r="D67" s="519"/>
      <c r="E67" s="223" t="s">
        <v>196</v>
      </c>
      <c r="F67" s="233">
        <v>67.400000000000006</v>
      </c>
      <c r="G67" s="311">
        <v>0</v>
      </c>
      <c r="H67" s="233">
        <f>F67*AM67</f>
        <v>0</v>
      </c>
      <c r="I67" s="233">
        <f>F67*AN67</f>
        <v>0</v>
      </c>
      <c r="J67" s="233">
        <f>F67*G67</f>
        <v>0</v>
      </c>
      <c r="K67" s="233">
        <v>0</v>
      </c>
      <c r="L67" s="233">
        <f>F67*K67</f>
        <v>0</v>
      </c>
      <c r="M67" s="240" t="s">
        <v>472</v>
      </c>
      <c r="X67" s="233">
        <f>IF(AO67="5",BH67,0)</f>
        <v>0</v>
      </c>
      <c r="Z67" s="233">
        <f>IF(AO67="1",BF67,0)</f>
        <v>0</v>
      </c>
      <c r="AA67" s="233">
        <f>IF(AO67="1",BG67,0)</f>
        <v>0</v>
      </c>
      <c r="AB67" s="233">
        <f>IF(AO67="7",BF67,0)</f>
        <v>0</v>
      </c>
      <c r="AC67" s="233">
        <f>IF(AO67="7",BG67,0)</f>
        <v>0</v>
      </c>
      <c r="AD67" s="233">
        <f>IF(AO67="2",BF67,0)</f>
        <v>0</v>
      </c>
      <c r="AE67" s="233">
        <f>IF(AO67="2",BG67,0)</f>
        <v>0</v>
      </c>
      <c r="AF67" s="233">
        <f>IF(AO67="0",BH67,0)</f>
        <v>0</v>
      </c>
      <c r="AG67" s="229" t="s">
        <v>154</v>
      </c>
      <c r="AH67" s="233">
        <f>IF(AL67=0,J67,0)</f>
        <v>0</v>
      </c>
      <c r="AI67" s="233">
        <f>IF(AL67=15,J67,0)</f>
        <v>0</v>
      </c>
      <c r="AJ67" s="233">
        <f>IF(AL67=21,J67,0)</f>
        <v>0</v>
      </c>
      <c r="AL67" s="233">
        <v>15</v>
      </c>
      <c r="AM67" s="233">
        <f>G67*0</f>
        <v>0</v>
      </c>
      <c r="AN67" s="233">
        <f>G67*(1-0)</f>
        <v>0</v>
      </c>
      <c r="AO67" s="234" t="s">
        <v>157</v>
      </c>
      <c r="AT67" s="233">
        <f>AU67+AV67</f>
        <v>0</v>
      </c>
      <c r="AU67" s="233">
        <f>F67*AM67</f>
        <v>0</v>
      </c>
      <c r="AV67" s="233">
        <f>F67*AN67</f>
        <v>0</v>
      </c>
      <c r="AW67" s="234" t="s">
        <v>231</v>
      </c>
      <c r="AX67" s="234" t="s">
        <v>163</v>
      </c>
      <c r="AY67" s="229" t="s">
        <v>164</v>
      </c>
      <c r="BA67" s="233">
        <f>AU67+AV67</f>
        <v>0</v>
      </c>
      <c r="BB67" s="233">
        <f>G67/(100-BC67)*100</f>
        <v>0</v>
      </c>
      <c r="BC67" s="233">
        <v>0</v>
      </c>
      <c r="BD67" s="233">
        <f>L67</f>
        <v>0</v>
      </c>
      <c r="BF67" s="233">
        <f>F67*AM67</f>
        <v>0</v>
      </c>
      <c r="BG67" s="233">
        <f>F67*AN67</f>
        <v>0</v>
      </c>
      <c r="BH67" s="233">
        <f>F67*G67</f>
        <v>0</v>
      </c>
      <c r="BI67" s="233"/>
      <c r="BJ67" s="233">
        <v>16</v>
      </c>
      <c r="BU67" s="233" t="e">
        <f>#REF!</f>
        <v>#REF!</v>
      </c>
      <c r="BV67" s="225" t="s">
        <v>249</v>
      </c>
    </row>
    <row r="68" spans="1:74" ht="40.5" customHeight="1" x14ac:dyDescent="0.3">
      <c r="A68" s="241"/>
      <c r="B68" s="242" t="s">
        <v>165</v>
      </c>
      <c r="C68" s="530" t="s">
        <v>1734</v>
      </c>
      <c r="D68" s="531"/>
      <c r="E68" s="531"/>
      <c r="F68" s="531"/>
      <c r="G68" s="531"/>
      <c r="H68" s="531"/>
      <c r="I68" s="531"/>
      <c r="J68" s="531"/>
      <c r="K68" s="531"/>
      <c r="L68" s="531"/>
      <c r="M68" s="532"/>
    </row>
    <row r="69" spans="1:74" ht="14.4" x14ac:dyDescent="0.3">
      <c r="A69" s="239" t="s">
        <v>253</v>
      </c>
      <c r="B69" s="223" t="s">
        <v>251</v>
      </c>
      <c r="C69" s="521" t="s">
        <v>252</v>
      </c>
      <c r="D69" s="519"/>
      <c r="E69" s="223" t="s">
        <v>196</v>
      </c>
      <c r="F69" s="233">
        <v>67.400000000000006</v>
      </c>
      <c r="G69" s="311">
        <v>0</v>
      </c>
      <c r="H69" s="233">
        <f>F69*AM69</f>
        <v>0</v>
      </c>
      <c r="I69" s="233">
        <f>F69*AN69</f>
        <v>0</v>
      </c>
      <c r="J69" s="233">
        <f>F69*G69</f>
        <v>0</v>
      </c>
      <c r="K69" s="233">
        <v>0</v>
      </c>
      <c r="L69" s="233">
        <f>F69*K69</f>
        <v>0</v>
      </c>
      <c r="M69" s="240" t="s">
        <v>472</v>
      </c>
      <c r="X69" s="233">
        <f>IF(AO69="5",BH69,0)</f>
        <v>0</v>
      </c>
      <c r="Z69" s="233">
        <f>IF(AO69="1",BF69,0)</f>
        <v>0</v>
      </c>
      <c r="AA69" s="233">
        <f>IF(AO69="1",BG69,0)</f>
        <v>0</v>
      </c>
      <c r="AB69" s="233">
        <f>IF(AO69="7",BF69,0)</f>
        <v>0</v>
      </c>
      <c r="AC69" s="233">
        <f>IF(AO69="7",BG69,0)</f>
        <v>0</v>
      </c>
      <c r="AD69" s="233">
        <f>IF(AO69="2",BF69,0)</f>
        <v>0</v>
      </c>
      <c r="AE69" s="233">
        <f>IF(AO69="2",BG69,0)</f>
        <v>0</v>
      </c>
      <c r="AF69" s="233">
        <f>IF(AO69="0",BH69,0)</f>
        <v>0</v>
      </c>
      <c r="AG69" s="229" t="s">
        <v>154</v>
      </c>
      <c r="AH69" s="233">
        <f>IF(AL69=0,J69,0)</f>
        <v>0</v>
      </c>
      <c r="AI69" s="233">
        <f>IF(AL69=15,J69,0)</f>
        <v>0</v>
      </c>
      <c r="AJ69" s="233">
        <f>IF(AL69=21,J69,0)</f>
        <v>0</v>
      </c>
      <c r="AL69" s="233">
        <v>15</v>
      </c>
      <c r="AM69" s="233">
        <f>G69*0</f>
        <v>0</v>
      </c>
      <c r="AN69" s="233">
        <f>G69*(1-0)</f>
        <v>0</v>
      </c>
      <c r="AO69" s="234" t="s">
        <v>157</v>
      </c>
      <c r="AT69" s="233">
        <f>AU69+AV69</f>
        <v>0</v>
      </c>
      <c r="AU69" s="233">
        <f>F69*AM69</f>
        <v>0</v>
      </c>
      <c r="AV69" s="233">
        <f>F69*AN69</f>
        <v>0</v>
      </c>
      <c r="AW69" s="234" t="s">
        <v>231</v>
      </c>
      <c r="AX69" s="234" t="s">
        <v>163</v>
      </c>
      <c r="AY69" s="229" t="s">
        <v>164</v>
      </c>
      <c r="BA69" s="233">
        <f>AU69+AV69</f>
        <v>0</v>
      </c>
      <c r="BB69" s="233">
        <f>G69/(100-BC69)*100</f>
        <v>0</v>
      </c>
      <c r="BC69" s="233">
        <v>0</v>
      </c>
      <c r="BD69" s="233">
        <f>L69</f>
        <v>0</v>
      </c>
      <c r="BF69" s="233">
        <f>F69*AM69</f>
        <v>0</v>
      </c>
      <c r="BG69" s="233">
        <f>F69*AN69</f>
        <v>0</v>
      </c>
      <c r="BH69" s="233">
        <f>F69*G69</f>
        <v>0</v>
      </c>
      <c r="BI69" s="233"/>
      <c r="BJ69" s="233">
        <v>16</v>
      </c>
      <c r="BU69" s="233" t="e">
        <f>#REF!</f>
        <v>#REF!</v>
      </c>
      <c r="BV69" s="225" t="s">
        <v>252</v>
      </c>
    </row>
    <row r="70" spans="1:74" ht="40.5" customHeight="1" x14ac:dyDescent="0.3">
      <c r="A70" s="241"/>
      <c r="B70" s="242" t="s">
        <v>165</v>
      </c>
      <c r="C70" s="530" t="s">
        <v>1735</v>
      </c>
      <c r="D70" s="531"/>
      <c r="E70" s="531"/>
      <c r="F70" s="531"/>
      <c r="G70" s="531"/>
      <c r="H70" s="531"/>
      <c r="I70" s="531"/>
      <c r="J70" s="531"/>
      <c r="K70" s="531"/>
      <c r="L70" s="531"/>
      <c r="M70" s="532"/>
    </row>
    <row r="71" spans="1:74" ht="14.4" x14ac:dyDescent="0.3">
      <c r="A71" s="239" t="s">
        <v>256</v>
      </c>
      <c r="B71" s="223" t="s">
        <v>254</v>
      </c>
      <c r="C71" s="521" t="s">
        <v>255</v>
      </c>
      <c r="D71" s="519"/>
      <c r="E71" s="223" t="s">
        <v>196</v>
      </c>
      <c r="F71" s="233">
        <v>9.58</v>
      </c>
      <c r="G71" s="311">
        <v>0</v>
      </c>
      <c r="H71" s="233">
        <f>F71*AM71</f>
        <v>0</v>
      </c>
      <c r="I71" s="233">
        <f>F71*AN71</f>
        <v>0</v>
      </c>
      <c r="J71" s="233">
        <f>F71*G71</f>
        <v>0</v>
      </c>
      <c r="K71" s="233">
        <v>0</v>
      </c>
      <c r="L71" s="233">
        <f>F71*K71</f>
        <v>0</v>
      </c>
      <c r="M71" s="240" t="s">
        <v>472</v>
      </c>
      <c r="X71" s="233">
        <f>IF(AO71="5",BH71,0)</f>
        <v>0</v>
      </c>
      <c r="Z71" s="233">
        <f>IF(AO71="1",BF71,0)</f>
        <v>0</v>
      </c>
      <c r="AA71" s="233">
        <f>IF(AO71="1",BG71,0)</f>
        <v>0</v>
      </c>
      <c r="AB71" s="233">
        <f>IF(AO71="7",BF71,0)</f>
        <v>0</v>
      </c>
      <c r="AC71" s="233">
        <f>IF(AO71="7",BG71,0)</f>
        <v>0</v>
      </c>
      <c r="AD71" s="233">
        <f>IF(AO71="2",BF71,0)</f>
        <v>0</v>
      </c>
      <c r="AE71" s="233">
        <f>IF(AO71="2",BG71,0)</f>
        <v>0</v>
      </c>
      <c r="AF71" s="233">
        <f>IF(AO71="0",BH71,0)</f>
        <v>0</v>
      </c>
      <c r="AG71" s="229" t="s">
        <v>154</v>
      </c>
      <c r="AH71" s="233">
        <f>IF(AL71=0,J71,0)</f>
        <v>0</v>
      </c>
      <c r="AI71" s="233">
        <f>IF(AL71=15,J71,0)</f>
        <v>0</v>
      </c>
      <c r="AJ71" s="233">
        <f>IF(AL71=21,J71,0)</f>
        <v>0</v>
      </c>
      <c r="AL71" s="233">
        <v>15</v>
      </c>
      <c r="AM71" s="233">
        <f>G71*0</f>
        <v>0</v>
      </c>
      <c r="AN71" s="233">
        <f>G71*(1-0)</f>
        <v>0</v>
      </c>
      <c r="AO71" s="234" t="s">
        <v>157</v>
      </c>
      <c r="AT71" s="233">
        <f>AU71+AV71</f>
        <v>0</v>
      </c>
      <c r="AU71" s="233">
        <f>F71*AM71</f>
        <v>0</v>
      </c>
      <c r="AV71" s="233">
        <f>F71*AN71</f>
        <v>0</v>
      </c>
      <c r="AW71" s="234" t="s">
        <v>231</v>
      </c>
      <c r="AX71" s="234" t="s">
        <v>163</v>
      </c>
      <c r="AY71" s="229" t="s">
        <v>164</v>
      </c>
      <c r="BA71" s="233">
        <f>AU71+AV71</f>
        <v>0</v>
      </c>
      <c r="BB71" s="233">
        <f>G71/(100-BC71)*100</f>
        <v>0</v>
      </c>
      <c r="BC71" s="233">
        <v>0</v>
      </c>
      <c r="BD71" s="233">
        <f>L71</f>
        <v>0</v>
      </c>
      <c r="BF71" s="233">
        <f>F71*AM71</f>
        <v>0</v>
      </c>
      <c r="BG71" s="233">
        <f>F71*AN71</f>
        <v>0</v>
      </c>
      <c r="BH71" s="233">
        <f>F71*G71</f>
        <v>0</v>
      </c>
      <c r="BI71" s="233"/>
      <c r="BJ71" s="233">
        <v>16</v>
      </c>
      <c r="BU71" s="233" t="e">
        <f>#REF!</f>
        <v>#REF!</v>
      </c>
      <c r="BV71" s="225" t="s">
        <v>255</v>
      </c>
    </row>
    <row r="72" spans="1:74" ht="40.5" customHeight="1" x14ac:dyDescent="0.3">
      <c r="A72" s="241"/>
      <c r="B72" s="242" t="s">
        <v>165</v>
      </c>
      <c r="C72" s="530" t="s">
        <v>1736</v>
      </c>
      <c r="D72" s="531"/>
      <c r="E72" s="531"/>
      <c r="F72" s="531"/>
      <c r="G72" s="531"/>
      <c r="H72" s="531"/>
      <c r="I72" s="531"/>
      <c r="J72" s="531"/>
      <c r="K72" s="531"/>
      <c r="L72" s="531"/>
      <c r="M72" s="532"/>
    </row>
    <row r="73" spans="1:74" ht="14.4" x14ac:dyDescent="0.3">
      <c r="A73" s="239" t="s">
        <v>260</v>
      </c>
      <c r="B73" s="223" t="s">
        <v>257</v>
      </c>
      <c r="C73" s="521" t="s">
        <v>258</v>
      </c>
      <c r="D73" s="519"/>
      <c r="E73" s="223" t="s">
        <v>196</v>
      </c>
      <c r="F73" s="233">
        <v>9.58</v>
      </c>
      <c r="G73" s="311">
        <v>0</v>
      </c>
      <c r="H73" s="233">
        <f>F73*AM73</f>
        <v>0</v>
      </c>
      <c r="I73" s="233">
        <f>F73*AN73</f>
        <v>0</v>
      </c>
      <c r="J73" s="233">
        <f>F73*G73</f>
        <v>0</v>
      </c>
      <c r="K73" s="233">
        <v>0</v>
      </c>
      <c r="L73" s="233">
        <f>F73*K73</f>
        <v>0</v>
      </c>
      <c r="M73" s="240" t="s">
        <v>472</v>
      </c>
      <c r="X73" s="233">
        <f>IF(AO73="5",BH73,0)</f>
        <v>0</v>
      </c>
      <c r="Z73" s="233">
        <f>IF(AO73="1",BF73,0)</f>
        <v>0</v>
      </c>
      <c r="AA73" s="233">
        <f>IF(AO73="1",BG73,0)</f>
        <v>0</v>
      </c>
      <c r="AB73" s="233">
        <f>IF(AO73="7",BF73,0)</f>
        <v>0</v>
      </c>
      <c r="AC73" s="233">
        <f>IF(AO73="7",BG73,0)</f>
        <v>0</v>
      </c>
      <c r="AD73" s="233">
        <f>IF(AO73="2",BF73,0)</f>
        <v>0</v>
      </c>
      <c r="AE73" s="233">
        <f>IF(AO73="2",BG73,0)</f>
        <v>0</v>
      </c>
      <c r="AF73" s="233">
        <f>IF(AO73="0",BH73,0)</f>
        <v>0</v>
      </c>
      <c r="AG73" s="229" t="s">
        <v>154</v>
      </c>
      <c r="AH73" s="233">
        <f>IF(AL73=0,J73,0)</f>
        <v>0</v>
      </c>
      <c r="AI73" s="233">
        <f>IF(AL73=15,J73,0)</f>
        <v>0</v>
      </c>
      <c r="AJ73" s="233">
        <f>IF(AL73=21,J73,0)</f>
        <v>0</v>
      </c>
      <c r="AL73" s="233">
        <v>15</v>
      </c>
      <c r="AM73" s="233">
        <f>G73*0</f>
        <v>0</v>
      </c>
      <c r="AN73" s="233">
        <f>G73*(1-0)</f>
        <v>0</v>
      </c>
      <c r="AO73" s="234" t="s">
        <v>157</v>
      </c>
      <c r="AT73" s="233">
        <f>AU73+AV73</f>
        <v>0</v>
      </c>
      <c r="AU73" s="233">
        <f>F73*AM73</f>
        <v>0</v>
      </c>
      <c r="AV73" s="233">
        <f>F73*AN73</f>
        <v>0</v>
      </c>
      <c r="AW73" s="234" t="s">
        <v>231</v>
      </c>
      <c r="AX73" s="234" t="s">
        <v>163</v>
      </c>
      <c r="AY73" s="229" t="s">
        <v>164</v>
      </c>
      <c r="BA73" s="233">
        <f>AU73+AV73</f>
        <v>0</v>
      </c>
      <c r="BB73" s="233">
        <f>G73/(100-BC73)*100</f>
        <v>0</v>
      </c>
      <c r="BC73" s="233">
        <v>0</v>
      </c>
      <c r="BD73" s="233">
        <f>L73</f>
        <v>0</v>
      </c>
      <c r="BF73" s="233">
        <f>F73*AM73</f>
        <v>0</v>
      </c>
      <c r="BG73" s="233">
        <f>F73*AN73</f>
        <v>0</v>
      </c>
      <c r="BH73" s="233">
        <f>F73*G73</f>
        <v>0</v>
      </c>
      <c r="BI73" s="233"/>
      <c r="BJ73" s="233">
        <v>16</v>
      </c>
      <c r="BU73" s="233" t="e">
        <f>#REF!</f>
        <v>#REF!</v>
      </c>
      <c r="BV73" s="225" t="s">
        <v>258</v>
      </c>
    </row>
    <row r="74" spans="1:74" ht="40.5" customHeight="1" x14ac:dyDescent="0.3">
      <c r="A74" s="241"/>
      <c r="B74" s="242" t="s">
        <v>165</v>
      </c>
      <c r="C74" s="530" t="s">
        <v>1737</v>
      </c>
      <c r="D74" s="531"/>
      <c r="E74" s="531"/>
      <c r="F74" s="531"/>
      <c r="G74" s="531"/>
      <c r="H74" s="531"/>
      <c r="I74" s="531"/>
      <c r="J74" s="531"/>
      <c r="K74" s="531"/>
      <c r="L74" s="531"/>
      <c r="M74" s="532"/>
    </row>
    <row r="75" spans="1:74" ht="14.4" x14ac:dyDescent="0.3">
      <c r="A75" s="239" t="s">
        <v>154</v>
      </c>
      <c r="B75" s="224" t="s">
        <v>220</v>
      </c>
      <c r="C75" s="526" t="s">
        <v>259</v>
      </c>
      <c r="D75" s="527"/>
      <c r="E75" s="223" t="s">
        <v>114</v>
      </c>
      <c r="F75" s="223" t="s">
        <v>114</v>
      </c>
      <c r="G75" s="223" t="s">
        <v>114</v>
      </c>
      <c r="H75" s="235">
        <f>SUM(H76:H79)</f>
        <v>0</v>
      </c>
      <c r="I75" s="235">
        <f>SUM(I76:I79)</f>
        <v>0</v>
      </c>
      <c r="J75" s="235">
        <f>SUM(J76:J79)</f>
        <v>0</v>
      </c>
      <c r="K75" s="230" t="s">
        <v>154</v>
      </c>
      <c r="L75" s="235">
        <f>SUM(L76:L79)</f>
        <v>19.702999999999999</v>
      </c>
      <c r="M75" s="243" t="s">
        <v>154</v>
      </c>
      <c r="AG75" s="229" t="s">
        <v>154</v>
      </c>
      <c r="AQ75" s="222">
        <f>SUM(AH76:AH79)</f>
        <v>0</v>
      </c>
      <c r="AR75" s="222">
        <f>SUM(AI76:AI79)</f>
        <v>0</v>
      </c>
      <c r="AS75" s="222">
        <f>SUM(AJ76:AJ79)</f>
        <v>0</v>
      </c>
    </row>
    <row r="76" spans="1:74" ht="14.4" x14ac:dyDescent="0.3">
      <c r="A76" s="239" t="s">
        <v>264</v>
      </c>
      <c r="B76" s="223" t="s">
        <v>261</v>
      </c>
      <c r="C76" s="521" t="s">
        <v>262</v>
      </c>
      <c r="D76" s="519"/>
      <c r="E76" s="223" t="s">
        <v>196</v>
      </c>
      <c r="F76" s="233">
        <v>11.59</v>
      </c>
      <c r="G76" s="311">
        <v>0</v>
      </c>
      <c r="H76" s="233">
        <f>F76*AM76</f>
        <v>0</v>
      </c>
      <c r="I76" s="233">
        <f>F76*AN76</f>
        <v>0</v>
      </c>
      <c r="J76" s="233">
        <f>F76*G76</f>
        <v>0</v>
      </c>
      <c r="K76" s="233">
        <v>1.7</v>
      </c>
      <c r="L76" s="233">
        <f>F76*K76</f>
        <v>19.702999999999999</v>
      </c>
      <c r="M76" s="240" t="s">
        <v>472</v>
      </c>
      <c r="X76" s="233">
        <f>IF(AO76="5",BH76,0)</f>
        <v>0</v>
      </c>
      <c r="Z76" s="233">
        <f>IF(AO76="1",BF76,0)</f>
        <v>0</v>
      </c>
      <c r="AA76" s="233">
        <f>IF(AO76="1",BG76,0)</f>
        <v>0</v>
      </c>
      <c r="AB76" s="233">
        <f>IF(AO76="7",BF76,0)</f>
        <v>0</v>
      </c>
      <c r="AC76" s="233">
        <f>IF(AO76="7",BG76,0)</f>
        <v>0</v>
      </c>
      <c r="AD76" s="233">
        <f>IF(AO76="2",BF76,0)</f>
        <v>0</v>
      </c>
      <c r="AE76" s="233">
        <f>IF(AO76="2",BG76,0)</f>
        <v>0</v>
      </c>
      <c r="AF76" s="233">
        <f>IF(AO76="0",BH76,0)</f>
        <v>0</v>
      </c>
      <c r="AG76" s="229" t="s">
        <v>154</v>
      </c>
      <c r="AH76" s="233">
        <f>IF(AL76=0,J76,0)</f>
        <v>0</v>
      </c>
      <c r="AI76" s="233">
        <f>IF(AL76=15,J76,0)</f>
        <v>0</v>
      </c>
      <c r="AJ76" s="233">
        <f>IF(AL76=21,J76,0)</f>
        <v>0</v>
      </c>
      <c r="AL76" s="233">
        <v>15</v>
      </c>
      <c r="AM76" s="233">
        <f>G76*0.517504211</f>
        <v>0</v>
      </c>
      <c r="AN76" s="233">
        <f>G76*(1-0.517504211)</f>
        <v>0</v>
      </c>
      <c r="AO76" s="234" t="s">
        <v>157</v>
      </c>
      <c r="AT76" s="233">
        <f>AU76+AV76</f>
        <v>0</v>
      </c>
      <c r="AU76" s="233">
        <f>F76*AM76</f>
        <v>0</v>
      </c>
      <c r="AV76" s="233">
        <f>F76*AN76</f>
        <v>0</v>
      </c>
      <c r="AW76" s="234" t="s">
        <v>263</v>
      </c>
      <c r="AX76" s="234" t="s">
        <v>163</v>
      </c>
      <c r="AY76" s="229" t="s">
        <v>164</v>
      </c>
      <c r="BA76" s="233">
        <f>AU76+AV76</f>
        <v>0</v>
      </c>
      <c r="BB76" s="233">
        <f>G76/(100-BC76)*100</f>
        <v>0</v>
      </c>
      <c r="BC76" s="233">
        <v>0</v>
      </c>
      <c r="BD76" s="233">
        <f>L76</f>
        <v>19.702999999999999</v>
      </c>
      <c r="BF76" s="233">
        <f>F76*AM76</f>
        <v>0</v>
      </c>
      <c r="BG76" s="233">
        <f>F76*AN76</f>
        <v>0</v>
      </c>
      <c r="BH76" s="233">
        <f>F76*G76</f>
        <v>0</v>
      </c>
      <c r="BI76" s="233"/>
      <c r="BJ76" s="233">
        <v>17</v>
      </c>
      <c r="BU76" s="233" t="e">
        <f>#REF!</f>
        <v>#REF!</v>
      </c>
      <c r="BV76" s="225" t="s">
        <v>262</v>
      </c>
    </row>
    <row r="77" spans="1:74" ht="67.5" customHeight="1" x14ac:dyDescent="0.3">
      <c r="A77" s="244"/>
      <c r="B77" s="245" t="s">
        <v>165</v>
      </c>
      <c r="C77" s="540" t="s">
        <v>1738</v>
      </c>
      <c r="D77" s="541"/>
      <c r="E77" s="541"/>
      <c r="F77" s="541"/>
      <c r="G77" s="541"/>
      <c r="H77" s="541"/>
      <c r="I77" s="541"/>
      <c r="J77" s="541"/>
      <c r="K77" s="541"/>
      <c r="L77" s="541"/>
      <c r="M77" s="542"/>
    </row>
    <row r="78" spans="1:74" ht="14.4" x14ac:dyDescent="0.3">
      <c r="A78" s="237" t="s">
        <v>267</v>
      </c>
      <c r="B78" s="238" t="s">
        <v>265</v>
      </c>
      <c r="C78" s="543" t="s">
        <v>266</v>
      </c>
      <c r="D78" s="544"/>
      <c r="E78" s="238" t="s">
        <v>196</v>
      </c>
      <c r="F78" s="258">
        <v>11.59</v>
      </c>
      <c r="G78" s="311">
        <v>0</v>
      </c>
      <c r="H78" s="258">
        <f>F78*AM78</f>
        <v>0</v>
      </c>
      <c r="I78" s="258">
        <f>F78*AN78</f>
        <v>0</v>
      </c>
      <c r="J78" s="258">
        <f>F78*G78</f>
        <v>0</v>
      </c>
      <c r="K78" s="258">
        <v>0</v>
      </c>
      <c r="L78" s="258">
        <f>F78*K78</f>
        <v>0</v>
      </c>
      <c r="M78" s="259" t="s">
        <v>472</v>
      </c>
      <c r="X78" s="233">
        <f>IF(AO78="5",BH78,0)</f>
        <v>0</v>
      </c>
      <c r="Z78" s="233">
        <f>IF(AO78="1",BF78,0)</f>
        <v>0</v>
      </c>
      <c r="AA78" s="233">
        <f>IF(AO78="1",BG78,0)</f>
        <v>0</v>
      </c>
      <c r="AB78" s="233">
        <f>IF(AO78="7",BF78,0)</f>
        <v>0</v>
      </c>
      <c r="AC78" s="233">
        <f>IF(AO78="7",BG78,0)</f>
        <v>0</v>
      </c>
      <c r="AD78" s="233">
        <f>IF(AO78="2",BF78,0)</f>
        <v>0</v>
      </c>
      <c r="AE78" s="233">
        <f>IF(AO78="2",BG78,0)</f>
        <v>0</v>
      </c>
      <c r="AF78" s="233">
        <f>IF(AO78="0",BH78,0)</f>
        <v>0</v>
      </c>
      <c r="AG78" s="229" t="s">
        <v>154</v>
      </c>
      <c r="AH78" s="233">
        <f>IF(AL78=0,J78,0)</f>
        <v>0</v>
      </c>
      <c r="AI78" s="233">
        <f>IF(AL78=15,J78,0)</f>
        <v>0</v>
      </c>
      <c r="AJ78" s="233">
        <f>IF(AL78=21,J78,0)</f>
        <v>0</v>
      </c>
      <c r="AL78" s="233">
        <v>15</v>
      </c>
      <c r="AM78" s="233">
        <f>G78*0</f>
        <v>0</v>
      </c>
      <c r="AN78" s="233">
        <f>G78*(1-0)</f>
        <v>0</v>
      </c>
      <c r="AO78" s="234" t="s">
        <v>157</v>
      </c>
      <c r="AT78" s="233">
        <f>AU78+AV78</f>
        <v>0</v>
      </c>
      <c r="AU78" s="233">
        <f>F78*AM78</f>
        <v>0</v>
      </c>
      <c r="AV78" s="233">
        <f>F78*AN78</f>
        <v>0</v>
      </c>
      <c r="AW78" s="234" t="s">
        <v>263</v>
      </c>
      <c r="AX78" s="234" t="s">
        <v>163</v>
      </c>
      <c r="AY78" s="229" t="s">
        <v>164</v>
      </c>
      <c r="BA78" s="233">
        <f>AU78+AV78</f>
        <v>0</v>
      </c>
      <c r="BB78" s="233">
        <f>G78/(100-BC78)*100</f>
        <v>0</v>
      </c>
      <c r="BC78" s="233">
        <v>0</v>
      </c>
      <c r="BD78" s="233">
        <f>L78</f>
        <v>0</v>
      </c>
      <c r="BF78" s="233">
        <f>F78*AM78</f>
        <v>0</v>
      </c>
      <c r="BG78" s="233">
        <f>F78*AN78</f>
        <v>0</v>
      </c>
      <c r="BH78" s="233">
        <f>F78*G78</f>
        <v>0</v>
      </c>
      <c r="BI78" s="233"/>
      <c r="BJ78" s="233">
        <v>17</v>
      </c>
      <c r="BU78" s="233" t="e">
        <f>#REF!</f>
        <v>#REF!</v>
      </c>
      <c r="BV78" s="225" t="s">
        <v>266</v>
      </c>
    </row>
    <row r="79" spans="1:74" ht="14.4" x14ac:dyDescent="0.3">
      <c r="A79" s="239" t="s">
        <v>271</v>
      </c>
      <c r="B79" s="223" t="s">
        <v>268</v>
      </c>
      <c r="C79" s="521" t="s">
        <v>269</v>
      </c>
      <c r="D79" s="519"/>
      <c r="E79" s="223" t="s">
        <v>196</v>
      </c>
      <c r="F79" s="233">
        <v>33.700000000000003</v>
      </c>
      <c r="G79" s="311">
        <v>0</v>
      </c>
      <c r="H79" s="233">
        <f>F79*AM79</f>
        <v>0</v>
      </c>
      <c r="I79" s="233">
        <f>F79*AN79</f>
        <v>0</v>
      </c>
      <c r="J79" s="233">
        <f>F79*G79</f>
        <v>0</v>
      </c>
      <c r="K79" s="233">
        <v>0</v>
      </c>
      <c r="L79" s="233">
        <f>F79*K79</f>
        <v>0</v>
      </c>
      <c r="M79" s="240" t="s">
        <v>472</v>
      </c>
      <c r="X79" s="233">
        <f>IF(AO79="5",BH79,0)</f>
        <v>0</v>
      </c>
      <c r="Z79" s="233">
        <f>IF(AO79="1",BF79,0)</f>
        <v>0</v>
      </c>
      <c r="AA79" s="233">
        <f>IF(AO79="1",BG79,0)</f>
        <v>0</v>
      </c>
      <c r="AB79" s="233">
        <f>IF(AO79="7",BF79,0)</f>
        <v>0</v>
      </c>
      <c r="AC79" s="233">
        <f>IF(AO79="7",BG79,0)</f>
        <v>0</v>
      </c>
      <c r="AD79" s="233">
        <f>IF(AO79="2",BF79,0)</f>
        <v>0</v>
      </c>
      <c r="AE79" s="233">
        <f>IF(AO79="2",BG79,0)</f>
        <v>0</v>
      </c>
      <c r="AF79" s="233">
        <f>IF(AO79="0",BH79,0)</f>
        <v>0</v>
      </c>
      <c r="AG79" s="229" t="s">
        <v>154</v>
      </c>
      <c r="AH79" s="233">
        <f>IF(AL79=0,J79,0)</f>
        <v>0</v>
      </c>
      <c r="AI79" s="233">
        <f>IF(AL79=15,J79,0)</f>
        <v>0</v>
      </c>
      <c r="AJ79" s="233">
        <f>IF(AL79=21,J79,0)</f>
        <v>0</v>
      </c>
      <c r="AL79" s="233">
        <v>15</v>
      </c>
      <c r="AM79" s="233">
        <f>G79*0</f>
        <v>0</v>
      </c>
      <c r="AN79" s="233">
        <f>G79*(1-0)</f>
        <v>0</v>
      </c>
      <c r="AO79" s="234" t="s">
        <v>157</v>
      </c>
      <c r="AT79" s="233">
        <f>AU79+AV79</f>
        <v>0</v>
      </c>
      <c r="AU79" s="233">
        <f>F79*AM79</f>
        <v>0</v>
      </c>
      <c r="AV79" s="233">
        <f>F79*AN79</f>
        <v>0</v>
      </c>
      <c r="AW79" s="234" t="s">
        <v>263</v>
      </c>
      <c r="AX79" s="234" t="s">
        <v>163</v>
      </c>
      <c r="AY79" s="229" t="s">
        <v>164</v>
      </c>
      <c r="BA79" s="233">
        <f>AU79+AV79</f>
        <v>0</v>
      </c>
      <c r="BB79" s="233">
        <f>G79/(100-BC79)*100</f>
        <v>0</v>
      </c>
      <c r="BC79" s="233">
        <v>0</v>
      </c>
      <c r="BD79" s="233">
        <f>L79</f>
        <v>0</v>
      </c>
      <c r="BF79" s="233">
        <f>F79*AM79</f>
        <v>0</v>
      </c>
      <c r="BG79" s="233">
        <f>F79*AN79</f>
        <v>0</v>
      </c>
      <c r="BH79" s="233">
        <f>F79*G79</f>
        <v>0</v>
      </c>
      <c r="BI79" s="233"/>
      <c r="BJ79" s="233">
        <v>17</v>
      </c>
      <c r="BU79" s="233" t="e">
        <f>#REF!</f>
        <v>#REF!</v>
      </c>
      <c r="BV79" s="225" t="s">
        <v>269</v>
      </c>
    </row>
    <row r="80" spans="1:74" ht="81" customHeight="1" x14ac:dyDescent="0.3">
      <c r="A80" s="241"/>
      <c r="B80" s="242" t="s">
        <v>165</v>
      </c>
      <c r="C80" s="530" t="s">
        <v>1739</v>
      </c>
      <c r="D80" s="531"/>
      <c r="E80" s="531"/>
      <c r="F80" s="531"/>
      <c r="G80" s="531"/>
      <c r="H80" s="531"/>
      <c r="I80" s="531"/>
      <c r="J80" s="531"/>
      <c r="K80" s="531"/>
      <c r="L80" s="531"/>
      <c r="M80" s="532"/>
    </row>
    <row r="81" spans="1:74" ht="14.4" x14ac:dyDescent="0.3">
      <c r="A81" s="239" t="s">
        <v>154</v>
      </c>
      <c r="B81" s="224" t="s">
        <v>224</v>
      </c>
      <c r="C81" s="526" t="s">
        <v>270</v>
      </c>
      <c r="D81" s="527"/>
      <c r="E81" s="223" t="s">
        <v>114</v>
      </c>
      <c r="F81" s="223" t="s">
        <v>114</v>
      </c>
      <c r="G81" s="223" t="s">
        <v>114</v>
      </c>
      <c r="H81" s="235">
        <f>SUM(H82:H82)</f>
        <v>0</v>
      </c>
      <c r="I81" s="235">
        <f>SUM(I82:I82)</f>
        <v>0</v>
      </c>
      <c r="J81" s="235">
        <f>SUM(J82:J82)</f>
        <v>0</v>
      </c>
      <c r="K81" s="230" t="s">
        <v>154</v>
      </c>
      <c r="L81" s="235">
        <f>SUM(L82:L82)</f>
        <v>7.1790000000000005E-4</v>
      </c>
      <c r="M81" s="243" t="s">
        <v>154</v>
      </c>
      <c r="AG81" s="229" t="s">
        <v>154</v>
      </c>
      <c r="AQ81" s="222">
        <f>SUM(AH82:AH82)</f>
        <v>0</v>
      </c>
      <c r="AR81" s="222">
        <f>SUM(AI82:AI82)</f>
        <v>0</v>
      </c>
      <c r="AS81" s="222">
        <f>SUM(AJ82:AJ82)</f>
        <v>0</v>
      </c>
    </row>
    <row r="82" spans="1:74" ht="14.4" x14ac:dyDescent="0.3">
      <c r="A82" s="239" t="s">
        <v>276</v>
      </c>
      <c r="B82" s="223" t="s">
        <v>980</v>
      </c>
      <c r="C82" s="521" t="s">
        <v>273</v>
      </c>
      <c r="D82" s="519"/>
      <c r="E82" s="223" t="s">
        <v>180</v>
      </c>
      <c r="F82" s="233">
        <v>23.93</v>
      </c>
      <c r="G82" s="311">
        <v>0</v>
      </c>
      <c r="H82" s="233">
        <f>F82*AM82</f>
        <v>0</v>
      </c>
      <c r="I82" s="233">
        <f>F82*AN82</f>
        <v>0</v>
      </c>
      <c r="J82" s="233">
        <f>F82*G82</f>
        <v>0</v>
      </c>
      <c r="K82" s="233">
        <v>3.0000000000000001E-5</v>
      </c>
      <c r="L82" s="233">
        <f>F82*K82</f>
        <v>7.1790000000000005E-4</v>
      </c>
      <c r="M82" s="240" t="s">
        <v>472</v>
      </c>
      <c r="X82" s="233">
        <f>IF(AO82="5",BH82,0)</f>
        <v>0</v>
      </c>
      <c r="Z82" s="233">
        <f>IF(AO82="1",BF82,0)</f>
        <v>0</v>
      </c>
      <c r="AA82" s="233">
        <f>IF(AO82="1",BG82,0)</f>
        <v>0</v>
      </c>
      <c r="AB82" s="233">
        <f>IF(AO82="7",BF82,0)</f>
        <v>0</v>
      </c>
      <c r="AC82" s="233">
        <f>IF(AO82="7",BG82,0)</f>
        <v>0</v>
      </c>
      <c r="AD82" s="233">
        <f>IF(AO82="2",BF82,0)</f>
        <v>0</v>
      </c>
      <c r="AE82" s="233">
        <f>IF(AO82="2",BG82,0)</f>
        <v>0</v>
      </c>
      <c r="AF82" s="233">
        <f>IF(AO82="0",BH82,0)</f>
        <v>0</v>
      </c>
      <c r="AG82" s="229" t="s">
        <v>154</v>
      </c>
      <c r="AH82" s="233">
        <f>IF(AL82=0,J82,0)</f>
        <v>0</v>
      </c>
      <c r="AI82" s="233">
        <f>IF(AL82=15,J82,0)</f>
        <v>0</v>
      </c>
      <c r="AJ82" s="233">
        <f>IF(AL82=21,J82,0)</f>
        <v>0</v>
      </c>
      <c r="AL82" s="233">
        <v>15</v>
      </c>
      <c r="AM82" s="233">
        <f>G82*0.041715557</f>
        <v>0</v>
      </c>
      <c r="AN82" s="233">
        <f>G82*(1-0.041715557)</f>
        <v>0</v>
      </c>
      <c r="AO82" s="234" t="s">
        <v>157</v>
      </c>
      <c r="AT82" s="233">
        <f>AU82+AV82</f>
        <v>0</v>
      </c>
      <c r="AU82" s="233">
        <f>F82*AM82</f>
        <v>0</v>
      </c>
      <c r="AV82" s="233">
        <f>F82*AN82</f>
        <v>0</v>
      </c>
      <c r="AW82" s="234" t="s">
        <v>274</v>
      </c>
      <c r="AX82" s="234" t="s">
        <v>163</v>
      </c>
      <c r="AY82" s="229" t="s">
        <v>164</v>
      </c>
      <c r="BA82" s="233">
        <f>AU82+AV82</f>
        <v>0</v>
      </c>
      <c r="BB82" s="233">
        <f>G82/(100-BC82)*100</f>
        <v>0</v>
      </c>
      <c r="BC82" s="233">
        <v>0</v>
      </c>
      <c r="BD82" s="233">
        <f>L82</f>
        <v>7.1790000000000005E-4</v>
      </c>
      <c r="BF82" s="233">
        <f>F82*AM82</f>
        <v>0</v>
      </c>
      <c r="BG82" s="233">
        <f>F82*AN82</f>
        <v>0</v>
      </c>
      <c r="BH82" s="233">
        <f>F82*G82</f>
        <v>0</v>
      </c>
      <c r="BI82" s="233"/>
      <c r="BJ82" s="233">
        <v>18</v>
      </c>
      <c r="BU82" s="233" t="e">
        <f>#REF!</f>
        <v>#REF!</v>
      </c>
      <c r="BV82" s="225" t="s">
        <v>273</v>
      </c>
    </row>
    <row r="83" spans="1:74" ht="40.5" customHeight="1" x14ac:dyDescent="0.3">
      <c r="A83" s="241"/>
      <c r="B83" s="242" t="s">
        <v>165</v>
      </c>
      <c r="C83" s="530" t="s">
        <v>1740</v>
      </c>
      <c r="D83" s="531"/>
      <c r="E83" s="531"/>
      <c r="F83" s="531"/>
      <c r="G83" s="531"/>
      <c r="H83" s="531"/>
      <c r="I83" s="531"/>
      <c r="J83" s="531"/>
      <c r="K83" s="531"/>
      <c r="L83" s="531"/>
      <c r="M83" s="532"/>
    </row>
    <row r="84" spans="1:74" ht="14.4" x14ac:dyDescent="0.3">
      <c r="A84" s="239" t="s">
        <v>154</v>
      </c>
      <c r="B84" s="224" t="s">
        <v>228</v>
      </c>
      <c r="C84" s="526" t="s">
        <v>275</v>
      </c>
      <c r="D84" s="527"/>
      <c r="E84" s="223" t="s">
        <v>114</v>
      </c>
      <c r="F84" s="223" t="s">
        <v>114</v>
      </c>
      <c r="G84" s="223" t="s">
        <v>114</v>
      </c>
      <c r="H84" s="235">
        <f>SUM(H85:H87)</f>
        <v>0</v>
      </c>
      <c r="I84" s="235">
        <f>SUM(I85:I87)</f>
        <v>0</v>
      </c>
      <c r="J84" s="235">
        <f>SUM(J85:J87)</f>
        <v>0</v>
      </c>
      <c r="K84" s="230" t="s">
        <v>154</v>
      </c>
      <c r="L84" s="235">
        <f>SUM(L85:L87)</f>
        <v>0</v>
      </c>
      <c r="M84" s="243" t="s">
        <v>154</v>
      </c>
      <c r="AG84" s="229" t="s">
        <v>154</v>
      </c>
      <c r="AQ84" s="222">
        <f>SUM(AH85:AH87)</f>
        <v>0</v>
      </c>
      <c r="AR84" s="222">
        <f>SUM(AI85:AI87)</f>
        <v>0</v>
      </c>
      <c r="AS84" s="222">
        <f>SUM(AJ85:AJ87)</f>
        <v>0</v>
      </c>
    </row>
    <row r="85" spans="1:74" ht="14.4" x14ac:dyDescent="0.3">
      <c r="A85" s="239" t="s">
        <v>281</v>
      </c>
      <c r="B85" s="223" t="s">
        <v>277</v>
      </c>
      <c r="C85" s="521" t="s">
        <v>278</v>
      </c>
      <c r="D85" s="519"/>
      <c r="E85" s="223" t="s">
        <v>196</v>
      </c>
      <c r="F85" s="233">
        <v>11.49</v>
      </c>
      <c r="G85" s="311">
        <v>0</v>
      </c>
      <c r="H85" s="233">
        <f>F85*AM85</f>
        <v>0</v>
      </c>
      <c r="I85" s="233">
        <f>F85*AN85</f>
        <v>0</v>
      </c>
      <c r="J85" s="233">
        <f>F85*G85</f>
        <v>0</v>
      </c>
      <c r="K85" s="233">
        <v>0</v>
      </c>
      <c r="L85" s="233">
        <f>F85*K85</f>
        <v>0</v>
      </c>
      <c r="M85" s="240" t="s">
        <v>472</v>
      </c>
      <c r="X85" s="233">
        <f>IF(AO85="5",BH85,0)</f>
        <v>0</v>
      </c>
      <c r="Z85" s="233">
        <f>IF(AO85="1",BF85,0)</f>
        <v>0</v>
      </c>
      <c r="AA85" s="233">
        <f>IF(AO85="1",BG85,0)</f>
        <v>0</v>
      </c>
      <c r="AB85" s="233">
        <f>IF(AO85="7",BF85,0)</f>
        <v>0</v>
      </c>
      <c r="AC85" s="233">
        <f>IF(AO85="7",BG85,0)</f>
        <v>0</v>
      </c>
      <c r="AD85" s="233">
        <f>IF(AO85="2",BF85,0)</f>
        <v>0</v>
      </c>
      <c r="AE85" s="233">
        <f>IF(AO85="2",BG85,0)</f>
        <v>0</v>
      </c>
      <c r="AF85" s="233">
        <f>IF(AO85="0",BH85,0)</f>
        <v>0</v>
      </c>
      <c r="AG85" s="229" t="s">
        <v>154</v>
      </c>
      <c r="AH85" s="233">
        <f>IF(AL85=0,J85,0)</f>
        <v>0</v>
      </c>
      <c r="AI85" s="233">
        <f>IF(AL85=15,J85,0)</f>
        <v>0</v>
      </c>
      <c r="AJ85" s="233">
        <f>IF(AL85=21,J85,0)</f>
        <v>0</v>
      </c>
      <c r="AL85" s="233">
        <v>15</v>
      </c>
      <c r="AM85" s="233">
        <f>G85*0</f>
        <v>0</v>
      </c>
      <c r="AN85" s="233">
        <f>G85*(1-0)</f>
        <v>0</v>
      </c>
      <c r="AO85" s="234" t="s">
        <v>157</v>
      </c>
      <c r="AT85" s="233">
        <f>AU85+AV85</f>
        <v>0</v>
      </c>
      <c r="AU85" s="233">
        <f>F85*AM85</f>
        <v>0</v>
      </c>
      <c r="AV85" s="233">
        <f>F85*AN85</f>
        <v>0</v>
      </c>
      <c r="AW85" s="234" t="s">
        <v>279</v>
      </c>
      <c r="AX85" s="234" t="s">
        <v>163</v>
      </c>
      <c r="AY85" s="229" t="s">
        <v>164</v>
      </c>
      <c r="BA85" s="233">
        <f>AU85+AV85</f>
        <v>0</v>
      </c>
      <c r="BB85" s="233">
        <f>G85/(100-BC85)*100</f>
        <v>0</v>
      </c>
      <c r="BC85" s="233">
        <v>0</v>
      </c>
      <c r="BD85" s="233">
        <f>L85</f>
        <v>0</v>
      </c>
      <c r="BF85" s="233">
        <f>F85*AM85</f>
        <v>0</v>
      </c>
      <c r="BG85" s="233">
        <f>F85*AN85</f>
        <v>0</v>
      </c>
      <c r="BH85" s="233">
        <f>F85*G85</f>
        <v>0</v>
      </c>
      <c r="BI85" s="233"/>
      <c r="BJ85" s="233">
        <v>19</v>
      </c>
      <c r="BU85" s="233" t="e">
        <f>#REF!</f>
        <v>#REF!</v>
      </c>
      <c r="BV85" s="225" t="s">
        <v>278</v>
      </c>
    </row>
    <row r="86" spans="1:74" ht="27" customHeight="1" x14ac:dyDescent="0.3">
      <c r="A86" s="241"/>
      <c r="B86" s="242" t="s">
        <v>165</v>
      </c>
      <c r="C86" s="530" t="s">
        <v>1741</v>
      </c>
      <c r="D86" s="531"/>
      <c r="E86" s="531"/>
      <c r="F86" s="531"/>
      <c r="G86" s="531"/>
      <c r="H86" s="531"/>
      <c r="I86" s="531"/>
      <c r="J86" s="531"/>
      <c r="K86" s="531"/>
      <c r="L86" s="531"/>
      <c r="M86" s="532"/>
    </row>
    <row r="87" spans="1:74" ht="14.4" x14ac:dyDescent="0.3">
      <c r="A87" s="239" t="s">
        <v>285</v>
      </c>
      <c r="B87" s="223" t="s">
        <v>282</v>
      </c>
      <c r="C87" s="521" t="s">
        <v>283</v>
      </c>
      <c r="D87" s="519"/>
      <c r="E87" s="223" t="s">
        <v>196</v>
      </c>
      <c r="F87" s="233">
        <v>9.77</v>
      </c>
      <c r="G87" s="311">
        <v>0</v>
      </c>
      <c r="H87" s="233">
        <f>F87*AM87</f>
        <v>0</v>
      </c>
      <c r="I87" s="233">
        <f>F87*AN87</f>
        <v>0</v>
      </c>
      <c r="J87" s="233">
        <f>F87*G87</f>
        <v>0</v>
      </c>
      <c r="K87" s="233">
        <v>0</v>
      </c>
      <c r="L87" s="233">
        <f>F87*K87</f>
        <v>0</v>
      </c>
      <c r="M87" s="240" t="s">
        <v>472</v>
      </c>
      <c r="X87" s="233">
        <f>IF(AO87="5",BH87,0)</f>
        <v>0</v>
      </c>
      <c r="Z87" s="233">
        <f>IF(AO87="1",BF87,0)</f>
        <v>0</v>
      </c>
      <c r="AA87" s="233">
        <f>IF(AO87="1",BG87,0)</f>
        <v>0</v>
      </c>
      <c r="AB87" s="233">
        <f>IF(AO87="7",BF87,0)</f>
        <v>0</v>
      </c>
      <c r="AC87" s="233">
        <f>IF(AO87="7",BG87,0)</f>
        <v>0</v>
      </c>
      <c r="AD87" s="233">
        <f>IF(AO87="2",BF87,0)</f>
        <v>0</v>
      </c>
      <c r="AE87" s="233">
        <f>IF(AO87="2",BG87,0)</f>
        <v>0</v>
      </c>
      <c r="AF87" s="233">
        <f>IF(AO87="0",BH87,0)</f>
        <v>0</v>
      </c>
      <c r="AG87" s="229" t="s">
        <v>154</v>
      </c>
      <c r="AH87" s="233">
        <f>IF(AL87=0,J87,0)</f>
        <v>0</v>
      </c>
      <c r="AI87" s="233">
        <f>IF(AL87=15,J87,0)</f>
        <v>0</v>
      </c>
      <c r="AJ87" s="233">
        <f>IF(AL87=21,J87,0)</f>
        <v>0</v>
      </c>
      <c r="AL87" s="233">
        <v>15</v>
      </c>
      <c r="AM87" s="233">
        <f>G87*0</f>
        <v>0</v>
      </c>
      <c r="AN87" s="233">
        <f>G87*(1-0)</f>
        <v>0</v>
      </c>
      <c r="AO87" s="234" t="s">
        <v>157</v>
      </c>
      <c r="AT87" s="233">
        <f>AU87+AV87</f>
        <v>0</v>
      </c>
      <c r="AU87" s="233">
        <f>F87*AM87</f>
        <v>0</v>
      </c>
      <c r="AV87" s="233">
        <f>F87*AN87</f>
        <v>0</v>
      </c>
      <c r="AW87" s="234" t="s">
        <v>279</v>
      </c>
      <c r="AX87" s="234" t="s">
        <v>163</v>
      </c>
      <c r="AY87" s="229" t="s">
        <v>164</v>
      </c>
      <c r="BA87" s="233">
        <f>AU87+AV87</f>
        <v>0</v>
      </c>
      <c r="BB87" s="233">
        <f>G87/(100-BC87)*100</f>
        <v>0</v>
      </c>
      <c r="BC87" s="233">
        <v>0</v>
      </c>
      <c r="BD87" s="233">
        <f>L87</f>
        <v>0</v>
      </c>
      <c r="BF87" s="233">
        <f>F87*AM87</f>
        <v>0</v>
      </c>
      <c r="BG87" s="233">
        <f>F87*AN87</f>
        <v>0</v>
      </c>
      <c r="BH87" s="233">
        <f>F87*G87</f>
        <v>0</v>
      </c>
      <c r="BI87" s="233"/>
      <c r="BJ87" s="233">
        <v>19</v>
      </c>
      <c r="BU87" s="233" t="e">
        <f>#REF!</f>
        <v>#REF!</v>
      </c>
      <c r="BV87" s="225" t="s">
        <v>283</v>
      </c>
    </row>
    <row r="88" spans="1:74" ht="27" customHeight="1" x14ac:dyDescent="0.3">
      <c r="A88" s="241"/>
      <c r="B88" s="242" t="s">
        <v>165</v>
      </c>
      <c r="C88" s="530" t="s">
        <v>1742</v>
      </c>
      <c r="D88" s="531"/>
      <c r="E88" s="531"/>
      <c r="F88" s="531"/>
      <c r="G88" s="531"/>
      <c r="H88" s="531"/>
      <c r="I88" s="531"/>
      <c r="J88" s="531"/>
      <c r="K88" s="531"/>
      <c r="L88" s="531"/>
      <c r="M88" s="532"/>
    </row>
    <row r="89" spans="1:74" ht="14.4" x14ac:dyDescent="0.3">
      <c r="A89" s="239" t="s">
        <v>154</v>
      </c>
      <c r="B89" s="224" t="s">
        <v>235</v>
      </c>
      <c r="C89" s="526" t="s">
        <v>284</v>
      </c>
      <c r="D89" s="527"/>
      <c r="E89" s="223" t="s">
        <v>114</v>
      </c>
      <c r="F89" s="223" t="s">
        <v>114</v>
      </c>
      <c r="G89" s="223" t="s">
        <v>114</v>
      </c>
      <c r="H89" s="235">
        <f>SUM(H90:H94)</f>
        <v>0</v>
      </c>
      <c r="I89" s="235">
        <f>SUM(I90:I94)</f>
        <v>0</v>
      </c>
      <c r="J89" s="235">
        <f>SUM(J90:J94)</f>
        <v>0</v>
      </c>
      <c r="K89" s="230" t="s">
        <v>154</v>
      </c>
      <c r="L89" s="235">
        <f>SUM(L90:L94)</f>
        <v>4.3625000000000007</v>
      </c>
      <c r="M89" s="243" t="s">
        <v>154</v>
      </c>
      <c r="AG89" s="229" t="s">
        <v>154</v>
      </c>
      <c r="AQ89" s="222">
        <f>SUM(AH90:AH94)</f>
        <v>0</v>
      </c>
      <c r="AR89" s="222">
        <f>SUM(AI90:AI94)</f>
        <v>0</v>
      </c>
      <c r="AS89" s="222">
        <f>SUM(AJ90:AJ94)</f>
        <v>0</v>
      </c>
    </row>
    <row r="90" spans="1:74" ht="14.4" x14ac:dyDescent="0.3">
      <c r="A90" s="239" t="s">
        <v>290</v>
      </c>
      <c r="B90" s="223" t="s">
        <v>507</v>
      </c>
      <c r="C90" s="521" t="s">
        <v>287</v>
      </c>
      <c r="D90" s="519"/>
      <c r="E90" s="223" t="s">
        <v>180</v>
      </c>
      <c r="F90" s="233">
        <v>20.79</v>
      </c>
      <c r="G90" s="311">
        <v>0</v>
      </c>
      <c r="H90" s="233">
        <f>F90*AM90</f>
        <v>0</v>
      </c>
      <c r="I90" s="233">
        <f>F90*AN90</f>
        <v>0</v>
      </c>
      <c r="J90" s="233">
        <f>F90*G90</f>
        <v>0</v>
      </c>
      <c r="K90" s="233">
        <v>0</v>
      </c>
      <c r="L90" s="233">
        <f>F90*K90</f>
        <v>0</v>
      </c>
      <c r="M90" s="240" t="s">
        <v>472</v>
      </c>
      <c r="X90" s="233">
        <f>IF(AO90="5",BH90,0)</f>
        <v>0</v>
      </c>
      <c r="Z90" s="233">
        <f>IF(AO90="1",BF90,0)</f>
        <v>0</v>
      </c>
      <c r="AA90" s="233">
        <f>IF(AO90="1",BG90,0)</f>
        <v>0</v>
      </c>
      <c r="AB90" s="233">
        <f>IF(AO90="7",BF90,0)</f>
        <v>0</v>
      </c>
      <c r="AC90" s="233">
        <f>IF(AO90="7",BG90,0)</f>
        <v>0</v>
      </c>
      <c r="AD90" s="233">
        <f>IF(AO90="2",BF90,0)</f>
        <v>0</v>
      </c>
      <c r="AE90" s="233">
        <f>IF(AO90="2",BG90,0)</f>
        <v>0</v>
      </c>
      <c r="AF90" s="233">
        <f>IF(AO90="0",BH90,0)</f>
        <v>0</v>
      </c>
      <c r="AG90" s="229" t="s">
        <v>154</v>
      </c>
      <c r="AH90" s="233">
        <f>IF(AL90=0,J90,0)</f>
        <v>0</v>
      </c>
      <c r="AI90" s="233">
        <f>IF(AL90=15,J90,0)</f>
        <v>0</v>
      </c>
      <c r="AJ90" s="233">
        <f>IF(AL90=21,J90,0)</f>
        <v>0</v>
      </c>
      <c r="AL90" s="233">
        <v>15</v>
      </c>
      <c r="AM90" s="233">
        <f>G90*0</f>
        <v>0</v>
      </c>
      <c r="AN90" s="233">
        <f>G90*(1-0)</f>
        <v>0</v>
      </c>
      <c r="AO90" s="234" t="s">
        <v>157</v>
      </c>
      <c r="AT90" s="233">
        <f>AU90+AV90</f>
        <v>0</v>
      </c>
      <c r="AU90" s="233">
        <f>F90*AM90</f>
        <v>0</v>
      </c>
      <c r="AV90" s="233">
        <f>F90*AN90</f>
        <v>0</v>
      </c>
      <c r="AW90" s="234" t="s">
        <v>288</v>
      </c>
      <c r="AX90" s="234" t="s">
        <v>289</v>
      </c>
      <c r="AY90" s="229" t="s">
        <v>164</v>
      </c>
      <c r="BA90" s="233">
        <f>AU90+AV90</f>
        <v>0</v>
      </c>
      <c r="BB90" s="233">
        <f>G90/(100-BC90)*100</f>
        <v>0</v>
      </c>
      <c r="BC90" s="233">
        <v>0</v>
      </c>
      <c r="BD90" s="233">
        <f>L90</f>
        <v>0</v>
      </c>
      <c r="BF90" s="233">
        <f>F90*AM90</f>
        <v>0</v>
      </c>
      <c r="BG90" s="233">
        <f>F90*AN90</f>
        <v>0</v>
      </c>
      <c r="BH90" s="233">
        <f>F90*G90</f>
        <v>0</v>
      </c>
      <c r="BI90" s="233"/>
      <c r="BJ90" s="233">
        <v>21</v>
      </c>
      <c r="BU90" s="233" t="e">
        <f>#REF!</f>
        <v>#REF!</v>
      </c>
      <c r="BV90" s="225" t="s">
        <v>287</v>
      </c>
    </row>
    <row r="91" spans="1:74" ht="40.5" customHeight="1" x14ac:dyDescent="0.3">
      <c r="A91" s="241"/>
      <c r="B91" s="242" t="s">
        <v>165</v>
      </c>
      <c r="C91" s="530" t="s">
        <v>1743</v>
      </c>
      <c r="D91" s="531"/>
      <c r="E91" s="531"/>
      <c r="F91" s="531"/>
      <c r="G91" s="531"/>
      <c r="H91" s="531"/>
      <c r="I91" s="531"/>
      <c r="J91" s="531"/>
      <c r="K91" s="531"/>
      <c r="L91" s="531"/>
      <c r="M91" s="532"/>
    </row>
    <row r="92" spans="1:74" ht="14.4" x14ac:dyDescent="0.3">
      <c r="A92" s="239" t="s">
        <v>294</v>
      </c>
      <c r="B92" s="223" t="s">
        <v>291</v>
      </c>
      <c r="C92" s="521" t="s">
        <v>292</v>
      </c>
      <c r="D92" s="519"/>
      <c r="E92" s="223" t="s">
        <v>160</v>
      </c>
      <c r="F92" s="233">
        <v>10</v>
      </c>
      <c r="G92" s="311">
        <v>0</v>
      </c>
      <c r="H92" s="233">
        <f>F92*AM92</f>
        <v>0</v>
      </c>
      <c r="I92" s="233">
        <f>F92*AN92</f>
        <v>0</v>
      </c>
      <c r="J92" s="233">
        <f>F92*G92</f>
        <v>0</v>
      </c>
      <c r="K92" s="233">
        <v>0.43625000000000003</v>
      </c>
      <c r="L92" s="233">
        <f>F92*K92</f>
        <v>4.3625000000000007</v>
      </c>
      <c r="M92" s="240" t="s">
        <v>472</v>
      </c>
      <c r="X92" s="233">
        <f>IF(AO92="5",BH92,0)</f>
        <v>0</v>
      </c>
      <c r="Z92" s="233">
        <f>IF(AO92="1",BF92,0)</f>
        <v>0</v>
      </c>
      <c r="AA92" s="233">
        <f>IF(AO92="1",BG92,0)</f>
        <v>0</v>
      </c>
      <c r="AB92" s="233">
        <f>IF(AO92="7",BF92,0)</f>
        <v>0</v>
      </c>
      <c r="AC92" s="233">
        <f>IF(AO92="7",BG92,0)</f>
        <v>0</v>
      </c>
      <c r="AD92" s="233">
        <f>IF(AO92="2",BF92,0)</f>
        <v>0</v>
      </c>
      <c r="AE92" s="233">
        <f>IF(AO92="2",BG92,0)</f>
        <v>0</v>
      </c>
      <c r="AF92" s="233">
        <f>IF(AO92="0",BH92,0)</f>
        <v>0</v>
      </c>
      <c r="AG92" s="229" t="s">
        <v>154</v>
      </c>
      <c r="AH92" s="233">
        <f>IF(AL92=0,J92,0)</f>
        <v>0</v>
      </c>
      <c r="AI92" s="233">
        <f>IF(AL92=15,J92,0)</f>
        <v>0</v>
      </c>
      <c r="AJ92" s="233">
        <f>IF(AL92=21,J92,0)</f>
        <v>0</v>
      </c>
      <c r="AL92" s="233">
        <v>15</v>
      </c>
      <c r="AM92" s="233">
        <f>G92*0.447203746</f>
        <v>0</v>
      </c>
      <c r="AN92" s="233">
        <f>G92*(1-0.447203746)</f>
        <v>0</v>
      </c>
      <c r="AO92" s="234" t="s">
        <v>157</v>
      </c>
      <c r="AT92" s="233">
        <f>AU92+AV92</f>
        <v>0</v>
      </c>
      <c r="AU92" s="233">
        <f>F92*AM92</f>
        <v>0</v>
      </c>
      <c r="AV92" s="233">
        <f>F92*AN92</f>
        <v>0</v>
      </c>
      <c r="AW92" s="234" t="s">
        <v>288</v>
      </c>
      <c r="AX92" s="234" t="s">
        <v>289</v>
      </c>
      <c r="AY92" s="229" t="s">
        <v>164</v>
      </c>
      <c r="BA92" s="233">
        <f>AU92+AV92</f>
        <v>0</v>
      </c>
      <c r="BB92" s="233">
        <f>G92/(100-BC92)*100</f>
        <v>0</v>
      </c>
      <c r="BC92" s="233">
        <v>0</v>
      </c>
      <c r="BD92" s="233">
        <f>L92</f>
        <v>4.3625000000000007</v>
      </c>
      <c r="BF92" s="233">
        <f>F92*AM92</f>
        <v>0</v>
      </c>
      <c r="BG92" s="233">
        <f>F92*AN92</f>
        <v>0</v>
      </c>
      <c r="BH92" s="233">
        <f>F92*G92</f>
        <v>0</v>
      </c>
      <c r="BI92" s="233"/>
      <c r="BJ92" s="233">
        <v>21</v>
      </c>
      <c r="BU92" s="233" t="e">
        <f>#REF!</f>
        <v>#REF!</v>
      </c>
      <c r="BV92" s="225" t="s">
        <v>292</v>
      </c>
    </row>
    <row r="93" spans="1:74" ht="27" customHeight="1" x14ac:dyDescent="0.3">
      <c r="A93" s="241"/>
      <c r="B93" s="242" t="s">
        <v>165</v>
      </c>
      <c r="C93" s="530" t="s">
        <v>1567</v>
      </c>
      <c r="D93" s="531"/>
      <c r="E93" s="531"/>
      <c r="F93" s="531"/>
      <c r="G93" s="531"/>
      <c r="H93" s="531"/>
      <c r="I93" s="531"/>
      <c r="J93" s="531"/>
      <c r="K93" s="531"/>
      <c r="L93" s="531"/>
      <c r="M93" s="532"/>
    </row>
    <row r="94" spans="1:74" ht="14.4" x14ac:dyDescent="0.3">
      <c r="A94" s="239" t="s">
        <v>300</v>
      </c>
      <c r="B94" s="223" t="s">
        <v>414</v>
      </c>
      <c r="C94" s="521" t="s">
        <v>415</v>
      </c>
      <c r="D94" s="519"/>
      <c r="E94" s="223" t="s">
        <v>380</v>
      </c>
      <c r="F94" s="233">
        <v>4.3600000000000003</v>
      </c>
      <c r="G94" s="311">
        <v>0</v>
      </c>
      <c r="H94" s="233">
        <f>F94*AM94</f>
        <v>0</v>
      </c>
      <c r="I94" s="233">
        <f>F94*AN94</f>
        <v>0</v>
      </c>
      <c r="J94" s="233">
        <f>F94*G94</f>
        <v>0</v>
      </c>
      <c r="K94" s="233">
        <v>0</v>
      </c>
      <c r="L94" s="233">
        <f>F94*K94</f>
        <v>0</v>
      </c>
      <c r="M94" s="240" t="s">
        <v>472</v>
      </c>
      <c r="X94" s="233">
        <f>IF(AO94="5",BH94,0)</f>
        <v>0</v>
      </c>
      <c r="Z94" s="233">
        <f>IF(AO94="1",BF94,0)</f>
        <v>0</v>
      </c>
      <c r="AA94" s="233">
        <f>IF(AO94="1",BG94,0)</f>
        <v>0</v>
      </c>
      <c r="AB94" s="233">
        <f>IF(AO94="7",BF94,0)</f>
        <v>0</v>
      </c>
      <c r="AC94" s="233">
        <f>IF(AO94="7",BG94,0)</f>
        <v>0</v>
      </c>
      <c r="AD94" s="233">
        <f>IF(AO94="2",BF94,0)</f>
        <v>0</v>
      </c>
      <c r="AE94" s="233">
        <f>IF(AO94="2",BG94,0)</f>
        <v>0</v>
      </c>
      <c r="AF94" s="233">
        <f>IF(AO94="0",BH94,0)</f>
        <v>0</v>
      </c>
      <c r="AG94" s="229" t="s">
        <v>154</v>
      </c>
      <c r="AH94" s="233">
        <f>IF(AL94=0,J94,0)</f>
        <v>0</v>
      </c>
      <c r="AI94" s="233">
        <f>IF(AL94=15,J94,0)</f>
        <v>0</v>
      </c>
      <c r="AJ94" s="233">
        <f>IF(AL94=21,J94,0)</f>
        <v>0</v>
      </c>
      <c r="AL94" s="233">
        <v>15</v>
      </c>
      <c r="AM94" s="233">
        <f>G94*0</f>
        <v>0</v>
      </c>
      <c r="AN94" s="233">
        <f>G94*(1-0)</f>
        <v>0</v>
      </c>
      <c r="AO94" s="234" t="s">
        <v>177</v>
      </c>
      <c r="AT94" s="233">
        <f>AU94+AV94</f>
        <v>0</v>
      </c>
      <c r="AU94" s="233">
        <f>F94*AM94</f>
        <v>0</v>
      </c>
      <c r="AV94" s="233">
        <f>F94*AN94</f>
        <v>0</v>
      </c>
      <c r="AW94" s="234" t="s">
        <v>288</v>
      </c>
      <c r="AX94" s="234" t="s">
        <v>289</v>
      </c>
      <c r="AY94" s="229" t="s">
        <v>164</v>
      </c>
      <c r="BA94" s="233">
        <f>AU94+AV94</f>
        <v>0</v>
      </c>
      <c r="BB94" s="233">
        <f>G94/(100-BC94)*100</f>
        <v>0</v>
      </c>
      <c r="BC94" s="233">
        <v>0</v>
      </c>
      <c r="BD94" s="233">
        <f>L94</f>
        <v>0</v>
      </c>
      <c r="BF94" s="233">
        <f>F94*AM94</f>
        <v>0</v>
      </c>
      <c r="BG94" s="233">
        <f>F94*AN94</f>
        <v>0</v>
      </c>
      <c r="BH94" s="233">
        <f>F94*G94</f>
        <v>0</v>
      </c>
      <c r="BI94" s="233"/>
      <c r="BJ94" s="233">
        <v>21</v>
      </c>
      <c r="BU94" s="233" t="e">
        <f>#REF!</f>
        <v>#REF!</v>
      </c>
      <c r="BV94" s="225" t="s">
        <v>415</v>
      </c>
    </row>
    <row r="95" spans="1:74" ht="14.4" x14ac:dyDescent="0.3">
      <c r="A95" s="239" t="s">
        <v>154</v>
      </c>
      <c r="B95" s="224" t="s">
        <v>253</v>
      </c>
      <c r="C95" s="526" t="s">
        <v>293</v>
      </c>
      <c r="D95" s="527"/>
      <c r="E95" s="223" t="s">
        <v>114</v>
      </c>
      <c r="F95" s="223" t="s">
        <v>114</v>
      </c>
      <c r="G95" s="223" t="s">
        <v>114</v>
      </c>
      <c r="H95" s="235">
        <f>SUM(H96:H96)</f>
        <v>0</v>
      </c>
      <c r="I95" s="235">
        <f>SUM(I96:I96)</f>
        <v>0</v>
      </c>
      <c r="J95" s="235">
        <f>SUM(J96:J96)</f>
        <v>0</v>
      </c>
      <c r="K95" s="230" t="s">
        <v>154</v>
      </c>
      <c r="L95" s="235">
        <f>SUM(L96:L96)</f>
        <v>0.32826820000000001</v>
      </c>
      <c r="M95" s="243" t="s">
        <v>154</v>
      </c>
      <c r="AG95" s="229" t="s">
        <v>154</v>
      </c>
      <c r="AQ95" s="222">
        <f>SUM(AH96:AH96)</f>
        <v>0</v>
      </c>
      <c r="AR95" s="222">
        <f>SUM(AI96:AI96)</f>
        <v>0</v>
      </c>
      <c r="AS95" s="222">
        <f>SUM(AJ96:AJ96)</f>
        <v>0</v>
      </c>
    </row>
    <row r="96" spans="1:74" ht="14.4" x14ac:dyDescent="0.3">
      <c r="A96" s="239" t="s">
        <v>307</v>
      </c>
      <c r="B96" s="223" t="s">
        <v>890</v>
      </c>
      <c r="C96" s="521" t="s">
        <v>296</v>
      </c>
      <c r="D96" s="519"/>
      <c r="E96" s="223" t="s">
        <v>196</v>
      </c>
      <c r="F96" s="233">
        <v>0.13</v>
      </c>
      <c r="G96" s="311">
        <v>0</v>
      </c>
      <c r="H96" s="233">
        <f>F96*AM96</f>
        <v>0</v>
      </c>
      <c r="I96" s="233">
        <f>F96*AN96</f>
        <v>0</v>
      </c>
      <c r="J96" s="233">
        <f>F96*G96</f>
        <v>0</v>
      </c>
      <c r="K96" s="233">
        <v>2.5251399999999999</v>
      </c>
      <c r="L96" s="233">
        <f>F96*K96</f>
        <v>0.32826820000000001</v>
      </c>
      <c r="M96" s="240" t="s">
        <v>472</v>
      </c>
      <c r="X96" s="233">
        <f>IF(AO96="5",BH96,0)</f>
        <v>0</v>
      </c>
      <c r="Z96" s="233">
        <f>IF(AO96="1",BF96,0)</f>
        <v>0</v>
      </c>
      <c r="AA96" s="233">
        <f>IF(AO96="1",BG96,0)</f>
        <v>0</v>
      </c>
      <c r="AB96" s="233">
        <f>IF(AO96="7",BF96,0)</f>
        <v>0</v>
      </c>
      <c r="AC96" s="233">
        <f>IF(AO96="7",BG96,0)</f>
        <v>0</v>
      </c>
      <c r="AD96" s="233">
        <f>IF(AO96="2",BF96,0)</f>
        <v>0</v>
      </c>
      <c r="AE96" s="233">
        <f>IF(AO96="2",BG96,0)</f>
        <v>0</v>
      </c>
      <c r="AF96" s="233">
        <f>IF(AO96="0",BH96,0)</f>
        <v>0</v>
      </c>
      <c r="AG96" s="229" t="s">
        <v>154</v>
      </c>
      <c r="AH96" s="233">
        <f>IF(AL96=0,J96,0)</f>
        <v>0</v>
      </c>
      <c r="AI96" s="233">
        <f>IF(AL96=15,J96,0)</f>
        <v>0</v>
      </c>
      <c r="AJ96" s="233">
        <f>IF(AL96=21,J96,0)</f>
        <v>0</v>
      </c>
      <c r="AL96" s="233">
        <v>15</v>
      </c>
      <c r="AM96" s="233">
        <f>G96*0.848132833</f>
        <v>0</v>
      </c>
      <c r="AN96" s="233">
        <f>G96*(1-0.848132833)</f>
        <v>0</v>
      </c>
      <c r="AO96" s="234" t="s">
        <v>157</v>
      </c>
      <c r="AT96" s="233">
        <f>AU96+AV96</f>
        <v>0</v>
      </c>
      <c r="AU96" s="233">
        <f>F96*AM96</f>
        <v>0</v>
      </c>
      <c r="AV96" s="233">
        <f>F96*AN96</f>
        <v>0</v>
      </c>
      <c r="AW96" s="234" t="s">
        <v>297</v>
      </c>
      <c r="AX96" s="234" t="s">
        <v>289</v>
      </c>
      <c r="AY96" s="229" t="s">
        <v>164</v>
      </c>
      <c r="BA96" s="233">
        <f>AU96+AV96</f>
        <v>0</v>
      </c>
      <c r="BB96" s="233">
        <f>G96/(100-BC96)*100</f>
        <v>0</v>
      </c>
      <c r="BC96" s="233">
        <v>0</v>
      </c>
      <c r="BD96" s="233">
        <f>L96</f>
        <v>0.32826820000000001</v>
      </c>
      <c r="BF96" s="233">
        <f>F96*AM96</f>
        <v>0</v>
      </c>
      <c r="BG96" s="233">
        <f>F96*AN96</f>
        <v>0</v>
      </c>
      <c r="BH96" s="233">
        <f>F96*G96</f>
        <v>0</v>
      </c>
      <c r="BI96" s="233"/>
      <c r="BJ96" s="233">
        <v>27</v>
      </c>
      <c r="BU96" s="233" t="e">
        <f>#REF!</f>
        <v>#REF!</v>
      </c>
      <c r="BV96" s="225" t="s">
        <v>296</v>
      </c>
    </row>
    <row r="97" spans="1:74" ht="40.5" customHeight="1" x14ac:dyDescent="0.3">
      <c r="A97" s="241"/>
      <c r="B97" s="242" t="s">
        <v>165</v>
      </c>
      <c r="C97" s="530" t="s">
        <v>1744</v>
      </c>
      <c r="D97" s="531"/>
      <c r="E97" s="531"/>
      <c r="F97" s="531"/>
      <c r="G97" s="531"/>
      <c r="H97" s="531"/>
      <c r="I97" s="531"/>
      <c r="J97" s="531"/>
      <c r="K97" s="531"/>
      <c r="L97" s="531"/>
      <c r="M97" s="532"/>
    </row>
    <row r="98" spans="1:74" ht="14.4" x14ac:dyDescent="0.3">
      <c r="A98" s="239" t="s">
        <v>154</v>
      </c>
      <c r="B98" s="224" t="s">
        <v>298</v>
      </c>
      <c r="C98" s="526" t="s">
        <v>299</v>
      </c>
      <c r="D98" s="527"/>
      <c r="E98" s="223" t="s">
        <v>114</v>
      </c>
      <c r="F98" s="223" t="s">
        <v>114</v>
      </c>
      <c r="G98" s="223" t="s">
        <v>114</v>
      </c>
      <c r="H98" s="235">
        <f>SUM(H99:H99)</f>
        <v>0</v>
      </c>
      <c r="I98" s="235">
        <f>SUM(I99:I99)</f>
        <v>0</v>
      </c>
      <c r="J98" s="235">
        <f>SUM(J99:J99)</f>
        <v>0</v>
      </c>
      <c r="K98" s="230" t="s">
        <v>154</v>
      </c>
      <c r="L98" s="235">
        <f>SUM(L99:L99)</f>
        <v>6.4664333999999997</v>
      </c>
      <c r="M98" s="243" t="s">
        <v>154</v>
      </c>
      <c r="AG98" s="229" t="s">
        <v>154</v>
      </c>
      <c r="AQ98" s="222">
        <f>SUM(AH99:AH99)</f>
        <v>0</v>
      </c>
      <c r="AR98" s="222">
        <f>SUM(AI99:AI99)</f>
        <v>0</v>
      </c>
      <c r="AS98" s="222">
        <f>SUM(AJ99:AJ99)</f>
        <v>0</v>
      </c>
    </row>
    <row r="99" spans="1:74" ht="14.4" x14ac:dyDescent="0.3">
      <c r="A99" s="239" t="s">
        <v>312</v>
      </c>
      <c r="B99" s="223" t="s">
        <v>301</v>
      </c>
      <c r="C99" s="521" t="s">
        <v>891</v>
      </c>
      <c r="D99" s="519"/>
      <c r="E99" s="223" t="s">
        <v>196</v>
      </c>
      <c r="F99" s="233">
        <v>3.42</v>
      </c>
      <c r="G99" s="311">
        <v>0</v>
      </c>
      <c r="H99" s="233">
        <f>F99*AM99</f>
        <v>0</v>
      </c>
      <c r="I99" s="233">
        <f>F99*AN99</f>
        <v>0</v>
      </c>
      <c r="J99" s="233">
        <f>F99*G99</f>
        <v>0</v>
      </c>
      <c r="K99" s="233">
        <v>1.8907700000000001</v>
      </c>
      <c r="L99" s="233">
        <f>F99*K99</f>
        <v>6.4664333999999997</v>
      </c>
      <c r="M99" s="240" t="s">
        <v>472</v>
      </c>
      <c r="X99" s="233">
        <f>IF(AO99="5",BH99,0)</f>
        <v>0</v>
      </c>
      <c r="Z99" s="233">
        <f>IF(AO99="1",BF99,0)</f>
        <v>0</v>
      </c>
      <c r="AA99" s="233">
        <f>IF(AO99="1",BG99,0)</f>
        <v>0</v>
      </c>
      <c r="AB99" s="233">
        <f>IF(AO99="7",BF99,0)</f>
        <v>0</v>
      </c>
      <c r="AC99" s="233">
        <f>IF(AO99="7",BG99,0)</f>
        <v>0</v>
      </c>
      <c r="AD99" s="233">
        <f>IF(AO99="2",BF99,0)</f>
        <v>0</v>
      </c>
      <c r="AE99" s="233">
        <f>IF(AO99="2",BG99,0)</f>
        <v>0</v>
      </c>
      <c r="AF99" s="233">
        <f>IF(AO99="0",BH99,0)</f>
        <v>0</v>
      </c>
      <c r="AG99" s="229" t="s">
        <v>154</v>
      </c>
      <c r="AH99" s="233">
        <f>IF(AL99=0,J99,0)</f>
        <v>0</v>
      </c>
      <c r="AI99" s="233">
        <f>IF(AL99=15,J99,0)</f>
        <v>0</v>
      </c>
      <c r="AJ99" s="233">
        <f>IF(AL99=21,J99,0)</f>
        <v>0</v>
      </c>
      <c r="AL99" s="233">
        <v>15</v>
      </c>
      <c r="AM99" s="233">
        <f>G99*0.49238052</f>
        <v>0</v>
      </c>
      <c r="AN99" s="233">
        <f>G99*(1-0.49238052)</f>
        <v>0</v>
      </c>
      <c r="AO99" s="234" t="s">
        <v>157</v>
      </c>
      <c r="AT99" s="233">
        <f>AU99+AV99</f>
        <v>0</v>
      </c>
      <c r="AU99" s="233">
        <f>F99*AM99</f>
        <v>0</v>
      </c>
      <c r="AV99" s="233">
        <f>F99*AN99</f>
        <v>0</v>
      </c>
      <c r="AW99" s="234" t="s">
        <v>303</v>
      </c>
      <c r="AX99" s="234" t="s">
        <v>304</v>
      </c>
      <c r="AY99" s="229" t="s">
        <v>164</v>
      </c>
      <c r="BA99" s="233">
        <f>AU99+AV99</f>
        <v>0</v>
      </c>
      <c r="BB99" s="233">
        <f>G99/(100-BC99)*100</f>
        <v>0</v>
      </c>
      <c r="BC99" s="233">
        <v>0</v>
      </c>
      <c r="BD99" s="233">
        <f>L99</f>
        <v>6.4664333999999997</v>
      </c>
      <c r="BF99" s="233">
        <f>F99*AM99</f>
        <v>0</v>
      </c>
      <c r="BG99" s="233">
        <f>F99*AN99</f>
        <v>0</v>
      </c>
      <c r="BH99" s="233">
        <f>F99*G99</f>
        <v>0</v>
      </c>
      <c r="BI99" s="233"/>
      <c r="BJ99" s="233">
        <v>45</v>
      </c>
      <c r="BU99" s="233" t="e">
        <f>#REF!</f>
        <v>#REF!</v>
      </c>
      <c r="BV99" s="225" t="s">
        <v>891</v>
      </c>
    </row>
    <row r="100" spans="1:74" ht="40.5" customHeight="1" x14ac:dyDescent="0.3">
      <c r="A100" s="241"/>
      <c r="B100" s="242" t="s">
        <v>165</v>
      </c>
      <c r="C100" s="530" t="s">
        <v>1745</v>
      </c>
      <c r="D100" s="531"/>
      <c r="E100" s="531"/>
      <c r="F100" s="531"/>
      <c r="G100" s="531"/>
      <c r="H100" s="531"/>
      <c r="I100" s="531"/>
      <c r="J100" s="531"/>
      <c r="K100" s="531"/>
      <c r="L100" s="531"/>
      <c r="M100" s="532"/>
    </row>
    <row r="101" spans="1:74" ht="14.4" x14ac:dyDescent="0.3">
      <c r="A101" s="239" t="s">
        <v>154</v>
      </c>
      <c r="B101" s="224" t="s">
        <v>305</v>
      </c>
      <c r="C101" s="526" t="s">
        <v>306</v>
      </c>
      <c r="D101" s="527"/>
      <c r="E101" s="223" t="s">
        <v>114</v>
      </c>
      <c r="F101" s="223" t="s">
        <v>114</v>
      </c>
      <c r="G101" s="223" t="s">
        <v>114</v>
      </c>
      <c r="H101" s="235">
        <f>SUM(H102:H114)</f>
        <v>0</v>
      </c>
      <c r="I101" s="235">
        <f>SUM(I102:I114)</f>
        <v>0</v>
      </c>
      <c r="J101" s="235">
        <f>SUM(J102:J114)</f>
        <v>0</v>
      </c>
      <c r="K101" s="230" t="s">
        <v>154</v>
      </c>
      <c r="L101" s="235">
        <f>SUM(L102:L114)</f>
        <v>14.707069199999999</v>
      </c>
      <c r="M101" s="243" t="s">
        <v>154</v>
      </c>
      <c r="AG101" s="229" t="s">
        <v>154</v>
      </c>
      <c r="AQ101" s="222">
        <f>SUM(AH102:AH114)</f>
        <v>0</v>
      </c>
      <c r="AR101" s="222">
        <f>SUM(AI102:AI114)</f>
        <v>0</v>
      </c>
      <c r="AS101" s="222">
        <f>SUM(AJ102:AJ114)</f>
        <v>0</v>
      </c>
    </row>
    <row r="102" spans="1:74" ht="14.4" x14ac:dyDescent="0.3">
      <c r="A102" s="239" t="s">
        <v>315</v>
      </c>
      <c r="B102" s="223" t="s">
        <v>308</v>
      </c>
      <c r="C102" s="521" t="s">
        <v>309</v>
      </c>
      <c r="D102" s="519"/>
      <c r="E102" s="223" t="s">
        <v>180</v>
      </c>
      <c r="F102" s="233">
        <v>5.2</v>
      </c>
      <c r="G102" s="311">
        <v>0</v>
      </c>
      <c r="H102" s="233">
        <f>F102*AM102</f>
        <v>0</v>
      </c>
      <c r="I102" s="233">
        <f>F102*AN102</f>
        <v>0</v>
      </c>
      <c r="J102" s="233">
        <f>F102*G102</f>
        <v>0</v>
      </c>
      <c r="K102" s="233">
        <v>0.4284</v>
      </c>
      <c r="L102" s="233">
        <f>F102*K102</f>
        <v>2.2276799999999999</v>
      </c>
      <c r="M102" s="240" t="s">
        <v>472</v>
      </c>
      <c r="X102" s="233">
        <f>IF(AO102="5",BH102,0)</f>
        <v>0</v>
      </c>
      <c r="Z102" s="233">
        <f>IF(AO102="1",BF102,0)</f>
        <v>0</v>
      </c>
      <c r="AA102" s="233">
        <f>IF(AO102="1",BG102,0)</f>
        <v>0</v>
      </c>
      <c r="AB102" s="233">
        <f>IF(AO102="7",BF102,0)</f>
        <v>0</v>
      </c>
      <c r="AC102" s="233">
        <f>IF(AO102="7",BG102,0)</f>
        <v>0</v>
      </c>
      <c r="AD102" s="233">
        <f>IF(AO102="2",BF102,0)</f>
        <v>0</v>
      </c>
      <c r="AE102" s="233">
        <f>IF(AO102="2",BG102,0)</f>
        <v>0</v>
      </c>
      <c r="AF102" s="233">
        <f>IF(AO102="0",BH102,0)</f>
        <v>0</v>
      </c>
      <c r="AG102" s="229" t="s">
        <v>154</v>
      </c>
      <c r="AH102" s="233">
        <f>IF(AL102=0,J102,0)</f>
        <v>0</v>
      </c>
      <c r="AI102" s="233">
        <f>IF(AL102=15,J102,0)</f>
        <v>0</v>
      </c>
      <c r="AJ102" s="233">
        <f>IF(AL102=21,J102,0)</f>
        <v>0</v>
      </c>
      <c r="AL102" s="233">
        <v>15</v>
      </c>
      <c r="AM102" s="233">
        <f>G102*0.84797066</f>
        <v>0</v>
      </c>
      <c r="AN102" s="233">
        <f>G102*(1-0.84797066)</f>
        <v>0</v>
      </c>
      <c r="AO102" s="234" t="s">
        <v>157</v>
      </c>
      <c r="AT102" s="233">
        <f>AU102+AV102</f>
        <v>0</v>
      </c>
      <c r="AU102" s="233">
        <f>F102*AM102</f>
        <v>0</v>
      </c>
      <c r="AV102" s="233">
        <f>F102*AN102</f>
        <v>0</v>
      </c>
      <c r="AW102" s="234" t="s">
        <v>310</v>
      </c>
      <c r="AX102" s="234" t="s">
        <v>311</v>
      </c>
      <c r="AY102" s="229" t="s">
        <v>164</v>
      </c>
      <c r="BA102" s="233">
        <f>AU102+AV102</f>
        <v>0</v>
      </c>
      <c r="BB102" s="233">
        <f>G102/(100-BC102)*100</f>
        <v>0</v>
      </c>
      <c r="BC102" s="233">
        <v>0</v>
      </c>
      <c r="BD102" s="233">
        <f>L102</f>
        <v>2.2276799999999999</v>
      </c>
      <c r="BF102" s="233">
        <f>F102*AM102</f>
        <v>0</v>
      </c>
      <c r="BG102" s="233">
        <f>F102*AN102</f>
        <v>0</v>
      </c>
      <c r="BH102" s="233">
        <f>F102*G102</f>
        <v>0</v>
      </c>
      <c r="BI102" s="233"/>
      <c r="BJ102" s="233">
        <v>56</v>
      </c>
      <c r="BU102" s="233" t="e">
        <f>#REF!</f>
        <v>#REF!</v>
      </c>
      <c r="BV102" s="225" t="s">
        <v>309</v>
      </c>
    </row>
    <row r="103" spans="1:74" ht="40.5" customHeight="1" x14ac:dyDescent="0.3">
      <c r="A103" s="241"/>
      <c r="B103" s="242" t="s">
        <v>165</v>
      </c>
      <c r="C103" s="530" t="s">
        <v>1746</v>
      </c>
      <c r="D103" s="531"/>
      <c r="E103" s="531"/>
      <c r="F103" s="531"/>
      <c r="G103" s="531"/>
      <c r="H103" s="531"/>
      <c r="I103" s="531"/>
      <c r="J103" s="531"/>
      <c r="K103" s="531"/>
      <c r="L103" s="531"/>
      <c r="M103" s="532"/>
    </row>
    <row r="104" spans="1:74" ht="14.4" x14ac:dyDescent="0.3">
      <c r="A104" s="239" t="s">
        <v>318</v>
      </c>
      <c r="B104" s="223" t="s">
        <v>313</v>
      </c>
      <c r="C104" s="521" t="s">
        <v>314</v>
      </c>
      <c r="D104" s="519"/>
      <c r="E104" s="223" t="s">
        <v>180</v>
      </c>
      <c r="F104" s="233">
        <v>5.51</v>
      </c>
      <c r="G104" s="311">
        <v>0</v>
      </c>
      <c r="H104" s="233">
        <f>F104*AM104</f>
        <v>0</v>
      </c>
      <c r="I104" s="233">
        <f>F104*AN104</f>
        <v>0</v>
      </c>
      <c r="J104" s="233">
        <f>F104*G104</f>
        <v>0</v>
      </c>
      <c r="K104" s="233">
        <v>0.60104000000000002</v>
      </c>
      <c r="L104" s="233">
        <f>F104*K104</f>
        <v>3.3117304000000001</v>
      </c>
      <c r="M104" s="240" t="s">
        <v>472</v>
      </c>
      <c r="X104" s="233">
        <f>IF(AO104="5",BH104,0)</f>
        <v>0</v>
      </c>
      <c r="Z104" s="233">
        <f>IF(AO104="1",BF104,0)</f>
        <v>0</v>
      </c>
      <c r="AA104" s="233">
        <f>IF(AO104="1",BG104,0)</f>
        <v>0</v>
      </c>
      <c r="AB104" s="233">
        <f>IF(AO104="7",BF104,0)</f>
        <v>0</v>
      </c>
      <c r="AC104" s="233">
        <f>IF(AO104="7",BG104,0)</f>
        <v>0</v>
      </c>
      <c r="AD104" s="233">
        <f>IF(AO104="2",BF104,0)</f>
        <v>0</v>
      </c>
      <c r="AE104" s="233">
        <f>IF(AO104="2",BG104,0)</f>
        <v>0</v>
      </c>
      <c r="AF104" s="233">
        <f>IF(AO104="0",BH104,0)</f>
        <v>0</v>
      </c>
      <c r="AG104" s="229" t="s">
        <v>154</v>
      </c>
      <c r="AH104" s="233">
        <f>IF(AL104=0,J104,0)</f>
        <v>0</v>
      </c>
      <c r="AI104" s="233">
        <f>IF(AL104=15,J104,0)</f>
        <v>0</v>
      </c>
      <c r="AJ104" s="233">
        <f>IF(AL104=21,J104,0)</f>
        <v>0</v>
      </c>
      <c r="AL104" s="233">
        <v>15</v>
      </c>
      <c r="AM104" s="233">
        <f>G104*0.832415839</f>
        <v>0</v>
      </c>
      <c r="AN104" s="233">
        <f>G104*(1-0.832415839)</f>
        <v>0</v>
      </c>
      <c r="AO104" s="234" t="s">
        <v>157</v>
      </c>
      <c r="AT104" s="233">
        <f>AU104+AV104</f>
        <v>0</v>
      </c>
      <c r="AU104" s="233">
        <f>F104*AM104</f>
        <v>0</v>
      </c>
      <c r="AV104" s="233">
        <f>F104*AN104</f>
        <v>0</v>
      </c>
      <c r="AW104" s="234" t="s">
        <v>310</v>
      </c>
      <c r="AX104" s="234" t="s">
        <v>311</v>
      </c>
      <c r="AY104" s="229" t="s">
        <v>164</v>
      </c>
      <c r="BA104" s="233">
        <f>AU104+AV104</f>
        <v>0</v>
      </c>
      <c r="BB104" s="233">
        <f>G104/(100-BC104)*100</f>
        <v>0</v>
      </c>
      <c r="BC104" s="233">
        <v>0</v>
      </c>
      <c r="BD104" s="233">
        <f>L104</f>
        <v>3.3117304000000001</v>
      </c>
      <c r="BF104" s="233">
        <f>F104*AM104</f>
        <v>0</v>
      </c>
      <c r="BG104" s="233">
        <f>F104*AN104</f>
        <v>0</v>
      </c>
      <c r="BH104" s="233">
        <f>F104*G104</f>
        <v>0</v>
      </c>
      <c r="BI104" s="233"/>
      <c r="BJ104" s="233">
        <v>56</v>
      </c>
      <c r="BU104" s="233" t="e">
        <f>#REF!</f>
        <v>#REF!</v>
      </c>
      <c r="BV104" s="225" t="s">
        <v>314</v>
      </c>
    </row>
    <row r="105" spans="1:74" ht="40.5" customHeight="1" x14ac:dyDescent="0.3">
      <c r="A105" s="241"/>
      <c r="B105" s="242" t="s">
        <v>165</v>
      </c>
      <c r="C105" s="530" t="s">
        <v>1747</v>
      </c>
      <c r="D105" s="531"/>
      <c r="E105" s="531"/>
      <c r="F105" s="531"/>
      <c r="G105" s="531"/>
      <c r="H105" s="531"/>
      <c r="I105" s="531"/>
      <c r="J105" s="531"/>
      <c r="K105" s="531"/>
      <c r="L105" s="531"/>
      <c r="M105" s="532"/>
    </row>
    <row r="106" spans="1:74" ht="14.4" x14ac:dyDescent="0.3">
      <c r="A106" s="239" t="s">
        <v>319</v>
      </c>
      <c r="B106" s="223" t="s">
        <v>316</v>
      </c>
      <c r="C106" s="521" t="s">
        <v>317</v>
      </c>
      <c r="D106" s="519"/>
      <c r="E106" s="223" t="s">
        <v>180</v>
      </c>
      <c r="F106" s="233">
        <v>5.51</v>
      </c>
      <c r="G106" s="311">
        <v>0</v>
      </c>
      <c r="H106" s="233">
        <f>F106*AM106</f>
        <v>0</v>
      </c>
      <c r="I106" s="233">
        <f>F106*AN106</f>
        <v>0</v>
      </c>
      <c r="J106" s="233">
        <f>F106*G106</f>
        <v>0</v>
      </c>
      <c r="K106" s="233">
        <v>0.48574000000000001</v>
      </c>
      <c r="L106" s="233">
        <f>F106*K106</f>
        <v>2.6764274000000001</v>
      </c>
      <c r="M106" s="240" t="s">
        <v>472</v>
      </c>
      <c r="X106" s="233">
        <f>IF(AO106="5",BH106,0)</f>
        <v>0</v>
      </c>
      <c r="Z106" s="233">
        <f>IF(AO106="1",BF106,0)</f>
        <v>0</v>
      </c>
      <c r="AA106" s="233">
        <f>IF(AO106="1",BG106,0)</f>
        <v>0</v>
      </c>
      <c r="AB106" s="233">
        <f>IF(AO106="7",BF106,0)</f>
        <v>0</v>
      </c>
      <c r="AC106" s="233">
        <f>IF(AO106="7",BG106,0)</f>
        <v>0</v>
      </c>
      <c r="AD106" s="233">
        <f>IF(AO106="2",BF106,0)</f>
        <v>0</v>
      </c>
      <c r="AE106" s="233">
        <f>IF(AO106="2",BG106,0)</f>
        <v>0</v>
      </c>
      <c r="AF106" s="233">
        <f>IF(AO106="0",BH106,0)</f>
        <v>0</v>
      </c>
      <c r="AG106" s="229" t="s">
        <v>154</v>
      </c>
      <c r="AH106" s="233">
        <f>IF(AL106=0,J106,0)</f>
        <v>0</v>
      </c>
      <c r="AI106" s="233">
        <f>IF(AL106=15,J106,0)</f>
        <v>0</v>
      </c>
      <c r="AJ106" s="233">
        <f>IF(AL106=21,J106,0)</f>
        <v>0</v>
      </c>
      <c r="AL106" s="233">
        <v>15</v>
      </c>
      <c r="AM106" s="233">
        <f>G106*0.81289373</f>
        <v>0</v>
      </c>
      <c r="AN106" s="233">
        <f>G106*(1-0.81289373)</f>
        <v>0</v>
      </c>
      <c r="AO106" s="234" t="s">
        <v>157</v>
      </c>
      <c r="AT106" s="233">
        <f>AU106+AV106</f>
        <v>0</v>
      </c>
      <c r="AU106" s="233">
        <f>F106*AM106</f>
        <v>0</v>
      </c>
      <c r="AV106" s="233">
        <f>F106*AN106</f>
        <v>0</v>
      </c>
      <c r="AW106" s="234" t="s">
        <v>310</v>
      </c>
      <c r="AX106" s="234" t="s">
        <v>311</v>
      </c>
      <c r="AY106" s="229" t="s">
        <v>164</v>
      </c>
      <c r="BA106" s="233">
        <f>AU106+AV106</f>
        <v>0</v>
      </c>
      <c r="BB106" s="233">
        <f>G106/(100-BC106)*100</f>
        <v>0</v>
      </c>
      <c r="BC106" s="233">
        <v>0</v>
      </c>
      <c r="BD106" s="233">
        <f>L106</f>
        <v>2.6764274000000001</v>
      </c>
      <c r="BF106" s="233">
        <f>F106*AM106</f>
        <v>0</v>
      </c>
      <c r="BG106" s="233">
        <f>F106*AN106</f>
        <v>0</v>
      </c>
      <c r="BH106" s="233">
        <f>F106*G106</f>
        <v>0</v>
      </c>
      <c r="BI106" s="233"/>
      <c r="BJ106" s="233">
        <v>56</v>
      </c>
      <c r="BU106" s="233" t="e">
        <f>#REF!</f>
        <v>#REF!</v>
      </c>
      <c r="BV106" s="225" t="s">
        <v>317</v>
      </c>
    </row>
    <row r="107" spans="1:74" ht="40.5" customHeight="1" x14ac:dyDescent="0.3">
      <c r="A107" s="241"/>
      <c r="B107" s="242" t="s">
        <v>165</v>
      </c>
      <c r="C107" s="530" t="s">
        <v>1748</v>
      </c>
      <c r="D107" s="531"/>
      <c r="E107" s="531"/>
      <c r="F107" s="531"/>
      <c r="G107" s="531"/>
      <c r="H107" s="531"/>
      <c r="I107" s="531"/>
      <c r="J107" s="531"/>
      <c r="K107" s="531"/>
      <c r="L107" s="531"/>
      <c r="M107" s="532"/>
    </row>
    <row r="108" spans="1:74" ht="14.4" x14ac:dyDescent="0.3">
      <c r="A108" s="239" t="s">
        <v>322</v>
      </c>
      <c r="B108" s="223" t="s">
        <v>316</v>
      </c>
      <c r="C108" s="521" t="s">
        <v>317</v>
      </c>
      <c r="D108" s="519"/>
      <c r="E108" s="223" t="s">
        <v>180</v>
      </c>
      <c r="F108" s="233">
        <v>5.51</v>
      </c>
      <c r="G108" s="311">
        <v>0</v>
      </c>
      <c r="H108" s="233">
        <f>F108*AM108</f>
        <v>0</v>
      </c>
      <c r="I108" s="233">
        <f>F108*AN108</f>
        <v>0</v>
      </c>
      <c r="J108" s="233">
        <f>F108*G108</f>
        <v>0</v>
      </c>
      <c r="K108" s="233">
        <v>0.48574000000000001</v>
      </c>
      <c r="L108" s="233">
        <f>F108*K108</f>
        <v>2.6764274000000001</v>
      </c>
      <c r="M108" s="240" t="s">
        <v>472</v>
      </c>
      <c r="X108" s="233">
        <f>IF(AO108="5",BH108,0)</f>
        <v>0</v>
      </c>
      <c r="Z108" s="233">
        <f>IF(AO108="1",BF108,0)</f>
        <v>0</v>
      </c>
      <c r="AA108" s="233">
        <f>IF(AO108="1",BG108,0)</f>
        <v>0</v>
      </c>
      <c r="AB108" s="233">
        <f>IF(AO108="7",BF108,0)</f>
        <v>0</v>
      </c>
      <c r="AC108" s="233">
        <f>IF(AO108="7",BG108,0)</f>
        <v>0</v>
      </c>
      <c r="AD108" s="233">
        <f>IF(AO108="2",BF108,0)</f>
        <v>0</v>
      </c>
      <c r="AE108" s="233">
        <f>IF(AO108="2",BG108,0)</f>
        <v>0</v>
      </c>
      <c r="AF108" s="233">
        <f>IF(AO108="0",BH108,0)</f>
        <v>0</v>
      </c>
      <c r="AG108" s="229" t="s">
        <v>154</v>
      </c>
      <c r="AH108" s="233">
        <f>IF(AL108=0,J108,0)</f>
        <v>0</v>
      </c>
      <c r="AI108" s="233">
        <f>IF(AL108=15,J108,0)</f>
        <v>0</v>
      </c>
      <c r="AJ108" s="233">
        <f>IF(AL108=21,J108,0)</f>
        <v>0</v>
      </c>
      <c r="AL108" s="233">
        <v>15</v>
      </c>
      <c r="AM108" s="233">
        <f>G108*0.81289373</f>
        <v>0</v>
      </c>
      <c r="AN108" s="233">
        <f>G108*(1-0.81289373)</f>
        <v>0</v>
      </c>
      <c r="AO108" s="234" t="s">
        <v>157</v>
      </c>
      <c r="AT108" s="233">
        <f>AU108+AV108</f>
        <v>0</v>
      </c>
      <c r="AU108" s="233">
        <f>F108*AM108</f>
        <v>0</v>
      </c>
      <c r="AV108" s="233">
        <f>F108*AN108</f>
        <v>0</v>
      </c>
      <c r="AW108" s="234" t="s">
        <v>310</v>
      </c>
      <c r="AX108" s="234" t="s">
        <v>311</v>
      </c>
      <c r="AY108" s="229" t="s">
        <v>164</v>
      </c>
      <c r="BA108" s="233">
        <f>AU108+AV108</f>
        <v>0</v>
      </c>
      <c r="BB108" s="233">
        <f>G108/(100-BC108)*100</f>
        <v>0</v>
      </c>
      <c r="BC108" s="233">
        <v>0</v>
      </c>
      <c r="BD108" s="233">
        <f>L108</f>
        <v>2.6764274000000001</v>
      </c>
      <c r="BF108" s="233">
        <f>F108*AM108</f>
        <v>0</v>
      </c>
      <c r="BG108" s="233">
        <f>F108*AN108</f>
        <v>0</v>
      </c>
      <c r="BH108" s="233">
        <f>F108*G108</f>
        <v>0</v>
      </c>
      <c r="BI108" s="233"/>
      <c r="BJ108" s="233">
        <v>56</v>
      </c>
      <c r="BU108" s="233" t="e">
        <f>#REF!</f>
        <v>#REF!</v>
      </c>
      <c r="BV108" s="225" t="s">
        <v>317</v>
      </c>
    </row>
    <row r="109" spans="1:74" ht="40.5" customHeight="1" x14ac:dyDescent="0.3">
      <c r="A109" s="244"/>
      <c r="B109" s="245" t="s">
        <v>165</v>
      </c>
      <c r="C109" s="540" t="s">
        <v>1748</v>
      </c>
      <c r="D109" s="541"/>
      <c r="E109" s="541"/>
      <c r="F109" s="541"/>
      <c r="G109" s="541"/>
      <c r="H109" s="541"/>
      <c r="I109" s="541"/>
      <c r="J109" s="541"/>
      <c r="K109" s="541"/>
      <c r="L109" s="541"/>
      <c r="M109" s="542"/>
    </row>
    <row r="110" spans="1:74" ht="14.4" x14ac:dyDescent="0.3">
      <c r="A110" s="237" t="s">
        <v>298</v>
      </c>
      <c r="B110" s="238" t="s">
        <v>320</v>
      </c>
      <c r="C110" s="543" t="s">
        <v>321</v>
      </c>
      <c r="D110" s="544"/>
      <c r="E110" s="238" t="s">
        <v>180</v>
      </c>
      <c r="F110" s="258">
        <v>5.74</v>
      </c>
      <c r="G110" s="311">
        <v>0</v>
      </c>
      <c r="H110" s="258">
        <f>F110*AM110</f>
        <v>0</v>
      </c>
      <c r="I110" s="258">
        <f>F110*AN110</f>
        <v>0</v>
      </c>
      <c r="J110" s="258">
        <f>F110*G110</f>
        <v>0</v>
      </c>
      <c r="K110" s="258">
        <v>0.4536</v>
      </c>
      <c r="L110" s="258">
        <f>F110*K110</f>
        <v>2.6036640000000002</v>
      </c>
      <c r="M110" s="259" t="s">
        <v>472</v>
      </c>
      <c r="X110" s="233">
        <f>IF(AO110="5",BH110,0)</f>
        <v>0</v>
      </c>
      <c r="Z110" s="233">
        <f>IF(AO110="1",BF110,0)</f>
        <v>0</v>
      </c>
      <c r="AA110" s="233">
        <f>IF(AO110="1",BG110,0)</f>
        <v>0</v>
      </c>
      <c r="AB110" s="233">
        <f>IF(AO110="7",BF110,0)</f>
        <v>0</v>
      </c>
      <c r="AC110" s="233">
        <f>IF(AO110="7",BG110,0)</f>
        <v>0</v>
      </c>
      <c r="AD110" s="233">
        <f>IF(AO110="2",BF110,0)</f>
        <v>0</v>
      </c>
      <c r="AE110" s="233">
        <f>IF(AO110="2",BG110,0)</f>
        <v>0</v>
      </c>
      <c r="AF110" s="233">
        <f>IF(AO110="0",BH110,0)</f>
        <v>0</v>
      </c>
      <c r="AG110" s="229" t="s">
        <v>154</v>
      </c>
      <c r="AH110" s="233">
        <f>IF(AL110=0,J110,0)</f>
        <v>0</v>
      </c>
      <c r="AI110" s="233">
        <f>IF(AL110=15,J110,0)</f>
        <v>0</v>
      </c>
      <c r="AJ110" s="233">
        <f>IF(AL110=21,J110,0)</f>
        <v>0</v>
      </c>
      <c r="AL110" s="233">
        <v>15</v>
      </c>
      <c r="AM110" s="233">
        <f>G110*0.842970134</f>
        <v>0</v>
      </c>
      <c r="AN110" s="233">
        <f>G110*(1-0.842970134)</f>
        <v>0</v>
      </c>
      <c r="AO110" s="234" t="s">
        <v>157</v>
      </c>
      <c r="AT110" s="233">
        <f>AU110+AV110</f>
        <v>0</v>
      </c>
      <c r="AU110" s="233">
        <f>F110*AM110</f>
        <v>0</v>
      </c>
      <c r="AV110" s="233">
        <f>F110*AN110</f>
        <v>0</v>
      </c>
      <c r="AW110" s="234" t="s">
        <v>310</v>
      </c>
      <c r="AX110" s="234" t="s">
        <v>311</v>
      </c>
      <c r="AY110" s="229" t="s">
        <v>164</v>
      </c>
      <c r="BA110" s="233">
        <f>AU110+AV110</f>
        <v>0</v>
      </c>
      <c r="BB110" s="233">
        <f>G110/(100-BC110)*100</f>
        <v>0</v>
      </c>
      <c r="BC110" s="233">
        <v>0</v>
      </c>
      <c r="BD110" s="233">
        <f>L110</f>
        <v>2.6036640000000002</v>
      </c>
      <c r="BF110" s="233">
        <f>F110*AM110</f>
        <v>0</v>
      </c>
      <c r="BG110" s="233">
        <f>F110*AN110</f>
        <v>0</v>
      </c>
      <c r="BH110" s="233">
        <f>F110*G110</f>
        <v>0</v>
      </c>
      <c r="BI110" s="233"/>
      <c r="BJ110" s="233">
        <v>56</v>
      </c>
      <c r="BU110" s="233" t="e">
        <f>#REF!</f>
        <v>#REF!</v>
      </c>
      <c r="BV110" s="225" t="s">
        <v>321</v>
      </c>
    </row>
    <row r="111" spans="1:74" ht="40.5" customHeight="1" x14ac:dyDescent="0.3">
      <c r="A111" s="241"/>
      <c r="B111" s="242" t="s">
        <v>165</v>
      </c>
      <c r="C111" s="530" t="s">
        <v>1749</v>
      </c>
      <c r="D111" s="531"/>
      <c r="E111" s="531"/>
      <c r="F111" s="531"/>
      <c r="G111" s="531"/>
      <c r="H111" s="531"/>
      <c r="I111" s="531"/>
      <c r="J111" s="531"/>
      <c r="K111" s="531"/>
      <c r="L111" s="531"/>
      <c r="M111" s="532"/>
    </row>
    <row r="112" spans="1:74" ht="14.4" x14ac:dyDescent="0.3">
      <c r="A112" s="239" t="s">
        <v>327</v>
      </c>
      <c r="B112" s="223" t="s">
        <v>323</v>
      </c>
      <c r="C112" s="521" t="s">
        <v>324</v>
      </c>
      <c r="D112" s="519"/>
      <c r="E112" s="223" t="s">
        <v>180</v>
      </c>
      <c r="F112" s="233">
        <v>5.74</v>
      </c>
      <c r="G112" s="311">
        <v>0</v>
      </c>
      <c r="H112" s="233">
        <f>F112*AM112</f>
        <v>0</v>
      </c>
      <c r="I112" s="233">
        <f>F112*AN112</f>
        <v>0</v>
      </c>
      <c r="J112" s="233">
        <f>F112*G112</f>
        <v>0</v>
      </c>
      <c r="K112" s="233">
        <v>0.21099999999999999</v>
      </c>
      <c r="L112" s="233">
        <f>F112*K112</f>
        <v>1.2111400000000001</v>
      </c>
      <c r="M112" s="240" t="s">
        <v>472</v>
      </c>
      <c r="X112" s="233">
        <f>IF(AO112="5",BH112,0)</f>
        <v>0</v>
      </c>
      <c r="Z112" s="233">
        <f>IF(AO112="1",BF112,0)</f>
        <v>0</v>
      </c>
      <c r="AA112" s="233">
        <f>IF(AO112="1",BG112,0)</f>
        <v>0</v>
      </c>
      <c r="AB112" s="233">
        <f>IF(AO112="7",BF112,0)</f>
        <v>0</v>
      </c>
      <c r="AC112" s="233">
        <f>IF(AO112="7",BG112,0)</f>
        <v>0</v>
      </c>
      <c r="AD112" s="233">
        <f>IF(AO112="2",BF112,0)</f>
        <v>0</v>
      </c>
      <c r="AE112" s="233">
        <f>IF(AO112="2",BG112,0)</f>
        <v>0</v>
      </c>
      <c r="AF112" s="233">
        <f>IF(AO112="0",BH112,0)</f>
        <v>0</v>
      </c>
      <c r="AG112" s="229" t="s">
        <v>154</v>
      </c>
      <c r="AH112" s="233">
        <f>IF(AL112=0,J112,0)</f>
        <v>0</v>
      </c>
      <c r="AI112" s="233">
        <f>IF(AL112=15,J112,0)</f>
        <v>0</v>
      </c>
      <c r="AJ112" s="233">
        <f>IF(AL112=21,J112,0)</f>
        <v>0</v>
      </c>
      <c r="AL112" s="233">
        <v>15</v>
      </c>
      <c r="AM112" s="233">
        <f>G112*0.593954235</f>
        <v>0</v>
      </c>
      <c r="AN112" s="233">
        <f>G112*(1-0.593954235)</f>
        <v>0</v>
      </c>
      <c r="AO112" s="234" t="s">
        <v>157</v>
      </c>
      <c r="AT112" s="233">
        <f>AU112+AV112</f>
        <v>0</v>
      </c>
      <c r="AU112" s="233">
        <f>F112*AM112</f>
        <v>0</v>
      </c>
      <c r="AV112" s="233">
        <f>F112*AN112</f>
        <v>0</v>
      </c>
      <c r="AW112" s="234" t="s">
        <v>310</v>
      </c>
      <c r="AX112" s="234" t="s">
        <v>311</v>
      </c>
      <c r="AY112" s="229" t="s">
        <v>164</v>
      </c>
      <c r="BA112" s="233">
        <f>AU112+AV112</f>
        <v>0</v>
      </c>
      <c r="BB112" s="233">
        <f>G112/(100-BC112)*100</f>
        <v>0</v>
      </c>
      <c r="BC112" s="233">
        <v>0</v>
      </c>
      <c r="BD112" s="233">
        <f>L112</f>
        <v>1.2111400000000001</v>
      </c>
      <c r="BF112" s="233">
        <f>F112*AM112</f>
        <v>0</v>
      </c>
      <c r="BG112" s="233">
        <f>F112*AN112</f>
        <v>0</v>
      </c>
      <c r="BH112" s="233">
        <f>F112*G112</f>
        <v>0</v>
      </c>
      <c r="BI112" s="233"/>
      <c r="BJ112" s="233">
        <v>56</v>
      </c>
      <c r="BU112" s="233" t="e">
        <f>#REF!</f>
        <v>#REF!</v>
      </c>
      <c r="BV112" s="225" t="s">
        <v>324</v>
      </c>
    </row>
    <row r="113" spans="1:74" ht="40.5" customHeight="1" x14ac:dyDescent="0.3">
      <c r="A113" s="241"/>
      <c r="B113" s="242" t="s">
        <v>165</v>
      </c>
      <c r="C113" s="530" t="s">
        <v>1750</v>
      </c>
      <c r="D113" s="531"/>
      <c r="E113" s="531"/>
      <c r="F113" s="531"/>
      <c r="G113" s="531"/>
      <c r="H113" s="531"/>
      <c r="I113" s="531"/>
      <c r="J113" s="531"/>
      <c r="K113" s="531"/>
      <c r="L113" s="531"/>
      <c r="M113" s="532"/>
    </row>
    <row r="114" spans="1:74" ht="14.4" x14ac:dyDescent="0.3">
      <c r="A114" s="239" t="s">
        <v>329</v>
      </c>
      <c r="B114" s="223" t="s">
        <v>1436</v>
      </c>
      <c r="C114" s="521" t="s">
        <v>1437</v>
      </c>
      <c r="D114" s="519"/>
      <c r="E114" s="223" t="s">
        <v>180</v>
      </c>
      <c r="F114" s="233">
        <v>5.51</v>
      </c>
      <c r="G114" s="311">
        <v>0</v>
      </c>
      <c r="H114" s="233">
        <f>F114*AM114</f>
        <v>0</v>
      </c>
      <c r="I114" s="233">
        <f>F114*AN114</f>
        <v>0</v>
      </c>
      <c r="J114" s="233">
        <f>F114*G114</f>
        <v>0</v>
      </c>
      <c r="K114" s="233">
        <v>0</v>
      </c>
      <c r="L114" s="233">
        <f>F114*K114</f>
        <v>0</v>
      </c>
      <c r="M114" s="240" t="s">
        <v>472</v>
      </c>
      <c r="X114" s="233">
        <f>IF(AO114="5",BH114,0)</f>
        <v>0</v>
      </c>
      <c r="Z114" s="233">
        <f>IF(AO114="1",BF114,0)</f>
        <v>0</v>
      </c>
      <c r="AA114" s="233">
        <f>IF(AO114="1",BG114,0)</f>
        <v>0</v>
      </c>
      <c r="AB114" s="233">
        <f>IF(AO114="7",BF114,0)</f>
        <v>0</v>
      </c>
      <c r="AC114" s="233">
        <f>IF(AO114="7",BG114,0)</f>
        <v>0</v>
      </c>
      <c r="AD114" s="233">
        <f>IF(AO114="2",BF114,0)</f>
        <v>0</v>
      </c>
      <c r="AE114" s="233">
        <f>IF(AO114="2",BG114,0)</f>
        <v>0</v>
      </c>
      <c r="AF114" s="233">
        <f>IF(AO114="0",BH114,0)</f>
        <v>0</v>
      </c>
      <c r="AG114" s="229" t="s">
        <v>154</v>
      </c>
      <c r="AH114" s="233">
        <f>IF(AL114=0,J114,0)</f>
        <v>0</v>
      </c>
      <c r="AI114" s="233">
        <f>IF(AL114=15,J114,0)</f>
        <v>0</v>
      </c>
      <c r="AJ114" s="233">
        <f>IF(AL114=21,J114,0)</f>
        <v>0</v>
      </c>
      <c r="AL114" s="233">
        <v>15</v>
      </c>
      <c r="AM114" s="233">
        <f>G114*0.898927906</f>
        <v>0</v>
      </c>
      <c r="AN114" s="233">
        <f>G114*(1-0.898927906)</f>
        <v>0</v>
      </c>
      <c r="AO114" s="234" t="s">
        <v>157</v>
      </c>
      <c r="AT114" s="233">
        <f>AU114+AV114</f>
        <v>0</v>
      </c>
      <c r="AU114" s="233">
        <f>F114*AM114</f>
        <v>0</v>
      </c>
      <c r="AV114" s="233">
        <f>F114*AN114</f>
        <v>0</v>
      </c>
      <c r="AW114" s="234" t="s">
        <v>310</v>
      </c>
      <c r="AX114" s="234" t="s">
        <v>311</v>
      </c>
      <c r="AY114" s="229" t="s">
        <v>164</v>
      </c>
      <c r="BA114" s="233">
        <f>AU114+AV114</f>
        <v>0</v>
      </c>
      <c r="BB114" s="233">
        <f>G114/(100-BC114)*100</f>
        <v>0</v>
      </c>
      <c r="BC114" s="233">
        <v>0</v>
      </c>
      <c r="BD114" s="233">
        <f>L114</f>
        <v>0</v>
      </c>
      <c r="BF114" s="233">
        <f>F114*AM114</f>
        <v>0</v>
      </c>
      <c r="BG114" s="233">
        <f>F114*AN114</f>
        <v>0</v>
      </c>
      <c r="BH114" s="233">
        <f>F114*G114</f>
        <v>0</v>
      </c>
      <c r="BI114" s="233"/>
      <c r="BJ114" s="233">
        <v>56</v>
      </c>
      <c r="BU114" s="233" t="e">
        <f>#REF!</f>
        <v>#REF!</v>
      </c>
      <c r="BV114" s="225" t="s">
        <v>1437</v>
      </c>
    </row>
    <row r="115" spans="1:74" ht="40.5" customHeight="1" x14ac:dyDescent="0.3">
      <c r="A115" s="241"/>
      <c r="B115" s="242" t="s">
        <v>165</v>
      </c>
      <c r="C115" s="530" t="s">
        <v>1751</v>
      </c>
      <c r="D115" s="531"/>
      <c r="E115" s="531"/>
      <c r="F115" s="531"/>
      <c r="G115" s="531"/>
      <c r="H115" s="531"/>
      <c r="I115" s="531"/>
      <c r="J115" s="531"/>
      <c r="K115" s="531"/>
      <c r="L115" s="531"/>
      <c r="M115" s="532"/>
    </row>
    <row r="116" spans="1:74" ht="14.4" x14ac:dyDescent="0.3">
      <c r="A116" s="239" t="s">
        <v>154</v>
      </c>
      <c r="B116" s="224" t="s">
        <v>335</v>
      </c>
      <c r="C116" s="526" t="s">
        <v>336</v>
      </c>
      <c r="D116" s="527"/>
      <c r="E116" s="223" t="s">
        <v>114</v>
      </c>
      <c r="F116" s="223" t="s">
        <v>114</v>
      </c>
      <c r="G116" s="223" t="s">
        <v>114</v>
      </c>
      <c r="H116" s="235">
        <f>SUM(H117:H117)</f>
        <v>0</v>
      </c>
      <c r="I116" s="235">
        <f>SUM(I117:I117)</f>
        <v>0</v>
      </c>
      <c r="J116" s="235">
        <f>SUM(J117:J117)</f>
        <v>0</v>
      </c>
      <c r="K116" s="230" t="s">
        <v>154</v>
      </c>
      <c r="L116" s="235">
        <f>SUM(L117:L117)</f>
        <v>4.0179999999999999E-3</v>
      </c>
      <c r="M116" s="243" t="s">
        <v>154</v>
      </c>
      <c r="AG116" s="229" t="s">
        <v>154</v>
      </c>
      <c r="AQ116" s="222">
        <f>SUM(AH117:AH117)</f>
        <v>0</v>
      </c>
      <c r="AR116" s="222">
        <f>SUM(AI117:AI117)</f>
        <v>0</v>
      </c>
      <c r="AS116" s="222">
        <f>SUM(AJ117:AJ117)</f>
        <v>0</v>
      </c>
    </row>
    <row r="117" spans="1:74" ht="14.4" x14ac:dyDescent="0.3">
      <c r="A117" s="239" t="s">
        <v>332</v>
      </c>
      <c r="B117" s="223" t="s">
        <v>342</v>
      </c>
      <c r="C117" s="521" t="s">
        <v>427</v>
      </c>
      <c r="D117" s="519"/>
      <c r="E117" s="223" t="s">
        <v>180</v>
      </c>
      <c r="F117" s="233">
        <v>5.74</v>
      </c>
      <c r="G117" s="311">
        <v>0</v>
      </c>
      <c r="H117" s="233">
        <f>F117*AM117</f>
        <v>0</v>
      </c>
      <c r="I117" s="233">
        <f>F117*AN117</f>
        <v>0</v>
      </c>
      <c r="J117" s="233">
        <f>F117*G117</f>
        <v>0</v>
      </c>
      <c r="K117" s="233">
        <v>6.9999999999999999E-4</v>
      </c>
      <c r="L117" s="233">
        <f>F117*K117</f>
        <v>4.0179999999999999E-3</v>
      </c>
      <c r="M117" s="240" t="s">
        <v>472</v>
      </c>
      <c r="X117" s="233">
        <f>IF(AO117="5",BH117,0)</f>
        <v>0</v>
      </c>
      <c r="Z117" s="233">
        <f>IF(AO117="1",BF117,0)</f>
        <v>0</v>
      </c>
      <c r="AA117" s="233">
        <f>IF(AO117="1",BG117,0)</f>
        <v>0</v>
      </c>
      <c r="AB117" s="233">
        <f>IF(AO117="7",BF117,0)</f>
        <v>0</v>
      </c>
      <c r="AC117" s="233">
        <f>IF(AO117="7",BG117,0)</f>
        <v>0</v>
      </c>
      <c r="AD117" s="233">
        <f>IF(AO117="2",BF117,0)</f>
        <v>0</v>
      </c>
      <c r="AE117" s="233">
        <f>IF(AO117="2",BG117,0)</f>
        <v>0</v>
      </c>
      <c r="AF117" s="233">
        <f>IF(AO117="0",BH117,0)</f>
        <v>0</v>
      </c>
      <c r="AG117" s="229" t="s">
        <v>154</v>
      </c>
      <c r="AH117" s="233">
        <f>IF(AL117=0,J117,0)</f>
        <v>0</v>
      </c>
      <c r="AI117" s="233">
        <f>IF(AL117=15,J117,0)</f>
        <v>0</v>
      </c>
      <c r="AJ117" s="233">
        <f>IF(AL117=21,J117,0)</f>
        <v>0</v>
      </c>
      <c r="AL117" s="233">
        <v>15</v>
      </c>
      <c r="AM117" s="233">
        <f>G117*0.931703004</f>
        <v>0</v>
      </c>
      <c r="AN117" s="233">
        <f>G117*(1-0.931703004)</f>
        <v>0</v>
      </c>
      <c r="AO117" s="234" t="s">
        <v>157</v>
      </c>
      <c r="AT117" s="233">
        <f>AU117+AV117</f>
        <v>0</v>
      </c>
      <c r="AU117" s="233">
        <f>F117*AM117</f>
        <v>0</v>
      </c>
      <c r="AV117" s="233">
        <f>F117*AN117</f>
        <v>0</v>
      </c>
      <c r="AW117" s="234" t="s">
        <v>340</v>
      </c>
      <c r="AX117" s="234" t="s">
        <v>311</v>
      </c>
      <c r="AY117" s="229" t="s">
        <v>164</v>
      </c>
      <c r="BA117" s="233">
        <f>AU117+AV117</f>
        <v>0</v>
      </c>
      <c r="BB117" s="233">
        <f>G117/(100-BC117)*100</f>
        <v>0</v>
      </c>
      <c r="BC117" s="233">
        <v>0</v>
      </c>
      <c r="BD117" s="233">
        <f>L117</f>
        <v>4.0179999999999999E-3</v>
      </c>
      <c r="BF117" s="233">
        <f>F117*AM117</f>
        <v>0</v>
      </c>
      <c r="BG117" s="233">
        <f>F117*AN117</f>
        <v>0</v>
      </c>
      <c r="BH117" s="233">
        <f>F117*G117</f>
        <v>0</v>
      </c>
      <c r="BI117" s="233"/>
      <c r="BJ117" s="233">
        <v>57</v>
      </c>
      <c r="BU117" s="233" t="e">
        <f>#REF!</f>
        <v>#REF!</v>
      </c>
      <c r="BV117" s="225" t="s">
        <v>427</v>
      </c>
    </row>
    <row r="118" spans="1:74" ht="40.5" customHeight="1" x14ac:dyDescent="0.3">
      <c r="A118" s="241"/>
      <c r="B118" s="242" t="s">
        <v>165</v>
      </c>
      <c r="C118" s="530" t="s">
        <v>1752</v>
      </c>
      <c r="D118" s="531"/>
      <c r="E118" s="531"/>
      <c r="F118" s="531"/>
      <c r="G118" s="531"/>
      <c r="H118" s="531"/>
      <c r="I118" s="531"/>
      <c r="J118" s="531"/>
      <c r="K118" s="531"/>
      <c r="L118" s="531"/>
      <c r="M118" s="532"/>
    </row>
    <row r="119" spans="1:74" ht="14.4" x14ac:dyDescent="0.3">
      <c r="A119" s="239" t="s">
        <v>154</v>
      </c>
      <c r="B119" s="224" t="s">
        <v>344</v>
      </c>
      <c r="C119" s="526" t="s">
        <v>345</v>
      </c>
      <c r="D119" s="527"/>
      <c r="E119" s="223" t="s">
        <v>114</v>
      </c>
      <c r="F119" s="223" t="s">
        <v>114</v>
      </c>
      <c r="G119" s="223" t="s">
        <v>114</v>
      </c>
      <c r="H119" s="235">
        <f>SUM(H120:H120)</f>
        <v>0</v>
      </c>
      <c r="I119" s="235">
        <f>SUM(I120:I120)</f>
        <v>0</v>
      </c>
      <c r="J119" s="235">
        <f>SUM(J120:J120)</f>
        <v>0</v>
      </c>
      <c r="K119" s="230" t="s">
        <v>154</v>
      </c>
      <c r="L119" s="235">
        <f>SUM(L120:L120)</f>
        <v>3.472756</v>
      </c>
      <c r="M119" s="243" t="s">
        <v>154</v>
      </c>
      <c r="AG119" s="229" t="s">
        <v>154</v>
      </c>
      <c r="AQ119" s="222">
        <f>SUM(AH120:AH120)</f>
        <v>0</v>
      </c>
      <c r="AR119" s="222">
        <f>SUM(AI120:AI120)</f>
        <v>0</v>
      </c>
      <c r="AS119" s="222">
        <f>SUM(AJ120:AJ120)</f>
        <v>0</v>
      </c>
    </row>
    <row r="120" spans="1:74" ht="14.4" x14ac:dyDescent="0.3">
      <c r="A120" s="239" t="s">
        <v>337</v>
      </c>
      <c r="B120" s="223" t="s">
        <v>347</v>
      </c>
      <c r="C120" s="521" t="s">
        <v>981</v>
      </c>
      <c r="D120" s="519"/>
      <c r="E120" s="223" t="s">
        <v>180</v>
      </c>
      <c r="F120" s="233">
        <v>2.92</v>
      </c>
      <c r="G120" s="311">
        <v>0</v>
      </c>
      <c r="H120" s="233">
        <f>F120*AM120</f>
        <v>0</v>
      </c>
      <c r="I120" s="233">
        <f>F120*AN120</f>
        <v>0</v>
      </c>
      <c r="J120" s="233">
        <f>F120*G120</f>
        <v>0</v>
      </c>
      <c r="K120" s="233">
        <v>1.1893</v>
      </c>
      <c r="L120" s="233">
        <f>F120*K120</f>
        <v>3.472756</v>
      </c>
      <c r="M120" s="240" t="s">
        <v>472</v>
      </c>
      <c r="X120" s="233">
        <f>IF(AO120="5",BH120,0)</f>
        <v>0</v>
      </c>
      <c r="Z120" s="233">
        <f>IF(AO120="1",BF120,0)</f>
        <v>0</v>
      </c>
      <c r="AA120" s="233">
        <f>IF(AO120="1",BG120,0)</f>
        <v>0</v>
      </c>
      <c r="AB120" s="233">
        <f>IF(AO120="7",BF120,0)</f>
        <v>0</v>
      </c>
      <c r="AC120" s="233">
        <f>IF(AO120="7",BG120,0)</f>
        <v>0</v>
      </c>
      <c r="AD120" s="233">
        <f>IF(AO120="2",BF120,0)</f>
        <v>0</v>
      </c>
      <c r="AE120" s="233">
        <f>IF(AO120="2",BG120,0)</f>
        <v>0</v>
      </c>
      <c r="AF120" s="233">
        <f>IF(AO120="0",BH120,0)</f>
        <v>0</v>
      </c>
      <c r="AG120" s="229" t="s">
        <v>154</v>
      </c>
      <c r="AH120" s="233">
        <f>IF(AL120=0,J120,0)</f>
        <v>0</v>
      </c>
      <c r="AI120" s="233">
        <f>IF(AL120=15,J120,0)</f>
        <v>0</v>
      </c>
      <c r="AJ120" s="233">
        <f>IF(AL120=21,J120,0)</f>
        <v>0</v>
      </c>
      <c r="AL120" s="233">
        <v>15</v>
      </c>
      <c r="AM120" s="233">
        <f>G120*0.54662699</f>
        <v>0</v>
      </c>
      <c r="AN120" s="233">
        <f>G120*(1-0.54662699)</f>
        <v>0</v>
      </c>
      <c r="AO120" s="234" t="s">
        <v>157</v>
      </c>
      <c r="AT120" s="233">
        <f>AU120+AV120</f>
        <v>0</v>
      </c>
      <c r="AU120" s="233">
        <f>F120*AM120</f>
        <v>0</v>
      </c>
      <c r="AV120" s="233">
        <f>F120*AN120</f>
        <v>0</v>
      </c>
      <c r="AW120" s="234" t="s">
        <v>349</v>
      </c>
      <c r="AX120" s="234" t="s">
        <v>311</v>
      </c>
      <c r="AY120" s="229" t="s">
        <v>164</v>
      </c>
      <c r="BA120" s="233">
        <f>AU120+AV120</f>
        <v>0</v>
      </c>
      <c r="BB120" s="233">
        <f>G120/(100-BC120)*100</f>
        <v>0</v>
      </c>
      <c r="BC120" s="233">
        <v>0</v>
      </c>
      <c r="BD120" s="233">
        <f>L120</f>
        <v>3.472756</v>
      </c>
      <c r="BF120" s="233">
        <f>F120*AM120</f>
        <v>0</v>
      </c>
      <c r="BG120" s="233">
        <f>F120*AN120</f>
        <v>0</v>
      </c>
      <c r="BH120" s="233">
        <f>F120*G120</f>
        <v>0</v>
      </c>
      <c r="BI120" s="233"/>
      <c r="BJ120" s="233">
        <v>59</v>
      </c>
      <c r="BU120" s="233" t="e">
        <f>#REF!</f>
        <v>#REF!</v>
      </c>
      <c r="BV120" s="225" t="s">
        <v>981</v>
      </c>
    </row>
    <row r="121" spans="1:74" ht="108" customHeight="1" x14ac:dyDescent="0.3">
      <c r="A121" s="241"/>
      <c r="B121" s="242" t="s">
        <v>165</v>
      </c>
      <c r="C121" s="530" t="s">
        <v>1753</v>
      </c>
      <c r="D121" s="531"/>
      <c r="E121" s="531"/>
      <c r="F121" s="531"/>
      <c r="G121" s="531"/>
      <c r="H121" s="531"/>
      <c r="I121" s="531"/>
      <c r="J121" s="531"/>
      <c r="K121" s="531"/>
      <c r="L121" s="531"/>
      <c r="M121" s="532"/>
    </row>
    <row r="122" spans="1:74" ht="14.4" x14ac:dyDescent="0.3">
      <c r="A122" s="239" t="s">
        <v>154</v>
      </c>
      <c r="B122" s="224" t="s">
        <v>539</v>
      </c>
      <c r="C122" s="526" t="s">
        <v>540</v>
      </c>
      <c r="D122" s="527"/>
      <c r="E122" s="223" t="s">
        <v>114</v>
      </c>
      <c r="F122" s="223" t="s">
        <v>114</v>
      </c>
      <c r="G122" s="223" t="s">
        <v>114</v>
      </c>
      <c r="H122" s="235">
        <f>SUM(H123:H127)</f>
        <v>0</v>
      </c>
      <c r="I122" s="235">
        <f>SUM(I123:I127)</f>
        <v>0</v>
      </c>
      <c r="J122" s="235">
        <f>SUM(J123:J127)</f>
        <v>0</v>
      </c>
      <c r="K122" s="230" t="s">
        <v>154</v>
      </c>
      <c r="L122" s="235">
        <f>SUM(L123:L127)</f>
        <v>3.1900000000000001E-3</v>
      </c>
      <c r="M122" s="243" t="s">
        <v>154</v>
      </c>
      <c r="AG122" s="229" t="s">
        <v>154</v>
      </c>
      <c r="AQ122" s="222">
        <f>SUM(AH123:AH127)</f>
        <v>0</v>
      </c>
      <c r="AR122" s="222">
        <f>SUM(AI123:AI127)</f>
        <v>0</v>
      </c>
      <c r="AS122" s="222">
        <f>SUM(AJ123:AJ127)</f>
        <v>0</v>
      </c>
    </row>
    <row r="123" spans="1:74" ht="14.4" x14ac:dyDescent="0.3">
      <c r="A123" s="239" t="s">
        <v>341</v>
      </c>
      <c r="B123" s="223" t="s">
        <v>892</v>
      </c>
      <c r="C123" s="521" t="s">
        <v>893</v>
      </c>
      <c r="D123" s="519"/>
      <c r="E123" s="223" t="s">
        <v>160</v>
      </c>
      <c r="F123" s="233">
        <v>18</v>
      </c>
      <c r="G123" s="311">
        <v>0</v>
      </c>
      <c r="H123" s="233">
        <f>F123*AM123</f>
        <v>0</v>
      </c>
      <c r="I123" s="233">
        <f>F123*AN123</f>
        <v>0</v>
      </c>
      <c r="J123" s="233">
        <f>F123*G123</f>
        <v>0</v>
      </c>
      <c r="K123" s="233">
        <v>1.6000000000000001E-4</v>
      </c>
      <c r="L123" s="233">
        <f>F123*K123</f>
        <v>2.8800000000000002E-3</v>
      </c>
      <c r="M123" s="240" t="s">
        <v>472</v>
      </c>
      <c r="X123" s="233">
        <f>IF(AO123="5",BH123,0)</f>
        <v>0</v>
      </c>
      <c r="Z123" s="233">
        <f>IF(AO123="1",BF123,0)</f>
        <v>0</v>
      </c>
      <c r="AA123" s="233">
        <f>IF(AO123="1",BG123,0)</f>
        <v>0</v>
      </c>
      <c r="AB123" s="233">
        <f>IF(AO123="7",BF123,0)</f>
        <v>0</v>
      </c>
      <c r="AC123" s="233">
        <f>IF(AO123="7",BG123,0)</f>
        <v>0</v>
      </c>
      <c r="AD123" s="233">
        <f>IF(AO123="2",BF123,0)</f>
        <v>0</v>
      </c>
      <c r="AE123" s="233">
        <f>IF(AO123="2",BG123,0)</f>
        <v>0</v>
      </c>
      <c r="AF123" s="233">
        <f>IF(AO123="0",BH123,0)</f>
        <v>0</v>
      </c>
      <c r="AG123" s="229" t="s">
        <v>154</v>
      </c>
      <c r="AH123" s="233">
        <f>IF(AL123=0,J123,0)</f>
        <v>0</v>
      </c>
      <c r="AI123" s="233">
        <f>IF(AL123=15,J123,0)</f>
        <v>0</v>
      </c>
      <c r="AJ123" s="233">
        <f>IF(AL123=21,J123,0)</f>
        <v>0</v>
      </c>
      <c r="AL123" s="233">
        <v>15</v>
      </c>
      <c r="AM123" s="233">
        <f>G123*0.065980583</f>
        <v>0</v>
      </c>
      <c r="AN123" s="233">
        <f>G123*(1-0.065980583)</f>
        <v>0</v>
      </c>
      <c r="AO123" s="234" t="s">
        <v>157</v>
      </c>
      <c r="AT123" s="233">
        <f>AU123+AV123</f>
        <v>0</v>
      </c>
      <c r="AU123" s="233">
        <f>F123*AM123</f>
        <v>0</v>
      </c>
      <c r="AV123" s="233">
        <f>F123*AN123</f>
        <v>0</v>
      </c>
      <c r="AW123" s="234" t="s">
        <v>543</v>
      </c>
      <c r="AX123" s="234" t="s">
        <v>356</v>
      </c>
      <c r="AY123" s="229" t="s">
        <v>164</v>
      </c>
      <c r="BA123" s="233">
        <f>AU123+AV123</f>
        <v>0</v>
      </c>
      <c r="BB123" s="233">
        <f>G123/(100-BC123)*100</f>
        <v>0</v>
      </c>
      <c r="BC123" s="233">
        <v>0</v>
      </c>
      <c r="BD123" s="233">
        <f>L123</f>
        <v>2.8800000000000002E-3</v>
      </c>
      <c r="BF123" s="233">
        <f>F123*AM123</f>
        <v>0</v>
      </c>
      <c r="BG123" s="233">
        <f>F123*AN123</f>
        <v>0</v>
      </c>
      <c r="BH123" s="233">
        <f>F123*G123</f>
        <v>0</v>
      </c>
      <c r="BI123" s="233"/>
      <c r="BJ123" s="233">
        <v>87</v>
      </c>
      <c r="BU123" s="233" t="e">
        <f>#REF!</f>
        <v>#REF!</v>
      </c>
      <c r="BV123" s="225" t="s">
        <v>893</v>
      </c>
    </row>
    <row r="124" spans="1:74" ht="54" customHeight="1" x14ac:dyDescent="0.3">
      <c r="A124" s="241"/>
      <c r="B124" s="242" t="s">
        <v>165</v>
      </c>
      <c r="C124" s="530" t="s">
        <v>1754</v>
      </c>
      <c r="D124" s="531"/>
      <c r="E124" s="531"/>
      <c r="F124" s="531"/>
      <c r="G124" s="531"/>
      <c r="H124" s="531"/>
      <c r="I124" s="531"/>
      <c r="J124" s="531"/>
      <c r="K124" s="531"/>
      <c r="L124" s="531"/>
      <c r="M124" s="532"/>
    </row>
    <row r="125" spans="1:74" ht="14.4" x14ac:dyDescent="0.3">
      <c r="A125" s="239" t="s">
        <v>346</v>
      </c>
      <c r="B125" s="223" t="s">
        <v>894</v>
      </c>
      <c r="C125" s="521" t="s">
        <v>895</v>
      </c>
      <c r="D125" s="519"/>
      <c r="E125" s="223" t="s">
        <v>365</v>
      </c>
      <c r="F125" s="233">
        <v>1</v>
      </c>
      <c r="G125" s="311">
        <v>0</v>
      </c>
      <c r="H125" s="233">
        <f>F125*AM125</f>
        <v>0</v>
      </c>
      <c r="I125" s="233">
        <f>F125*AN125</f>
        <v>0</v>
      </c>
      <c r="J125" s="233">
        <f>F125*G125</f>
        <v>0</v>
      </c>
      <c r="K125" s="233">
        <v>4.0000000000000003E-5</v>
      </c>
      <c r="L125" s="233">
        <f>F125*K125</f>
        <v>4.0000000000000003E-5</v>
      </c>
      <c r="M125" s="240" t="s">
        <v>472</v>
      </c>
      <c r="X125" s="233">
        <f>IF(AO125="5",BH125,0)</f>
        <v>0</v>
      </c>
      <c r="Z125" s="233">
        <f>IF(AO125="1",BF125,0)</f>
        <v>0</v>
      </c>
      <c r="AA125" s="233">
        <f>IF(AO125="1",BG125,0)</f>
        <v>0</v>
      </c>
      <c r="AB125" s="233">
        <f>IF(AO125="7",BF125,0)</f>
        <v>0</v>
      </c>
      <c r="AC125" s="233">
        <f>IF(AO125="7",BG125,0)</f>
        <v>0</v>
      </c>
      <c r="AD125" s="233">
        <f>IF(AO125="2",BF125,0)</f>
        <v>0</v>
      </c>
      <c r="AE125" s="233">
        <f>IF(AO125="2",BG125,0)</f>
        <v>0</v>
      </c>
      <c r="AF125" s="233">
        <f>IF(AO125="0",BH125,0)</f>
        <v>0</v>
      </c>
      <c r="AG125" s="229" t="s">
        <v>154</v>
      </c>
      <c r="AH125" s="233">
        <f>IF(AL125=0,J125,0)</f>
        <v>0</v>
      </c>
      <c r="AI125" s="233">
        <f>IF(AL125=15,J125,0)</f>
        <v>0</v>
      </c>
      <c r="AJ125" s="233">
        <f>IF(AL125=21,J125,0)</f>
        <v>0</v>
      </c>
      <c r="AL125" s="233">
        <v>15</v>
      </c>
      <c r="AM125" s="233">
        <f>G125*0.007338129</f>
        <v>0</v>
      </c>
      <c r="AN125" s="233">
        <f>G125*(1-0.007338129)</f>
        <v>0</v>
      </c>
      <c r="AO125" s="234" t="s">
        <v>157</v>
      </c>
      <c r="AT125" s="233">
        <f>AU125+AV125</f>
        <v>0</v>
      </c>
      <c r="AU125" s="233">
        <f>F125*AM125</f>
        <v>0</v>
      </c>
      <c r="AV125" s="233">
        <f>F125*AN125</f>
        <v>0</v>
      </c>
      <c r="AW125" s="234" t="s">
        <v>543</v>
      </c>
      <c r="AX125" s="234" t="s">
        <v>356</v>
      </c>
      <c r="AY125" s="229" t="s">
        <v>164</v>
      </c>
      <c r="BA125" s="233">
        <f>AU125+AV125</f>
        <v>0</v>
      </c>
      <c r="BB125" s="233">
        <f>G125/(100-BC125)*100</f>
        <v>0</v>
      </c>
      <c r="BC125" s="233">
        <v>0</v>
      </c>
      <c r="BD125" s="233">
        <f>L125</f>
        <v>4.0000000000000003E-5</v>
      </c>
      <c r="BF125" s="233">
        <f>F125*AM125</f>
        <v>0</v>
      </c>
      <c r="BG125" s="233">
        <f>F125*AN125</f>
        <v>0</v>
      </c>
      <c r="BH125" s="233">
        <f>F125*G125</f>
        <v>0</v>
      </c>
      <c r="BI125" s="233"/>
      <c r="BJ125" s="233">
        <v>87</v>
      </c>
      <c r="BU125" s="233" t="e">
        <f>#REF!</f>
        <v>#REF!</v>
      </c>
      <c r="BV125" s="225" t="s">
        <v>895</v>
      </c>
    </row>
    <row r="126" spans="1:74" ht="54" customHeight="1" x14ac:dyDescent="0.3">
      <c r="A126" s="241"/>
      <c r="B126" s="242" t="s">
        <v>165</v>
      </c>
      <c r="C126" s="530" t="s">
        <v>1755</v>
      </c>
      <c r="D126" s="531"/>
      <c r="E126" s="531"/>
      <c r="F126" s="531"/>
      <c r="G126" s="531"/>
      <c r="H126" s="531"/>
      <c r="I126" s="531"/>
      <c r="J126" s="531"/>
      <c r="K126" s="531"/>
      <c r="L126" s="531"/>
      <c r="M126" s="532"/>
    </row>
    <row r="127" spans="1:74" ht="14.4" x14ac:dyDescent="0.3">
      <c r="A127" s="239" t="s">
        <v>352</v>
      </c>
      <c r="B127" s="223" t="s">
        <v>896</v>
      </c>
      <c r="C127" s="521" t="s">
        <v>897</v>
      </c>
      <c r="D127" s="519"/>
      <c r="E127" s="223" t="s">
        <v>365</v>
      </c>
      <c r="F127" s="233">
        <v>9</v>
      </c>
      <c r="G127" s="311">
        <v>0</v>
      </c>
      <c r="H127" s="233">
        <f>F127*AM127</f>
        <v>0</v>
      </c>
      <c r="I127" s="233">
        <f>F127*AN127</f>
        <v>0</v>
      </c>
      <c r="J127" s="233">
        <f>F127*G127</f>
        <v>0</v>
      </c>
      <c r="K127" s="233">
        <v>3.0000000000000001E-5</v>
      </c>
      <c r="L127" s="233">
        <f>F127*K127</f>
        <v>2.7E-4</v>
      </c>
      <c r="M127" s="240" t="s">
        <v>472</v>
      </c>
      <c r="X127" s="233">
        <f>IF(AO127="5",BH127,0)</f>
        <v>0</v>
      </c>
      <c r="Z127" s="233">
        <f>IF(AO127="1",BF127,0)</f>
        <v>0</v>
      </c>
      <c r="AA127" s="233">
        <f>IF(AO127="1",BG127,0)</f>
        <v>0</v>
      </c>
      <c r="AB127" s="233">
        <f>IF(AO127="7",BF127,0)</f>
        <v>0</v>
      </c>
      <c r="AC127" s="233">
        <f>IF(AO127="7",BG127,0)</f>
        <v>0</v>
      </c>
      <c r="AD127" s="233">
        <f>IF(AO127="2",BF127,0)</f>
        <v>0</v>
      </c>
      <c r="AE127" s="233">
        <f>IF(AO127="2",BG127,0)</f>
        <v>0</v>
      </c>
      <c r="AF127" s="233">
        <f>IF(AO127="0",BH127,0)</f>
        <v>0</v>
      </c>
      <c r="AG127" s="229" t="s">
        <v>154</v>
      </c>
      <c r="AH127" s="233">
        <f>IF(AL127=0,J127,0)</f>
        <v>0</v>
      </c>
      <c r="AI127" s="233">
        <f>IF(AL127=15,J127,0)</f>
        <v>0</v>
      </c>
      <c r="AJ127" s="233">
        <f>IF(AL127=21,J127,0)</f>
        <v>0</v>
      </c>
      <c r="AL127" s="233">
        <v>15</v>
      </c>
      <c r="AM127" s="233">
        <f>G127*0.007120613</f>
        <v>0</v>
      </c>
      <c r="AN127" s="233">
        <f>G127*(1-0.007120613)</f>
        <v>0</v>
      </c>
      <c r="AO127" s="234" t="s">
        <v>157</v>
      </c>
      <c r="AT127" s="233">
        <f>AU127+AV127</f>
        <v>0</v>
      </c>
      <c r="AU127" s="233">
        <f>F127*AM127</f>
        <v>0</v>
      </c>
      <c r="AV127" s="233">
        <f>F127*AN127</f>
        <v>0</v>
      </c>
      <c r="AW127" s="234" t="s">
        <v>543</v>
      </c>
      <c r="AX127" s="234" t="s">
        <v>356</v>
      </c>
      <c r="AY127" s="229" t="s">
        <v>164</v>
      </c>
      <c r="BA127" s="233">
        <f>AU127+AV127</f>
        <v>0</v>
      </c>
      <c r="BB127" s="233">
        <f>G127/(100-BC127)*100</f>
        <v>0</v>
      </c>
      <c r="BC127" s="233">
        <v>0</v>
      </c>
      <c r="BD127" s="233">
        <f>L127</f>
        <v>2.7E-4</v>
      </c>
      <c r="BF127" s="233">
        <f>F127*AM127</f>
        <v>0</v>
      </c>
      <c r="BG127" s="233">
        <f>F127*AN127</f>
        <v>0</v>
      </c>
      <c r="BH127" s="233">
        <f>F127*G127</f>
        <v>0</v>
      </c>
      <c r="BI127" s="233"/>
      <c r="BJ127" s="233">
        <v>87</v>
      </c>
      <c r="BU127" s="233" t="e">
        <f>#REF!</f>
        <v>#REF!</v>
      </c>
      <c r="BV127" s="225" t="s">
        <v>897</v>
      </c>
    </row>
    <row r="128" spans="1:74" ht="40.5" customHeight="1" x14ac:dyDescent="0.3">
      <c r="A128" s="241"/>
      <c r="B128" s="242" t="s">
        <v>165</v>
      </c>
      <c r="C128" s="530" t="s">
        <v>1756</v>
      </c>
      <c r="D128" s="531"/>
      <c r="E128" s="531"/>
      <c r="F128" s="531"/>
      <c r="G128" s="531"/>
      <c r="H128" s="531"/>
      <c r="I128" s="531"/>
      <c r="J128" s="531"/>
      <c r="K128" s="531"/>
      <c r="L128" s="531"/>
      <c r="M128" s="532"/>
    </row>
    <row r="129" spans="1:74" ht="14.4" x14ac:dyDescent="0.3">
      <c r="A129" s="239" t="s">
        <v>154</v>
      </c>
      <c r="B129" s="224" t="s">
        <v>360</v>
      </c>
      <c r="C129" s="526" t="s">
        <v>361</v>
      </c>
      <c r="D129" s="527"/>
      <c r="E129" s="223" t="s">
        <v>114</v>
      </c>
      <c r="F129" s="223" t="s">
        <v>114</v>
      </c>
      <c r="G129" s="223" t="s">
        <v>114</v>
      </c>
      <c r="H129" s="235">
        <f>SUM(H130:H140)</f>
        <v>0</v>
      </c>
      <c r="I129" s="235">
        <f>SUM(I130:I140)</f>
        <v>0</v>
      </c>
      <c r="J129" s="235">
        <f>SUM(J130:J140)</f>
        <v>0</v>
      </c>
      <c r="K129" s="230" t="s">
        <v>154</v>
      </c>
      <c r="L129" s="235">
        <f>SUM(L130:L140)</f>
        <v>0.23832999999999999</v>
      </c>
      <c r="M129" s="243" t="s">
        <v>154</v>
      </c>
      <c r="AG129" s="229" t="s">
        <v>154</v>
      </c>
      <c r="AQ129" s="222">
        <f>SUM(AH130:AH140)</f>
        <v>0</v>
      </c>
      <c r="AR129" s="222">
        <f>SUM(AI130:AI140)</f>
        <v>0</v>
      </c>
      <c r="AS129" s="222">
        <f>SUM(AJ130:AJ140)</f>
        <v>0</v>
      </c>
    </row>
    <row r="130" spans="1:74" ht="14.4" x14ac:dyDescent="0.3">
      <c r="A130" s="239" t="s">
        <v>357</v>
      </c>
      <c r="B130" s="223" t="s">
        <v>982</v>
      </c>
      <c r="C130" s="521" t="s">
        <v>983</v>
      </c>
      <c r="D130" s="519"/>
      <c r="E130" s="223" t="s">
        <v>365</v>
      </c>
      <c r="F130" s="233">
        <v>1</v>
      </c>
      <c r="G130" s="311">
        <v>0</v>
      </c>
      <c r="H130" s="233">
        <f>F130*AM130</f>
        <v>0</v>
      </c>
      <c r="I130" s="233">
        <f>F130*AN130</f>
        <v>0</v>
      </c>
      <c r="J130" s="233">
        <f>F130*G130</f>
        <v>0</v>
      </c>
      <c r="K130" s="233">
        <v>0.23791999999999999</v>
      </c>
      <c r="L130" s="233">
        <f>F130*K130</f>
        <v>0.23791999999999999</v>
      </c>
      <c r="M130" s="240" t="s">
        <v>472</v>
      </c>
      <c r="X130" s="233">
        <f>IF(AO130="5",BH130,0)</f>
        <v>0</v>
      </c>
      <c r="Z130" s="233">
        <f>IF(AO130="1",BF130,0)</f>
        <v>0</v>
      </c>
      <c r="AA130" s="233">
        <f>IF(AO130="1",BG130,0)</f>
        <v>0</v>
      </c>
      <c r="AB130" s="233">
        <f>IF(AO130="7",BF130,0)</f>
        <v>0</v>
      </c>
      <c r="AC130" s="233">
        <f>IF(AO130="7",BG130,0)</f>
        <v>0</v>
      </c>
      <c r="AD130" s="233">
        <f>IF(AO130="2",BF130,0)</f>
        <v>0</v>
      </c>
      <c r="AE130" s="233">
        <f>IF(AO130="2",BG130,0)</f>
        <v>0</v>
      </c>
      <c r="AF130" s="233">
        <f>IF(AO130="0",BH130,0)</f>
        <v>0</v>
      </c>
      <c r="AG130" s="229" t="s">
        <v>154</v>
      </c>
      <c r="AH130" s="233">
        <f>IF(AL130=0,J130,0)</f>
        <v>0</v>
      </c>
      <c r="AI130" s="233">
        <f>IF(AL130=15,J130,0)</f>
        <v>0</v>
      </c>
      <c r="AJ130" s="233">
        <f>IF(AL130=21,J130,0)</f>
        <v>0</v>
      </c>
      <c r="AL130" s="233">
        <v>15</v>
      </c>
      <c r="AM130" s="233">
        <f>G130*0.930949869</f>
        <v>0</v>
      </c>
      <c r="AN130" s="233">
        <f>G130*(1-0.930949869)</f>
        <v>0</v>
      </c>
      <c r="AO130" s="234" t="s">
        <v>157</v>
      </c>
      <c r="AT130" s="233">
        <f>AU130+AV130</f>
        <v>0</v>
      </c>
      <c r="AU130" s="233">
        <f>F130*AM130</f>
        <v>0</v>
      </c>
      <c r="AV130" s="233">
        <f>F130*AN130</f>
        <v>0</v>
      </c>
      <c r="AW130" s="234" t="s">
        <v>366</v>
      </c>
      <c r="AX130" s="234" t="s">
        <v>356</v>
      </c>
      <c r="AY130" s="229" t="s">
        <v>164</v>
      </c>
      <c r="BA130" s="233">
        <f>AU130+AV130</f>
        <v>0</v>
      </c>
      <c r="BB130" s="233">
        <f>G130/(100-BC130)*100</f>
        <v>0</v>
      </c>
      <c r="BC130" s="233">
        <v>0</v>
      </c>
      <c r="BD130" s="233">
        <f>L130</f>
        <v>0.23791999999999999</v>
      </c>
      <c r="BF130" s="233">
        <f>F130*AM130</f>
        <v>0</v>
      </c>
      <c r="BG130" s="233">
        <f>F130*AN130</f>
        <v>0</v>
      </c>
      <c r="BH130" s="233">
        <f>F130*G130</f>
        <v>0</v>
      </c>
      <c r="BI130" s="233"/>
      <c r="BJ130" s="233">
        <v>89</v>
      </c>
      <c r="BU130" s="233" t="e">
        <f>#REF!</f>
        <v>#REF!</v>
      </c>
      <c r="BV130" s="225" t="s">
        <v>983</v>
      </c>
    </row>
    <row r="131" spans="1:74" ht="135" customHeight="1" x14ac:dyDescent="0.3">
      <c r="A131" s="241"/>
      <c r="B131" s="242" t="s">
        <v>165</v>
      </c>
      <c r="C131" s="530" t="s">
        <v>1757</v>
      </c>
      <c r="D131" s="531"/>
      <c r="E131" s="531"/>
      <c r="F131" s="531"/>
      <c r="G131" s="531"/>
      <c r="H131" s="531"/>
      <c r="I131" s="531"/>
      <c r="J131" s="531"/>
      <c r="K131" s="531"/>
      <c r="L131" s="531"/>
      <c r="M131" s="532"/>
    </row>
    <row r="132" spans="1:74" ht="14.4" x14ac:dyDescent="0.3">
      <c r="A132" s="239" t="s">
        <v>362</v>
      </c>
      <c r="B132" s="223" t="s">
        <v>984</v>
      </c>
      <c r="C132" s="521" t="s">
        <v>985</v>
      </c>
      <c r="D132" s="519"/>
      <c r="E132" s="223" t="s">
        <v>160</v>
      </c>
      <c r="F132" s="233">
        <v>18</v>
      </c>
      <c r="G132" s="311">
        <v>0</v>
      </c>
      <c r="H132" s="233">
        <f>F132*AM132</f>
        <v>0</v>
      </c>
      <c r="I132" s="233">
        <f>F132*AN132</f>
        <v>0</v>
      </c>
      <c r="J132" s="233">
        <f>F132*G132</f>
        <v>0</v>
      </c>
      <c r="K132" s="233">
        <v>0</v>
      </c>
      <c r="L132" s="233">
        <f>F132*K132</f>
        <v>0</v>
      </c>
      <c r="M132" s="240" t="s">
        <v>472</v>
      </c>
      <c r="X132" s="233">
        <f>IF(AO132="5",BH132,0)</f>
        <v>0</v>
      </c>
      <c r="Z132" s="233">
        <f>IF(AO132="1",BF132,0)</f>
        <v>0</v>
      </c>
      <c r="AA132" s="233">
        <f>IF(AO132="1",BG132,0)</f>
        <v>0</v>
      </c>
      <c r="AB132" s="233">
        <f>IF(AO132="7",BF132,0)</f>
        <v>0</v>
      </c>
      <c r="AC132" s="233">
        <f>IF(AO132="7",BG132,0)</f>
        <v>0</v>
      </c>
      <c r="AD132" s="233">
        <f>IF(AO132="2",BF132,0)</f>
        <v>0</v>
      </c>
      <c r="AE132" s="233">
        <f>IF(AO132="2",BG132,0)</f>
        <v>0</v>
      </c>
      <c r="AF132" s="233">
        <f>IF(AO132="0",BH132,0)</f>
        <v>0</v>
      </c>
      <c r="AG132" s="229" t="s">
        <v>154</v>
      </c>
      <c r="AH132" s="233">
        <f>IF(AL132=0,J132,0)</f>
        <v>0</v>
      </c>
      <c r="AI132" s="233">
        <f>IF(AL132=15,J132,0)</f>
        <v>0</v>
      </c>
      <c r="AJ132" s="233">
        <f>IF(AL132=21,J132,0)</f>
        <v>0</v>
      </c>
      <c r="AL132" s="233">
        <v>15</v>
      </c>
      <c r="AM132" s="233">
        <f>G132*0.00622093</f>
        <v>0</v>
      </c>
      <c r="AN132" s="233">
        <f>G132*(1-0.00622093)</f>
        <v>0</v>
      </c>
      <c r="AO132" s="234" t="s">
        <v>157</v>
      </c>
      <c r="AT132" s="233">
        <f>AU132+AV132</f>
        <v>0</v>
      </c>
      <c r="AU132" s="233">
        <f>F132*AM132</f>
        <v>0</v>
      </c>
      <c r="AV132" s="233">
        <f>F132*AN132</f>
        <v>0</v>
      </c>
      <c r="AW132" s="234" t="s">
        <v>366</v>
      </c>
      <c r="AX132" s="234" t="s">
        <v>356</v>
      </c>
      <c r="AY132" s="229" t="s">
        <v>164</v>
      </c>
      <c r="BA132" s="233">
        <f>AU132+AV132</f>
        <v>0</v>
      </c>
      <c r="BB132" s="233">
        <f>G132/(100-BC132)*100</f>
        <v>0</v>
      </c>
      <c r="BC132" s="233">
        <v>0</v>
      </c>
      <c r="BD132" s="233">
        <f>L132</f>
        <v>0</v>
      </c>
      <c r="BF132" s="233">
        <f>F132*AM132</f>
        <v>0</v>
      </c>
      <c r="BG132" s="233">
        <f>F132*AN132</f>
        <v>0</v>
      </c>
      <c r="BH132" s="233">
        <f>F132*G132</f>
        <v>0</v>
      </c>
      <c r="BI132" s="233"/>
      <c r="BJ132" s="233">
        <v>89</v>
      </c>
      <c r="BU132" s="233" t="e">
        <f>#REF!</f>
        <v>#REF!</v>
      </c>
      <c r="BV132" s="225" t="s">
        <v>985</v>
      </c>
    </row>
    <row r="133" spans="1:74" ht="40.5" customHeight="1" x14ac:dyDescent="0.3">
      <c r="A133" s="244"/>
      <c r="B133" s="245" t="s">
        <v>165</v>
      </c>
      <c r="C133" s="540" t="s">
        <v>1758</v>
      </c>
      <c r="D133" s="541"/>
      <c r="E133" s="541"/>
      <c r="F133" s="541"/>
      <c r="G133" s="541"/>
      <c r="H133" s="541"/>
      <c r="I133" s="541"/>
      <c r="J133" s="541"/>
      <c r="K133" s="541"/>
      <c r="L133" s="541"/>
      <c r="M133" s="542"/>
    </row>
    <row r="134" spans="1:74" ht="14.4" x14ac:dyDescent="0.3">
      <c r="A134" s="237" t="s">
        <v>367</v>
      </c>
      <c r="B134" s="238" t="s">
        <v>922</v>
      </c>
      <c r="C134" s="543" t="s">
        <v>923</v>
      </c>
      <c r="D134" s="544"/>
      <c r="E134" s="238" t="s">
        <v>924</v>
      </c>
      <c r="F134" s="258">
        <v>1</v>
      </c>
      <c r="G134" s="311">
        <v>0</v>
      </c>
      <c r="H134" s="258">
        <f>F134*AM134</f>
        <v>0</v>
      </c>
      <c r="I134" s="258">
        <f>F134*AN134</f>
        <v>0</v>
      </c>
      <c r="J134" s="258">
        <f>F134*G134</f>
        <v>0</v>
      </c>
      <c r="K134" s="258">
        <v>4.0999999999999999E-4</v>
      </c>
      <c r="L134" s="258">
        <f>F134*K134</f>
        <v>4.0999999999999999E-4</v>
      </c>
      <c r="M134" s="259" t="s">
        <v>472</v>
      </c>
      <c r="X134" s="233">
        <f>IF(AO134="5",BH134,0)</f>
        <v>0</v>
      </c>
      <c r="Z134" s="233">
        <f>IF(AO134="1",BF134,0)</f>
        <v>0</v>
      </c>
      <c r="AA134" s="233">
        <f>IF(AO134="1",BG134,0)</f>
        <v>0</v>
      </c>
      <c r="AB134" s="233">
        <f>IF(AO134="7",BF134,0)</f>
        <v>0</v>
      </c>
      <c r="AC134" s="233">
        <f>IF(AO134="7",BG134,0)</f>
        <v>0</v>
      </c>
      <c r="AD134" s="233">
        <f>IF(AO134="2",BF134,0)</f>
        <v>0</v>
      </c>
      <c r="AE134" s="233">
        <f>IF(AO134="2",BG134,0)</f>
        <v>0</v>
      </c>
      <c r="AF134" s="233">
        <f>IF(AO134="0",BH134,0)</f>
        <v>0</v>
      </c>
      <c r="AG134" s="229" t="s">
        <v>154</v>
      </c>
      <c r="AH134" s="233">
        <f>IF(AL134=0,J134,0)</f>
        <v>0</v>
      </c>
      <c r="AI134" s="233">
        <f>IF(AL134=15,J134,0)</f>
        <v>0</v>
      </c>
      <c r="AJ134" s="233">
        <f>IF(AL134=21,J134,0)</f>
        <v>0</v>
      </c>
      <c r="AL134" s="233">
        <v>15</v>
      </c>
      <c r="AM134" s="233">
        <f>G134*0.120871568</f>
        <v>0</v>
      </c>
      <c r="AN134" s="233">
        <f>G134*(1-0.120871568)</f>
        <v>0</v>
      </c>
      <c r="AO134" s="234" t="s">
        <v>157</v>
      </c>
      <c r="AT134" s="233">
        <f>AU134+AV134</f>
        <v>0</v>
      </c>
      <c r="AU134" s="233">
        <f>F134*AM134</f>
        <v>0</v>
      </c>
      <c r="AV134" s="233">
        <f>F134*AN134</f>
        <v>0</v>
      </c>
      <c r="AW134" s="234" t="s">
        <v>366</v>
      </c>
      <c r="AX134" s="234" t="s">
        <v>356</v>
      </c>
      <c r="AY134" s="229" t="s">
        <v>164</v>
      </c>
      <c r="BA134" s="233">
        <f>AU134+AV134</f>
        <v>0</v>
      </c>
      <c r="BB134" s="233">
        <f>G134/(100-BC134)*100</f>
        <v>0</v>
      </c>
      <c r="BC134" s="233">
        <v>0</v>
      </c>
      <c r="BD134" s="233">
        <f>L134</f>
        <v>4.0999999999999999E-4</v>
      </c>
      <c r="BF134" s="233">
        <f>F134*AM134</f>
        <v>0</v>
      </c>
      <c r="BG134" s="233">
        <f>F134*AN134</f>
        <v>0</v>
      </c>
      <c r="BH134" s="233">
        <f>F134*G134</f>
        <v>0</v>
      </c>
      <c r="BI134" s="233"/>
      <c r="BJ134" s="233">
        <v>89</v>
      </c>
      <c r="BU134" s="233" t="e">
        <f>#REF!</f>
        <v>#REF!</v>
      </c>
      <c r="BV134" s="225" t="s">
        <v>923</v>
      </c>
    </row>
    <row r="135" spans="1:74" ht="54.75" customHeight="1" x14ac:dyDescent="0.3">
      <c r="A135" s="241"/>
      <c r="B135" s="242" t="s">
        <v>165</v>
      </c>
      <c r="C135" s="530" t="s">
        <v>1759</v>
      </c>
      <c r="D135" s="531"/>
      <c r="E135" s="531"/>
      <c r="F135" s="531"/>
      <c r="G135" s="531"/>
      <c r="H135" s="531"/>
      <c r="I135" s="531"/>
      <c r="J135" s="531"/>
      <c r="K135" s="531"/>
      <c r="L135" s="531"/>
      <c r="M135" s="532"/>
    </row>
    <row r="136" spans="1:74" ht="14.4" x14ac:dyDescent="0.3">
      <c r="A136" s="239" t="s">
        <v>305</v>
      </c>
      <c r="B136" s="223" t="s">
        <v>925</v>
      </c>
      <c r="C136" s="521" t="s">
        <v>926</v>
      </c>
      <c r="D136" s="519"/>
      <c r="E136" s="223" t="s">
        <v>160</v>
      </c>
      <c r="F136" s="233">
        <v>18</v>
      </c>
      <c r="G136" s="311">
        <v>0</v>
      </c>
      <c r="H136" s="233">
        <f>F136*AM136</f>
        <v>0</v>
      </c>
      <c r="I136" s="233">
        <f>F136*AN136</f>
        <v>0</v>
      </c>
      <c r="J136" s="233">
        <f>F136*G136</f>
        <v>0</v>
      </c>
      <c r="K136" s="233">
        <v>0</v>
      </c>
      <c r="L136" s="233">
        <f>F136*K136</f>
        <v>0</v>
      </c>
      <c r="M136" s="240" t="s">
        <v>472</v>
      </c>
      <c r="X136" s="233">
        <f>IF(AO136="5",BH136,0)</f>
        <v>0</v>
      </c>
      <c r="Z136" s="233">
        <f>IF(AO136="1",BF136,0)</f>
        <v>0</v>
      </c>
      <c r="AA136" s="233">
        <f>IF(AO136="1",BG136,0)</f>
        <v>0</v>
      </c>
      <c r="AB136" s="233">
        <f>IF(AO136="7",BF136,0)</f>
        <v>0</v>
      </c>
      <c r="AC136" s="233">
        <f>IF(AO136="7",BG136,0)</f>
        <v>0</v>
      </c>
      <c r="AD136" s="233">
        <f>IF(AO136="2",BF136,0)</f>
        <v>0</v>
      </c>
      <c r="AE136" s="233">
        <f>IF(AO136="2",BG136,0)</f>
        <v>0</v>
      </c>
      <c r="AF136" s="233">
        <f>IF(AO136="0",BH136,0)</f>
        <v>0</v>
      </c>
      <c r="AG136" s="229" t="s">
        <v>154</v>
      </c>
      <c r="AH136" s="233">
        <f>IF(AL136=0,J136,0)</f>
        <v>0</v>
      </c>
      <c r="AI136" s="233">
        <f>IF(AL136=15,J136,0)</f>
        <v>0</v>
      </c>
      <c r="AJ136" s="233">
        <f>IF(AL136=21,J136,0)</f>
        <v>0</v>
      </c>
      <c r="AL136" s="233">
        <v>15</v>
      </c>
      <c r="AM136" s="233">
        <f>G136*0.092260692</f>
        <v>0</v>
      </c>
      <c r="AN136" s="233">
        <f>G136*(1-0.092260692)</f>
        <v>0</v>
      </c>
      <c r="AO136" s="234" t="s">
        <v>157</v>
      </c>
      <c r="AT136" s="233">
        <f>AU136+AV136</f>
        <v>0</v>
      </c>
      <c r="AU136" s="233">
        <f>F136*AM136</f>
        <v>0</v>
      </c>
      <c r="AV136" s="233">
        <f>F136*AN136</f>
        <v>0</v>
      </c>
      <c r="AW136" s="234" t="s">
        <v>366</v>
      </c>
      <c r="AX136" s="234" t="s">
        <v>356</v>
      </c>
      <c r="AY136" s="229" t="s">
        <v>164</v>
      </c>
      <c r="BA136" s="233">
        <f>AU136+AV136</f>
        <v>0</v>
      </c>
      <c r="BB136" s="233">
        <f>G136/(100-BC136)*100</f>
        <v>0</v>
      </c>
      <c r="BC136" s="233">
        <v>0</v>
      </c>
      <c r="BD136" s="233">
        <f>L136</f>
        <v>0</v>
      </c>
      <c r="BF136" s="233">
        <f>F136*AM136</f>
        <v>0</v>
      </c>
      <c r="BG136" s="233">
        <f>F136*AN136</f>
        <v>0</v>
      </c>
      <c r="BH136" s="233">
        <f>F136*G136</f>
        <v>0</v>
      </c>
      <c r="BI136" s="233"/>
      <c r="BJ136" s="233">
        <v>89</v>
      </c>
      <c r="BU136" s="233" t="e">
        <f>#REF!</f>
        <v>#REF!</v>
      </c>
      <c r="BV136" s="225" t="s">
        <v>926</v>
      </c>
    </row>
    <row r="137" spans="1:74" ht="40.5" customHeight="1" x14ac:dyDescent="0.3">
      <c r="A137" s="241"/>
      <c r="B137" s="242" t="s">
        <v>165</v>
      </c>
      <c r="C137" s="530" t="s">
        <v>1760</v>
      </c>
      <c r="D137" s="531"/>
      <c r="E137" s="531"/>
      <c r="F137" s="531"/>
      <c r="G137" s="531"/>
      <c r="H137" s="531"/>
      <c r="I137" s="531"/>
      <c r="J137" s="531"/>
      <c r="K137" s="531"/>
      <c r="L137" s="531"/>
      <c r="M137" s="532"/>
    </row>
    <row r="138" spans="1:74" ht="14.4" x14ac:dyDescent="0.3">
      <c r="A138" s="239" t="s">
        <v>335</v>
      </c>
      <c r="B138" s="223" t="s">
        <v>986</v>
      </c>
      <c r="C138" s="521" t="s">
        <v>987</v>
      </c>
      <c r="D138" s="519"/>
      <c r="E138" s="223" t="s">
        <v>160</v>
      </c>
      <c r="F138" s="233">
        <v>18</v>
      </c>
      <c r="G138" s="311">
        <v>0</v>
      </c>
      <c r="H138" s="233">
        <f>F138*AM138</f>
        <v>0</v>
      </c>
      <c r="I138" s="233">
        <f>F138*AN138</f>
        <v>0</v>
      </c>
      <c r="J138" s="233">
        <f>F138*G138</f>
        <v>0</v>
      </c>
      <c r="K138" s="233">
        <v>0</v>
      </c>
      <c r="L138" s="233">
        <f>F138*K138</f>
        <v>0</v>
      </c>
      <c r="M138" s="240" t="s">
        <v>472</v>
      </c>
      <c r="X138" s="233">
        <f>IF(AO138="5",BH138,0)</f>
        <v>0</v>
      </c>
      <c r="Z138" s="233">
        <f>IF(AO138="1",BF138,0)</f>
        <v>0</v>
      </c>
      <c r="AA138" s="233">
        <f>IF(AO138="1",BG138,0)</f>
        <v>0</v>
      </c>
      <c r="AB138" s="233">
        <f>IF(AO138="7",BF138,0)</f>
        <v>0</v>
      </c>
      <c r="AC138" s="233">
        <f>IF(AO138="7",BG138,0)</f>
        <v>0</v>
      </c>
      <c r="AD138" s="233">
        <f>IF(AO138="2",BF138,0)</f>
        <v>0</v>
      </c>
      <c r="AE138" s="233">
        <f>IF(AO138="2",BG138,0)</f>
        <v>0</v>
      </c>
      <c r="AF138" s="233">
        <f>IF(AO138="0",BH138,0)</f>
        <v>0</v>
      </c>
      <c r="AG138" s="229" t="s">
        <v>154</v>
      </c>
      <c r="AH138" s="233">
        <f>IF(AL138=0,J138,0)</f>
        <v>0</v>
      </c>
      <c r="AI138" s="233">
        <f>IF(AL138=15,J138,0)</f>
        <v>0</v>
      </c>
      <c r="AJ138" s="233">
        <f>IF(AL138=21,J138,0)</f>
        <v>0</v>
      </c>
      <c r="AL138" s="233">
        <v>15</v>
      </c>
      <c r="AM138" s="233">
        <f>G138*0</f>
        <v>0</v>
      </c>
      <c r="AN138" s="233">
        <f>G138*(1-0)</f>
        <v>0</v>
      </c>
      <c r="AO138" s="234" t="s">
        <v>157</v>
      </c>
      <c r="AT138" s="233">
        <f>AU138+AV138</f>
        <v>0</v>
      </c>
      <c r="AU138" s="233">
        <f>F138*AM138</f>
        <v>0</v>
      </c>
      <c r="AV138" s="233">
        <f>F138*AN138</f>
        <v>0</v>
      </c>
      <c r="AW138" s="234" t="s">
        <v>366</v>
      </c>
      <c r="AX138" s="234" t="s">
        <v>356</v>
      </c>
      <c r="AY138" s="229" t="s">
        <v>164</v>
      </c>
      <c r="BA138" s="233">
        <f>AU138+AV138</f>
        <v>0</v>
      </c>
      <c r="BB138" s="233">
        <f>G138/(100-BC138)*100</f>
        <v>0</v>
      </c>
      <c r="BC138" s="233">
        <v>0</v>
      </c>
      <c r="BD138" s="233">
        <f>L138</f>
        <v>0</v>
      </c>
      <c r="BF138" s="233">
        <f>F138*AM138</f>
        <v>0</v>
      </c>
      <c r="BG138" s="233">
        <f>F138*AN138</f>
        <v>0</v>
      </c>
      <c r="BH138" s="233">
        <f>F138*G138</f>
        <v>0</v>
      </c>
      <c r="BI138" s="233"/>
      <c r="BJ138" s="233">
        <v>89</v>
      </c>
      <c r="BU138" s="233" t="e">
        <f>#REF!</f>
        <v>#REF!</v>
      </c>
      <c r="BV138" s="225" t="s">
        <v>987</v>
      </c>
    </row>
    <row r="139" spans="1:74" ht="40.5" customHeight="1" x14ac:dyDescent="0.3">
      <c r="A139" s="241"/>
      <c r="B139" s="242" t="s">
        <v>165</v>
      </c>
      <c r="C139" s="530" t="s">
        <v>1761</v>
      </c>
      <c r="D139" s="531"/>
      <c r="E139" s="531"/>
      <c r="F139" s="531"/>
      <c r="G139" s="531"/>
      <c r="H139" s="531"/>
      <c r="I139" s="531"/>
      <c r="J139" s="531"/>
      <c r="K139" s="531"/>
      <c r="L139" s="531"/>
      <c r="M139" s="532"/>
    </row>
    <row r="140" spans="1:74" ht="14.4" x14ac:dyDescent="0.3">
      <c r="A140" s="239" t="s">
        <v>384</v>
      </c>
      <c r="B140" s="223" t="s">
        <v>438</v>
      </c>
      <c r="C140" s="521" t="s">
        <v>439</v>
      </c>
      <c r="D140" s="519"/>
      <c r="E140" s="223" t="s">
        <v>160</v>
      </c>
      <c r="F140" s="233">
        <v>19.8</v>
      </c>
      <c r="G140" s="311">
        <v>0</v>
      </c>
      <c r="H140" s="233">
        <f>F140*AM140</f>
        <v>0</v>
      </c>
      <c r="I140" s="233">
        <f>F140*AN140</f>
        <v>0</v>
      </c>
      <c r="J140" s="233">
        <f>F140*G140</f>
        <v>0</v>
      </c>
      <c r="K140" s="233">
        <v>0</v>
      </c>
      <c r="L140" s="233">
        <f>F140*K140</f>
        <v>0</v>
      </c>
      <c r="M140" s="240" t="s">
        <v>472</v>
      </c>
      <c r="X140" s="233">
        <f>IF(AO140="5",BH140,0)</f>
        <v>0</v>
      </c>
      <c r="Z140" s="233">
        <f>IF(AO140="1",BF140,0)</f>
        <v>0</v>
      </c>
      <c r="AA140" s="233">
        <f>IF(AO140="1",BG140,0)</f>
        <v>0</v>
      </c>
      <c r="AB140" s="233">
        <f>IF(AO140="7",BF140,0)</f>
        <v>0</v>
      </c>
      <c r="AC140" s="233">
        <f>IF(AO140="7",BG140,0)</f>
        <v>0</v>
      </c>
      <c r="AD140" s="233">
        <f>IF(AO140="2",BF140,0)</f>
        <v>0</v>
      </c>
      <c r="AE140" s="233">
        <f>IF(AO140="2",BG140,0)</f>
        <v>0</v>
      </c>
      <c r="AF140" s="233">
        <f>IF(AO140="0",BH140,0)</f>
        <v>0</v>
      </c>
      <c r="AG140" s="229" t="s">
        <v>154</v>
      </c>
      <c r="AH140" s="233">
        <f>IF(AL140=0,J140,0)</f>
        <v>0</v>
      </c>
      <c r="AI140" s="233">
        <f>IF(AL140=15,J140,0)</f>
        <v>0</v>
      </c>
      <c r="AJ140" s="233">
        <f>IF(AL140=21,J140,0)</f>
        <v>0</v>
      </c>
      <c r="AL140" s="233">
        <v>15</v>
      </c>
      <c r="AM140" s="233">
        <f>G140*0.354010152</f>
        <v>0</v>
      </c>
      <c r="AN140" s="233">
        <f>G140*(1-0.354010152)</f>
        <v>0</v>
      </c>
      <c r="AO140" s="234" t="s">
        <v>157</v>
      </c>
      <c r="AT140" s="233">
        <f>AU140+AV140</f>
        <v>0</v>
      </c>
      <c r="AU140" s="233">
        <f>F140*AM140</f>
        <v>0</v>
      </c>
      <c r="AV140" s="233">
        <f>F140*AN140</f>
        <v>0</v>
      </c>
      <c r="AW140" s="234" t="s">
        <v>366</v>
      </c>
      <c r="AX140" s="234" t="s">
        <v>356</v>
      </c>
      <c r="AY140" s="229" t="s">
        <v>164</v>
      </c>
      <c r="BA140" s="233">
        <f>AU140+AV140</f>
        <v>0</v>
      </c>
      <c r="BB140" s="233">
        <f>G140/(100-BC140)*100</f>
        <v>0</v>
      </c>
      <c r="BC140" s="233">
        <v>0</v>
      </c>
      <c r="BD140" s="233">
        <f>L140</f>
        <v>0</v>
      </c>
      <c r="BF140" s="233">
        <f>F140*AM140</f>
        <v>0</v>
      </c>
      <c r="BG140" s="233">
        <f>F140*AN140</f>
        <v>0</v>
      </c>
      <c r="BH140" s="233">
        <f>F140*G140</f>
        <v>0</v>
      </c>
      <c r="BI140" s="233"/>
      <c r="BJ140" s="233">
        <v>89</v>
      </c>
      <c r="BU140" s="233" t="e">
        <f>#REF!</f>
        <v>#REF!</v>
      </c>
      <c r="BV140" s="225" t="s">
        <v>439</v>
      </c>
    </row>
    <row r="141" spans="1:74" ht="40.5" customHeight="1" x14ac:dyDescent="0.3">
      <c r="A141" s="241"/>
      <c r="B141" s="242" t="s">
        <v>165</v>
      </c>
      <c r="C141" s="530" t="s">
        <v>1762</v>
      </c>
      <c r="D141" s="531"/>
      <c r="E141" s="531"/>
      <c r="F141" s="531"/>
      <c r="G141" s="531"/>
      <c r="H141" s="531"/>
      <c r="I141" s="531"/>
      <c r="J141" s="531"/>
      <c r="K141" s="531"/>
      <c r="L141" s="531"/>
      <c r="M141" s="532"/>
    </row>
    <row r="142" spans="1:74" ht="14.4" x14ac:dyDescent="0.3">
      <c r="A142" s="239" t="s">
        <v>154</v>
      </c>
      <c r="B142" s="224" t="s">
        <v>370</v>
      </c>
      <c r="C142" s="526" t="s">
        <v>371</v>
      </c>
      <c r="D142" s="527"/>
      <c r="E142" s="223" t="s">
        <v>114</v>
      </c>
      <c r="F142" s="223" t="s">
        <v>114</v>
      </c>
      <c r="G142" s="223" t="s">
        <v>114</v>
      </c>
      <c r="H142" s="235">
        <f>SUM(H143:H143)</f>
        <v>0</v>
      </c>
      <c r="I142" s="235">
        <f>SUM(I143:I143)</f>
        <v>0</v>
      </c>
      <c r="J142" s="235">
        <f>SUM(J143:J143)</f>
        <v>0</v>
      </c>
      <c r="K142" s="230" t="s">
        <v>154</v>
      </c>
      <c r="L142" s="235">
        <f>SUM(L143:L143)</f>
        <v>1.26E-2</v>
      </c>
      <c r="M142" s="243" t="s">
        <v>154</v>
      </c>
      <c r="AG142" s="229" t="s">
        <v>154</v>
      </c>
      <c r="AQ142" s="222">
        <f>SUM(AH143:AH143)</f>
        <v>0</v>
      </c>
      <c r="AR142" s="222">
        <f>SUM(AI143:AI143)</f>
        <v>0</v>
      </c>
      <c r="AS142" s="222">
        <f>SUM(AJ143:AJ143)</f>
        <v>0</v>
      </c>
    </row>
    <row r="143" spans="1:74" ht="14.4" x14ac:dyDescent="0.3">
      <c r="A143" s="239" t="s">
        <v>344</v>
      </c>
      <c r="B143" s="223" t="s">
        <v>372</v>
      </c>
      <c r="C143" s="521" t="s">
        <v>373</v>
      </c>
      <c r="D143" s="519"/>
      <c r="E143" s="223" t="s">
        <v>160</v>
      </c>
      <c r="F143" s="233">
        <v>18</v>
      </c>
      <c r="G143" s="311">
        <v>0</v>
      </c>
      <c r="H143" s="233">
        <f>F143*AM143</f>
        <v>0</v>
      </c>
      <c r="I143" s="233">
        <f>F143*AN143</f>
        <v>0</v>
      </c>
      <c r="J143" s="233">
        <f>F143*G143</f>
        <v>0</v>
      </c>
      <c r="K143" s="233">
        <v>6.9999999999999999E-4</v>
      </c>
      <c r="L143" s="233">
        <f>F143*K143</f>
        <v>1.26E-2</v>
      </c>
      <c r="M143" s="240" t="s">
        <v>472</v>
      </c>
      <c r="X143" s="233">
        <f>IF(AO143="5",BH143,0)</f>
        <v>0</v>
      </c>
      <c r="Z143" s="233">
        <f>IF(AO143="1",BF143,0)</f>
        <v>0</v>
      </c>
      <c r="AA143" s="233">
        <f>IF(AO143="1",BG143,0)</f>
        <v>0</v>
      </c>
      <c r="AB143" s="233">
        <f>IF(AO143="7",BF143,0)</f>
        <v>0</v>
      </c>
      <c r="AC143" s="233">
        <f>IF(AO143="7",BG143,0)</f>
        <v>0</v>
      </c>
      <c r="AD143" s="233">
        <f>IF(AO143="2",BF143,0)</f>
        <v>0</v>
      </c>
      <c r="AE143" s="233">
        <f>IF(AO143="2",BG143,0)</f>
        <v>0</v>
      </c>
      <c r="AF143" s="233">
        <f>IF(AO143="0",BH143,0)</f>
        <v>0</v>
      </c>
      <c r="AG143" s="229" t="s">
        <v>154</v>
      </c>
      <c r="AH143" s="233">
        <f>IF(AL143=0,J143,0)</f>
        <v>0</v>
      </c>
      <c r="AI143" s="233">
        <f>IF(AL143=15,J143,0)</f>
        <v>0</v>
      </c>
      <c r="AJ143" s="233">
        <f>IF(AL143=21,J143,0)</f>
        <v>0</v>
      </c>
      <c r="AL143" s="233">
        <v>15</v>
      </c>
      <c r="AM143" s="233">
        <f>G143*0.0712134</f>
        <v>0</v>
      </c>
      <c r="AN143" s="233">
        <f>G143*(1-0.0712134)</f>
        <v>0</v>
      </c>
      <c r="AO143" s="234" t="s">
        <v>157</v>
      </c>
      <c r="AT143" s="233">
        <f>AU143+AV143</f>
        <v>0</v>
      </c>
      <c r="AU143" s="233">
        <f>F143*AM143</f>
        <v>0</v>
      </c>
      <c r="AV143" s="233">
        <f>F143*AN143</f>
        <v>0</v>
      </c>
      <c r="AW143" s="234" t="s">
        <v>374</v>
      </c>
      <c r="AX143" s="234" t="s">
        <v>375</v>
      </c>
      <c r="AY143" s="229" t="s">
        <v>164</v>
      </c>
      <c r="BA143" s="233">
        <f>AU143+AV143</f>
        <v>0</v>
      </c>
      <c r="BB143" s="233">
        <f>G143/(100-BC143)*100</f>
        <v>0</v>
      </c>
      <c r="BC143" s="233">
        <v>0</v>
      </c>
      <c r="BD143" s="233">
        <f>L143</f>
        <v>1.26E-2</v>
      </c>
      <c r="BF143" s="233">
        <f>F143*AM143</f>
        <v>0</v>
      </c>
      <c r="BG143" s="233">
        <f>F143*AN143</f>
        <v>0</v>
      </c>
      <c r="BH143" s="233">
        <f>F143*G143</f>
        <v>0</v>
      </c>
      <c r="BI143" s="233"/>
      <c r="BJ143" s="233">
        <v>93</v>
      </c>
      <c r="BU143" s="233" t="e">
        <f>#REF!</f>
        <v>#REF!</v>
      </c>
      <c r="BV143" s="225" t="s">
        <v>373</v>
      </c>
    </row>
    <row r="144" spans="1:74" ht="40.5" customHeight="1" x14ac:dyDescent="0.3">
      <c r="A144" s="241"/>
      <c r="B144" s="242" t="s">
        <v>165</v>
      </c>
      <c r="C144" s="530" t="s">
        <v>1763</v>
      </c>
      <c r="D144" s="531"/>
      <c r="E144" s="531"/>
      <c r="F144" s="531"/>
      <c r="G144" s="531"/>
      <c r="H144" s="531"/>
      <c r="I144" s="531"/>
      <c r="J144" s="531"/>
      <c r="K144" s="531"/>
      <c r="L144" s="531"/>
      <c r="M144" s="532"/>
    </row>
    <row r="145" spans="1:74" ht="14.4" x14ac:dyDescent="0.3">
      <c r="A145" s="239" t="s">
        <v>154</v>
      </c>
      <c r="B145" s="224" t="s">
        <v>376</v>
      </c>
      <c r="C145" s="526" t="s">
        <v>377</v>
      </c>
      <c r="D145" s="527"/>
      <c r="E145" s="223" t="s">
        <v>114</v>
      </c>
      <c r="F145" s="223" t="s">
        <v>114</v>
      </c>
      <c r="G145" s="223" t="s">
        <v>114</v>
      </c>
      <c r="H145" s="235">
        <f>SUM(H146:H146)</f>
        <v>0</v>
      </c>
      <c r="I145" s="235">
        <f>SUM(I146:I146)</f>
        <v>0</v>
      </c>
      <c r="J145" s="235">
        <f>SUM(J146:J146)</f>
        <v>0</v>
      </c>
      <c r="K145" s="230" t="s">
        <v>154</v>
      </c>
      <c r="L145" s="235">
        <f>SUM(L146:L146)</f>
        <v>0</v>
      </c>
      <c r="M145" s="243" t="s">
        <v>154</v>
      </c>
      <c r="AG145" s="229" t="s">
        <v>154</v>
      </c>
      <c r="AQ145" s="222">
        <f>SUM(AH146:AH146)</f>
        <v>0</v>
      </c>
      <c r="AR145" s="222">
        <f>SUM(AI146:AI146)</f>
        <v>0</v>
      </c>
      <c r="AS145" s="222">
        <f>SUM(AJ146:AJ146)</f>
        <v>0</v>
      </c>
    </row>
    <row r="146" spans="1:74" ht="14.4" x14ac:dyDescent="0.3">
      <c r="A146" s="239" t="s">
        <v>390</v>
      </c>
      <c r="B146" s="223" t="s">
        <v>378</v>
      </c>
      <c r="C146" s="521" t="s">
        <v>379</v>
      </c>
      <c r="D146" s="519"/>
      <c r="E146" s="223" t="s">
        <v>380</v>
      </c>
      <c r="F146" s="233">
        <v>5.78</v>
      </c>
      <c r="G146" s="311">
        <v>0</v>
      </c>
      <c r="H146" s="233">
        <f>F146*AM146</f>
        <v>0</v>
      </c>
      <c r="I146" s="233">
        <f>F146*AN146</f>
        <v>0</v>
      </c>
      <c r="J146" s="233">
        <f>F146*G146</f>
        <v>0</v>
      </c>
      <c r="K146" s="233">
        <v>0</v>
      </c>
      <c r="L146" s="233">
        <f>F146*K146</f>
        <v>0</v>
      </c>
      <c r="M146" s="240" t="s">
        <v>472</v>
      </c>
      <c r="X146" s="233">
        <f>IF(AO146="5",BH146,0)</f>
        <v>0</v>
      </c>
      <c r="Z146" s="233">
        <f>IF(AO146="1",BF146,0)</f>
        <v>0</v>
      </c>
      <c r="AA146" s="233">
        <f>IF(AO146="1",BG146,0)</f>
        <v>0</v>
      </c>
      <c r="AB146" s="233">
        <f>IF(AO146="7",BF146,0)</f>
        <v>0</v>
      </c>
      <c r="AC146" s="233">
        <f>IF(AO146="7",BG146,0)</f>
        <v>0</v>
      </c>
      <c r="AD146" s="233">
        <f>IF(AO146="2",BF146,0)</f>
        <v>0</v>
      </c>
      <c r="AE146" s="233">
        <f>IF(AO146="2",BG146,0)</f>
        <v>0</v>
      </c>
      <c r="AF146" s="233">
        <f>IF(AO146="0",BH146,0)</f>
        <v>0</v>
      </c>
      <c r="AG146" s="229" t="s">
        <v>154</v>
      </c>
      <c r="AH146" s="233">
        <f>IF(AL146=0,J146,0)</f>
        <v>0</v>
      </c>
      <c r="AI146" s="233">
        <f>IF(AL146=15,J146,0)</f>
        <v>0</v>
      </c>
      <c r="AJ146" s="233">
        <f>IF(AL146=21,J146,0)</f>
        <v>0</v>
      </c>
      <c r="AL146" s="233">
        <v>15</v>
      </c>
      <c r="AM146" s="233">
        <f>G146*0</f>
        <v>0</v>
      </c>
      <c r="AN146" s="233">
        <f>G146*(1-0)</f>
        <v>0</v>
      </c>
      <c r="AO146" s="234" t="s">
        <v>157</v>
      </c>
      <c r="AT146" s="233">
        <f>AU146+AV146</f>
        <v>0</v>
      </c>
      <c r="AU146" s="233">
        <f>F146*AM146</f>
        <v>0</v>
      </c>
      <c r="AV146" s="233">
        <f>F146*AN146</f>
        <v>0</v>
      </c>
      <c r="AW146" s="234" t="s">
        <v>381</v>
      </c>
      <c r="AX146" s="234" t="s">
        <v>375</v>
      </c>
      <c r="AY146" s="229" t="s">
        <v>164</v>
      </c>
      <c r="BA146" s="233">
        <f>AU146+AV146</f>
        <v>0</v>
      </c>
      <c r="BB146" s="233">
        <f>G146/(100-BC146)*100</f>
        <v>0</v>
      </c>
      <c r="BC146" s="233">
        <v>0</v>
      </c>
      <c r="BD146" s="233">
        <f>L146</f>
        <v>0</v>
      </c>
      <c r="BF146" s="233">
        <f>F146*AM146</f>
        <v>0</v>
      </c>
      <c r="BG146" s="233">
        <f>F146*AN146</f>
        <v>0</v>
      </c>
      <c r="BH146" s="233">
        <f>F146*G146</f>
        <v>0</v>
      </c>
      <c r="BI146" s="233"/>
      <c r="BJ146" s="233">
        <v>97</v>
      </c>
      <c r="BU146" s="233" t="e">
        <f>#REF!</f>
        <v>#REF!</v>
      </c>
      <c r="BV146" s="225" t="s">
        <v>379</v>
      </c>
    </row>
    <row r="147" spans="1:74" ht="27" customHeight="1" x14ac:dyDescent="0.3">
      <c r="A147" s="241"/>
      <c r="B147" s="242" t="s">
        <v>165</v>
      </c>
      <c r="C147" s="530" t="s">
        <v>1764</v>
      </c>
      <c r="D147" s="531"/>
      <c r="E147" s="531"/>
      <c r="F147" s="531"/>
      <c r="G147" s="531"/>
      <c r="H147" s="531"/>
      <c r="I147" s="531"/>
      <c r="J147" s="531"/>
      <c r="K147" s="531"/>
      <c r="L147" s="531"/>
      <c r="M147" s="532"/>
    </row>
    <row r="148" spans="1:74" ht="14.4" x14ac:dyDescent="0.3">
      <c r="A148" s="239" t="s">
        <v>154</v>
      </c>
      <c r="B148" s="224" t="s">
        <v>382</v>
      </c>
      <c r="C148" s="526" t="s">
        <v>383</v>
      </c>
      <c r="D148" s="527"/>
      <c r="E148" s="223" t="s">
        <v>114</v>
      </c>
      <c r="F148" s="223" t="s">
        <v>114</v>
      </c>
      <c r="G148" s="223" t="s">
        <v>114</v>
      </c>
      <c r="H148" s="235">
        <f>SUM(H149:H154)</f>
        <v>0</v>
      </c>
      <c r="I148" s="235">
        <f>SUM(I149:I154)</f>
        <v>0</v>
      </c>
      <c r="J148" s="235">
        <f>SUM(J149:J154)</f>
        <v>0</v>
      </c>
      <c r="K148" s="230" t="s">
        <v>154</v>
      </c>
      <c r="L148" s="235">
        <f>SUM(L149:L154)</f>
        <v>0</v>
      </c>
      <c r="M148" s="243" t="s">
        <v>154</v>
      </c>
      <c r="AG148" s="229" t="s">
        <v>154</v>
      </c>
      <c r="AQ148" s="222">
        <f>SUM(AH149:AH154)</f>
        <v>0</v>
      </c>
      <c r="AR148" s="222">
        <f>SUM(AI149:AI154)</f>
        <v>0</v>
      </c>
      <c r="AS148" s="222">
        <f>SUM(AJ149:AJ154)</f>
        <v>0</v>
      </c>
    </row>
    <row r="149" spans="1:74" ht="14.4" x14ac:dyDescent="0.3">
      <c r="A149" s="239" t="s">
        <v>393</v>
      </c>
      <c r="B149" s="223" t="s">
        <v>385</v>
      </c>
      <c r="C149" s="521" t="s">
        <v>386</v>
      </c>
      <c r="D149" s="519"/>
      <c r="E149" s="223" t="s">
        <v>380</v>
      </c>
      <c r="F149" s="233">
        <v>7.7</v>
      </c>
      <c r="G149" s="311">
        <v>0</v>
      </c>
      <c r="H149" s="233">
        <f>F149*AM149</f>
        <v>0</v>
      </c>
      <c r="I149" s="233">
        <f>F149*AN149</f>
        <v>0</v>
      </c>
      <c r="J149" s="233">
        <f>F149*G149</f>
        <v>0</v>
      </c>
      <c r="K149" s="233">
        <v>0</v>
      </c>
      <c r="L149" s="233">
        <f>F149*K149</f>
        <v>0</v>
      </c>
      <c r="M149" s="240" t="s">
        <v>472</v>
      </c>
      <c r="X149" s="233">
        <f>IF(AO149="5",BH149,0)</f>
        <v>0</v>
      </c>
      <c r="Z149" s="233">
        <f>IF(AO149="1",BF149,0)</f>
        <v>0</v>
      </c>
      <c r="AA149" s="233">
        <f>IF(AO149="1",BG149,0)</f>
        <v>0</v>
      </c>
      <c r="AB149" s="233">
        <f>IF(AO149="7",BF149,0)</f>
        <v>0</v>
      </c>
      <c r="AC149" s="233">
        <f>IF(AO149="7",BG149,0)</f>
        <v>0</v>
      </c>
      <c r="AD149" s="233">
        <f>IF(AO149="2",BF149,0)</f>
        <v>0</v>
      </c>
      <c r="AE149" s="233">
        <f>IF(AO149="2",BG149,0)</f>
        <v>0</v>
      </c>
      <c r="AF149" s="233">
        <f>IF(AO149="0",BH149,0)</f>
        <v>0</v>
      </c>
      <c r="AG149" s="229" t="s">
        <v>154</v>
      </c>
      <c r="AH149" s="233">
        <f>IF(AL149=0,J149,0)</f>
        <v>0</v>
      </c>
      <c r="AI149" s="233">
        <f>IF(AL149=15,J149,0)</f>
        <v>0</v>
      </c>
      <c r="AJ149" s="233">
        <f>IF(AL149=21,J149,0)</f>
        <v>0</v>
      </c>
      <c r="AL149" s="233">
        <v>15</v>
      </c>
      <c r="AM149" s="233">
        <f>G149*0</f>
        <v>0</v>
      </c>
      <c r="AN149" s="233">
        <f>G149*(1-0)</f>
        <v>0</v>
      </c>
      <c r="AO149" s="234" t="s">
        <v>177</v>
      </c>
      <c r="AT149" s="233">
        <f>AU149+AV149</f>
        <v>0</v>
      </c>
      <c r="AU149" s="233">
        <f>F149*AM149</f>
        <v>0</v>
      </c>
      <c r="AV149" s="233">
        <f>F149*AN149</f>
        <v>0</v>
      </c>
      <c r="AW149" s="234" t="s">
        <v>387</v>
      </c>
      <c r="AX149" s="234" t="s">
        <v>375</v>
      </c>
      <c r="AY149" s="229" t="s">
        <v>164</v>
      </c>
      <c r="BA149" s="233">
        <f>AU149+AV149</f>
        <v>0</v>
      </c>
      <c r="BB149" s="233">
        <f>G149/(100-BC149)*100</f>
        <v>0</v>
      </c>
      <c r="BC149" s="233">
        <v>0</v>
      </c>
      <c r="BD149" s="233">
        <f>L149</f>
        <v>0</v>
      </c>
      <c r="BF149" s="233">
        <f>F149*AM149</f>
        <v>0</v>
      </c>
      <c r="BG149" s="233">
        <f>F149*AN149</f>
        <v>0</v>
      </c>
      <c r="BH149" s="233">
        <f>F149*G149</f>
        <v>0</v>
      </c>
      <c r="BI149" s="233"/>
      <c r="BJ149" s="233"/>
      <c r="BU149" s="233" t="e">
        <f>#REF!</f>
        <v>#REF!</v>
      </c>
      <c r="BV149" s="225" t="s">
        <v>386</v>
      </c>
    </row>
    <row r="150" spans="1:74" ht="14.4" x14ac:dyDescent="0.3">
      <c r="A150" s="239" t="s">
        <v>396</v>
      </c>
      <c r="B150" s="223" t="s">
        <v>388</v>
      </c>
      <c r="C150" s="521" t="s">
        <v>389</v>
      </c>
      <c r="D150" s="519"/>
      <c r="E150" s="223" t="s">
        <v>380</v>
      </c>
      <c r="F150" s="233">
        <v>132.82</v>
      </c>
      <c r="G150" s="311">
        <v>0</v>
      </c>
      <c r="H150" s="233">
        <f>F150*AM150</f>
        <v>0</v>
      </c>
      <c r="I150" s="233">
        <f>F150*AN150</f>
        <v>0</v>
      </c>
      <c r="J150" s="233">
        <f>F150*G150</f>
        <v>0</v>
      </c>
      <c r="K150" s="233">
        <v>0</v>
      </c>
      <c r="L150" s="233">
        <f>F150*K150</f>
        <v>0</v>
      </c>
      <c r="M150" s="240" t="s">
        <v>472</v>
      </c>
      <c r="X150" s="233">
        <f>IF(AO150="5",BH150,0)</f>
        <v>0</v>
      </c>
      <c r="Z150" s="233">
        <f>IF(AO150="1",BF150,0)</f>
        <v>0</v>
      </c>
      <c r="AA150" s="233">
        <f>IF(AO150="1",BG150,0)</f>
        <v>0</v>
      </c>
      <c r="AB150" s="233">
        <f>IF(AO150="7",BF150,0)</f>
        <v>0</v>
      </c>
      <c r="AC150" s="233">
        <f>IF(AO150="7",BG150,0)</f>
        <v>0</v>
      </c>
      <c r="AD150" s="233">
        <f>IF(AO150="2",BF150,0)</f>
        <v>0</v>
      </c>
      <c r="AE150" s="233">
        <f>IF(AO150="2",BG150,0)</f>
        <v>0</v>
      </c>
      <c r="AF150" s="233">
        <f>IF(AO150="0",BH150,0)</f>
        <v>0</v>
      </c>
      <c r="AG150" s="229" t="s">
        <v>154</v>
      </c>
      <c r="AH150" s="233">
        <f>IF(AL150=0,J150,0)</f>
        <v>0</v>
      </c>
      <c r="AI150" s="233">
        <f>IF(AL150=15,J150,0)</f>
        <v>0</v>
      </c>
      <c r="AJ150" s="233">
        <f>IF(AL150=21,J150,0)</f>
        <v>0</v>
      </c>
      <c r="AL150" s="233">
        <v>15</v>
      </c>
      <c r="AM150" s="233">
        <f>G150*0</f>
        <v>0</v>
      </c>
      <c r="AN150" s="233">
        <f>G150*(1-0)</f>
        <v>0</v>
      </c>
      <c r="AO150" s="234" t="s">
        <v>177</v>
      </c>
      <c r="AT150" s="233">
        <f>AU150+AV150</f>
        <v>0</v>
      </c>
      <c r="AU150" s="233">
        <f>F150*AM150</f>
        <v>0</v>
      </c>
      <c r="AV150" s="233">
        <f>F150*AN150</f>
        <v>0</v>
      </c>
      <c r="AW150" s="234" t="s">
        <v>387</v>
      </c>
      <c r="AX150" s="234" t="s">
        <v>375</v>
      </c>
      <c r="AY150" s="229" t="s">
        <v>164</v>
      </c>
      <c r="BA150" s="233">
        <f>AU150+AV150</f>
        <v>0</v>
      </c>
      <c r="BB150" s="233">
        <f>G150/(100-BC150)*100</f>
        <v>0</v>
      </c>
      <c r="BC150" s="233">
        <v>0</v>
      </c>
      <c r="BD150" s="233">
        <f>L150</f>
        <v>0</v>
      </c>
      <c r="BF150" s="233">
        <f>F150*AM150</f>
        <v>0</v>
      </c>
      <c r="BG150" s="233">
        <f>F150*AN150</f>
        <v>0</v>
      </c>
      <c r="BH150" s="233">
        <f>F150*G150</f>
        <v>0</v>
      </c>
      <c r="BI150" s="233"/>
      <c r="BJ150" s="233"/>
      <c r="BU150" s="233" t="e">
        <f>#REF!</f>
        <v>#REF!</v>
      </c>
      <c r="BV150" s="225" t="s">
        <v>389</v>
      </c>
    </row>
    <row r="151" spans="1:74" ht="40.5" customHeight="1" x14ac:dyDescent="0.3">
      <c r="A151" s="241"/>
      <c r="B151" s="242" t="s">
        <v>165</v>
      </c>
      <c r="C151" s="530" t="s">
        <v>1765</v>
      </c>
      <c r="D151" s="531"/>
      <c r="E151" s="531"/>
      <c r="F151" s="531"/>
      <c r="G151" s="531"/>
      <c r="H151" s="531"/>
      <c r="I151" s="531"/>
      <c r="J151" s="531"/>
      <c r="K151" s="531"/>
      <c r="L151" s="531"/>
      <c r="M151" s="532"/>
    </row>
    <row r="152" spans="1:74" ht="14.4" x14ac:dyDescent="0.3">
      <c r="A152" s="239" t="s">
        <v>401</v>
      </c>
      <c r="B152" s="223" t="s">
        <v>391</v>
      </c>
      <c r="C152" s="521" t="s">
        <v>392</v>
      </c>
      <c r="D152" s="519"/>
      <c r="E152" s="223" t="s">
        <v>380</v>
      </c>
      <c r="F152" s="233">
        <v>1.93</v>
      </c>
      <c r="G152" s="311">
        <v>0</v>
      </c>
      <c r="H152" s="233">
        <f>F152*AM152</f>
        <v>0</v>
      </c>
      <c r="I152" s="233">
        <f>F152*AN152</f>
        <v>0</v>
      </c>
      <c r="J152" s="233">
        <f>F152*G152</f>
        <v>0</v>
      </c>
      <c r="K152" s="233">
        <v>0</v>
      </c>
      <c r="L152" s="233">
        <f>F152*K152</f>
        <v>0</v>
      </c>
      <c r="M152" s="240" t="s">
        <v>472</v>
      </c>
      <c r="X152" s="233">
        <f>IF(AO152="5",BH152,0)</f>
        <v>0</v>
      </c>
      <c r="Z152" s="233">
        <f>IF(AO152="1",BF152,0)</f>
        <v>0</v>
      </c>
      <c r="AA152" s="233">
        <f>IF(AO152="1",BG152,0)</f>
        <v>0</v>
      </c>
      <c r="AB152" s="233">
        <f>IF(AO152="7",BF152,0)</f>
        <v>0</v>
      </c>
      <c r="AC152" s="233">
        <f>IF(AO152="7",BG152,0)</f>
        <v>0</v>
      </c>
      <c r="AD152" s="233">
        <f>IF(AO152="2",BF152,0)</f>
        <v>0</v>
      </c>
      <c r="AE152" s="233">
        <f>IF(AO152="2",BG152,0)</f>
        <v>0</v>
      </c>
      <c r="AF152" s="233">
        <f>IF(AO152="0",BH152,0)</f>
        <v>0</v>
      </c>
      <c r="AG152" s="229" t="s">
        <v>154</v>
      </c>
      <c r="AH152" s="233">
        <f>IF(AL152=0,J152,0)</f>
        <v>0</v>
      </c>
      <c r="AI152" s="233">
        <f>IF(AL152=15,J152,0)</f>
        <v>0</v>
      </c>
      <c r="AJ152" s="233">
        <f>IF(AL152=21,J152,0)</f>
        <v>0</v>
      </c>
      <c r="AL152" s="233">
        <v>15</v>
      </c>
      <c r="AM152" s="233">
        <f>G152*0</f>
        <v>0</v>
      </c>
      <c r="AN152" s="233">
        <f>G152*(1-0)</f>
        <v>0</v>
      </c>
      <c r="AO152" s="234" t="s">
        <v>177</v>
      </c>
      <c r="AT152" s="233">
        <f>AU152+AV152</f>
        <v>0</v>
      </c>
      <c r="AU152" s="233">
        <f>F152*AM152</f>
        <v>0</v>
      </c>
      <c r="AV152" s="233">
        <f>F152*AN152</f>
        <v>0</v>
      </c>
      <c r="AW152" s="234" t="s">
        <v>387</v>
      </c>
      <c r="AX152" s="234" t="s">
        <v>375</v>
      </c>
      <c r="AY152" s="229" t="s">
        <v>164</v>
      </c>
      <c r="BA152" s="233">
        <f>AU152+AV152</f>
        <v>0</v>
      </c>
      <c r="BB152" s="233">
        <f>G152/(100-BC152)*100</f>
        <v>0</v>
      </c>
      <c r="BC152" s="233">
        <v>0</v>
      </c>
      <c r="BD152" s="233">
        <f>L152</f>
        <v>0</v>
      </c>
      <c r="BF152" s="233">
        <f>F152*AM152</f>
        <v>0</v>
      </c>
      <c r="BG152" s="233">
        <f>F152*AN152</f>
        <v>0</v>
      </c>
      <c r="BH152" s="233">
        <f>F152*G152</f>
        <v>0</v>
      </c>
      <c r="BI152" s="233"/>
      <c r="BJ152" s="233"/>
      <c r="BU152" s="233" t="e">
        <f>#REF!</f>
        <v>#REF!</v>
      </c>
      <c r="BV152" s="225" t="s">
        <v>392</v>
      </c>
    </row>
    <row r="153" spans="1:74" ht="40.5" customHeight="1" x14ac:dyDescent="0.3">
      <c r="A153" s="241"/>
      <c r="B153" s="242" t="s">
        <v>165</v>
      </c>
      <c r="C153" s="530" t="s">
        <v>1766</v>
      </c>
      <c r="D153" s="531"/>
      <c r="E153" s="531"/>
      <c r="F153" s="531"/>
      <c r="G153" s="531"/>
      <c r="H153" s="531"/>
      <c r="I153" s="531"/>
      <c r="J153" s="531"/>
      <c r="K153" s="531"/>
      <c r="L153" s="531"/>
      <c r="M153" s="532"/>
    </row>
    <row r="154" spans="1:74" ht="26.4" x14ac:dyDescent="0.3">
      <c r="A154" s="239" t="s">
        <v>405</v>
      </c>
      <c r="B154" s="223" t="s">
        <v>385</v>
      </c>
      <c r="C154" s="521" t="s">
        <v>443</v>
      </c>
      <c r="D154" s="519"/>
      <c r="E154" s="223" t="s">
        <v>380</v>
      </c>
      <c r="F154" s="233">
        <v>14.71</v>
      </c>
      <c r="G154" s="311">
        <v>0</v>
      </c>
      <c r="H154" s="233">
        <f>F154*AM154</f>
        <v>0</v>
      </c>
      <c r="I154" s="233">
        <f>F154*AN154</f>
        <v>0</v>
      </c>
      <c r="J154" s="233">
        <f>F154*G154</f>
        <v>0</v>
      </c>
      <c r="K154" s="233">
        <v>0</v>
      </c>
      <c r="L154" s="233">
        <f>F154*K154</f>
        <v>0</v>
      </c>
      <c r="M154" s="240" t="s">
        <v>472</v>
      </c>
      <c r="X154" s="233">
        <f>IF(AO154="5",BH154,0)</f>
        <v>0</v>
      </c>
      <c r="Z154" s="233">
        <f>IF(AO154="1",BF154,0)</f>
        <v>0</v>
      </c>
      <c r="AA154" s="233">
        <f>IF(AO154="1",BG154,0)</f>
        <v>0</v>
      </c>
      <c r="AB154" s="233">
        <f>IF(AO154="7",BF154,0)</f>
        <v>0</v>
      </c>
      <c r="AC154" s="233">
        <f>IF(AO154="7",BG154,0)</f>
        <v>0</v>
      </c>
      <c r="AD154" s="233">
        <f>IF(AO154="2",BF154,0)</f>
        <v>0</v>
      </c>
      <c r="AE154" s="233">
        <f>IF(AO154="2",BG154,0)</f>
        <v>0</v>
      </c>
      <c r="AF154" s="233">
        <f>IF(AO154="0",BH154,0)</f>
        <v>0</v>
      </c>
      <c r="AG154" s="229" t="s">
        <v>154</v>
      </c>
      <c r="AH154" s="233">
        <f>IF(AL154=0,J154,0)</f>
        <v>0</v>
      </c>
      <c r="AI154" s="233">
        <f>IF(AL154=15,J154,0)</f>
        <v>0</v>
      </c>
      <c r="AJ154" s="233">
        <f>IF(AL154=21,J154,0)</f>
        <v>0</v>
      </c>
      <c r="AL154" s="233">
        <v>15</v>
      </c>
      <c r="AM154" s="233">
        <f>G154*0</f>
        <v>0</v>
      </c>
      <c r="AN154" s="233">
        <f>G154*(1-0)</f>
        <v>0</v>
      </c>
      <c r="AO154" s="234" t="s">
        <v>177</v>
      </c>
      <c r="AT154" s="233">
        <f>AU154+AV154</f>
        <v>0</v>
      </c>
      <c r="AU154" s="233">
        <f>F154*AM154</f>
        <v>0</v>
      </c>
      <c r="AV154" s="233">
        <f>F154*AN154</f>
        <v>0</v>
      </c>
      <c r="AW154" s="234" t="s">
        <v>387</v>
      </c>
      <c r="AX154" s="234" t="s">
        <v>375</v>
      </c>
      <c r="AY154" s="229" t="s">
        <v>164</v>
      </c>
      <c r="BA154" s="233">
        <f>AU154+AV154</f>
        <v>0</v>
      </c>
      <c r="BB154" s="233">
        <f>G154/(100-BC154)*100</f>
        <v>0</v>
      </c>
      <c r="BC154" s="233">
        <v>0</v>
      </c>
      <c r="BD154" s="233">
        <f>L154</f>
        <v>0</v>
      </c>
      <c r="BF154" s="233">
        <f>F154*AM154</f>
        <v>0</v>
      </c>
      <c r="BG154" s="233">
        <f>F154*AN154</f>
        <v>0</v>
      </c>
      <c r="BH154" s="233">
        <f>F154*G154</f>
        <v>0</v>
      </c>
      <c r="BI154" s="233"/>
      <c r="BJ154" s="233"/>
      <c r="BU154" s="233" t="e">
        <f>#REF!</f>
        <v>#REF!</v>
      </c>
      <c r="BV154" s="225" t="s">
        <v>443</v>
      </c>
    </row>
    <row r="155" spans="1:74" ht="14.4" x14ac:dyDescent="0.3">
      <c r="A155" s="239" t="s">
        <v>154</v>
      </c>
      <c r="B155" s="224" t="s">
        <v>399</v>
      </c>
      <c r="C155" s="526" t="s">
        <v>400</v>
      </c>
      <c r="D155" s="527"/>
      <c r="E155" s="223" t="s">
        <v>114</v>
      </c>
      <c r="F155" s="223" t="s">
        <v>114</v>
      </c>
      <c r="G155" s="223" t="s">
        <v>114</v>
      </c>
      <c r="H155" s="235">
        <f>SUM(H156:H158)</f>
        <v>0</v>
      </c>
      <c r="I155" s="235">
        <f>SUM(I156:I158)</f>
        <v>0</v>
      </c>
      <c r="J155" s="235">
        <f>SUM(J156:J158)</f>
        <v>0</v>
      </c>
      <c r="K155" s="230" t="s">
        <v>154</v>
      </c>
      <c r="L155" s="235">
        <f>SUM(L156:L158)</f>
        <v>0</v>
      </c>
      <c r="M155" s="243" t="s">
        <v>154</v>
      </c>
      <c r="AG155" s="229" t="s">
        <v>154</v>
      </c>
      <c r="AQ155" s="222">
        <f>SUM(AH156:AH158)</f>
        <v>0</v>
      </c>
      <c r="AR155" s="222">
        <f>SUM(AI156:AI158)</f>
        <v>0</v>
      </c>
      <c r="AS155" s="222">
        <f>SUM(AJ156:AJ158)</f>
        <v>0</v>
      </c>
    </row>
    <row r="156" spans="1:74" ht="14.4" x14ac:dyDescent="0.3">
      <c r="A156" s="239" t="s">
        <v>408</v>
      </c>
      <c r="B156" s="223" t="s">
        <v>402</v>
      </c>
      <c r="C156" s="521" t="s">
        <v>403</v>
      </c>
      <c r="D156" s="519"/>
      <c r="E156" s="223" t="s">
        <v>380</v>
      </c>
      <c r="F156" s="233">
        <v>0.22</v>
      </c>
      <c r="G156" s="311">
        <v>0</v>
      </c>
      <c r="H156" s="233">
        <f>F156*AM156</f>
        <v>0</v>
      </c>
      <c r="I156" s="233">
        <f>F156*AN156</f>
        <v>0</v>
      </c>
      <c r="J156" s="233">
        <f>F156*G156</f>
        <v>0</v>
      </c>
      <c r="K156" s="233">
        <v>0</v>
      </c>
      <c r="L156" s="233">
        <f>F156*K156</f>
        <v>0</v>
      </c>
      <c r="M156" s="240" t="s">
        <v>472</v>
      </c>
      <c r="X156" s="233">
        <f>IF(AO156="5",BH156,0)</f>
        <v>0</v>
      </c>
      <c r="Z156" s="233">
        <f>IF(AO156="1",BF156,0)</f>
        <v>0</v>
      </c>
      <c r="AA156" s="233">
        <f>IF(AO156="1",BG156,0)</f>
        <v>0</v>
      </c>
      <c r="AB156" s="233">
        <f>IF(AO156="7",BF156,0)</f>
        <v>0</v>
      </c>
      <c r="AC156" s="233">
        <f>IF(AO156="7",BG156,0)</f>
        <v>0</v>
      </c>
      <c r="AD156" s="233">
        <f>IF(AO156="2",BF156,0)</f>
        <v>0</v>
      </c>
      <c r="AE156" s="233">
        <f>IF(AO156="2",BG156,0)</f>
        <v>0</v>
      </c>
      <c r="AF156" s="233">
        <f>IF(AO156="0",BH156,0)</f>
        <v>0</v>
      </c>
      <c r="AG156" s="229" t="s">
        <v>154</v>
      </c>
      <c r="AH156" s="233">
        <f>IF(AL156=0,J156,0)</f>
        <v>0</v>
      </c>
      <c r="AI156" s="233">
        <f>IF(AL156=15,J156,0)</f>
        <v>0</v>
      </c>
      <c r="AJ156" s="233">
        <f>IF(AL156=21,J156,0)</f>
        <v>0</v>
      </c>
      <c r="AL156" s="233">
        <v>15</v>
      </c>
      <c r="AM156" s="233">
        <f>G156*0</f>
        <v>0</v>
      </c>
      <c r="AN156" s="233">
        <f>G156*(1-0)</f>
        <v>0</v>
      </c>
      <c r="AO156" s="234" t="s">
        <v>177</v>
      </c>
      <c r="AT156" s="233">
        <f>AU156+AV156</f>
        <v>0</v>
      </c>
      <c r="AU156" s="233">
        <f>F156*AM156</f>
        <v>0</v>
      </c>
      <c r="AV156" s="233">
        <f>F156*AN156</f>
        <v>0</v>
      </c>
      <c r="AW156" s="234" t="s">
        <v>404</v>
      </c>
      <c r="AX156" s="234" t="s">
        <v>375</v>
      </c>
      <c r="AY156" s="229" t="s">
        <v>164</v>
      </c>
      <c r="BA156" s="233">
        <f>AU156+AV156</f>
        <v>0</v>
      </c>
      <c r="BB156" s="233">
        <f>G156/(100-BC156)*100</f>
        <v>0</v>
      </c>
      <c r="BC156" s="233">
        <v>0</v>
      </c>
      <c r="BD156" s="233">
        <f>L156</f>
        <v>0</v>
      </c>
      <c r="BF156" s="233">
        <f>F156*AM156</f>
        <v>0</v>
      </c>
      <c r="BG156" s="233">
        <f>F156*AN156</f>
        <v>0</v>
      </c>
      <c r="BH156" s="233">
        <f>F156*G156</f>
        <v>0</v>
      </c>
      <c r="BI156" s="233"/>
      <c r="BJ156" s="233"/>
      <c r="BU156" s="233" t="e">
        <f>#REF!</f>
        <v>#REF!</v>
      </c>
      <c r="BV156" s="225" t="s">
        <v>403</v>
      </c>
    </row>
    <row r="157" spans="1:74" ht="14.4" x14ac:dyDescent="0.3">
      <c r="A157" s="239" t="s">
        <v>413</v>
      </c>
      <c r="B157" s="223" t="s">
        <v>406</v>
      </c>
      <c r="C157" s="521" t="s">
        <v>407</v>
      </c>
      <c r="D157" s="519"/>
      <c r="E157" s="223" t="s">
        <v>380</v>
      </c>
      <c r="F157" s="233">
        <v>26.17</v>
      </c>
      <c r="G157" s="311">
        <v>0</v>
      </c>
      <c r="H157" s="233">
        <f>F157*AM157</f>
        <v>0</v>
      </c>
      <c r="I157" s="233">
        <f>F157*AN157</f>
        <v>0</v>
      </c>
      <c r="J157" s="233">
        <f>F157*G157</f>
        <v>0</v>
      </c>
      <c r="K157" s="233">
        <v>0</v>
      </c>
      <c r="L157" s="233">
        <f>F157*K157</f>
        <v>0</v>
      </c>
      <c r="M157" s="240" t="s">
        <v>472</v>
      </c>
      <c r="X157" s="233">
        <f>IF(AO157="5",BH157,0)</f>
        <v>0</v>
      </c>
      <c r="Z157" s="233">
        <f>IF(AO157="1",BF157,0)</f>
        <v>0</v>
      </c>
      <c r="AA157" s="233">
        <f>IF(AO157="1",BG157,0)</f>
        <v>0</v>
      </c>
      <c r="AB157" s="233">
        <f>IF(AO157="7",BF157,0)</f>
        <v>0</v>
      </c>
      <c r="AC157" s="233">
        <f>IF(AO157="7",BG157,0)</f>
        <v>0</v>
      </c>
      <c r="AD157" s="233">
        <f>IF(AO157="2",BF157,0)</f>
        <v>0</v>
      </c>
      <c r="AE157" s="233">
        <f>IF(AO157="2",BG157,0)</f>
        <v>0</v>
      </c>
      <c r="AF157" s="233">
        <f>IF(AO157="0",BH157,0)</f>
        <v>0</v>
      </c>
      <c r="AG157" s="229" t="s">
        <v>154</v>
      </c>
      <c r="AH157" s="233">
        <f>IF(AL157=0,J157,0)</f>
        <v>0</v>
      </c>
      <c r="AI157" s="233">
        <f>IF(AL157=15,J157,0)</f>
        <v>0</v>
      </c>
      <c r="AJ157" s="233">
        <f>IF(AL157=21,J157,0)</f>
        <v>0</v>
      </c>
      <c r="AL157" s="233">
        <v>15</v>
      </c>
      <c r="AM157" s="233">
        <f>G157*0</f>
        <v>0</v>
      </c>
      <c r="AN157" s="233">
        <f>G157*(1-0)</f>
        <v>0</v>
      </c>
      <c r="AO157" s="234" t="s">
        <v>177</v>
      </c>
      <c r="AT157" s="233">
        <f>AU157+AV157</f>
        <v>0</v>
      </c>
      <c r="AU157" s="233">
        <f>F157*AM157</f>
        <v>0</v>
      </c>
      <c r="AV157" s="233">
        <f>F157*AN157</f>
        <v>0</v>
      </c>
      <c r="AW157" s="234" t="s">
        <v>404</v>
      </c>
      <c r="AX157" s="234" t="s">
        <v>375</v>
      </c>
      <c r="AY157" s="229" t="s">
        <v>164</v>
      </c>
      <c r="BA157" s="233">
        <f>AU157+AV157</f>
        <v>0</v>
      </c>
      <c r="BB157" s="233">
        <f>G157/(100-BC157)*100</f>
        <v>0</v>
      </c>
      <c r="BC157" s="233">
        <v>0</v>
      </c>
      <c r="BD157" s="233">
        <f>L157</f>
        <v>0</v>
      </c>
      <c r="BF157" s="233">
        <f>F157*AM157</f>
        <v>0</v>
      </c>
      <c r="BG157" s="233">
        <f>F157*AN157</f>
        <v>0</v>
      </c>
      <c r="BH157" s="233">
        <f>F157*G157</f>
        <v>0</v>
      </c>
      <c r="BI157" s="233"/>
      <c r="BJ157" s="233"/>
      <c r="BU157" s="233" t="e">
        <f>#REF!</f>
        <v>#REF!</v>
      </c>
      <c r="BV157" s="225" t="s">
        <v>407</v>
      </c>
    </row>
    <row r="158" spans="1:74" ht="14.4" x14ac:dyDescent="0.3">
      <c r="A158" s="239" t="s">
        <v>419</v>
      </c>
      <c r="B158" s="223" t="s">
        <v>409</v>
      </c>
      <c r="C158" s="521" t="s">
        <v>410</v>
      </c>
      <c r="D158" s="519"/>
      <c r="E158" s="223" t="s">
        <v>380</v>
      </c>
      <c r="F158" s="233">
        <v>0.49</v>
      </c>
      <c r="G158" s="311">
        <v>0</v>
      </c>
      <c r="H158" s="233">
        <f>F158*AM158</f>
        <v>0</v>
      </c>
      <c r="I158" s="233">
        <f>F158*AN158</f>
        <v>0</v>
      </c>
      <c r="J158" s="233">
        <f>F158*G158</f>
        <v>0</v>
      </c>
      <c r="K158" s="233">
        <v>0</v>
      </c>
      <c r="L158" s="233">
        <f>F158*K158</f>
        <v>0</v>
      </c>
      <c r="M158" s="240" t="s">
        <v>472</v>
      </c>
      <c r="X158" s="233">
        <f>IF(AO158="5",BH158,0)</f>
        <v>0</v>
      </c>
      <c r="Z158" s="233">
        <f>IF(AO158="1",BF158,0)</f>
        <v>0</v>
      </c>
      <c r="AA158" s="233">
        <f>IF(AO158="1",BG158,0)</f>
        <v>0</v>
      </c>
      <c r="AB158" s="233">
        <f>IF(AO158="7",BF158,0)</f>
        <v>0</v>
      </c>
      <c r="AC158" s="233">
        <f>IF(AO158="7",BG158,0)</f>
        <v>0</v>
      </c>
      <c r="AD158" s="233">
        <f>IF(AO158="2",BF158,0)</f>
        <v>0</v>
      </c>
      <c r="AE158" s="233">
        <f>IF(AO158="2",BG158,0)</f>
        <v>0</v>
      </c>
      <c r="AF158" s="233">
        <f>IF(AO158="0",BH158,0)</f>
        <v>0</v>
      </c>
      <c r="AG158" s="229" t="s">
        <v>154</v>
      </c>
      <c r="AH158" s="233">
        <f>IF(AL158=0,J158,0)</f>
        <v>0</v>
      </c>
      <c r="AI158" s="233">
        <f>IF(AL158=15,J158,0)</f>
        <v>0</v>
      </c>
      <c r="AJ158" s="233">
        <f>IF(AL158=21,J158,0)</f>
        <v>0</v>
      </c>
      <c r="AL158" s="233">
        <v>15</v>
      </c>
      <c r="AM158" s="233">
        <f>G158*0</f>
        <v>0</v>
      </c>
      <c r="AN158" s="233">
        <f>G158*(1-0)</f>
        <v>0</v>
      </c>
      <c r="AO158" s="234" t="s">
        <v>177</v>
      </c>
      <c r="AT158" s="233">
        <f>AU158+AV158</f>
        <v>0</v>
      </c>
      <c r="AU158" s="233">
        <f>F158*AM158</f>
        <v>0</v>
      </c>
      <c r="AV158" s="233">
        <f>F158*AN158</f>
        <v>0</v>
      </c>
      <c r="AW158" s="234" t="s">
        <v>404</v>
      </c>
      <c r="AX158" s="234" t="s">
        <v>375</v>
      </c>
      <c r="AY158" s="229" t="s">
        <v>164</v>
      </c>
      <c r="BA158" s="233">
        <f>AU158+AV158</f>
        <v>0</v>
      </c>
      <c r="BB158" s="233">
        <f>G158/(100-BC158)*100</f>
        <v>0</v>
      </c>
      <c r="BC158" s="233">
        <v>0</v>
      </c>
      <c r="BD158" s="233">
        <f>L158</f>
        <v>0</v>
      </c>
      <c r="BF158" s="233">
        <f>F158*AM158</f>
        <v>0</v>
      </c>
      <c r="BG158" s="233">
        <f>F158*AN158</f>
        <v>0</v>
      </c>
      <c r="BH158" s="233">
        <f>F158*G158</f>
        <v>0</v>
      </c>
      <c r="BI158" s="233"/>
      <c r="BJ158" s="233"/>
      <c r="BU158" s="233" t="e">
        <f>#REF!</f>
        <v>#REF!</v>
      </c>
      <c r="BV158" s="225" t="s">
        <v>410</v>
      </c>
    </row>
    <row r="159" spans="1:74" ht="14.4" x14ac:dyDescent="0.3">
      <c r="A159" s="239" t="s">
        <v>154</v>
      </c>
      <c r="B159" s="224" t="s">
        <v>1383</v>
      </c>
      <c r="C159" s="526" t="s">
        <v>449</v>
      </c>
      <c r="D159" s="527"/>
      <c r="E159" s="223" t="s">
        <v>114</v>
      </c>
      <c r="F159" s="223" t="s">
        <v>114</v>
      </c>
      <c r="G159" s="223" t="s">
        <v>114</v>
      </c>
      <c r="H159" s="235">
        <f>SUM(H160:H178)</f>
        <v>0</v>
      </c>
      <c r="I159" s="235">
        <f>SUM(I160:I178)</f>
        <v>0</v>
      </c>
      <c r="J159" s="235">
        <f>SUM(J160:J178)</f>
        <v>0</v>
      </c>
      <c r="K159" s="230" t="s">
        <v>154</v>
      </c>
      <c r="L159" s="235">
        <f>SUM(L160:L178)</f>
        <v>0.43370820000000004</v>
      </c>
      <c r="M159" s="243" t="s">
        <v>154</v>
      </c>
      <c r="AG159" s="229" t="s">
        <v>154</v>
      </c>
      <c r="AQ159" s="222">
        <f>SUM(AH160:AH178)</f>
        <v>0</v>
      </c>
      <c r="AR159" s="222">
        <f>SUM(AI160:AI178)</f>
        <v>0</v>
      </c>
      <c r="AS159" s="222">
        <f>SUM(AJ160:AJ178)</f>
        <v>0</v>
      </c>
    </row>
    <row r="160" spans="1:74" ht="14.4" x14ac:dyDescent="0.3">
      <c r="A160" s="239" t="s">
        <v>548</v>
      </c>
      <c r="B160" s="223" t="s">
        <v>929</v>
      </c>
      <c r="C160" s="521" t="s">
        <v>930</v>
      </c>
      <c r="D160" s="519"/>
      <c r="E160" s="223" t="s">
        <v>365</v>
      </c>
      <c r="F160" s="233">
        <v>2.48</v>
      </c>
      <c r="G160" s="311">
        <v>0</v>
      </c>
      <c r="H160" s="233">
        <f>F160*AM160</f>
        <v>0</v>
      </c>
      <c r="I160" s="233">
        <f>F160*AN160</f>
        <v>0</v>
      </c>
      <c r="J160" s="233">
        <f>F160*G160</f>
        <v>0</v>
      </c>
      <c r="K160" s="233">
        <v>5.8200000000000002E-2</v>
      </c>
      <c r="L160" s="233">
        <f>F160*K160</f>
        <v>0.14433599999999999</v>
      </c>
      <c r="M160" s="240" t="s">
        <v>472</v>
      </c>
      <c r="X160" s="233">
        <f>IF(AO160="5",BH160,0)</f>
        <v>0</v>
      </c>
      <c r="Z160" s="233">
        <f>IF(AO160="1",BF160,0)</f>
        <v>0</v>
      </c>
      <c r="AA160" s="233">
        <f>IF(AO160="1",BG160,0)</f>
        <v>0</v>
      </c>
      <c r="AB160" s="233">
        <f>IF(AO160="7",BF160,0)</f>
        <v>0</v>
      </c>
      <c r="AC160" s="233">
        <f>IF(AO160="7",BG160,0)</f>
        <v>0</v>
      </c>
      <c r="AD160" s="233">
        <f>IF(AO160="2",BF160,0)</f>
        <v>0</v>
      </c>
      <c r="AE160" s="233">
        <f>IF(AO160="2",BG160,0)</f>
        <v>0</v>
      </c>
      <c r="AF160" s="233">
        <f>IF(AO160="0",BH160,0)</f>
        <v>0</v>
      </c>
      <c r="AG160" s="229" t="s">
        <v>154</v>
      </c>
      <c r="AH160" s="233">
        <f>IF(AL160=0,J160,0)</f>
        <v>0</v>
      </c>
      <c r="AI160" s="233">
        <f>IF(AL160=15,J160,0)</f>
        <v>0</v>
      </c>
      <c r="AJ160" s="233">
        <f>IF(AL160=21,J160,0)</f>
        <v>0</v>
      </c>
      <c r="AL160" s="233">
        <v>15</v>
      </c>
      <c r="AM160" s="233">
        <f>G160*1</f>
        <v>0</v>
      </c>
      <c r="AN160" s="233">
        <f>G160*(1-1)</f>
        <v>0</v>
      </c>
      <c r="AO160" s="234" t="s">
        <v>453</v>
      </c>
      <c r="AT160" s="233">
        <f>AU160+AV160</f>
        <v>0</v>
      </c>
      <c r="AU160" s="233">
        <f>F160*AM160</f>
        <v>0</v>
      </c>
      <c r="AV160" s="233">
        <f>F160*AN160</f>
        <v>0</v>
      </c>
      <c r="AW160" s="234" t="s">
        <v>454</v>
      </c>
      <c r="AX160" s="234" t="s">
        <v>455</v>
      </c>
      <c r="AY160" s="229" t="s">
        <v>164</v>
      </c>
      <c r="BA160" s="233">
        <f>AU160+AV160</f>
        <v>0</v>
      </c>
      <c r="BB160" s="233">
        <f>G160/(100-BC160)*100</f>
        <v>0</v>
      </c>
      <c r="BC160" s="233">
        <v>0</v>
      </c>
      <c r="BD160" s="233">
        <f>L160</f>
        <v>0.14433599999999999</v>
      </c>
      <c r="BF160" s="233">
        <f>F160*AM160</f>
        <v>0</v>
      </c>
      <c r="BG160" s="233">
        <f>F160*AN160</f>
        <v>0</v>
      </c>
      <c r="BH160" s="233">
        <f>F160*G160</f>
        <v>0</v>
      </c>
      <c r="BI160" s="233"/>
      <c r="BJ160" s="233"/>
      <c r="BU160" s="233" t="e">
        <f>#REF!</f>
        <v>#REF!</v>
      </c>
      <c r="BV160" s="225" t="s">
        <v>930</v>
      </c>
    </row>
    <row r="161" spans="1:74" ht="67.5" customHeight="1" x14ac:dyDescent="0.3">
      <c r="A161" s="241"/>
      <c r="B161" s="242" t="s">
        <v>165</v>
      </c>
      <c r="C161" s="530" t="s">
        <v>1767</v>
      </c>
      <c r="D161" s="531"/>
      <c r="E161" s="531"/>
      <c r="F161" s="531"/>
      <c r="G161" s="531"/>
      <c r="H161" s="531"/>
      <c r="I161" s="531"/>
      <c r="J161" s="531"/>
      <c r="K161" s="531"/>
      <c r="L161" s="531"/>
      <c r="M161" s="532"/>
    </row>
    <row r="162" spans="1:74" ht="14.4" x14ac:dyDescent="0.3">
      <c r="A162" s="239" t="s">
        <v>551</v>
      </c>
      <c r="B162" s="223" t="s">
        <v>931</v>
      </c>
      <c r="C162" s="521" t="s">
        <v>932</v>
      </c>
      <c r="D162" s="519"/>
      <c r="E162" s="223" t="s">
        <v>365</v>
      </c>
      <c r="F162" s="233">
        <v>1.65</v>
      </c>
      <c r="G162" s="311">
        <v>0</v>
      </c>
      <c r="H162" s="233">
        <f>F162*AM162</f>
        <v>0</v>
      </c>
      <c r="I162" s="233">
        <f>F162*AN162</f>
        <v>0</v>
      </c>
      <c r="J162" s="233">
        <f>F162*G162</f>
        <v>0</v>
      </c>
      <c r="K162" s="233">
        <v>2.9100000000000001E-2</v>
      </c>
      <c r="L162" s="233">
        <f>F162*K162</f>
        <v>4.8015000000000002E-2</v>
      </c>
      <c r="M162" s="240" t="s">
        <v>472</v>
      </c>
      <c r="X162" s="233">
        <f>IF(AO162="5",BH162,0)</f>
        <v>0</v>
      </c>
      <c r="Z162" s="233">
        <f>IF(AO162="1",BF162,0)</f>
        <v>0</v>
      </c>
      <c r="AA162" s="233">
        <f>IF(AO162="1",BG162,0)</f>
        <v>0</v>
      </c>
      <c r="AB162" s="233">
        <f>IF(AO162="7",BF162,0)</f>
        <v>0</v>
      </c>
      <c r="AC162" s="233">
        <f>IF(AO162="7",BG162,0)</f>
        <v>0</v>
      </c>
      <c r="AD162" s="233">
        <f>IF(AO162="2",BF162,0)</f>
        <v>0</v>
      </c>
      <c r="AE162" s="233">
        <f>IF(AO162="2",BG162,0)</f>
        <v>0</v>
      </c>
      <c r="AF162" s="233">
        <f>IF(AO162="0",BH162,0)</f>
        <v>0</v>
      </c>
      <c r="AG162" s="229" t="s">
        <v>154</v>
      </c>
      <c r="AH162" s="233">
        <f>IF(AL162=0,J162,0)</f>
        <v>0</v>
      </c>
      <c r="AI162" s="233">
        <f>IF(AL162=15,J162,0)</f>
        <v>0</v>
      </c>
      <c r="AJ162" s="233">
        <f>IF(AL162=21,J162,0)</f>
        <v>0</v>
      </c>
      <c r="AL162" s="233">
        <v>15</v>
      </c>
      <c r="AM162" s="233">
        <f>G162*1</f>
        <v>0</v>
      </c>
      <c r="AN162" s="233">
        <f>G162*(1-1)</f>
        <v>0</v>
      </c>
      <c r="AO162" s="234" t="s">
        <v>453</v>
      </c>
      <c r="AT162" s="233">
        <f>AU162+AV162</f>
        <v>0</v>
      </c>
      <c r="AU162" s="233">
        <f>F162*AM162</f>
        <v>0</v>
      </c>
      <c r="AV162" s="233">
        <f>F162*AN162</f>
        <v>0</v>
      </c>
      <c r="AW162" s="234" t="s">
        <v>454</v>
      </c>
      <c r="AX162" s="234" t="s">
        <v>455</v>
      </c>
      <c r="AY162" s="229" t="s">
        <v>164</v>
      </c>
      <c r="BA162" s="233">
        <f>AU162+AV162</f>
        <v>0</v>
      </c>
      <c r="BB162" s="233">
        <f>G162/(100-BC162)*100</f>
        <v>0</v>
      </c>
      <c r="BC162" s="233">
        <v>0</v>
      </c>
      <c r="BD162" s="233">
        <f>L162</f>
        <v>4.8015000000000002E-2</v>
      </c>
      <c r="BF162" s="233">
        <f>F162*AM162</f>
        <v>0</v>
      </c>
      <c r="BG162" s="233">
        <f>F162*AN162</f>
        <v>0</v>
      </c>
      <c r="BH162" s="233">
        <f>F162*G162</f>
        <v>0</v>
      </c>
      <c r="BI162" s="233"/>
      <c r="BJ162" s="233"/>
      <c r="BU162" s="233" t="e">
        <f>#REF!</f>
        <v>#REF!</v>
      </c>
      <c r="BV162" s="225" t="s">
        <v>932</v>
      </c>
    </row>
    <row r="163" spans="1:74" ht="67.5" customHeight="1" x14ac:dyDescent="0.3">
      <c r="A163" s="244"/>
      <c r="B163" s="245" t="s">
        <v>165</v>
      </c>
      <c r="C163" s="540" t="s">
        <v>1768</v>
      </c>
      <c r="D163" s="541"/>
      <c r="E163" s="541"/>
      <c r="F163" s="541"/>
      <c r="G163" s="541"/>
      <c r="H163" s="541"/>
      <c r="I163" s="541"/>
      <c r="J163" s="541"/>
      <c r="K163" s="541"/>
      <c r="L163" s="541"/>
      <c r="M163" s="542"/>
    </row>
    <row r="164" spans="1:74" ht="14.4" x14ac:dyDescent="0.3">
      <c r="A164" s="237" t="s">
        <v>555</v>
      </c>
      <c r="B164" s="238" t="s">
        <v>933</v>
      </c>
      <c r="C164" s="543" t="s">
        <v>934</v>
      </c>
      <c r="D164" s="544"/>
      <c r="E164" s="238" t="s">
        <v>365</v>
      </c>
      <c r="F164" s="258">
        <v>1</v>
      </c>
      <c r="G164" s="311">
        <v>0</v>
      </c>
      <c r="H164" s="258">
        <f>F164*AM164</f>
        <v>0</v>
      </c>
      <c r="I164" s="258">
        <f>F164*AN164</f>
        <v>0</v>
      </c>
      <c r="J164" s="258">
        <f>F164*G164</f>
        <v>0</v>
      </c>
      <c r="K164" s="258">
        <v>3.6700000000000001E-3</v>
      </c>
      <c r="L164" s="258">
        <f>F164*K164</f>
        <v>3.6700000000000001E-3</v>
      </c>
      <c r="M164" s="259" t="s">
        <v>472</v>
      </c>
      <c r="X164" s="233">
        <f>IF(AO164="5",BH164,0)</f>
        <v>0</v>
      </c>
      <c r="Z164" s="233">
        <f>IF(AO164="1",BF164,0)</f>
        <v>0</v>
      </c>
      <c r="AA164" s="233">
        <f>IF(AO164="1",BG164,0)</f>
        <v>0</v>
      </c>
      <c r="AB164" s="233">
        <f>IF(AO164="7",BF164,0)</f>
        <v>0</v>
      </c>
      <c r="AC164" s="233">
        <f>IF(AO164="7",BG164,0)</f>
        <v>0</v>
      </c>
      <c r="AD164" s="233">
        <f>IF(AO164="2",BF164,0)</f>
        <v>0</v>
      </c>
      <c r="AE164" s="233">
        <f>IF(AO164="2",BG164,0)</f>
        <v>0</v>
      </c>
      <c r="AF164" s="233">
        <f>IF(AO164="0",BH164,0)</f>
        <v>0</v>
      </c>
      <c r="AG164" s="229" t="s">
        <v>154</v>
      </c>
      <c r="AH164" s="233">
        <f>IF(AL164=0,J164,0)</f>
        <v>0</v>
      </c>
      <c r="AI164" s="233">
        <f>IF(AL164=15,J164,0)</f>
        <v>0</v>
      </c>
      <c r="AJ164" s="233">
        <f>IF(AL164=21,J164,0)</f>
        <v>0</v>
      </c>
      <c r="AL164" s="233">
        <v>15</v>
      </c>
      <c r="AM164" s="233">
        <f>G164*1</f>
        <v>0</v>
      </c>
      <c r="AN164" s="233">
        <f>G164*(1-1)</f>
        <v>0</v>
      </c>
      <c r="AO164" s="234" t="s">
        <v>453</v>
      </c>
      <c r="AT164" s="233">
        <f>AU164+AV164</f>
        <v>0</v>
      </c>
      <c r="AU164" s="233">
        <f>F164*AM164</f>
        <v>0</v>
      </c>
      <c r="AV164" s="233">
        <f>F164*AN164</f>
        <v>0</v>
      </c>
      <c r="AW164" s="234" t="s">
        <v>454</v>
      </c>
      <c r="AX164" s="234" t="s">
        <v>455</v>
      </c>
      <c r="AY164" s="229" t="s">
        <v>164</v>
      </c>
      <c r="BA164" s="233">
        <f>AU164+AV164</f>
        <v>0</v>
      </c>
      <c r="BB164" s="233">
        <f>G164/(100-BC164)*100</f>
        <v>0</v>
      </c>
      <c r="BC164" s="233">
        <v>0</v>
      </c>
      <c r="BD164" s="233">
        <f>L164</f>
        <v>3.6700000000000001E-3</v>
      </c>
      <c r="BF164" s="233">
        <f>F164*AM164</f>
        <v>0</v>
      </c>
      <c r="BG164" s="233">
        <f>F164*AN164</f>
        <v>0</v>
      </c>
      <c r="BH164" s="233">
        <f>F164*G164</f>
        <v>0</v>
      </c>
      <c r="BI164" s="233"/>
      <c r="BJ164" s="233"/>
      <c r="BU164" s="233" t="e">
        <f>#REF!</f>
        <v>#REF!</v>
      </c>
      <c r="BV164" s="225" t="s">
        <v>934</v>
      </c>
    </row>
    <row r="165" spans="1:74" ht="40.5" customHeight="1" x14ac:dyDescent="0.3">
      <c r="A165" s="241"/>
      <c r="B165" s="242" t="s">
        <v>165</v>
      </c>
      <c r="C165" s="530" t="s">
        <v>1654</v>
      </c>
      <c r="D165" s="531"/>
      <c r="E165" s="531"/>
      <c r="F165" s="531"/>
      <c r="G165" s="531"/>
      <c r="H165" s="531"/>
      <c r="I165" s="531"/>
      <c r="J165" s="531"/>
      <c r="K165" s="531"/>
      <c r="L165" s="531"/>
      <c r="M165" s="532"/>
    </row>
    <row r="166" spans="1:74" ht="14.4" x14ac:dyDescent="0.3">
      <c r="A166" s="239" t="s">
        <v>559</v>
      </c>
      <c r="B166" s="223" t="s">
        <v>935</v>
      </c>
      <c r="C166" s="521" t="s">
        <v>936</v>
      </c>
      <c r="D166" s="519"/>
      <c r="E166" s="223" t="s">
        <v>365</v>
      </c>
      <c r="F166" s="233">
        <v>1.01</v>
      </c>
      <c r="G166" s="311">
        <v>0</v>
      </c>
      <c r="H166" s="233">
        <f>F166*AM166</f>
        <v>0</v>
      </c>
      <c r="I166" s="233">
        <f>F166*AN166</f>
        <v>0</v>
      </c>
      <c r="J166" s="233">
        <f>F166*G166</f>
        <v>0</v>
      </c>
      <c r="K166" s="233">
        <v>2.65E-3</v>
      </c>
      <c r="L166" s="233">
        <f>F166*K166</f>
        <v>2.6765000000000001E-3</v>
      </c>
      <c r="M166" s="240" t="s">
        <v>472</v>
      </c>
      <c r="X166" s="233">
        <f>IF(AO166="5",BH166,0)</f>
        <v>0</v>
      </c>
      <c r="Z166" s="233">
        <f>IF(AO166="1",BF166,0)</f>
        <v>0</v>
      </c>
      <c r="AA166" s="233">
        <f>IF(AO166="1",BG166,0)</f>
        <v>0</v>
      </c>
      <c r="AB166" s="233">
        <f>IF(AO166="7",BF166,0)</f>
        <v>0</v>
      </c>
      <c r="AC166" s="233">
        <f>IF(AO166="7",BG166,0)</f>
        <v>0</v>
      </c>
      <c r="AD166" s="233">
        <f>IF(AO166="2",BF166,0)</f>
        <v>0</v>
      </c>
      <c r="AE166" s="233">
        <f>IF(AO166="2",BG166,0)</f>
        <v>0</v>
      </c>
      <c r="AF166" s="233">
        <f>IF(AO166="0",BH166,0)</f>
        <v>0</v>
      </c>
      <c r="AG166" s="229" t="s">
        <v>154</v>
      </c>
      <c r="AH166" s="233">
        <f>IF(AL166=0,J166,0)</f>
        <v>0</v>
      </c>
      <c r="AI166" s="233">
        <f>IF(AL166=15,J166,0)</f>
        <v>0</v>
      </c>
      <c r="AJ166" s="233">
        <f>IF(AL166=21,J166,0)</f>
        <v>0</v>
      </c>
      <c r="AL166" s="233">
        <v>15</v>
      </c>
      <c r="AM166" s="233">
        <f>G166*1</f>
        <v>0</v>
      </c>
      <c r="AN166" s="233">
        <f>G166*(1-1)</f>
        <v>0</v>
      </c>
      <c r="AO166" s="234" t="s">
        <v>453</v>
      </c>
      <c r="AT166" s="233">
        <f>AU166+AV166</f>
        <v>0</v>
      </c>
      <c r="AU166" s="233">
        <f>F166*AM166</f>
        <v>0</v>
      </c>
      <c r="AV166" s="233">
        <f>F166*AN166</f>
        <v>0</v>
      </c>
      <c r="AW166" s="234" t="s">
        <v>454</v>
      </c>
      <c r="AX166" s="234" t="s">
        <v>455</v>
      </c>
      <c r="AY166" s="229" t="s">
        <v>164</v>
      </c>
      <c r="BA166" s="233">
        <f>AU166+AV166</f>
        <v>0</v>
      </c>
      <c r="BB166" s="233">
        <f>G166/(100-BC166)*100</f>
        <v>0</v>
      </c>
      <c r="BC166" s="233">
        <v>0</v>
      </c>
      <c r="BD166" s="233">
        <f>L166</f>
        <v>2.6765000000000001E-3</v>
      </c>
      <c r="BF166" s="233">
        <f>F166*AM166</f>
        <v>0</v>
      </c>
      <c r="BG166" s="233">
        <f>F166*AN166</f>
        <v>0</v>
      </c>
      <c r="BH166" s="233">
        <f>F166*G166</f>
        <v>0</v>
      </c>
      <c r="BI166" s="233"/>
      <c r="BJ166" s="233"/>
      <c r="BU166" s="233" t="e">
        <f>#REF!</f>
        <v>#REF!</v>
      </c>
      <c r="BV166" s="225" t="s">
        <v>936</v>
      </c>
    </row>
    <row r="167" spans="1:74" ht="54" customHeight="1" x14ac:dyDescent="0.3">
      <c r="A167" s="241"/>
      <c r="B167" s="242" t="s">
        <v>165</v>
      </c>
      <c r="C167" s="530" t="s">
        <v>1769</v>
      </c>
      <c r="D167" s="531"/>
      <c r="E167" s="531"/>
      <c r="F167" s="531"/>
      <c r="G167" s="531"/>
      <c r="H167" s="531"/>
      <c r="I167" s="531"/>
      <c r="J167" s="531"/>
      <c r="K167" s="531"/>
      <c r="L167" s="531"/>
      <c r="M167" s="532"/>
    </row>
    <row r="168" spans="1:74" ht="14.4" x14ac:dyDescent="0.3">
      <c r="A168" s="239" t="s">
        <v>562</v>
      </c>
      <c r="B168" s="223" t="s">
        <v>937</v>
      </c>
      <c r="C168" s="521" t="s">
        <v>938</v>
      </c>
      <c r="D168" s="519"/>
      <c r="E168" s="223" t="s">
        <v>365</v>
      </c>
      <c r="F168" s="233">
        <v>2.0299999999999998</v>
      </c>
      <c r="G168" s="311">
        <v>0</v>
      </c>
      <c r="H168" s="233">
        <f>F168*AM168</f>
        <v>0</v>
      </c>
      <c r="I168" s="233">
        <f>F168*AN168</f>
        <v>0</v>
      </c>
      <c r="J168" s="233">
        <f>F168*G168</f>
        <v>0</v>
      </c>
      <c r="K168" s="233">
        <v>2.2499999999999998E-3</v>
      </c>
      <c r="L168" s="233">
        <f>F168*K168</f>
        <v>4.5674999999999995E-3</v>
      </c>
      <c r="M168" s="240" t="s">
        <v>472</v>
      </c>
      <c r="X168" s="233">
        <f>IF(AO168="5",BH168,0)</f>
        <v>0</v>
      </c>
      <c r="Z168" s="233">
        <f>IF(AO168="1",BF168,0)</f>
        <v>0</v>
      </c>
      <c r="AA168" s="233">
        <f>IF(AO168="1",BG168,0)</f>
        <v>0</v>
      </c>
      <c r="AB168" s="233">
        <f>IF(AO168="7",BF168,0)</f>
        <v>0</v>
      </c>
      <c r="AC168" s="233">
        <f>IF(AO168="7",BG168,0)</f>
        <v>0</v>
      </c>
      <c r="AD168" s="233">
        <f>IF(AO168="2",BF168,0)</f>
        <v>0</v>
      </c>
      <c r="AE168" s="233">
        <f>IF(AO168="2",BG168,0)</f>
        <v>0</v>
      </c>
      <c r="AF168" s="233">
        <f>IF(AO168="0",BH168,0)</f>
        <v>0</v>
      </c>
      <c r="AG168" s="229" t="s">
        <v>154</v>
      </c>
      <c r="AH168" s="233">
        <f>IF(AL168=0,J168,0)</f>
        <v>0</v>
      </c>
      <c r="AI168" s="233">
        <f>IF(AL168=15,J168,0)</f>
        <v>0</v>
      </c>
      <c r="AJ168" s="233">
        <f>IF(AL168=21,J168,0)</f>
        <v>0</v>
      </c>
      <c r="AL168" s="233">
        <v>15</v>
      </c>
      <c r="AM168" s="233">
        <f>G168*1</f>
        <v>0</v>
      </c>
      <c r="AN168" s="233">
        <f>G168*(1-1)</f>
        <v>0</v>
      </c>
      <c r="AO168" s="234" t="s">
        <v>453</v>
      </c>
      <c r="AT168" s="233">
        <f>AU168+AV168</f>
        <v>0</v>
      </c>
      <c r="AU168" s="233">
        <f>F168*AM168</f>
        <v>0</v>
      </c>
      <c r="AV168" s="233">
        <f>F168*AN168</f>
        <v>0</v>
      </c>
      <c r="AW168" s="234" t="s">
        <v>454</v>
      </c>
      <c r="AX168" s="234" t="s">
        <v>455</v>
      </c>
      <c r="AY168" s="229" t="s">
        <v>164</v>
      </c>
      <c r="BA168" s="233">
        <f>AU168+AV168</f>
        <v>0</v>
      </c>
      <c r="BB168" s="233">
        <f>G168/(100-BC168)*100</f>
        <v>0</v>
      </c>
      <c r="BC168" s="233">
        <v>0</v>
      </c>
      <c r="BD168" s="233">
        <f>L168</f>
        <v>4.5674999999999995E-3</v>
      </c>
      <c r="BF168" s="233">
        <f>F168*AM168</f>
        <v>0</v>
      </c>
      <c r="BG168" s="233">
        <f>F168*AN168</f>
        <v>0</v>
      </c>
      <c r="BH168" s="233">
        <f>F168*G168</f>
        <v>0</v>
      </c>
      <c r="BI168" s="233"/>
      <c r="BJ168" s="233"/>
      <c r="BU168" s="233" t="e">
        <f>#REF!</f>
        <v>#REF!</v>
      </c>
      <c r="BV168" s="225" t="s">
        <v>938</v>
      </c>
    </row>
    <row r="169" spans="1:74" ht="54" customHeight="1" x14ac:dyDescent="0.3">
      <c r="A169" s="241"/>
      <c r="B169" s="242" t="s">
        <v>165</v>
      </c>
      <c r="C169" s="530" t="s">
        <v>1656</v>
      </c>
      <c r="D169" s="531"/>
      <c r="E169" s="531"/>
      <c r="F169" s="531"/>
      <c r="G169" s="531"/>
      <c r="H169" s="531"/>
      <c r="I169" s="531"/>
      <c r="J169" s="531"/>
      <c r="K169" s="531"/>
      <c r="L169" s="531"/>
      <c r="M169" s="532"/>
    </row>
    <row r="170" spans="1:74" ht="14.4" x14ac:dyDescent="0.3">
      <c r="A170" s="239" t="s">
        <v>566</v>
      </c>
      <c r="B170" s="223" t="s">
        <v>939</v>
      </c>
      <c r="C170" s="521" t="s">
        <v>940</v>
      </c>
      <c r="D170" s="519"/>
      <c r="E170" s="223" t="s">
        <v>365</v>
      </c>
      <c r="F170" s="233">
        <v>2.0299999999999998</v>
      </c>
      <c r="G170" s="311">
        <v>0</v>
      </c>
      <c r="H170" s="233">
        <f>F170*AM170</f>
        <v>0</v>
      </c>
      <c r="I170" s="233">
        <f>F170*AN170</f>
        <v>0</v>
      </c>
      <c r="J170" s="233">
        <f>F170*G170</f>
        <v>0</v>
      </c>
      <c r="K170" s="233">
        <v>2E-3</v>
      </c>
      <c r="L170" s="233">
        <f>F170*K170</f>
        <v>4.0599999999999994E-3</v>
      </c>
      <c r="M170" s="240" t="s">
        <v>472</v>
      </c>
      <c r="X170" s="233">
        <f>IF(AO170="5",BH170,0)</f>
        <v>0</v>
      </c>
      <c r="Z170" s="233">
        <f>IF(AO170="1",BF170,0)</f>
        <v>0</v>
      </c>
      <c r="AA170" s="233">
        <f>IF(AO170="1",BG170,0)</f>
        <v>0</v>
      </c>
      <c r="AB170" s="233">
        <f>IF(AO170="7",BF170,0)</f>
        <v>0</v>
      </c>
      <c r="AC170" s="233">
        <f>IF(AO170="7",BG170,0)</f>
        <v>0</v>
      </c>
      <c r="AD170" s="233">
        <f>IF(AO170="2",BF170,0)</f>
        <v>0</v>
      </c>
      <c r="AE170" s="233">
        <f>IF(AO170="2",BG170,0)</f>
        <v>0</v>
      </c>
      <c r="AF170" s="233">
        <f>IF(AO170="0",BH170,0)</f>
        <v>0</v>
      </c>
      <c r="AG170" s="229" t="s">
        <v>154</v>
      </c>
      <c r="AH170" s="233">
        <f>IF(AL170=0,J170,0)</f>
        <v>0</v>
      </c>
      <c r="AI170" s="233">
        <f>IF(AL170=15,J170,0)</f>
        <v>0</v>
      </c>
      <c r="AJ170" s="233">
        <f>IF(AL170=21,J170,0)</f>
        <v>0</v>
      </c>
      <c r="AL170" s="233">
        <v>15</v>
      </c>
      <c r="AM170" s="233">
        <f>G170*1</f>
        <v>0</v>
      </c>
      <c r="AN170" s="233">
        <f>G170*(1-1)</f>
        <v>0</v>
      </c>
      <c r="AO170" s="234" t="s">
        <v>453</v>
      </c>
      <c r="AT170" s="233">
        <f>AU170+AV170</f>
        <v>0</v>
      </c>
      <c r="AU170" s="233">
        <f>F170*AM170</f>
        <v>0</v>
      </c>
      <c r="AV170" s="233">
        <f>F170*AN170</f>
        <v>0</v>
      </c>
      <c r="AW170" s="234" t="s">
        <v>454</v>
      </c>
      <c r="AX170" s="234" t="s">
        <v>455</v>
      </c>
      <c r="AY170" s="229" t="s">
        <v>164</v>
      </c>
      <c r="BA170" s="233">
        <f>AU170+AV170</f>
        <v>0</v>
      </c>
      <c r="BB170" s="233">
        <f>G170/(100-BC170)*100</f>
        <v>0</v>
      </c>
      <c r="BC170" s="233">
        <v>0</v>
      </c>
      <c r="BD170" s="233">
        <f>L170</f>
        <v>4.0599999999999994E-3</v>
      </c>
      <c r="BF170" s="233">
        <f>F170*AM170</f>
        <v>0</v>
      </c>
      <c r="BG170" s="233">
        <f>F170*AN170</f>
        <v>0</v>
      </c>
      <c r="BH170" s="233">
        <f>F170*G170</f>
        <v>0</v>
      </c>
      <c r="BI170" s="233"/>
      <c r="BJ170" s="233"/>
      <c r="BU170" s="233" t="e">
        <f>#REF!</f>
        <v>#REF!</v>
      </c>
      <c r="BV170" s="225" t="s">
        <v>940</v>
      </c>
    </row>
    <row r="171" spans="1:74" ht="54" customHeight="1" x14ac:dyDescent="0.3">
      <c r="A171" s="241"/>
      <c r="B171" s="242" t="s">
        <v>165</v>
      </c>
      <c r="C171" s="530" t="s">
        <v>1770</v>
      </c>
      <c r="D171" s="531"/>
      <c r="E171" s="531"/>
      <c r="F171" s="531"/>
      <c r="G171" s="531"/>
      <c r="H171" s="531"/>
      <c r="I171" s="531"/>
      <c r="J171" s="531"/>
      <c r="K171" s="531"/>
      <c r="L171" s="531"/>
      <c r="M171" s="532"/>
    </row>
    <row r="172" spans="1:74" ht="14.4" x14ac:dyDescent="0.3">
      <c r="A172" s="239" t="s">
        <v>570</v>
      </c>
      <c r="B172" s="223" t="s">
        <v>941</v>
      </c>
      <c r="C172" s="521" t="s">
        <v>942</v>
      </c>
      <c r="D172" s="519"/>
      <c r="E172" s="223" t="s">
        <v>365</v>
      </c>
      <c r="F172" s="233">
        <v>3.04</v>
      </c>
      <c r="G172" s="311">
        <v>0</v>
      </c>
      <c r="H172" s="233">
        <f>F172*AM172</f>
        <v>0</v>
      </c>
      <c r="I172" s="233">
        <f>F172*AN172</f>
        <v>0</v>
      </c>
      <c r="J172" s="233">
        <f>F172*G172</f>
        <v>0</v>
      </c>
      <c r="K172" s="233">
        <v>2.33E-3</v>
      </c>
      <c r="L172" s="233">
        <f>F172*K172</f>
        <v>7.0832000000000004E-3</v>
      </c>
      <c r="M172" s="240" t="s">
        <v>472</v>
      </c>
      <c r="X172" s="233">
        <f>IF(AO172="5",BH172,0)</f>
        <v>0</v>
      </c>
      <c r="Z172" s="233">
        <f>IF(AO172="1",BF172,0)</f>
        <v>0</v>
      </c>
      <c r="AA172" s="233">
        <f>IF(AO172="1",BG172,0)</f>
        <v>0</v>
      </c>
      <c r="AB172" s="233">
        <f>IF(AO172="7",BF172,0)</f>
        <v>0</v>
      </c>
      <c r="AC172" s="233">
        <f>IF(AO172="7",BG172,0)</f>
        <v>0</v>
      </c>
      <c r="AD172" s="233">
        <f>IF(AO172="2",BF172,0)</f>
        <v>0</v>
      </c>
      <c r="AE172" s="233">
        <f>IF(AO172="2",BG172,0)</f>
        <v>0</v>
      </c>
      <c r="AF172" s="233">
        <f>IF(AO172="0",BH172,0)</f>
        <v>0</v>
      </c>
      <c r="AG172" s="229" t="s">
        <v>154</v>
      </c>
      <c r="AH172" s="233">
        <f>IF(AL172=0,J172,0)</f>
        <v>0</v>
      </c>
      <c r="AI172" s="233">
        <f>IF(AL172=15,J172,0)</f>
        <v>0</v>
      </c>
      <c r="AJ172" s="233">
        <f>IF(AL172=21,J172,0)</f>
        <v>0</v>
      </c>
      <c r="AL172" s="233">
        <v>15</v>
      </c>
      <c r="AM172" s="233">
        <f>G172*1</f>
        <v>0</v>
      </c>
      <c r="AN172" s="233">
        <f>G172*(1-1)</f>
        <v>0</v>
      </c>
      <c r="AO172" s="234" t="s">
        <v>453</v>
      </c>
      <c r="AT172" s="233">
        <f>AU172+AV172</f>
        <v>0</v>
      </c>
      <c r="AU172" s="233">
        <f>F172*AM172</f>
        <v>0</v>
      </c>
      <c r="AV172" s="233">
        <f>F172*AN172</f>
        <v>0</v>
      </c>
      <c r="AW172" s="234" t="s">
        <v>454</v>
      </c>
      <c r="AX172" s="234" t="s">
        <v>455</v>
      </c>
      <c r="AY172" s="229" t="s">
        <v>164</v>
      </c>
      <c r="BA172" s="233">
        <f>AU172+AV172</f>
        <v>0</v>
      </c>
      <c r="BB172" s="233">
        <f>G172/(100-BC172)*100</f>
        <v>0</v>
      </c>
      <c r="BC172" s="233">
        <v>0</v>
      </c>
      <c r="BD172" s="233">
        <f>L172</f>
        <v>7.0832000000000004E-3</v>
      </c>
      <c r="BF172" s="233">
        <f>F172*AM172</f>
        <v>0</v>
      </c>
      <c r="BG172" s="233">
        <f>F172*AN172</f>
        <v>0</v>
      </c>
      <c r="BH172" s="233">
        <f>F172*G172</f>
        <v>0</v>
      </c>
      <c r="BI172" s="233"/>
      <c r="BJ172" s="233"/>
      <c r="BU172" s="233" t="e">
        <f>#REF!</f>
        <v>#REF!</v>
      </c>
      <c r="BV172" s="225" t="s">
        <v>942</v>
      </c>
    </row>
    <row r="173" spans="1:74" ht="54" customHeight="1" x14ac:dyDescent="0.3">
      <c r="A173" s="241"/>
      <c r="B173" s="242" t="s">
        <v>165</v>
      </c>
      <c r="C173" s="530" t="s">
        <v>1771</v>
      </c>
      <c r="D173" s="531"/>
      <c r="E173" s="531"/>
      <c r="F173" s="531"/>
      <c r="G173" s="531"/>
      <c r="H173" s="531"/>
      <c r="I173" s="531"/>
      <c r="J173" s="531"/>
      <c r="K173" s="531"/>
      <c r="L173" s="531"/>
      <c r="M173" s="532"/>
    </row>
    <row r="174" spans="1:74" ht="14.4" x14ac:dyDescent="0.3">
      <c r="A174" s="239" t="s">
        <v>573</v>
      </c>
      <c r="B174" s="223" t="s">
        <v>988</v>
      </c>
      <c r="C174" s="521" t="s">
        <v>989</v>
      </c>
      <c r="D174" s="519"/>
      <c r="E174" s="223" t="s">
        <v>365</v>
      </c>
      <c r="F174" s="233">
        <v>1</v>
      </c>
      <c r="G174" s="311">
        <v>0</v>
      </c>
      <c r="H174" s="233">
        <f>F174*AM174</f>
        <v>0</v>
      </c>
      <c r="I174" s="233">
        <f>F174*AN174</f>
        <v>0</v>
      </c>
      <c r="J174" s="233">
        <f>F174*G174</f>
        <v>0</v>
      </c>
      <c r="K174" s="233">
        <v>1.2999999999999999E-3</v>
      </c>
      <c r="L174" s="233">
        <f>F174*K174</f>
        <v>1.2999999999999999E-3</v>
      </c>
      <c r="M174" s="240" t="s">
        <v>472</v>
      </c>
      <c r="X174" s="233">
        <f>IF(AO174="5",BH174,0)</f>
        <v>0</v>
      </c>
      <c r="Z174" s="233">
        <f>IF(AO174="1",BF174,0)</f>
        <v>0</v>
      </c>
      <c r="AA174" s="233">
        <f>IF(AO174="1",BG174,0)</f>
        <v>0</v>
      </c>
      <c r="AB174" s="233">
        <f>IF(AO174="7",BF174,0)</f>
        <v>0</v>
      </c>
      <c r="AC174" s="233">
        <f>IF(AO174="7",BG174,0)</f>
        <v>0</v>
      </c>
      <c r="AD174" s="233">
        <f>IF(AO174="2",BF174,0)</f>
        <v>0</v>
      </c>
      <c r="AE174" s="233">
        <f>IF(AO174="2",BG174,0)</f>
        <v>0</v>
      </c>
      <c r="AF174" s="233">
        <f>IF(AO174="0",BH174,0)</f>
        <v>0</v>
      </c>
      <c r="AG174" s="229" t="s">
        <v>154</v>
      </c>
      <c r="AH174" s="233">
        <f>IF(AL174=0,J174,0)</f>
        <v>0</v>
      </c>
      <c r="AI174" s="233">
        <f>IF(AL174=15,J174,0)</f>
        <v>0</v>
      </c>
      <c r="AJ174" s="233">
        <f>IF(AL174=21,J174,0)</f>
        <v>0</v>
      </c>
      <c r="AL174" s="233">
        <v>15</v>
      </c>
      <c r="AM174" s="233">
        <f>G174*1</f>
        <v>0</v>
      </c>
      <c r="AN174" s="233">
        <f>G174*(1-1)</f>
        <v>0</v>
      </c>
      <c r="AO174" s="234" t="s">
        <v>453</v>
      </c>
      <c r="AT174" s="233">
        <f>AU174+AV174</f>
        <v>0</v>
      </c>
      <c r="AU174" s="233">
        <f>F174*AM174</f>
        <v>0</v>
      </c>
      <c r="AV174" s="233">
        <f>F174*AN174</f>
        <v>0</v>
      </c>
      <c r="AW174" s="234" t="s">
        <v>454</v>
      </c>
      <c r="AX174" s="234" t="s">
        <v>455</v>
      </c>
      <c r="AY174" s="229" t="s">
        <v>164</v>
      </c>
      <c r="BA174" s="233">
        <f>AU174+AV174</f>
        <v>0</v>
      </c>
      <c r="BB174" s="233">
        <f>G174/(100-BC174)*100</f>
        <v>0</v>
      </c>
      <c r="BC174" s="233">
        <v>0</v>
      </c>
      <c r="BD174" s="233">
        <f>L174</f>
        <v>1.2999999999999999E-3</v>
      </c>
      <c r="BF174" s="233">
        <f>F174*AM174</f>
        <v>0</v>
      </c>
      <c r="BG174" s="233">
        <f>F174*AN174</f>
        <v>0</v>
      </c>
      <c r="BH174" s="233">
        <f>F174*G174</f>
        <v>0</v>
      </c>
      <c r="BI174" s="233"/>
      <c r="BJ174" s="233"/>
      <c r="BU174" s="233" t="e">
        <f>#REF!</f>
        <v>#REF!</v>
      </c>
      <c r="BV174" s="225" t="s">
        <v>989</v>
      </c>
    </row>
    <row r="175" spans="1:74" ht="54" customHeight="1" x14ac:dyDescent="0.3">
      <c r="A175" s="241"/>
      <c r="B175" s="242" t="s">
        <v>165</v>
      </c>
      <c r="C175" s="530" t="s">
        <v>1772</v>
      </c>
      <c r="D175" s="531"/>
      <c r="E175" s="531"/>
      <c r="F175" s="531"/>
      <c r="G175" s="531"/>
      <c r="H175" s="531"/>
      <c r="I175" s="531"/>
      <c r="J175" s="531"/>
      <c r="K175" s="531"/>
      <c r="L175" s="531"/>
      <c r="M175" s="532"/>
    </row>
    <row r="176" spans="1:74" ht="14.4" x14ac:dyDescent="0.3">
      <c r="A176" s="239" t="s">
        <v>576</v>
      </c>
      <c r="B176" s="223" t="s">
        <v>966</v>
      </c>
      <c r="C176" s="521" t="s">
        <v>990</v>
      </c>
      <c r="D176" s="519"/>
      <c r="E176" s="223" t="s">
        <v>365</v>
      </c>
      <c r="F176" s="233">
        <v>1</v>
      </c>
      <c r="G176" s="311">
        <v>0</v>
      </c>
      <c r="H176" s="233">
        <f>F176*AM176</f>
        <v>0</v>
      </c>
      <c r="I176" s="233">
        <f>F176*AN176</f>
        <v>0</v>
      </c>
      <c r="J176" s="233">
        <f>F176*G176</f>
        <v>0</v>
      </c>
      <c r="K176" s="233">
        <v>0.158</v>
      </c>
      <c r="L176" s="233">
        <f>F176*K176</f>
        <v>0.158</v>
      </c>
      <c r="M176" s="240" t="s">
        <v>472</v>
      </c>
      <c r="X176" s="233">
        <f>IF(AO176="5",BH176,0)</f>
        <v>0</v>
      </c>
      <c r="Z176" s="233">
        <f>IF(AO176="1",BF176,0)</f>
        <v>0</v>
      </c>
      <c r="AA176" s="233">
        <f>IF(AO176="1",BG176,0)</f>
        <v>0</v>
      </c>
      <c r="AB176" s="233">
        <f>IF(AO176="7",BF176,0)</f>
        <v>0</v>
      </c>
      <c r="AC176" s="233">
        <f>IF(AO176="7",BG176,0)</f>
        <v>0</v>
      </c>
      <c r="AD176" s="233">
        <f>IF(AO176="2",BF176,0)</f>
        <v>0</v>
      </c>
      <c r="AE176" s="233">
        <f>IF(AO176="2",BG176,0)</f>
        <v>0</v>
      </c>
      <c r="AF176" s="233">
        <f>IF(AO176="0",BH176,0)</f>
        <v>0</v>
      </c>
      <c r="AG176" s="229" t="s">
        <v>154</v>
      </c>
      <c r="AH176" s="233">
        <f>IF(AL176=0,J176,0)</f>
        <v>0</v>
      </c>
      <c r="AI176" s="233">
        <f>IF(AL176=15,J176,0)</f>
        <v>0</v>
      </c>
      <c r="AJ176" s="233">
        <f>IF(AL176=21,J176,0)</f>
        <v>0</v>
      </c>
      <c r="AL176" s="233">
        <v>15</v>
      </c>
      <c r="AM176" s="233">
        <f>G176*1</f>
        <v>0</v>
      </c>
      <c r="AN176" s="233">
        <f>G176*(1-1)</f>
        <v>0</v>
      </c>
      <c r="AO176" s="234" t="s">
        <v>453</v>
      </c>
      <c r="AT176" s="233">
        <f>AU176+AV176</f>
        <v>0</v>
      </c>
      <c r="AU176" s="233">
        <f>F176*AM176</f>
        <v>0</v>
      </c>
      <c r="AV176" s="233">
        <f>F176*AN176</f>
        <v>0</v>
      </c>
      <c r="AW176" s="234" t="s">
        <v>454</v>
      </c>
      <c r="AX176" s="234" t="s">
        <v>455</v>
      </c>
      <c r="AY176" s="229" t="s">
        <v>164</v>
      </c>
      <c r="BA176" s="233">
        <f>AU176+AV176</f>
        <v>0</v>
      </c>
      <c r="BB176" s="233">
        <f>G176/(100-BC176)*100</f>
        <v>0</v>
      </c>
      <c r="BC176" s="233">
        <v>0</v>
      </c>
      <c r="BD176" s="233">
        <f>L176</f>
        <v>0.158</v>
      </c>
      <c r="BF176" s="233">
        <f>F176*AM176</f>
        <v>0</v>
      </c>
      <c r="BG176" s="233">
        <f>F176*AN176</f>
        <v>0</v>
      </c>
      <c r="BH176" s="233">
        <f>F176*G176</f>
        <v>0</v>
      </c>
      <c r="BI176" s="233"/>
      <c r="BJ176" s="233"/>
      <c r="BU176" s="233" t="e">
        <f>#REF!</f>
        <v>#REF!</v>
      </c>
      <c r="BV176" s="225" t="s">
        <v>990</v>
      </c>
    </row>
    <row r="177" spans="1:74" ht="27" customHeight="1" x14ac:dyDescent="0.3">
      <c r="A177" s="241"/>
      <c r="B177" s="242" t="s">
        <v>165</v>
      </c>
      <c r="C177" s="530" t="s">
        <v>991</v>
      </c>
      <c r="D177" s="531"/>
      <c r="E177" s="531"/>
      <c r="F177" s="531"/>
      <c r="G177" s="531"/>
      <c r="H177" s="531"/>
      <c r="I177" s="531"/>
      <c r="J177" s="531"/>
      <c r="K177" s="531"/>
      <c r="L177" s="531"/>
      <c r="M177" s="532"/>
    </row>
    <row r="178" spans="1:74" ht="14.4" x14ac:dyDescent="0.3">
      <c r="A178" s="239" t="s">
        <v>580</v>
      </c>
      <c r="B178" s="223" t="s">
        <v>992</v>
      </c>
      <c r="C178" s="521" t="s">
        <v>993</v>
      </c>
      <c r="D178" s="519"/>
      <c r="E178" s="223" t="s">
        <v>471</v>
      </c>
      <c r="F178" s="233">
        <v>1</v>
      </c>
      <c r="G178" s="311">
        <v>0</v>
      </c>
      <c r="H178" s="233">
        <f>F178*AM178</f>
        <v>0</v>
      </c>
      <c r="I178" s="233">
        <f>F178*AN178</f>
        <v>0</v>
      </c>
      <c r="J178" s="233">
        <f>F178*G178</f>
        <v>0</v>
      </c>
      <c r="K178" s="233">
        <v>0.06</v>
      </c>
      <c r="L178" s="233">
        <f>F178*K178</f>
        <v>0.06</v>
      </c>
      <c r="M178" s="240" t="s">
        <v>1773</v>
      </c>
      <c r="X178" s="233">
        <f>IF(AO178="5",BH178,0)</f>
        <v>0</v>
      </c>
      <c r="Z178" s="233">
        <f>IF(AO178="1",BF178,0)</f>
        <v>0</v>
      </c>
      <c r="AA178" s="233">
        <f>IF(AO178="1",BG178,0)</f>
        <v>0</v>
      </c>
      <c r="AB178" s="233">
        <f>IF(AO178="7",BF178,0)</f>
        <v>0</v>
      </c>
      <c r="AC178" s="233">
        <f>IF(AO178="7",BG178,0)</f>
        <v>0</v>
      </c>
      <c r="AD178" s="233">
        <f>IF(AO178="2",BF178,0)</f>
        <v>0</v>
      </c>
      <c r="AE178" s="233">
        <f>IF(AO178="2",BG178,0)</f>
        <v>0</v>
      </c>
      <c r="AF178" s="233">
        <f>IF(AO178="0",BH178,0)</f>
        <v>0</v>
      </c>
      <c r="AG178" s="229" t="s">
        <v>154</v>
      </c>
      <c r="AH178" s="233">
        <f>IF(AL178=0,J178,0)</f>
        <v>0</v>
      </c>
      <c r="AI178" s="233">
        <f>IF(AL178=15,J178,0)</f>
        <v>0</v>
      </c>
      <c r="AJ178" s="233">
        <f>IF(AL178=21,J178,0)</f>
        <v>0</v>
      </c>
      <c r="AL178" s="233">
        <v>15</v>
      </c>
      <c r="AM178" s="233">
        <f>G178*1</f>
        <v>0</v>
      </c>
      <c r="AN178" s="233">
        <f>G178*(1-1)</f>
        <v>0</v>
      </c>
      <c r="AO178" s="234" t="s">
        <v>453</v>
      </c>
      <c r="AT178" s="233">
        <f>AU178+AV178</f>
        <v>0</v>
      </c>
      <c r="AU178" s="233">
        <f>F178*AM178</f>
        <v>0</v>
      </c>
      <c r="AV178" s="233">
        <f>F178*AN178</f>
        <v>0</v>
      </c>
      <c r="AW178" s="234" t="s">
        <v>454</v>
      </c>
      <c r="AX178" s="234" t="s">
        <v>455</v>
      </c>
      <c r="AY178" s="229" t="s">
        <v>164</v>
      </c>
      <c r="BA178" s="233">
        <f>AU178+AV178</f>
        <v>0</v>
      </c>
      <c r="BB178" s="233">
        <f>G178/(100-BC178)*100</f>
        <v>0</v>
      </c>
      <c r="BC178" s="233">
        <v>0</v>
      </c>
      <c r="BD178" s="233">
        <f>L178</f>
        <v>0.06</v>
      </c>
      <c r="BF178" s="233">
        <f>F178*AM178</f>
        <v>0</v>
      </c>
      <c r="BG178" s="233">
        <f>F178*AN178</f>
        <v>0</v>
      </c>
      <c r="BH178" s="233">
        <f>F178*G178</f>
        <v>0</v>
      </c>
      <c r="BI178" s="233"/>
      <c r="BJ178" s="233"/>
      <c r="BU178" s="233" t="e">
        <f>#REF!</f>
        <v>#REF!</v>
      </c>
      <c r="BV178" s="225" t="s">
        <v>993</v>
      </c>
    </row>
    <row r="179" spans="1:74" ht="40.5" customHeight="1" x14ac:dyDescent="0.3">
      <c r="A179" s="244"/>
      <c r="B179" s="245" t="s">
        <v>165</v>
      </c>
      <c r="C179" s="540" t="s">
        <v>1774</v>
      </c>
      <c r="D179" s="541"/>
      <c r="E179" s="541"/>
      <c r="F179" s="541"/>
      <c r="G179" s="541"/>
      <c r="H179" s="541"/>
      <c r="I179" s="541"/>
      <c r="J179" s="541"/>
      <c r="K179" s="541"/>
      <c r="L179" s="541"/>
      <c r="M179" s="542"/>
    </row>
    <row r="180" spans="1:74" ht="14.4" x14ac:dyDescent="0.3">
      <c r="H180" s="527" t="s">
        <v>423</v>
      </c>
      <c r="I180" s="527"/>
      <c r="J180" s="235">
        <f>J12+J27+J32+J49+J54+J75+J81+J84+J89+J95+J98+J101+J116+J119+J122+J129+J142+J145+J148+J155+J159</f>
        <v>0</v>
      </c>
    </row>
    <row r="181" spans="1:74" ht="14.4" x14ac:dyDescent="0.3">
      <c r="A181" s="236" t="s">
        <v>165</v>
      </c>
    </row>
    <row r="182" spans="1:74" ht="13.5" customHeight="1" x14ac:dyDescent="0.3">
      <c r="A182" s="521" t="s">
        <v>1387</v>
      </c>
      <c r="B182" s="519"/>
      <c r="C182" s="519"/>
      <c r="D182" s="519"/>
      <c r="E182" s="519"/>
      <c r="F182" s="519"/>
      <c r="G182" s="519"/>
      <c r="H182" s="519"/>
      <c r="I182" s="519"/>
      <c r="J182" s="519"/>
      <c r="K182" s="519"/>
      <c r="L182" s="519"/>
      <c r="M182" s="519"/>
    </row>
    <row r="183" spans="1:74" ht="15" customHeight="1" x14ac:dyDescent="0.3">
      <c r="A183" s="549" t="s">
        <v>1161</v>
      </c>
      <c r="B183" s="550"/>
      <c r="C183" s="550"/>
      <c r="D183" s="550"/>
      <c r="E183" s="550"/>
      <c r="F183" s="550"/>
      <c r="G183" s="550"/>
      <c r="H183" s="550"/>
      <c r="I183" s="550"/>
      <c r="J183" s="550"/>
      <c r="K183" s="550"/>
      <c r="L183" s="550"/>
      <c r="M183" s="550"/>
    </row>
  </sheetData>
  <sheetProtection algorithmName="SHA-512" hashValue="ELAtfHOIxDCATjfLvrS+HlDzbyF99sQpJdNfBmJQHMHvzhOFJlEA6Y7QhxRj2xQvcY+pTlv6Gsrx3rfK6Ek3fA==" saltValue="//XIIENXAioCM5YiB1MnLw==" spinCount="100000" sheet="1" objects="1" scenarios="1" formatCells="0" formatColumns="0" formatRows="0" insertColumns="0" insertRows="0" insertHyperlinks="0"/>
  <mergeCells count="200">
    <mergeCell ref="A1:M1"/>
    <mergeCell ref="A2:B3"/>
    <mergeCell ref="C2:D3"/>
    <mergeCell ref="E2:F3"/>
    <mergeCell ref="G2:G3"/>
    <mergeCell ref="H2:H3"/>
    <mergeCell ref="I2:M3"/>
    <mergeCell ref="A6:B7"/>
    <mergeCell ref="C6:D7"/>
    <mergeCell ref="E6:F7"/>
    <mergeCell ref="G6:G7"/>
    <mergeCell ref="H6:H7"/>
    <mergeCell ref="I6:M7"/>
    <mergeCell ref="A4:B5"/>
    <mergeCell ref="C4:D5"/>
    <mergeCell ref="E4:F5"/>
    <mergeCell ref="G4:G5"/>
    <mergeCell ref="H4:H5"/>
    <mergeCell ref="I4:M5"/>
    <mergeCell ref="C10:D10"/>
    <mergeCell ref="H10:J10"/>
    <mergeCell ref="K10:L10"/>
    <mergeCell ref="C11:D11"/>
    <mergeCell ref="C12:D12"/>
    <mergeCell ref="C13:D13"/>
    <mergeCell ref="A8:B9"/>
    <mergeCell ref="C8:D9"/>
    <mergeCell ref="E8:F9"/>
    <mergeCell ref="G8:G9"/>
    <mergeCell ref="H8:H9"/>
    <mergeCell ref="I8:M9"/>
    <mergeCell ref="C20:M20"/>
    <mergeCell ref="C21:D21"/>
    <mergeCell ref="C22:M22"/>
    <mergeCell ref="C23:D23"/>
    <mergeCell ref="C24:M24"/>
    <mergeCell ref="C25:D25"/>
    <mergeCell ref="C14:M14"/>
    <mergeCell ref="C15:D15"/>
    <mergeCell ref="C16:M16"/>
    <mergeCell ref="C17:D17"/>
    <mergeCell ref="C18:M18"/>
    <mergeCell ref="C19:D19"/>
    <mergeCell ref="C32:D32"/>
    <mergeCell ref="C33:D33"/>
    <mergeCell ref="C34:M34"/>
    <mergeCell ref="C35:D35"/>
    <mergeCell ref="C36:M36"/>
    <mergeCell ref="C37:D37"/>
    <mergeCell ref="C26:M26"/>
    <mergeCell ref="C27:D27"/>
    <mergeCell ref="C28:D28"/>
    <mergeCell ref="C29:M29"/>
    <mergeCell ref="C30:D30"/>
    <mergeCell ref="C31:M31"/>
    <mergeCell ref="C44:M44"/>
    <mergeCell ref="C45:D45"/>
    <mergeCell ref="C46:M46"/>
    <mergeCell ref="C47:D47"/>
    <mergeCell ref="C48:M48"/>
    <mergeCell ref="C49:D49"/>
    <mergeCell ref="C38:M38"/>
    <mergeCell ref="C39:D39"/>
    <mergeCell ref="C40:M40"/>
    <mergeCell ref="C41:D41"/>
    <mergeCell ref="C42:M42"/>
    <mergeCell ref="C43:D43"/>
    <mergeCell ref="C56:M56"/>
    <mergeCell ref="C57:D57"/>
    <mergeCell ref="C58:M58"/>
    <mergeCell ref="C59:D59"/>
    <mergeCell ref="C60:M60"/>
    <mergeCell ref="C61:D61"/>
    <mergeCell ref="C50:D50"/>
    <mergeCell ref="C51:M51"/>
    <mergeCell ref="C52:D52"/>
    <mergeCell ref="C53:M53"/>
    <mergeCell ref="C54:D54"/>
    <mergeCell ref="C55:D55"/>
    <mergeCell ref="C68:M68"/>
    <mergeCell ref="C69:D69"/>
    <mergeCell ref="C70:M70"/>
    <mergeCell ref="C71:D71"/>
    <mergeCell ref="C72:M72"/>
    <mergeCell ref="C73:D73"/>
    <mergeCell ref="C62:M62"/>
    <mergeCell ref="C63:D63"/>
    <mergeCell ref="C64:M64"/>
    <mergeCell ref="C65:D65"/>
    <mergeCell ref="C66:M66"/>
    <mergeCell ref="C67:D67"/>
    <mergeCell ref="C80:M80"/>
    <mergeCell ref="C81:D81"/>
    <mergeCell ref="C82:D82"/>
    <mergeCell ref="C83:M83"/>
    <mergeCell ref="C84:D84"/>
    <mergeCell ref="C85:D85"/>
    <mergeCell ref="C74:M74"/>
    <mergeCell ref="C75:D75"/>
    <mergeCell ref="C76:D76"/>
    <mergeCell ref="C77:M77"/>
    <mergeCell ref="C78:D78"/>
    <mergeCell ref="C79:D79"/>
    <mergeCell ref="C92:D92"/>
    <mergeCell ref="C93:M93"/>
    <mergeCell ref="C94:D94"/>
    <mergeCell ref="C95:D95"/>
    <mergeCell ref="C96:D96"/>
    <mergeCell ref="C97:M97"/>
    <mergeCell ref="C86:M86"/>
    <mergeCell ref="C87:D87"/>
    <mergeCell ref="C88:M88"/>
    <mergeCell ref="C89:D89"/>
    <mergeCell ref="C90:D90"/>
    <mergeCell ref="C91:M91"/>
    <mergeCell ref="C104:D104"/>
    <mergeCell ref="C105:M105"/>
    <mergeCell ref="C106:D106"/>
    <mergeCell ref="C107:M107"/>
    <mergeCell ref="C108:D108"/>
    <mergeCell ref="C109:M109"/>
    <mergeCell ref="C98:D98"/>
    <mergeCell ref="C99:D99"/>
    <mergeCell ref="C100:M100"/>
    <mergeCell ref="C101:D101"/>
    <mergeCell ref="C102:D102"/>
    <mergeCell ref="C103:M103"/>
    <mergeCell ref="C116:D116"/>
    <mergeCell ref="C117:D117"/>
    <mergeCell ref="C118:M118"/>
    <mergeCell ref="C119:D119"/>
    <mergeCell ref="C120:D120"/>
    <mergeCell ref="C121:M121"/>
    <mergeCell ref="C110:D110"/>
    <mergeCell ref="C111:M111"/>
    <mergeCell ref="C112:D112"/>
    <mergeCell ref="C113:M113"/>
    <mergeCell ref="C114:D114"/>
    <mergeCell ref="C115:M115"/>
    <mergeCell ref="C128:M128"/>
    <mergeCell ref="C129:D129"/>
    <mergeCell ref="C130:D130"/>
    <mergeCell ref="C131:M131"/>
    <mergeCell ref="C132:D132"/>
    <mergeCell ref="C133:M133"/>
    <mergeCell ref="C122:D122"/>
    <mergeCell ref="C123:D123"/>
    <mergeCell ref="C124:M124"/>
    <mergeCell ref="C125:D125"/>
    <mergeCell ref="C126:M126"/>
    <mergeCell ref="C127:D127"/>
    <mergeCell ref="C140:D140"/>
    <mergeCell ref="C141:M141"/>
    <mergeCell ref="C142:D142"/>
    <mergeCell ref="C143:D143"/>
    <mergeCell ref="C144:M144"/>
    <mergeCell ref="C145:D145"/>
    <mergeCell ref="C134:D134"/>
    <mergeCell ref="C135:M135"/>
    <mergeCell ref="C136:D136"/>
    <mergeCell ref="C137:M137"/>
    <mergeCell ref="C138:D138"/>
    <mergeCell ref="C139:M139"/>
    <mergeCell ref="C152:D152"/>
    <mergeCell ref="C153:M153"/>
    <mergeCell ref="C154:D154"/>
    <mergeCell ref="C155:D155"/>
    <mergeCell ref="C156:D156"/>
    <mergeCell ref="C157:D157"/>
    <mergeCell ref="C146:D146"/>
    <mergeCell ref="C147:M147"/>
    <mergeCell ref="C148:D148"/>
    <mergeCell ref="C149:D149"/>
    <mergeCell ref="C150:D150"/>
    <mergeCell ref="C151:M151"/>
    <mergeCell ref="C164:D164"/>
    <mergeCell ref="C165:M165"/>
    <mergeCell ref="C166:D166"/>
    <mergeCell ref="C167:M167"/>
    <mergeCell ref="C168:D168"/>
    <mergeCell ref="C169:M169"/>
    <mergeCell ref="C158:D158"/>
    <mergeCell ref="C159:D159"/>
    <mergeCell ref="C160:D160"/>
    <mergeCell ref="C161:M161"/>
    <mergeCell ref="C162:D162"/>
    <mergeCell ref="C163:M163"/>
    <mergeCell ref="A183:M183"/>
    <mergeCell ref="C176:D176"/>
    <mergeCell ref="C177:M177"/>
    <mergeCell ref="C178:D178"/>
    <mergeCell ref="C179:M179"/>
    <mergeCell ref="H180:I180"/>
    <mergeCell ref="A182:M182"/>
    <mergeCell ref="C170:D170"/>
    <mergeCell ref="C171:M171"/>
    <mergeCell ref="C172:D172"/>
    <mergeCell ref="C173:M173"/>
    <mergeCell ref="C174:D174"/>
    <mergeCell ref="C175:M175"/>
  </mergeCells>
  <pageMargins left="0.78740157480314965" right="0.39370078740157483" top="0.39370078740157483" bottom="0.39370078740157483" header="0" footer="0.39370078740157483"/>
  <pageSetup paperSize="9" scale="63" fitToHeight="0" orientation="landscape" r:id="rId1"/>
  <headerFooter>
    <oddFooter>&amp;L&amp;A&amp;C&amp;F&amp;Rstran &amp;N / strana &amp;P</oddFooter>
  </headerFooter>
  <rowBreaks count="6" manualBreakCount="6">
    <brk id="26" max="12" man="1"/>
    <brk id="53" max="12" man="1"/>
    <brk id="77" max="12" man="1"/>
    <brk id="109" max="12" man="1"/>
    <brk id="133" max="12" man="1"/>
    <brk id="163" max="12" man="1"/>
  </row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9C440-86DD-4FC1-8100-7190419FC212}">
  <sheetPr codeName="List11">
    <pageSetUpPr fitToPage="1"/>
  </sheetPr>
  <dimension ref="A1:BV172"/>
  <sheetViews>
    <sheetView view="pageBreakPreview" zoomScale="55" zoomScaleNormal="10" zoomScaleSheetLayoutView="55" workbookViewId="0">
      <pane ySplit="11" topLeftCell="A12" activePane="bottomLeft" state="frozen"/>
      <selection pane="bottomLeft" activeCell="G24" sqref="G24"/>
    </sheetView>
  </sheetViews>
  <sheetFormatPr defaultColWidth="12.109375" defaultRowHeight="15" customHeight="1" x14ac:dyDescent="0.3"/>
  <cols>
    <col min="1" max="1" width="4" style="221" customWidth="1"/>
    <col min="2" max="2" width="17.88671875" style="221" customWidth="1"/>
    <col min="3" max="3" width="42.88671875" style="221" customWidth="1"/>
    <col min="4" max="4" width="35.6640625" style="221" customWidth="1"/>
    <col min="5" max="5" width="4.88671875" style="221" customWidth="1"/>
    <col min="6" max="6" width="12.88671875" style="221" customWidth="1"/>
    <col min="7" max="7" width="12" style="221" customWidth="1"/>
    <col min="8" max="10" width="15.6640625" style="221" customWidth="1"/>
    <col min="11" max="12" width="11.6640625" style="221" customWidth="1"/>
    <col min="13" max="13" width="13.44140625" style="221" customWidth="1"/>
    <col min="14" max="73" width="12.109375" style="221"/>
    <col min="74" max="74" width="78.5546875" style="221" hidden="1" customWidth="1"/>
    <col min="75" max="16384" width="12.109375" style="221"/>
  </cols>
  <sheetData>
    <row r="1" spans="1:74" ht="54.75" customHeight="1" thickBot="1" x14ac:dyDescent="0.35">
      <c r="A1" s="523" t="s">
        <v>2303</v>
      </c>
      <c r="B1" s="524"/>
      <c r="C1" s="524"/>
      <c r="D1" s="524"/>
      <c r="E1" s="524"/>
      <c r="F1" s="524"/>
      <c r="G1" s="524"/>
      <c r="H1" s="524"/>
      <c r="I1" s="524"/>
      <c r="J1" s="524"/>
      <c r="K1" s="524"/>
      <c r="L1" s="524"/>
      <c r="M1" s="525"/>
      <c r="AQ1" s="222">
        <f>SUM(AH1:AH2)</f>
        <v>0</v>
      </c>
      <c r="AR1" s="222">
        <f>SUM(AI1:AI2)</f>
        <v>0</v>
      </c>
      <c r="AS1" s="222">
        <f>SUM(AJ1:AJ2)</f>
        <v>0</v>
      </c>
    </row>
    <row r="2" spans="1:74" ht="15" customHeight="1" x14ac:dyDescent="0.3">
      <c r="A2" s="518" t="s">
        <v>112</v>
      </c>
      <c r="B2" s="519"/>
      <c r="C2" s="526" t="s">
        <v>68</v>
      </c>
      <c r="D2" s="527"/>
      <c r="E2" s="565" t="s">
        <v>113</v>
      </c>
      <c r="F2" s="565"/>
      <c r="G2" s="522" t="s">
        <v>1156</v>
      </c>
      <c r="H2" s="551" t="s">
        <v>457</v>
      </c>
      <c r="I2" s="551" t="s">
        <v>69</v>
      </c>
      <c r="J2" s="551"/>
      <c r="K2" s="551"/>
      <c r="L2" s="551"/>
      <c r="M2" s="552"/>
    </row>
    <row r="3" spans="1:74" ht="14.4" x14ac:dyDescent="0.3">
      <c r="A3" s="520"/>
      <c r="B3" s="519"/>
      <c r="C3" s="527"/>
      <c r="D3" s="527"/>
      <c r="E3" s="565"/>
      <c r="F3" s="565"/>
      <c r="G3" s="522"/>
      <c r="H3" s="551"/>
      <c r="I3" s="551"/>
      <c r="J3" s="551"/>
      <c r="K3" s="551"/>
      <c r="L3" s="551"/>
      <c r="M3" s="552"/>
    </row>
    <row r="4" spans="1:74" ht="15" customHeight="1" x14ac:dyDescent="0.3">
      <c r="A4" s="518" t="s">
        <v>115</v>
      </c>
      <c r="B4" s="519"/>
      <c r="C4" s="521" t="s">
        <v>89</v>
      </c>
      <c r="D4" s="519"/>
      <c r="E4" s="565" t="s">
        <v>116</v>
      </c>
      <c r="F4" s="565"/>
      <c r="G4" s="522" t="s">
        <v>1156</v>
      </c>
      <c r="H4" s="551" t="s">
        <v>458</v>
      </c>
      <c r="I4" s="551" t="s">
        <v>1157</v>
      </c>
      <c r="J4" s="551"/>
      <c r="K4" s="551"/>
      <c r="L4" s="551"/>
      <c r="M4" s="552"/>
    </row>
    <row r="5" spans="1:74" ht="14.4" x14ac:dyDescent="0.3">
      <c r="A5" s="520"/>
      <c r="B5" s="519"/>
      <c r="C5" s="519"/>
      <c r="D5" s="519"/>
      <c r="E5" s="565"/>
      <c r="F5" s="565"/>
      <c r="G5" s="522"/>
      <c r="H5" s="551"/>
      <c r="I5" s="551"/>
      <c r="J5" s="551"/>
      <c r="K5" s="551"/>
      <c r="L5" s="551"/>
      <c r="M5" s="552"/>
    </row>
    <row r="6" spans="1:74" ht="15" customHeight="1" x14ac:dyDescent="0.3">
      <c r="A6" s="518" t="s">
        <v>117</v>
      </c>
      <c r="B6" s="519"/>
      <c r="C6" s="521" t="s">
        <v>459</v>
      </c>
      <c r="D6" s="519"/>
      <c r="E6" s="565" t="s">
        <v>119</v>
      </c>
      <c r="F6" s="565"/>
      <c r="G6" s="522" t="s">
        <v>1156</v>
      </c>
      <c r="H6" s="551" t="s">
        <v>460</v>
      </c>
      <c r="I6" s="551" t="s">
        <v>461</v>
      </c>
      <c r="J6" s="551"/>
      <c r="K6" s="551"/>
      <c r="L6" s="551"/>
      <c r="M6" s="552"/>
    </row>
    <row r="7" spans="1:74" ht="14.4" x14ac:dyDescent="0.3">
      <c r="A7" s="520"/>
      <c r="B7" s="519"/>
      <c r="C7" s="519"/>
      <c r="D7" s="519"/>
      <c r="E7" s="565"/>
      <c r="F7" s="565"/>
      <c r="G7" s="522"/>
      <c r="H7" s="551"/>
      <c r="I7" s="551"/>
      <c r="J7" s="551"/>
      <c r="K7" s="551"/>
      <c r="L7" s="551"/>
      <c r="M7" s="552"/>
    </row>
    <row r="8" spans="1:74" ht="14.4" x14ac:dyDescent="0.3">
      <c r="A8" s="518" t="s">
        <v>120</v>
      </c>
      <c r="B8" s="519"/>
      <c r="C8" s="521" t="s">
        <v>121</v>
      </c>
      <c r="D8" s="519"/>
      <c r="E8" s="565" t="s">
        <v>122</v>
      </c>
      <c r="F8" s="565"/>
      <c r="G8" s="522" t="s">
        <v>1155</v>
      </c>
      <c r="H8" s="551" t="s">
        <v>462</v>
      </c>
      <c r="I8" s="551" t="s">
        <v>1158</v>
      </c>
      <c r="J8" s="551"/>
      <c r="K8" s="551"/>
      <c r="L8" s="551"/>
      <c r="M8" s="552"/>
    </row>
    <row r="9" spans="1:74" thickBot="1" x14ac:dyDescent="0.35">
      <c r="A9" s="607"/>
      <c r="B9" s="533"/>
      <c r="C9" s="533"/>
      <c r="D9" s="533"/>
      <c r="E9" s="576"/>
      <c r="F9" s="576"/>
      <c r="G9" s="534"/>
      <c r="H9" s="553"/>
      <c r="I9" s="553"/>
      <c r="J9" s="553"/>
      <c r="K9" s="553"/>
      <c r="L9" s="553"/>
      <c r="M9" s="554"/>
    </row>
    <row r="10" spans="1:74" ht="14.4" x14ac:dyDescent="0.3">
      <c r="A10" s="246" t="s">
        <v>123</v>
      </c>
      <c r="B10" s="247" t="s">
        <v>124</v>
      </c>
      <c r="C10" s="555" t="s">
        <v>125</v>
      </c>
      <c r="D10" s="556"/>
      <c r="E10" s="247" t="s">
        <v>126</v>
      </c>
      <c r="F10" s="248" t="s">
        <v>127</v>
      </c>
      <c r="G10" s="249" t="s">
        <v>128</v>
      </c>
      <c r="H10" s="557" t="s">
        <v>129</v>
      </c>
      <c r="I10" s="558"/>
      <c r="J10" s="559"/>
      <c r="K10" s="558" t="s">
        <v>130</v>
      </c>
      <c r="L10" s="558"/>
      <c r="M10" s="250" t="s">
        <v>131</v>
      </c>
      <c r="BI10" s="229" t="s">
        <v>132</v>
      </c>
      <c r="BJ10" s="230" t="s">
        <v>133</v>
      </c>
      <c r="BU10" s="230" t="s">
        <v>134</v>
      </c>
    </row>
    <row r="11" spans="1:74" thickBot="1" x14ac:dyDescent="0.35">
      <c r="A11" s="251" t="s">
        <v>114</v>
      </c>
      <c r="B11" s="252" t="s">
        <v>114</v>
      </c>
      <c r="C11" s="528" t="s">
        <v>135</v>
      </c>
      <c r="D11" s="529"/>
      <c r="E11" s="252" t="s">
        <v>114</v>
      </c>
      <c r="F11" s="252" t="s">
        <v>114</v>
      </c>
      <c r="G11" s="253" t="s">
        <v>136</v>
      </c>
      <c r="H11" s="254" t="s">
        <v>137</v>
      </c>
      <c r="I11" s="255" t="s">
        <v>138</v>
      </c>
      <c r="J11" s="256" t="s">
        <v>139</v>
      </c>
      <c r="K11" s="255" t="s">
        <v>140</v>
      </c>
      <c r="L11" s="253" t="s">
        <v>139</v>
      </c>
      <c r="M11" s="257" t="s">
        <v>141</v>
      </c>
      <c r="X11" s="229" t="s">
        <v>142</v>
      </c>
      <c r="Y11" s="229" t="s">
        <v>143</v>
      </c>
      <c r="Z11" s="229" t="s">
        <v>144</v>
      </c>
      <c r="AA11" s="229" t="s">
        <v>145</v>
      </c>
      <c r="AB11" s="229" t="s">
        <v>146</v>
      </c>
      <c r="AC11" s="229" t="s">
        <v>147</v>
      </c>
      <c r="AD11" s="229" t="s">
        <v>148</v>
      </c>
      <c r="AE11" s="229" t="s">
        <v>149</v>
      </c>
      <c r="AF11" s="229" t="s">
        <v>150</v>
      </c>
      <c r="BF11" s="229" t="s">
        <v>151</v>
      </c>
      <c r="BG11" s="229" t="s">
        <v>152</v>
      </c>
      <c r="BH11" s="229" t="s">
        <v>153</v>
      </c>
    </row>
    <row r="12" spans="1:74" ht="14.4" x14ac:dyDescent="0.3">
      <c r="A12" s="239" t="s">
        <v>154</v>
      </c>
      <c r="B12" s="224" t="s">
        <v>155</v>
      </c>
      <c r="C12" s="526" t="s">
        <v>156</v>
      </c>
      <c r="D12" s="527"/>
      <c r="E12" s="223" t="s">
        <v>114</v>
      </c>
      <c r="F12" s="223" t="s">
        <v>114</v>
      </c>
      <c r="G12" s="223" t="s">
        <v>114</v>
      </c>
      <c r="H12" s="235">
        <f>SUM(H13:H21)</f>
        <v>0</v>
      </c>
      <c r="I12" s="235">
        <f>SUM(I13:I21)</f>
        <v>0</v>
      </c>
      <c r="J12" s="235">
        <f>SUM(J13:J21)</f>
        <v>0</v>
      </c>
      <c r="K12" s="230" t="s">
        <v>154</v>
      </c>
      <c r="L12" s="235">
        <f>SUM(L13:L21)</f>
        <v>11.003924</v>
      </c>
      <c r="M12" s="243" t="s">
        <v>154</v>
      </c>
      <c r="AG12" s="229" t="s">
        <v>154</v>
      </c>
      <c r="AQ12" s="222">
        <f>SUM(AH13:AH21)</f>
        <v>0</v>
      </c>
      <c r="AR12" s="222">
        <f>SUM(AI13:AI21)</f>
        <v>0</v>
      </c>
      <c r="AS12" s="222">
        <f>SUM(AJ13:AJ21)</f>
        <v>0</v>
      </c>
    </row>
    <row r="13" spans="1:74" ht="14.4" x14ac:dyDescent="0.3">
      <c r="A13" s="239" t="s">
        <v>157</v>
      </c>
      <c r="B13" s="223" t="s">
        <v>158</v>
      </c>
      <c r="C13" s="521" t="s">
        <v>159</v>
      </c>
      <c r="D13" s="519"/>
      <c r="E13" s="223" t="s">
        <v>160</v>
      </c>
      <c r="F13" s="233">
        <v>0.8</v>
      </c>
      <c r="G13" s="311">
        <v>0</v>
      </c>
      <c r="H13" s="233">
        <f>F13*AM13</f>
        <v>0</v>
      </c>
      <c r="I13" s="233">
        <f>F13*AN13</f>
        <v>0</v>
      </c>
      <c r="J13" s="233">
        <f>F13*G13</f>
        <v>0</v>
      </c>
      <c r="K13" s="233">
        <v>2.478E-2</v>
      </c>
      <c r="L13" s="233">
        <f>F13*K13</f>
        <v>1.9824000000000001E-2</v>
      </c>
      <c r="M13" s="240" t="s">
        <v>472</v>
      </c>
      <c r="X13" s="233">
        <f>IF(AO13="5",BH13,0)</f>
        <v>0</v>
      </c>
      <c r="Z13" s="233">
        <f>IF(AO13="1",BF13,0)</f>
        <v>0</v>
      </c>
      <c r="AA13" s="233">
        <f>IF(AO13="1",BG13,0)</f>
        <v>0</v>
      </c>
      <c r="AB13" s="233">
        <f>IF(AO13="7",BF13,0)</f>
        <v>0</v>
      </c>
      <c r="AC13" s="233">
        <f>IF(AO13="7",BG13,0)</f>
        <v>0</v>
      </c>
      <c r="AD13" s="233">
        <f>IF(AO13="2",BF13,0)</f>
        <v>0</v>
      </c>
      <c r="AE13" s="233">
        <f>IF(AO13="2",BG13,0)</f>
        <v>0</v>
      </c>
      <c r="AF13" s="233">
        <f>IF(AO13="0",BH13,0)</f>
        <v>0</v>
      </c>
      <c r="AG13" s="229" t="s">
        <v>154</v>
      </c>
      <c r="AH13" s="233">
        <f>IF(AL13=0,J13,0)</f>
        <v>0</v>
      </c>
      <c r="AI13" s="233">
        <f>IF(AL13=15,J13,0)</f>
        <v>0</v>
      </c>
      <c r="AJ13" s="233">
        <f>IF(AL13=21,J13,0)</f>
        <v>0</v>
      </c>
      <c r="AL13" s="233">
        <v>15</v>
      </c>
      <c r="AM13" s="233">
        <f>G13*0.071410049</f>
        <v>0</v>
      </c>
      <c r="AN13" s="233">
        <f>G13*(1-0.071410049)</f>
        <v>0</v>
      </c>
      <c r="AO13" s="234" t="s">
        <v>157</v>
      </c>
      <c r="AT13" s="233">
        <f>AU13+AV13</f>
        <v>0</v>
      </c>
      <c r="AU13" s="233">
        <f>F13*AM13</f>
        <v>0</v>
      </c>
      <c r="AV13" s="233">
        <f>F13*AN13</f>
        <v>0</v>
      </c>
      <c r="AW13" s="234" t="s">
        <v>162</v>
      </c>
      <c r="AX13" s="234" t="s">
        <v>163</v>
      </c>
      <c r="AY13" s="229" t="s">
        <v>164</v>
      </c>
      <c r="BA13" s="233">
        <f>AU13+AV13</f>
        <v>0</v>
      </c>
      <c r="BB13" s="233">
        <f>G13/(100-BC13)*100</f>
        <v>0</v>
      </c>
      <c r="BC13" s="233">
        <v>0</v>
      </c>
      <c r="BD13" s="233">
        <f>L13</f>
        <v>1.9824000000000001E-2</v>
      </c>
      <c r="BF13" s="233">
        <f>F13*AM13</f>
        <v>0</v>
      </c>
      <c r="BG13" s="233">
        <f>F13*AN13</f>
        <v>0</v>
      </c>
      <c r="BH13" s="233">
        <f>F13*G13</f>
        <v>0</v>
      </c>
      <c r="BI13" s="233"/>
      <c r="BJ13" s="233">
        <v>11</v>
      </c>
      <c r="BU13" s="233" t="e">
        <f>#REF!</f>
        <v>#REF!</v>
      </c>
      <c r="BV13" s="225" t="s">
        <v>159</v>
      </c>
    </row>
    <row r="14" spans="1:74" ht="40.5" customHeight="1" x14ac:dyDescent="0.3">
      <c r="A14" s="241"/>
      <c r="B14" s="242" t="s">
        <v>165</v>
      </c>
      <c r="C14" s="530" t="s">
        <v>1775</v>
      </c>
      <c r="D14" s="531"/>
      <c r="E14" s="531"/>
      <c r="F14" s="531"/>
      <c r="G14" s="531"/>
      <c r="H14" s="531"/>
      <c r="I14" s="531"/>
      <c r="J14" s="531"/>
      <c r="K14" s="531"/>
      <c r="L14" s="531"/>
      <c r="M14" s="532"/>
    </row>
    <row r="15" spans="1:74" ht="14.4" x14ac:dyDescent="0.3">
      <c r="A15" s="239" t="s">
        <v>166</v>
      </c>
      <c r="B15" s="223" t="s">
        <v>170</v>
      </c>
      <c r="C15" s="521" t="s">
        <v>171</v>
      </c>
      <c r="D15" s="519"/>
      <c r="E15" s="223" t="s">
        <v>172</v>
      </c>
      <c r="F15" s="233">
        <v>40</v>
      </c>
      <c r="G15" s="311">
        <v>0</v>
      </c>
      <c r="H15" s="233">
        <f>F15*AM15</f>
        <v>0</v>
      </c>
      <c r="I15" s="233">
        <f>F15*AN15</f>
        <v>0</v>
      </c>
      <c r="J15" s="233">
        <f>F15*G15</f>
        <v>0</v>
      </c>
      <c r="K15" s="233">
        <v>0</v>
      </c>
      <c r="L15" s="233">
        <f>F15*K15</f>
        <v>0</v>
      </c>
      <c r="M15" s="240" t="s">
        <v>472</v>
      </c>
      <c r="X15" s="233">
        <f>IF(AO15="5",BH15,0)</f>
        <v>0</v>
      </c>
      <c r="Z15" s="233">
        <f>IF(AO15="1",BF15,0)</f>
        <v>0</v>
      </c>
      <c r="AA15" s="233">
        <f>IF(AO15="1",BG15,0)</f>
        <v>0</v>
      </c>
      <c r="AB15" s="233">
        <f>IF(AO15="7",BF15,0)</f>
        <v>0</v>
      </c>
      <c r="AC15" s="233">
        <f>IF(AO15="7",BG15,0)</f>
        <v>0</v>
      </c>
      <c r="AD15" s="233">
        <f>IF(AO15="2",BF15,0)</f>
        <v>0</v>
      </c>
      <c r="AE15" s="233">
        <f>IF(AO15="2",BG15,0)</f>
        <v>0</v>
      </c>
      <c r="AF15" s="233">
        <f>IF(AO15="0",BH15,0)</f>
        <v>0</v>
      </c>
      <c r="AG15" s="229" t="s">
        <v>154</v>
      </c>
      <c r="AH15" s="233">
        <f>IF(AL15=0,J15,0)</f>
        <v>0</v>
      </c>
      <c r="AI15" s="233">
        <f>IF(AL15=15,J15,0)</f>
        <v>0</v>
      </c>
      <c r="AJ15" s="233">
        <f>IF(AL15=21,J15,0)</f>
        <v>0</v>
      </c>
      <c r="AL15" s="233">
        <v>15</v>
      </c>
      <c r="AM15" s="233">
        <f>G15*0</f>
        <v>0</v>
      </c>
      <c r="AN15" s="233">
        <f>G15*(1-0)</f>
        <v>0</v>
      </c>
      <c r="AO15" s="234" t="s">
        <v>157</v>
      </c>
      <c r="AT15" s="233">
        <f>AU15+AV15</f>
        <v>0</v>
      </c>
      <c r="AU15" s="233">
        <f>F15*AM15</f>
        <v>0</v>
      </c>
      <c r="AV15" s="233">
        <f>F15*AN15</f>
        <v>0</v>
      </c>
      <c r="AW15" s="234" t="s">
        <v>162</v>
      </c>
      <c r="AX15" s="234" t="s">
        <v>163</v>
      </c>
      <c r="AY15" s="229" t="s">
        <v>164</v>
      </c>
      <c r="BA15" s="233">
        <f>AU15+AV15</f>
        <v>0</v>
      </c>
      <c r="BB15" s="233">
        <f>G15/(100-BC15)*100</f>
        <v>0</v>
      </c>
      <c r="BC15" s="233">
        <v>0</v>
      </c>
      <c r="BD15" s="233">
        <f>L15</f>
        <v>0</v>
      </c>
      <c r="BF15" s="233">
        <f>F15*AM15</f>
        <v>0</v>
      </c>
      <c r="BG15" s="233">
        <f>F15*AN15</f>
        <v>0</v>
      </c>
      <c r="BH15" s="233">
        <f>F15*G15</f>
        <v>0</v>
      </c>
      <c r="BI15" s="233"/>
      <c r="BJ15" s="233">
        <v>11</v>
      </c>
      <c r="BU15" s="233" t="e">
        <f>#REF!</f>
        <v>#REF!</v>
      </c>
      <c r="BV15" s="225" t="s">
        <v>171</v>
      </c>
    </row>
    <row r="16" spans="1:74" ht="40.5" customHeight="1" x14ac:dyDescent="0.3">
      <c r="A16" s="241"/>
      <c r="B16" s="242" t="s">
        <v>165</v>
      </c>
      <c r="C16" s="530" t="s">
        <v>1714</v>
      </c>
      <c r="D16" s="531"/>
      <c r="E16" s="531"/>
      <c r="F16" s="531"/>
      <c r="G16" s="531"/>
      <c r="H16" s="531"/>
      <c r="I16" s="531"/>
      <c r="J16" s="531"/>
      <c r="K16" s="531"/>
      <c r="L16" s="531"/>
      <c r="M16" s="532"/>
    </row>
    <row r="17" spans="1:74" ht="14.4" x14ac:dyDescent="0.3">
      <c r="A17" s="239" t="s">
        <v>169</v>
      </c>
      <c r="B17" s="223" t="s">
        <v>174</v>
      </c>
      <c r="C17" s="521" t="s">
        <v>175</v>
      </c>
      <c r="D17" s="519"/>
      <c r="E17" s="223" t="s">
        <v>176</v>
      </c>
      <c r="F17" s="233">
        <v>5</v>
      </c>
      <c r="G17" s="311">
        <v>0</v>
      </c>
      <c r="H17" s="233">
        <f>F17*AM17</f>
        <v>0</v>
      </c>
      <c r="I17" s="233">
        <f>F17*AN17</f>
        <v>0</v>
      </c>
      <c r="J17" s="233">
        <f>F17*G17</f>
        <v>0</v>
      </c>
      <c r="K17" s="233">
        <v>0</v>
      </c>
      <c r="L17" s="233">
        <f>F17*K17</f>
        <v>0</v>
      </c>
      <c r="M17" s="240" t="s">
        <v>472</v>
      </c>
      <c r="X17" s="233">
        <f>IF(AO17="5",BH17,0)</f>
        <v>0</v>
      </c>
      <c r="Z17" s="233">
        <f>IF(AO17="1",BF17,0)</f>
        <v>0</v>
      </c>
      <c r="AA17" s="233">
        <f>IF(AO17="1",BG17,0)</f>
        <v>0</v>
      </c>
      <c r="AB17" s="233">
        <f>IF(AO17="7",BF17,0)</f>
        <v>0</v>
      </c>
      <c r="AC17" s="233">
        <f>IF(AO17="7",BG17,0)</f>
        <v>0</v>
      </c>
      <c r="AD17" s="233">
        <f>IF(AO17="2",BF17,0)</f>
        <v>0</v>
      </c>
      <c r="AE17" s="233">
        <f>IF(AO17="2",BG17,0)</f>
        <v>0</v>
      </c>
      <c r="AF17" s="233">
        <f>IF(AO17="0",BH17,0)</f>
        <v>0</v>
      </c>
      <c r="AG17" s="229" t="s">
        <v>154</v>
      </c>
      <c r="AH17" s="233">
        <f>IF(AL17=0,J17,0)</f>
        <v>0</v>
      </c>
      <c r="AI17" s="233">
        <f>IF(AL17=15,J17,0)</f>
        <v>0</v>
      </c>
      <c r="AJ17" s="233">
        <f>IF(AL17=21,J17,0)</f>
        <v>0</v>
      </c>
      <c r="AL17" s="233">
        <v>15</v>
      </c>
      <c r="AM17" s="233">
        <f>G17*0</f>
        <v>0</v>
      </c>
      <c r="AN17" s="233">
        <f>G17*(1-0)</f>
        <v>0</v>
      </c>
      <c r="AO17" s="234" t="s">
        <v>157</v>
      </c>
      <c r="AT17" s="233">
        <f>AU17+AV17</f>
        <v>0</v>
      </c>
      <c r="AU17" s="233">
        <f>F17*AM17</f>
        <v>0</v>
      </c>
      <c r="AV17" s="233">
        <f>F17*AN17</f>
        <v>0</v>
      </c>
      <c r="AW17" s="234" t="s">
        <v>162</v>
      </c>
      <c r="AX17" s="234" t="s">
        <v>163</v>
      </c>
      <c r="AY17" s="229" t="s">
        <v>164</v>
      </c>
      <c r="BA17" s="233">
        <f>AU17+AV17</f>
        <v>0</v>
      </c>
      <c r="BB17" s="233">
        <f>G17/(100-BC17)*100</f>
        <v>0</v>
      </c>
      <c r="BC17" s="233">
        <v>0</v>
      </c>
      <c r="BD17" s="233">
        <f>L17</f>
        <v>0</v>
      </c>
      <c r="BF17" s="233">
        <f>F17*AM17</f>
        <v>0</v>
      </c>
      <c r="BG17" s="233">
        <f>F17*AN17</f>
        <v>0</v>
      </c>
      <c r="BH17" s="233">
        <f>F17*G17</f>
        <v>0</v>
      </c>
      <c r="BI17" s="233"/>
      <c r="BJ17" s="233">
        <v>11</v>
      </c>
      <c r="BU17" s="233" t="e">
        <f>#REF!</f>
        <v>#REF!</v>
      </c>
      <c r="BV17" s="225" t="s">
        <v>175</v>
      </c>
    </row>
    <row r="18" spans="1:74" ht="40.5" customHeight="1" x14ac:dyDescent="0.3">
      <c r="A18" s="241"/>
      <c r="B18" s="242" t="s">
        <v>165</v>
      </c>
      <c r="C18" s="530" t="s">
        <v>1715</v>
      </c>
      <c r="D18" s="531"/>
      <c r="E18" s="531"/>
      <c r="F18" s="531"/>
      <c r="G18" s="531"/>
      <c r="H18" s="531"/>
      <c r="I18" s="531"/>
      <c r="J18" s="531"/>
      <c r="K18" s="531"/>
      <c r="L18" s="531"/>
      <c r="M18" s="532"/>
    </row>
    <row r="19" spans="1:74" ht="14.4" x14ac:dyDescent="0.3">
      <c r="A19" s="239" t="s">
        <v>173</v>
      </c>
      <c r="B19" s="223" t="s">
        <v>182</v>
      </c>
      <c r="C19" s="521" t="s">
        <v>976</v>
      </c>
      <c r="D19" s="519"/>
      <c r="E19" s="223" t="s">
        <v>180</v>
      </c>
      <c r="F19" s="233">
        <v>8.6</v>
      </c>
      <c r="G19" s="311">
        <v>0</v>
      </c>
      <c r="H19" s="233">
        <f>F19*AM19</f>
        <v>0</v>
      </c>
      <c r="I19" s="233">
        <f>F19*AN19</f>
        <v>0</v>
      </c>
      <c r="J19" s="233">
        <f>F19*G19</f>
        <v>0</v>
      </c>
      <c r="K19" s="233">
        <v>0.90010000000000001</v>
      </c>
      <c r="L19" s="233">
        <f>F19*K19</f>
        <v>7.7408599999999996</v>
      </c>
      <c r="M19" s="240" t="s">
        <v>472</v>
      </c>
      <c r="X19" s="233">
        <f>IF(AO19="5",BH19,0)</f>
        <v>0</v>
      </c>
      <c r="Z19" s="233">
        <f>IF(AO19="1",BF19,0)</f>
        <v>0</v>
      </c>
      <c r="AA19" s="233">
        <f>IF(AO19="1",BG19,0)</f>
        <v>0</v>
      </c>
      <c r="AB19" s="233">
        <f>IF(AO19="7",BF19,0)</f>
        <v>0</v>
      </c>
      <c r="AC19" s="233">
        <f>IF(AO19="7",BG19,0)</f>
        <v>0</v>
      </c>
      <c r="AD19" s="233">
        <f>IF(AO19="2",BF19,0)</f>
        <v>0</v>
      </c>
      <c r="AE19" s="233">
        <f>IF(AO19="2",BG19,0)</f>
        <v>0</v>
      </c>
      <c r="AF19" s="233">
        <f>IF(AO19="0",BH19,0)</f>
        <v>0</v>
      </c>
      <c r="AG19" s="229" t="s">
        <v>154</v>
      </c>
      <c r="AH19" s="233">
        <f>IF(AL19=0,J19,0)</f>
        <v>0</v>
      </c>
      <c r="AI19" s="233">
        <f>IF(AL19=15,J19,0)</f>
        <v>0</v>
      </c>
      <c r="AJ19" s="233">
        <f>IF(AL19=21,J19,0)</f>
        <v>0</v>
      </c>
      <c r="AL19" s="233">
        <v>15</v>
      </c>
      <c r="AM19" s="233">
        <f>G19*0.006693262</f>
        <v>0</v>
      </c>
      <c r="AN19" s="233">
        <f>G19*(1-0.006693262)</f>
        <v>0</v>
      </c>
      <c r="AO19" s="234" t="s">
        <v>157</v>
      </c>
      <c r="AT19" s="233">
        <f>AU19+AV19</f>
        <v>0</v>
      </c>
      <c r="AU19" s="233">
        <f>F19*AM19</f>
        <v>0</v>
      </c>
      <c r="AV19" s="233">
        <f>F19*AN19</f>
        <v>0</v>
      </c>
      <c r="AW19" s="234" t="s">
        <v>162</v>
      </c>
      <c r="AX19" s="234" t="s">
        <v>163</v>
      </c>
      <c r="AY19" s="229" t="s">
        <v>164</v>
      </c>
      <c r="BA19" s="233">
        <f>AU19+AV19</f>
        <v>0</v>
      </c>
      <c r="BB19" s="233">
        <f>G19/(100-BC19)*100</f>
        <v>0</v>
      </c>
      <c r="BC19" s="233">
        <v>0</v>
      </c>
      <c r="BD19" s="233">
        <f>L19</f>
        <v>7.7408599999999996</v>
      </c>
      <c r="BF19" s="233">
        <f>F19*AM19</f>
        <v>0</v>
      </c>
      <c r="BG19" s="233">
        <f>F19*AN19</f>
        <v>0</v>
      </c>
      <c r="BH19" s="233">
        <f>F19*G19</f>
        <v>0</v>
      </c>
      <c r="BI19" s="233"/>
      <c r="BJ19" s="233">
        <v>11</v>
      </c>
      <c r="BU19" s="233" t="e">
        <f>#REF!</f>
        <v>#REF!</v>
      </c>
      <c r="BV19" s="225" t="s">
        <v>976</v>
      </c>
    </row>
    <row r="20" spans="1:74" ht="162" customHeight="1" x14ac:dyDescent="0.3">
      <c r="A20" s="241"/>
      <c r="B20" s="242" t="s">
        <v>165</v>
      </c>
      <c r="C20" s="530" t="s">
        <v>1776</v>
      </c>
      <c r="D20" s="531"/>
      <c r="E20" s="531"/>
      <c r="F20" s="531"/>
      <c r="G20" s="531"/>
      <c r="H20" s="531"/>
      <c r="I20" s="531"/>
      <c r="J20" s="531"/>
      <c r="K20" s="531"/>
      <c r="L20" s="531"/>
      <c r="M20" s="532"/>
    </row>
    <row r="21" spans="1:74" ht="14.4" x14ac:dyDescent="0.3">
      <c r="A21" s="239" t="s">
        <v>177</v>
      </c>
      <c r="B21" s="223" t="s">
        <v>977</v>
      </c>
      <c r="C21" s="521" t="s">
        <v>978</v>
      </c>
      <c r="D21" s="519"/>
      <c r="E21" s="223" t="s">
        <v>180</v>
      </c>
      <c r="F21" s="233">
        <v>8.19</v>
      </c>
      <c r="G21" s="311">
        <v>0</v>
      </c>
      <c r="H21" s="233">
        <f>F21*AM21</f>
        <v>0</v>
      </c>
      <c r="I21" s="233">
        <f>F21*AN21</f>
        <v>0</v>
      </c>
      <c r="J21" s="233">
        <f>F21*G21</f>
        <v>0</v>
      </c>
      <c r="K21" s="233">
        <v>0.39600000000000002</v>
      </c>
      <c r="L21" s="233">
        <f>F21*K21</f>
        <v>3.2432400000000001</v>
      </c>
      <c r="M21" s="240" t="s">
        <v>472</v>
      </c>
      <c r="X21" s="233">
        <f>IF(AO21="5",BH21,0)</f>
        <v>0</v>
      </c>
      <c r="Z21" s="233">
        <f>IF(AO21="1",BF21,0)</f>
        <v>0</v>
      </c>
      <c r="AA21" s="233">
        <f>IF(AO21="1",BG21,0)</f>
        <v>0</v>
      </c>
      <c r="AB21" s="233">
        <f>IF(AO21="7",BF21,0)</f>
        <v>0</v>
      </c>
      <c r="AC21" s="233">
        <f>IF(AO21="7",BG21,0)</f>
        <v>0</v>
      </c>
      <c r="AD21" s="233">
        <f>IF(AO21="2",BF21,0)</f>
        <v>0</v>
      </c>
      <c r="AE21" s="233">
        <f>IF(AO21="2",BG21,0)</f>
        <v>0</v>
      </c>
      <c r="AF21" s="233">
        <f>IF(AO21="0",BH21,0)</f>
        <v>0</v>
      </c>
      <c r="AG21" s="229" t="s">
        <v>154</v>
      </c>
      <c r="AH21" s="233">
        <f>IF(AL21=0,J21,0)</f>
        <v>0</v>
      </c>
      <c r="AI21" s="233">
        <f>IF(AL21=15,J21,0)</f>
        <v>0</v>
      </c>
      <c r="AJ21" s="233">
        <f>IF(AL21=21,J21,0)</f>
        <v>0</v>
      </c>
      <c r="AL21" s="233">
        <v>15</v>
      </c>
      <c r="AM21" s="233">
        <f>G21*0</f>
        <v>0</v>
      </c>
      <c r="AN21" s="233">
        <f>G21*(1-0)</f>
        <v>0</v>
      </c>
      <c r="AO21" s="234" t="s">
        <v>157</v>
      </c>
      <c r="AT21" s="233">
        <f>AU21+AV21</f>
        <v>0</v>
      </c>
      <c r="AU21" s="233">
        <f>F21*AM21</f>
        <v>0</v>
      </c>
      <c r="AV21" s="233">
        <f>F21*AN21</f>
        <v>0</v>
      </c>
      <c r="AW21" s="234" t="s">
        <v>162</v>
      </c>
      <c r="AX21" s="234" t="s">
        <v>163</v>
      </c>
      <c r="AY21" s="229" t="s">
        <v>164</v>
      </c>
      <c r="BA21" s="233">
        <f>AU21+AV21</f>
        <v>0</v>
      </c>
      <c r="BB21" s="233">
        <f>G21/(100-BC21)*100</f>
        <v>0</v>
      </c>
      <c r="BC21" s="233">
        <v>0</v>
      </c>
      <c r="BD21" s="233">
        <f>L21</f>
        <v>3.2432400000000001</v>
      </c>
      <c r="BF21" s="233">
        <f>F21*AM21</f>
        <v>0</v>
      </c>
      <c r="BG21" s="233">
        <f>F21*AN21</f>
        <v>0</v>
      </c>
      <c r="BH21" s="233">
        <f>F21*G21</f>
        <v>0</v>
      </c>
      <c r="BI21" s="233"/>
      <c r="BJ21" s="233">
        <v>11</v>
      </c>
      <c r="BU21" s="233" t="e">
        <f>#REF!</f>
        <v>#REF!</v>
      </c>
      <c r="BV21" s="225" t="s">
        <v>978</v>
      </c>
    </row>
    <row r="22" spans="1:74" ht="67.5" customHeight="1" x14ac:dyDescent="0.3">
      <c r="A22" s="241"/>
      <c r="B22" s="242" t="s">
        <v>165</v>
      </c>
      <c r="C22" s="530" t="s">
        <v>1777</v>
      </c>
      <c r="D22" s="531"/>
      <c r="E22" s="531"/>
      <c r="F22" s="531"/>
      <c r="G22" s="531"/>
      <c r="H22" s="531"/>
      <c r="I22" s="531"/>
      <c r="J22" s="531"/>
      <c r="K22" s="531"/>
      <c r="L22" s="531"/>
      <c r="M22" s="532"/>
    </row>
    <row r="23" spans="1:74" ht="14.4" x14ac:dyDescent="0.3">
      <c r="A23" s="239" t="s">
        <v>154</v>
      </c>
      <c r="B23" s="224" t="s">
        <v>191</v>
      </c>
      <c r="C23" s="526" t="s">
        <v>192</v>
      </c>
      <c r="D23" s="527"/>
      <c r="E23" s="223" t="s">
        <v>114</v>
      </c>
      <c r="F23" s="223" t="s">
        <v>114</v>
      </c>
      <c r="G23" s="223" t="s">
        <v>114</v>
      </c>
      <c r="H23" s="235">
        <f>SUM(H24:H26)</f>
        <v>0</v>
      </c>
      <c r="I23" s="235">
        <f>SUM(I24:I26)</f>
        <v>0</v>
      </c>
      <c r="J23" s="235">
        <f>SUM(J24:J26)</f>
        <v>0</v>
      </c>
      <c r="K23" s="230" t="s">
        <v>154</v>
      </c>
      <c r="L23" s="235">
        <f>SUM(L24:L26)</f>
        <v>0</v>
      </c>
      <c r="M23" s="243" t="s">
        <v>154</v>
      </c>
      <c r="AG23" s="229" t="s">
        <v>154</v>
      </c>
      <c r="AQ23" s="222">
        <f>SUM(AH24:AH26)</f>
        <v>0</v>
      </c>
      <c r="AR23" s="222">
        <f>SUM(AI24:AI26)</f>
        <v>0</v>
      </c>
      <c r="AS23" s="222">
        <f>SUM(AJ24:AJ26)</f>
        <v>0</v>
      </c>
    </row>
    <row r="24" spans="1:74" ht="14.4" x14ac:dyDescent="0.3">
      <c r="A24" s="239" t="s">
        <v>181</v>
      </c>
      <c r="B24" s="223" t="s">
        <v>194</v>
      </c>
      <c r="C24" s="521" t="s">
        <v>195</v>
      </c>
      <c r="D24" s="519"/>
      <c r="E24" s="223" t="s">
        <v>196</v>
      </c>
      <c r="F24" s="233">
        <v>1.1200000000000001</v>
      </c>
      <c r="G24" s="311">
        <v>0</v>
      </c>
      <c r="H24" s="233">
        <f>F24*AM24</f>
        <v>0</v>
      </c>
      <c r="I24" s="233">
        <f>F24*AN24</f>
        <v>0</v>
      </c>
      <c r="J24" s="233">
        <f>F24*G24</f>
        <v>0</v>
      </c>
      <c r="K24" s="233">
        <v>0</v>
      </c>
      <c r="L24" s="233">
        <f>F24*K24</f>
        <v>0</v>
      </c>
      <c r="M24" s="240" t="s">
        <v>472</v>
      </c>
      <c r="X24" s="233">
        <f>IF(AO24="5",BH24,0)</f>
        <v>0</v>
      </c>
      <c r="Z24" s="233">
        <f>IF(AO24="1",BF24,0)</f>
        <v>0</v>
      </c>
      <c r="AA24" s="233">
        <f>IF(AO24="1",BG24,0)</f>
        <v>0</v>
      </c>
      <c r="AB24" s="233">
        <f>IF(AO24="7",BF24,0)</f>
        <v>0</v>
      </c>
      <c r="AC24" s="233">
        <f>IF(AO24="7",BG24,0)</f>
        <v>0</v>
      </c>
      <c r="AD24" s="233">
        <f>IF(AO24="2",BF24,0)</f>
        <v>0</v>
      </c>
      <c r="AE24" s="233">
        <f>IF(AO24="2",BG24,0)</f>
        <v>0</v>
      </c>
      <c r="AF24" s="233">
        <f>IF(AO24="0",BH24,0)</f>
        <v>0</v>
      </c>
      <c r="AG24" s="229" t="s">
        <v>154</v>
      </c>
      <c r="AH24" s="233">
        <f>IF(AL24=0,J24,0)</f>
        <v>0</v>
      </c>
      <c r="AI24" s="233">
        <f>IF(AL24=15,J24,0)</f>
        <v>0</v>
      </c>
      <c r="AJ24" s="233">
        <f>IF(AL24=21,J24,0)</f>
        <v>0</v>
      </c>
      <c r="AL24" s="233">
        <v>15</v>
      </c>
      <c r="AM24" s="233">
        <f>G24*0</f>
        <v>0</v>
      </c>
      <c r="AN24" s="233">
        <f>G24*(1-0)</f>
        <v>0</v>
      </c>
      <c r="AO24" s="234" t="s">
        <v>157</v>
      </c>
      <c r="AT24" s="233">
        <f>AU24+AV24</f>
        <v>0</v>
      </c>
      <c r="AU24" s="233">
        <f>F24*AM24</f>
        <v>0</v>
      </c>
      <c r="AV24" s="233">
        <f>F24*AN24</f>
        <v>0</v>
      </c>
      <c r="AW24" s="234" t="s">
        <v>197</v>
      </c>
      <c r="AX24" s="234" t="s">
        <v>163</v>
      </c>
      <c r="AY24" s="229" t="s">
        <v>164</v>
      </c>
      <c r="BA24" s="233">
        <f>AU24+AV24</f>
        <v>0</v>
      </c>
      <c r="BB24" s="233">
        <f>G24/(100-BC24)*100</f>
        <v>0</v>
      </c>
      <c r="BC24" s="233">
        <v>0</v>
      </c>
      <c r="BD24" s="233">
        <f>L24</f>
        <v>0</v>
      </c>
      <c r="BF24" s="233">
        <f>F24*AM24</f>
        <v>0</v>
      </c>
      <c r="BG24" s="233">
        <f>F24*AN24</f>
        <v>0</v>
      </c>
      <c r="BH24" s="233">
        <f>F24*G24</f>
        <v>0</v>
      </c>
      <c r="BI24" s="233"/>
      <c r="BJ24" s="233">
        <v>12</v>
      </c>
      <c r="BU24" s="233" t="e">
        <f>#REF!</f>
        <v>#REF!</v>
      </c>
      <c r="BV24" s="225" t="s">
        <v>195</v>
      </c>
    </row>
    <row r="25" spans="1:74" ht="40.5" customHeight="1" x14ac:dyDescent="0.3">
      <c r="A25" s="241"/>
      <c r="B25" s="242" t="s">
        <v>165</v>
      </c>
      <c r="C25" s="530" t="s">
        <v>1778</v>
      </c>
      <c r="D25" s="531"/>
      <c r="E25" s="531"/>
      <c r="F25" s="531"/>
      <c r="G25" s="531"/>
      <c r="H25" s="531"/>
      <c r="I25" s="531"/>
      <c r="J25" s="531"/>
      <c r="K25" s="531"/>
      <c r="L25" s="531"/>
      <c r="M25" s="532"/>
    </row>
    <row r="26" spans="1:74" ht="14.4" x14ac:dyDescent="0.3">
      <c r="A26" s="239" t="s">
        <v>184</v>
      </c>
      <c r="B26" s="223" t="s">
        <v>199</v>
      </c>
      <c r="C26" s="521" t="s">
        <v>200</v>
      </c>
      <c r="D26" s="519"/>
      <c r="E26" s="223" t="s">
        <v>196</v>
      </c>
      <c r="F26" s="233">
        <v>0.5</v>
      </c>
      <c r="G26" s="311">
        <v>0</v>
      </c>
      <c r="H26" s="233">
        <f>F26*AM26</f>
        <v>0</v>
      </c>
      <c r="I26" s="233">
        <f>F26*AN26</f>
        <v>0</v>
      </c>
      <c r="J26" s="233">
        <f>F26*G26</f>
        <v>0</v>
      </c>
      <c r="K26" s="233">
        <v>0</v>
      </c>
      <c r="L26" s="233">
        <f>F26*K26</f>
        <v>0</v>
      </c>
      <c r="M26" s="240" t="s">
        <v>472</v>
      </c>
      <c r="X26" s="233">
        <f>IF(AO26="5",BH26,0)</f>
        <v>0</v>
      </c>
      <c r="Z26" s="233">
        <f>IF(AO26="1",BF26,0)</f>
        <v>0</v>
      </c>
      <c r="AA26" s="233">
        <f>IF(AO26="1",BG26,0)</f>
        <v>0</v>
      </c>
      <c r="AB26" s="233">
        <f>IF(AO26="7",BF26,0)</f>
        <v>0</v>
      </c>
      <c r="AC26" s="233">
        <f>IF(AO26="7",BG26,0)</f>
        <v>0</v>
      </c>
      <c r="AD26" s="233">
        <f>IF(AO26="2",BF26,0)</f>
        <v>0</v>
      </c>
      <c r="AE26" s="233">
        <f>IF(AO26="2",BG26,0)</f>
        <v>0</v>
      </c>
      <c r="AF26" s="233">
        <f>IF(AO26="0",BH26,0)</f>
        <v>0</v>
      </c>
      <c r="AG26" s="229" t="s">
        <v>154</v>
      </c>
      <c r="AH26" s="233">
        <f>IF(AL26=0,J26,0)</f>
        <v>0</v>
      </c>
      <c r="AI26" s="233">
        <f>IF(AL26=15,J26,0)</f>
        <v>0</v>
      </c>
      <c r="AJ26" s="233">
        <f>IF(AL26=21,J26,0)</f>
        <v>0</v>
      </c>
      <c r="AL26" s="233">
        <v>15</v>
      </c>
      <c r="AM26" s="233">
        <f>G26*0</f>
        <v>0</v>
      </c>
      <c r="AN26" s="233">
        <f>G26*(1-0)</f>
        <v>0</v>
      </c>
      <c r="AO26" s="234" t="s">
        <v>157</v>
      </c>
      <c r="AT26" s="233">
        <f>AU26+AV26</f>
        <v>0</v>
      </c>
      <c r="AU26" s="233">
        <f>F26*AM26</f>
        <v>0</v>
      </c>
      <c r="AV26" s="233">
        <f>F26*AN26</f>
        <v>0</v>
      </c>
      <c r="AW26" s="234" t="s">
        <v>197</v>
      </c>
      <c r="AX26" s="234" t="s">
        <v>163</v>
      </c>
      <c r="AY26" s="229" t="s">
        <v>164</v>
      </c>
      <c r="BA26" s="233">
        <f>AU26+AV26</f>
        <v>0</v>
      </c>
      <c r="BB26" s="233">
        <f>G26/(100-BC26)*100</f>
        <v>0</v>
      </c>
      <c r="BC26" s="233">
        <v>0</v>
      </c>
      <c r="BD26" s="233">
        <f>L26</f>
        <v>0</v>
      </c>
      <c r="BF26" s="233">
        <f>F26*AM26</f>
        <v>0</v>
      </c>
      <c r="BG26" s="233">
        <f>F26*AN26</f>
        <v>0</v>
      </c>
      <c r="BH26" s="233">
        <f>F26*G26</f>
        <v>0</v>
      </c>
      <c r="BI26" s="233"/>
      <c r="BJ26" s="233">
        <v>12</v>
      </c>
      <c r="BU26" s="233" t="e">
        <f>#REF!</f>
        <v>#REF!</v>
      </c>
      <c r="BV26" s="225" t="s">
        <v>200</v>
      </c>
    </row>
    <row r="27" spans="1:74" ht="13.5" customHeight="1" x14ac:dyDescent="0.3">
      <c r="A27" s="244"/>
      <c r="B27" s="245" t="s">
        <v>165</v>
      </c>
      <c r="C27" s="540" t="s">
        <v>480</v>
      </c>
      <c r="D27" s="541"/>
      <c r="E27" s="541"/>
      <c r="F27" s="541"/>
      <c r="G27" s="541"/>
      <c r="H27" s="541"/>
      <c r="I27" s="541"/>
      <c r="J27" s="541"/>
      <c r="K27" s="541"/>
      <c r="L27" s="541"/>
      <c r="M27" s="542"/>
    </row>
    <row r="28" spans="1:74" ht="14.4" x14ac:dyDescent="0.3">
      <c r="A28" s="237" t="s">
        <v>154</v>
      </c>
      <c r="B28" s="260" t="s">
        <v>201</v>
      </c>
      <c r="C28" s="545" t="s">
        <v>202</v>
      </c>
      <c r="D28" s="546"/>
      <c r="E28" s="238" t="s">
        <v>114</v>
      </c>
      <c r="F28" s="238" t="s">
        <v>114</v>
      </c>
      <c r="G28" s="238" t="s">
        <v>114</v>
      </c>
      <c r="H28" s="261">
        <f>SUM(H29:H43)</f>
        <v>0</v>
      </c>
      <c r="I28" s="261">
        <f>SUM(I29:I43)</f>
        <v>0</v>
      </c>
      <c r="J28" s="261">
        <f>SUM(J29:J43)</f>
        <v>0</v>
      </c>
      <c r="K28" s="262" t="s">
        <v>154</v>
      </c>
      <c r="L28" s="261">
        <f>SUM(L29:L43)</f>
        <v>0</v>
      </c>
      <c r="M28" s="263" t="s">
        <v>154</v>
      </c>
      <c r="AG28" s="229" t="s">
        <v>154</v>
      </c>
      <c r="AQ28" s="222">
        <f>SUM(AH29:AH43)</f>
        <v>0</v>
      </c>
      <c r="AR28" s="222">
        <f>SUM(AI29:AI43)</f>
        <v>0</v>
      </c>
      <c r="AS28" s="222">
        <f>SUM(AJ29:AJ43)</f>
        <v>0</v>
      </c>
    </row>
    <row r="29" spans="1:74" ht="14.4" x14ac:dyDescent="0.3">
      <c r="A29" s="239" t="s">
        <v>187</v>
      </c>
      <c r="B29" s="223" t="s">
        <v>203</v>
      </c>
      <c r="C29" s="521" t="s">
        <v>204</v>
      </c>
      <c r="D29" s="519"/>
      <c r="E29" s="223" t="s">
        <v>196</v>
      </c>
      <c r="F29" s="233">
        <v>7.91</v>
      </c>
      <c r="G29" s="311">
        <v>0</v>
      </c>
      <c r="H29" s="233">
        <f>F29*AM29</f>
        <v>0</v>
      </c>
      <c r="I29" s="233">
        <f>F29*AN29</f>
        <v>0</v>
      </c>
      <c r="J29" s="233">
        <f>F29*G29</f>
        <v>0</v>
      </c>
      <c r="K29" s="233">
        <v>0</v>
      </c>
      <c r="L29" s="233">
        <f>F29*K29</f>
        <v>0</v>
      </c>
      <c r="M29" s="240" t="s">
        <v>472</v>
      </c>
      <c r="X29" s="233">
        <f>IF(AO29="5",BH29,0)</f>
        <v>0</v>
      </c>
      <c r="Z29" s="233">
        <f>IF(AO29="1",BF29,0)</f>
        <v>0</v>
      </c>
      <c r="AA29" s="233">
        <f>IF(AO29="1",BG29,0)</f>
        <v>0</v>
      </c>
      <c r="AB29" s="233">
        <f>IF(AO29="7",BF29,0)</f>
        <v>0</v>
      </c>
      <c r="AC29" s="233">
        <f>IF(AO29="7",BG29,0)</f>
        <v>0</v>
      </c>
      <c r="AD29" s="233">
        <f>IF(AO29="2",BF29,0)</f>
        <v>0</v>
      </c>
      <c r="AE29" s="233">
        <f>IF(AO29="2",BG29,0)</f>
        <v>0</v>
      </c>
      <c r="AF29" s="233">
        <f>IF(AO29="0",BH29,0)</f>
        <v>0</v>
      </c>
      <c r="AG29" s="229" t="s">
        <v>154</v>
      </c>
      <c r="AH29" s="233">
        <f>IF(AL29=0,J29,0)</f>
        <v>0</v>
      </c>
      <c r="AI29" s="233">
        <f>IF(AL29=15,J29,0)</f>
        <v>0</v>
      </c>
      <c r="AJ29" s="233">
        <f>IF(AL29=21,J29,0)</f>
        <v>0</v>
      </c>
      <c r="AL29" s="233">
        <v>15</v>
      </c>
      <c r="AM29" s="233">
        <f>G29*0</f>
        <v>0</v>
      </c>
      <c r="AN29" s="233">
        <f>G29*(1-0)</f>
        <v>0</v>
      </c>
      <c r="AO29" s="234" t="s">
        <v>157</v>
      </c>
      <c r="AT29" s="233">
        <f>AU29+AV29</f>
        <v>0</v>
      </c>
      <c r="AU29" s="233">
        <f>F29*AM29</f>
        <v>0</v>
      </c>
      <c r="AV29" s="233">
        <f>F29*AN29</f>
        <v>0</v>
      </c>
      <c r="AW29" s="234" t="s">
        <v>205</v>
      </c>
      <c r="AX29" s="234" t="s">
        <v>163</v>
      </c>
      <c r="AY29" s="229" t="s">
        <v>164</v>
      </c>
      <c r="BA29" s="233">
        <f>AU29+AV29</f>
        <v>0</v>
      </c>
      <c r="BB29" s="233">
        <f>G29/(100-BC29)*100</f>
        <v>0</v>
      </c>
      <c r="BC29" s="233">
        <v>0</v>
      </c>
      <c r="BD29" s="233">
        <f>L29</f>
        <v>0</v>
      </c>
      <c r="BF29" s="233">
        <f>F29*AM29</f>
        <v>0</v>
      </c>
      <c r="BG29" s="233">
        <f>F29*AN29</f>
        <v>0</v>
      </c>
      <c r="BH29" s="233">
        <f>F29*G29</f>
        <v>0</v>
      </c>
      <c r="BI29" s="233"/>
      <c r="BJ29" s="233">
        <v>13</v>
      </c>
      <c r="BU29" s="233" t="e">
        <f>#REF!</f>
        <v>#REF!</v>
      </c>
      <c r="BV29" s="225" t="s">
        <v>204</v>
      </c>
    </row>
    <row r="30" spans="1:74" ht="81" customHeight="1" x14ac:dyDescent="0.3">
      <c r="A30" s="241"/>
      <c r="B30" s="242" t="s">
        <v>165</v>
      </c>
      <c r="C30" s="530" t="s">
        <v>1779</v>
      </c>
      <c r="D30" s="531"/>
      <c r="E30" s="531"/>
      <c r="F30" s="531"/>
      <c r="G30" s="531"/>
      <c r="H30" s="531"/>
      <c r="I30" s="531"/>
      <c r="J30" s="531"/>
      <c r="K30" s="531"/>
      <c r="L30" s="531"/>
      <c r="M30" s="532"/>
    </row>
    <row r="31" spans="1:74" ht="14.4" x14ac:dyDescent="0.3">
      <c r="A31" s="239" t="s">
        <v>193</v>
      </c>
      <c r="B31" s="223" t="s">
        <v>206</v>
      </c>
      <c r="C31" s="521" t="s">
        <v>481</v>
      </c>
      <c r="D31" s="519"/>
      <c r="E31" s="223" t="s">
        <v>196</v>
      </c>
      <c r="F31" s="233">
        <v>3.96</v>
      </c>
      <c r="G31" s="311">
        <v>0</v>
      </c>
      <c r="H31" s="233">
        <f>F31*AM31</f>
        <v>0</v>
      </c>
      <c r="I31" s="233">
        <f>F31*AN31</f>
        <v>0</v>
      </c>
      <c r="J31" s="233">
        <f>F31*G31</f>
        <v>0</v>
      </c>
      <c r="K31" s="233">
        <v>0</v>
      </c>
      <c r="L31" s="233">
        <f>F31*K31</f>
        <v>0</v>
      </c>
      <c r="M31" s="240" t="s">
        <v>472</v>
      </c>
      <c r="X31" s="233">
        <f>IF(AO31="5",BH31,0)</f>
        <v>0</v>
      </c>
      <c r="Z31" s="233">
        <f>IF(AO31="1",BF31,0)</f>
        <v>0</v>
      </c>
      <c r="AA31" s="233">
        <f>IF(AO31="1",BG31,0)</f>
        <v>0</v>
      </c>
      <c r="AB31" s="233">
        <f>IF(AO31="7",BF31,0)</f>
        <v>0</v>
      </c>
      <c r="AC31" s="233">
        <f>IF(AO31="7",BG31,0)</f>
        <v>0</v>
      </c>
      <c r="AD31" s="233">
        <f>IF(AO31="2",BF31,0)</f>
        <v>0</v>
      </c>
      <c r="AE31" s="233">
        <f>IF(AO31="2",BG31,0)</f>
        <v>0</v>
      </c>
      <c r="AF31" s="233">
        <f>IF(AO31="0",BH31,0)</f>
        <v>0</v>
      </c>
      <c r="AG31" s="229" t="s">
        <v>154</v>
      </c>
      <c r="AH31" s="233">
        <f>IF(AL31=0,J31,0)</f>
        <v>0</v>
      </c>
      <c r="AI31" s="233">
        <f>IF(AL31=15,J31,0)</f>
        <v>0</v>
      </c>
      <c r="AJ31" s="233">
        <f>IF(AL31=21,J31,0)</f>
        <v>0</v>
      </c>
      <c r="AL31" s="233">
        <v>15</v>
      </c>
      <c r="AM31" s="233">
        <f>G31*0</f>
        <v>0</v>
      </c>
      <c r="AN31" s="233">
        <f>G31*(1-0)</f>
        <v>0</v>
      </c>
      <c r="AO31" s="234" t="s">
        <v>157</v>
      </c>
      <c r="AT31" s="233">
        <f>AU31+AV31</f>
        <v>0</v>
      </c>
      <c r="AU31" s="233">
        <f>F31*AM31</f>
        <v>0</v>
      </c>
      <c r="AV31" s="233">
        <f>F31*AN31</f>
        <v>0</v>
      </c>
      <c r="AW31" s="234" t="s">
        <v>205</v>
      </c>
      <c r="AX31" s="234" t="s">
        <v>163</v>
      </c>
      <c r="AY31" s="229" t="s">
        <v>164</v>
      </c>
      <c r="BA31" s="233">
        <f>AU31+AV31</f>
        <v>0</v>
      </c>
      <c r="BB31" s="233">
        <f>G31/(100-BC31)*100</f>
        <v>0</v>
      </c>
      <c r="BC31" s="233">
        <v>0</v>
      </c>
      <c r="BD31" s="233">
        <f>L31</f>
        <v>0</v>
      </c>
      <c r="BF31" s="233">
        <f>F31*AM31</f>
        <v>0</v>
      </c>
      <c r="BG31" s="233">
        <f>F31*AN31</f>
        <v>0</v>
      </c>
      <c r="BH31" s="233">
        <f>F31*G31</f>
        <v>0</v>
      </c>
      <c r="BI31" s="233"/>
      <c r="BJ31" s="233">
        <v>13</v>
      </c>
      <c r="BU31" s="233" t="e">
        <f>#REF!</f>
        <v>#REF!</v>
      </c>
      <c r="BV31" s="225" t="s">
        <v>481</v>
      </c>
    </row>
    <row r="32" spans="1:74" ht="40.5" customHeight="1" x14ac:dyDescent="0.3">
      <c r="A32" s="241"/>
      <c r="B32" s="242" t="s">
        <v>165</v>
      </c>
      <c r="C32" s="530" t="s">
        <v>1780</v>
      </c>
      <c r="D32" s="531"/>
      <c r="E32" s="531"/>
      <c r="F32" s="531"/>
      <c r="G32" s="531"/>
      <c r="H32" s="531"/>
      <c r="I32" s="531"/>
      <c r="J32" s="531"/>
      <c r="K32" s="531"/>
      <c r="L32" s="531"/>
      <c r="M32" s="532"/>
    </row>
    <row r="33" spans="1:74" ht="14.4" x14ac:dyDescent="0.3">
      <c r="A33" s="239" t="s">
        <v>198</v>
      </c>
      <c r="B33" s="223" t="s">
        <v>208</v>
      </c>
      <c r="C33" s="521" t="s">
        <v>209</v>
      </c>
      <c r="D33" s="519"/>
      <c r="E33" s="223" t="s">
        <v>196</v>
      </c>
      <c r="F33" s="233">
        <v>6.33</v>
      </c>
      <c r="G33" s="311">
        <v>0</v>
      </c>
      <c r="H33" s="233">
        <f>F33*AM33</f>
        <v>0</v>
      </c>
      <c r="I33" s="233">
        <f>F33*AN33</f>
        <v>0</v>
      </c>
      <c r="J33" s="233">
        <f>F33*G33</f>
        <v>0</v>
      </c>
      <c r="K33" s="233">
        <v>0</v>
      </c>
      <c r="L33" s="233">
        <f>F33*K33</f>
        <v>0</v>
      </c>
      <c r="M33" s="240" t="s">
        <v>472</v>
      </c>
      <c r="X33" s="233">
        <f>IF(AO33="5",BH33,0)</f>
        <v>0</v>
      </c>
      <c r="Z33" s="233">
        <f>IF(AO33="1",BF33,0)</f>
        <v>0</v>
      </c>
      <c r="AA33" s="233">
        <f>IF(AO33="1",BG33,0)</f>
        <v>0</v>
      </c>
      <c r="AB33" s="233">
        <f>IF(AO33="7",BF33,0)</f>
        <v>0</v>
      </c>
      <c r="AC33" s="233">
        <f>IF(AO33="7",BG33,0)</f>
        <v>0</v>
      </c>
      <c r="AD33" s="233">
        <f>IF(AO33="2",BF33,0)</f>
        <v>0</v>
      </c>
      <c r="AE33" s="233">
        <f>IF(AO33="2",BG33,0)</f>
        <v>0</v>
      </c>
      <c r="AF33" s="233">
        <f>IF(AO33="0",BH33,0)</f>
        <v>0</v>
      </c>
      <c r="AG33" s="229" t="s">
        <v>154</v>
      </c>
      <c r="AH33" s="233">
        <f>IF(AL33=0,J33,0)</f>
        <v>0</v>
      </c>
      <c r="AI33" s="233">
        <f>IF(AL33=15,J33,0)</f>
        <v>0</v>
      </c>
      <c r="AJ33" s="233">
        <f>IF(AL33=21,J33,0)</f>
        <v>0</v>
      </c>
      <c r="AL33" s="233">
        <v>15</v>
      </c>
      <c r="AM33" s="233">
        <f>G33*0</f>
        <v>0</v>
      </c>
      <c r="AN33" s="233">
        <f>G33*(1-0)</f>
        <v>0</v>
      </c>
      <c r="AO33" s="234" t="s">
        <v>157</v>
      </c>
      <c r="AT33" s="233">
        <f>AU33+AV33</f>
        <v>0</v>
      </c>
      <c r="AU33" s="233">
        <f>F33*AM33</f>
        <v>0</v>
      </c>
      <c r="AV33" s="233">
        <f>F33*AN33</f>
        <v>0</v>
      </c>
      <c r="AW33" s="234" t="s">
        <v>205</v>
      </c>
      <c r="AX33" s="234" t="s">
        <v>163</v>
      </c>
      <c r="AY33" s="229" t="s">
        <v>164</v>
      </c>
      <c r="BA33" s="233">
        <f>AU33+AV33</f>
        <v>0</v>
      </c>
      <c r="BB33" s="233">
        <f>G33/(100-BC33)*100</f>
        <v>0</v>
      </c>
      <c r="BC33" s="233">
        <v>0</v>
      </c>
      <c r="BD33" s="233">
        <f>L33</f>
        <v>0</v>
      </c>
      <c r="BF33" s="233">
        <f>F33*AM33</f>
        <v>0</v>
      </c>
      <c r="BG33" s="233">
        <f>F33*AN33</f>
        <v>0</v>
      </c>
      <c r="BH33" s="233">
        <f>F33*G33</f>
        <v>0</v>
      </c>
      <c r="BI33" s="233"/>
      <c r="BJ33" s="233">
        <v>13</v>
      </c>
      <c r="BU33" s="233" t="e">
        <f>#REF!</f>
        <v>#REF!</v>
      </c>
      <c r="BV33" s="225" t="s">
        <v>209</v>
      </c>
    </row>
    <row r="34" spans="1:74" ht="81" customHeight="1" x14ac:dyDescent="0.3">
      <c r="A34" s="241"/>
      <c r="B34" s="242" t="s">
        <v>165</v>
      </c>
      <c r="C34" s="530" t="s">
        <v>1781</v>
      </c>
      <c r="D34" s="531"/>
      <c r="E34" s="531"/>
      <c r="F34" s="531"/>
      <c r="G34" s="531"/>
      <c r="H34" s="531"/>
      <c r="I34" s="531"/>
      <c r="J34" s="531"/>
      <c r="K34" s="531"/>
      <c r="L34" s="531"/>
      <c r="M34" s="532"/>
    </row>
    <row r="35" spans="1:74" ht="14.4" x14ac:dyDescent="0.3">
      <c r="A35" s="239" t="s">
        <v>155</v>
      </c>
      <c r="B35" s="223" t="s">
        <v>211</v>
      </c>
      <c r="C35" s="521" t="s">
        <v>482</v>
      </c>
      <c r="D35" s="519"/>
      <c r="E35" s="223" t="s">
        <v>196</v>
      </c>
      <c r="F35" s="233">
        <v>1.58</v>
      </c>
      <c r="G35" s="311">
        <v>0</v>
      </c>
      <c r="H35" s="233">
        <f>F35*AM35</f>
        <v>0</v>
      </c>
      <c r="I35" s="233">
        <f>F35*AN35</f>
        <v>0</v>
      </c>
      <c r="J35" s="233">
        <f>F35*G35</f>
        <v>0</v>
      </c>
      <c r="K35" s="233">
        <v>0</v>
      </c>
      <c r="L35" s="233">
        <f>F35*K35</f>
        <v>0</v>
      </c>
      <c r="M35" s="240" t="s">
        <v>472</v>
      </c>
      <c r="X35" s="233">
        <f>IF(AO35="5",BH35,0)</f>
        <v>0</v>
      </c>
      <c r="Z35" s="233">
        <f>IF(AO35="1",BF35,0)</f>
        <v>0</v>
      </c>
      <c r="AA35" s="233">
        <f>IF(AO35="1",BG35,0)</f>
        <v>0</v>
      </c>
      <c r="AB35" s="233">
        <f>IF(AO35="7",BF35,0)</f>
        <v>0</v>
      </c>
      <c r="AC35" s="233">
        <f>IF(AO35="7",BG35,0)</f>
        <v>0</v>
      </c>
      <c r="AD35" s="233">
        <f>IF(AO35="2",BF35,0)</f>
        <v>0</v>
      </c>
      <c r="AE35" s="233">
        <f>IF(AO35="2",BG35,0)</f>
        <v>0</v>
      </c>
      <c r="AF35" s="233">
        <f>IF(AO35="0",BH35,0)</f>
        <v>0</v>
      </c>
      <c r="AG35" s="229" t="s">
        <v>154</v>
      </c>
      <c r="AH35" s="233">
        <f>IF(AL35=0,J35,0)</f>
        <v>0</v>
      </c>
      <c r="AI35" s="233">
        <f>IF(AL35=15,J35,0)</f>
        <v>0</v>
      </c>
      <c r="AJ35" s="233">
        <f>IF(AL35=21,J35,0)</f>
        <v>0</v>
      </c>
      <c r="AL35" s="233">
        <v>15</v>
      </c>
      <c r="AM35" s="233">
        <f>G35*0</f>
        <v>0</v>
      </c>
      <c r="AN35" s="233">
        <f>G35*(1-0)</f>
        <v>0</v>
      </c>
      <c r="AO35" s="234" t="s">
        <v>157</v>
      </c>
      <c r="AT35" s="233">
        <f>AU35+AV35</f>
        <v>0</v>
      </c>
      <c r="AU35" s="233">
        <f>F35*AM35</f>
        <v>0</v>
      </c>
      <c r="AV35" s="233">
        <f>F35*AN35</f>
        <v>0</v>
      </c>
      <c r="AW35" s="234" t="s">
        <v>205</v>
      </c>
      <c r="AX35" s="234" t="s">
        <v>163</v>
      </c>
      <c r="AY35" s="229" t="s">
        <v>164</v>
      </c>
      <c r="BA35" s="233">
        <f>AU35+AV35</f>
        <v>0</v>
      </c>
      <c r="BB35" s="233">
        <f>G35/(100-BC35)*100</f>
        <v>0</v>
      </c>
      <c r="BC35" s="233">
        <v>0</v>
      </c>
      <c r="BD35" s="233">
        <f>L35</f>
        <v>0</v>
      </c>
      <c r="BF35" s="233">
        <f>F35*AM35</f>
        <v>0</v>
      </c>
      <c r="BG35" s="233">
        <f>F35*AN35</f>
        <v>0</v>
      </c>
      <c r="BH35" s="233">
        <f>F35*G35</f>
        <v>0</v>
      </c>
      <c r="BI35" s="233"/>
      <c r="BJ35" s="233">
        <v>13</v>
      </c>
      <c r="BU35" s="233" t="e">
        <f>#REF!</f>
        <v>#REF!</v>
      </c>
      <c r="BV35" s="225" t="s">
        <v>482</v>
      </c>
    </row>
    <row r="36" spans="1:74" ht="40.5" customHeight="1" x14ac:dyDescent="0.3">
      <c r="A36" s="241"/>
      <c r="B36" s="242" t="s">
        <v>165</v>
      </c>
      <c r="C36" s="530" t="s">
        <v>1782</v>
      </c>
      <c r="D36" s="531"/>
      <c r="E36" s="531"/>
      <c r="F36" s="531"/>
      <c r="G36" s="531"/>
      <c r="H36" s="531"/>
      <c r="I36" s="531"/>
      <c r="J36" s="531"/>
      <c r="K36" s="531"/>
      <c r="L36" s="531"/>
      <c r="M36" s="532"/>
    </row>
    <row r="37" spans="1:74" ht="14.4" x14ac:dyDescent="0.3">
      <c r="A37" s="239" t="s">
        <v>191</v>
      </c>
      <c r="B37" s="223" t="s">
        <v>213</v>
      </c>
      <c r="C37" s="521" t="s">
        <v>214</v>
      </c>
      <c r="D37" s="519"/>
      <c r="E37" s="223" t="s">
        <v>196</v>
      </c>
      <c r="F37" s="233">
        <v>1.59</v>
      </c>
      <c r="G37" s="311">
        <v>0</v>
      </c>
      <c r="H37" s="233">
        <f>F37*AM37</f>
        <v>0</v>
      </c>
      <c r="I37" s="233">
        <f>F37*AN37</f>
        <v>0</v>
      </c>
      <c r="J37" s="233">
        <f>F37*G37</f>
        <v>0</v>
      </c>
      <c r="K37" s="233">
        <v>0</v>
      </c>
      <c r="L37" s="233">
        <f>F37*K37</f>
        <v>0</v>
      </c>
      <c r="M37" s="240" t="s">
        <v>472</v>
      </c>
      <c r="X37" s="233">
        <f>IF(AO37="5",BH37,0)</f>
        <v>0</v>
      </c>
      <c r="Z37" s="233">
        <f>IF(AO37="1",BF37,0)</f>
        <v>0</v>
      </c>
      <c r="AA37" s="233">
        <f>IF(AO37="1",BG37,0)</f>
        <v>0</v>
      </c>
      <c r="AB37" s="233">
        <f>IF(AO37="7",BF37,0)</f>
        <v>0</v>
      </c>
      <c r="AC37" s="233">
        <f>IF(AO37="7",BG37,0)</f>
        <v>0</v>
      </c>
      <c r="AD37" s="233">
        <f>IF(AO37="2",BF37,0)</f>
        <v>0</v>
      </c>
      <c r="AE37" s="233">
        <f>IF(AO37="2",BG37,0)</f>
        <v>0</v>
      </c>
      <c r="AF37" s="233">
        <f>IF(AO37="0",BH37,0)</f>
        <v>0</v>
      </c>
      <c r="AG37" s="229" t="s">
        <v>154</v>
      </c>
      <c r="AH37" s="233">
        <f>IF(AL37=0,J37,0)</f>
        <v>0</v>
      </c>
      <c r="AI37" s="233">
        <f>IF(AL37=15,J37,0)</f>
        <v>0</v>
      </c>
      <c r="AJ37" s="233">
        <f>IF(AL37=21,J37,0)</f>
        <v>0</v>
      </c>
      <c r="AL37" s="233">
        <v>15</v>
      </c>
      <c r="AM37" s="233">
        <f>G37*0</f>
        <v>0</v>
      </c>
      <c r="AN37" s="233">
        <f>G37*(1-0)</f>
        <v>0</v>
      </c>
      <c r="AO37" s="234" t="s">
        <v>157</v>
      </c>
      <c r="AT37" s="233">
        <f>AU37+AV37</f>
        <v>0</v>
      </c>
      <c r="AU37" s="233">
        <f>F37*AM37</f>
        <v>0</v>
      </c>
      <c r="AV37" s="233">
        <f>F37*AN37</f>
        <v>0</v>
      </c>
      <c r="AW37" s="234" t="s">
        <v>205</v>
      </c>
      <c r="AX37" s="234" t="s">
        <v>163</v>
      </c>
      <c r="AY37" s="229" t="s">
        <v>164</v>
      </c>
      <c r="BA37" s="233">
        <f>AU37+AV37</f>
        <v>0</v>
      </c>
      <c r="BB37" s="233">
        <f>G37/(100-BC37)*100</f>
        <v>0</v>
      </c>
      <c r="BC37" s="233">
        <v>0</v>
      </c>
      <c r="BD37" s="233">
        <f>L37</f>
        <v>0</v>
      </c>
      <c r="BF37" s="233">
        <f>F37*AM37</f>
        <v>0</v>
      </c>
      <c r="BG37" s="233">
        <f>F37*AN37</f>
        <v>0</v>
      </c>
      <c r="BH37" s="233">
        <f>F37*G37</f>
        <v>0</v>
      </c>
      <c r="BI37" s="233"/>
      <c r="BJ37" s="233">
        <v>13</v>
      </c>
      <c r="BU37" s="233" t="e">
        <f>#REF!</f>
        <v>#REF!</v>
      </c>
      <c r="BV37" s="225" t="s">
        <v>214</v>
      </c>
    </row>
    <row r="38" spans="1:74" ht="94.5" customHeight="1" x14ac:dyDescent="0.3">
      <c r="A38" s="241"/>
      <c r="B38" s="242" t="s">
        <v>165</v>
      </c>
      <c r="C38" s="530" t="s">
        <v>1783</v>
      </c>
      <c r="D38" s="531"/>
      <c r="E38" s="531"/>
      <c r="F38" s="531"/>
      <c r="G38" s="531"/>
      <c r="H38" s="531"/>
      <c r="I38" s="531"/>
      <c r="J38" s="531"/>
      <c r="K38" s="531"/>
      <c r="L38" s="531"/>
      <c r="M38" s="532"/>
    </row>
    <row r="39" spans="1:74" ht="14.4" x14ac:dyDescent="0.3">
      <c r="A39" s="239" t="s">
        <v>201</v>
      </c>
      <c r="B39" s="223" t="s">
        <v>216</v>
      </c>
      <c r="C39" s="521" t="s">
        <v>217</v>
      </c>
      <c r="D39" s="519"/>
      <c r="E39" s="223" t="s">
        <v>196</v>
      </c>
      <c r="F39" s="233">
        <v>1</v>
      </c>
      <c r="G39" s="311">
        <v>0</v>
      </c>
      <c r="H39" s="233">
        <f>F39*AM39</f>
        <v>0</v>
      </c>
      <c r="I39" s="233">
        <f>F39*AN39</f>
        <v>0</v>
      </c>
      <c r="J39" s="233">
        <f>F39*G39</f>
        <v>0</v>
      </c>
      <c r="K39" s="233">
        <v>0</v>
      </c>
      <c r="L39" s="233">
        <f>F39*K39</f>
        <v>0</v>
      </c>
      <c r="M39" s="240" t="s">
        <v>472</v>
      </c>
      <c r="X39" s="233">
        <f>IF(AO39="5",BH39,0)</f>
        <v>0</v>
      </c>
      <c r="Z39" s="233">
        <f>IF(AO39="1",BF39,0)</f>
        <v>0</v>
      </c>
      <c r="AA39" s="233">
        <f>IF(AO39="1",BG39,0)</f>
        <v>0</v>
      </c>
      <c r="AB39" s="233">
        <f>IF(AO39="7",BF39,0)</f>
        <v>0</v>
      </c>
      <c r="AC39" s="233">
        <f>IF(AO39="7",BG39,0)</f>
        <v>0</v>
      </c>
      <c r="AD39" s="233">
        <f>IF(AO39="2",BF39,0)</f>
        <v>0</v>
      </c>
      <c r="AE39" s="233">
        <f>IF(AO39="2",BG39,0)</f>
        <v>0</v>
      </c>
      <c r="AF39" s="233">
        <f>IF(AO39="0",BH39,0)</f>
        <v>0</v>
      </c>
      <c r="AG39" s="229" t="s">
        <v>154</v>
      </c>
      <c r="AH39" s="233">
        <f>IF(AL39=0,J39,0)</f>
        <v>0</v>
      </c>
      <c r="AI39" s="233">
        <f>IF(AL39=15,J39,0)</f>
        <v>0</v>
      </c>
      <c r="AJ39" s="233">
        <f>IF(AL39=21,J39,0)</f>
        <v>0</v>
      </c>
      <c r="AL39" s="233">
        <v>15</v>
      </c>
      <c r="AM39" s="233">
        <f>G39*0</f>
        <v>0</v>
      </c>
      <c r="AN39" s="233">
        <f>G39*(1-0)</f>
        <v>0</v>
      </c>
      <c r="AO39" s="234" t="s">
        <v>157</v>
      </c>
      <c r="AT39" s="233">
        <f>AU39+AV39</f>
        <v>0</v>
      </c>
      <c r="AU39" s="233">
        <f>F39*AM39</f>
        <v>0</v>
      </c>
      <c r="AV39" s="233">
        <f>F39*AN39</f>
        <v>0</v>
      </c>
      <c r="AW39" s="234" t="s">
        <v>205</v>
      </c>
      <c r="AX39" s="234" t="s">
        <v>163</v>
      </c>
      <c r="AY39" s="229" t="s">
        <v>164</v>
      </c>
      <c r="BA39" s="233">
        <f>AU39+AV39</f>
        <v>0</v>
      </c>
      <c r="BB39" s="233">
        <f>G39/(100-BC39)*100</f>
        <v>0</v>
      </c>
      <c r="BC39" s="233">
        <v>0</v>
      </c>
      <c r="BD39" s="233">
        <f>L39</f>
        <v>0</v>
      </c>
      <c r="BF39" s="233">
        <f>F39*AM39</f>
        <v>0</v>
      </c>
      <c r="BG39" s="233">
        <f>F39*AN39</f>
        <v>0</v>
      </c>
      <c r="BH39" s="233">
        <f>F39*G39</f>
        <v>0</v>
      </c>
      <c r="BI39" s="233"/>
      <c r="BJ39" s="233">
        <v>13</v>
      </c>
      <c r="BU39" s="233" t="e">
        <f>#REF!</f>
        <v>#REF!</v>
      </c>
      <c r="BV39" s="225" t="s">
        <v>217</v>
      </c>
    </row>
    <row r="40" spans="1:74" ht="13.5" customHeight="1" x14ac:dyDescent="0.3">
      <c r="A40" s="241"/>
      <c r="B40" s="242" t="s">
        <v>165</v>
      </c>
      <c r="C40" s="530" t="s">
        <v>218</v>
      </c>
      <c r="D40" s="531"/>
      <c r="E40" s="531"/>
      <c r="F40" s="531"/>
      <c r="G40" s="531"/>
      <c r="H40" s="531"/>
      <c r="I40" s="531"/>
      <c r="J40" s="531"/>
      <c r="K40" s="531"/>
      <c r="L40" s="531"/>
      <c r="M40" s="532"/>
    </row>
    <row r="41" spans="1:74" ht="14.4" x14ac:dyDescent="0.3">
      <c r="A41" s="239" t="s">
        <v>210</v>
      </c>
      <c r="B41" s="223" t="s">
        <v>483</v>
      </c>
      <c r="C41" s="521" t="s">
        <v>484</v>
      </c>
      <c r="D41" s="519"/>
      <c r="E41" s="223" t="s">
        <v>196</v>
      </c>
      <c r="F41" s="233">
        <v>1.38</v>
      </c>
      <c r="G41" s="311">
        <v>0</v>
      </c>
      <c r="H41" s="233">
        <f>F41*AM41</f>
        <v>0</v>
      </c>
      <c r="I41" s="233">
        <f>F41*AN41</f>
        <v>0</v>
      </c>
      <c r="J41" s="233">
        <f>F41*G41</f>
        <v>0</v>
      </c>
      <c r="K41" s="233">
        <v>0</v>
      </c>
      <c r="L41" s="233">
        <f>F41*K41</f>
        <v>0</v>
      </c>
      <c r="M41" s="240" t="s">
        <v>472</v>
      </c>
      <c r="X41" s="233">
        <f>IF(AO41="5",BH41,0)</f>
        <v>0</v>
      </c>
      <c r="Z41" s="233">
        <f>IF(AO41="1",BF41,0)</f>
        <v>0</v>
      </c>
      <c r="AA41" s="233">
        <f>IF(AO41="1",BG41,0)</f>
        <v>0</v>
      </c>
      <c r="AB41" s="233">
        <f>IF(AO41="7",BF41,0)</f>
        <v>0</v>
      </c>
      <c r="AC41" s="233">
        <f>IF(AO41="7",BG41,0)</f>
        <v>0</v>
      </c>
      <c r="AD41" s="233">
        <f>IF(AO41="2",BF41,0)</f>
        <v>0</v>
      </c>
      <c r="AE41" s="233">
        <f>IF(AO41="2",BG41,0)</f>
        <v>0</v>
      </c>
      <c r="AF41" s="233">
        <f>IF(AO41="0",BH41,0)</f>
        <v>0</v>
      </c>
      <c r="AG41" s="229" t="s">
        <v>154</v>
      </c>
      <c r="AH41" s="233">
        <f>IF(AL41=0,J41,0)</f>
        <v>0</v>
      </c>
      <c r="AI41" s="233">
        <f>IF(AL41=15,J41,0)</f>
        <v>0</v>
      </c>
      <c r="AJ41" s="233">
        <f>IF(AL41=21,J41,0)</f>
        <v>0</v>
      </c>
      <c r="AL41" s="233">
        <v>15</v>
      </c>
      <c r="AM41" s="233">
        <f>G41*0</f>
        <v>0</v>
      </c>
      <c r="AN41" s="233">
        <f>G41*(1-0)</f>
        <v>0</v>
      </c>
      <c r="AO41" s="234" t="s">
        <v>157</v>
      </c>
      <c r="AT41" s="233">
        <f>AU41+AV41</f>
        <v>0</v>
      </c>
      <c r="AU41" s="233">
        <f>F41*AM41</f>
        <v>0</v>
      </c>
      <c r="AV41" s="233">
        <f>F41*AN41</f>
        <v>0</v>
      </c>
      <c r="AW41" s="234" t="s">
        <v>205</v>
      </c>
      <c r="AX41" s="234" t="s">
        <v>163</v>
      </c>
      <c r="AY41" s="229" t="s">
        <v>164</v>
      </c>
      <c r="BA41" s="233">
        <f>AU41+AV41</f>
        <v>0</v>
      </c>
      <c r="BB41" s="233">
        <f>G41/(100-BC41)*100</f>
        <v>0</v>
      </c>
      <c r="BC41" s="233">
        <v>0</v>
      </c>
      <c r="BD41" s="233">
        <f>L41</f>
        <v>0</v>
      </c>
      <c r="BF41" s="233">
        <f>F41*AM41</f>
        <v>0</v>
      </c>
      <c r="BG41" s="233">
        <f>F41*AN41</f>
        <v>0</v>
      </c>
      <c r="BH41" s="233">
        <f>F41*G41</f>
        <v>0</v>
      </c>
      <c r="BI41" s="233"/>
      <c r="BJ41" s="233">
        <v>13</v>
      </c>
      <c r="BU41" s="233" t="e">
        <f>#REF!</f>
        <v>#REF!</v>
      </c>
      <c r="BV41" s="225" t="s">
        <v>484</v>
      </c>
    </row>
    <row r="42" spans="1:74" ht="40.5" customHeight="1" x14ac:dyDescent="0.3">
      <c r="A42" s="241"/>
      <c r="B42" s="242" t="s">
        <v>165</v>
      </c>
      <c r="C42" s="530" t="s">
        <v>1784</v>
      </c>
      <c r="D42" s="531"/>
      <c r="E42" s="531"/>
      <c r="F42" s="531"/>
      <c r="G42" s="531"/>
      <c r="H42" s="531"/>
      <c r="I42" s="531"/>
      <c r="J42" s="531"/>
      <c r="K42" s="531"/>
      <c r="L42" s="531"/>
      <c r="M42" s="532"/>
    </row>
    <row r="43" spans="1:74" ht="14.4" x14ac:dyDescent="0.3">
      <c r="A43" s="239" t="s">
        <v>161</v>
      </c>
      <c r="B43" s="223" t="s">
        <v>888</v>
      </c>
      <c r="C43" s="521" t="s">
        <v>889</v>
      </c>
      <c r="D43" s="519"/>
      <c r="E43" s="223" t="s">
        <v>196</v>
      </c>
      <c r="F43" s="233">
        <v>18.21</v>
      </c>
      <c r="G43" s="311">
        <v>0</v>
      </c>
      <c r="H43" s="233">
        <f>F43*AM43</f>
        <v>0</v>
      </c>
      <c r="I43" s="233">
        <f>F43*AN43</f>
        <v>0</v>
      </c>
      <c r="J43" s="233">
        <f>F43*G43</f>
        <v>0</v>
      </c>
      <c r="K43" s="233">
        <v>0</v>
      </c>
      <c r="L43" s="233">
        <f>F43*K43</f>
        <v>0</v>
      </c>
      <c r="M43" s="240" t="s">
        <v>472</v>
      </c>
      <c r="X43" s="233">
        <f>IF(AO43="5",BH43,0)</f>
        <v>0</v>
      </c>
      <c r="Z43" s="233">
        <f>IF(AO43="1",BF43,0)</f>
        <v>0</v>
      </c>
      <c r="AA43" s="233">
        <f>IF(AO43="1",BG43,0)</f>
        <v>0</v>
      </c>
      <c r="AB43" s="233">
        <f>IF(AO43="7",BF43,0)</f>
        <v>0</v>
      </c>
      <c r="AC43" s="233">
        <f>IF(AO43="7",BG43,0)</f>
        <v>0</v>
      </c>
      <c r="AD43" s="233">
        <f>IF(AO43="2",BF43,0)</f>
        <v>0</v>
      </c>
      <c r="AE43" s="233">
        <f>IF(AO43="2",BG43,0)</f>
        <v>0</v>
      </c>
      <c r="AF43" s="233">
        <f>IF(AO43="0",BH43,0)</f>
        <v>0</v>
      </c>
      <c r="AG43" s="229" t="s">
        <v>154</v>
      </c>
      <c r="AH43" s="233">
        <f>IF(AL43=0,J43,0)</f>
        <v>0</v>
      </c>
      <c r="AI43" s="233">
        <f>IF(AL43=15,J43,0)</f>
        <v>0</v>
      </c>
      <c r="AJ43" s="233">
        <f>IF(AL43=21,J43,0)</f>
        <v>0</v>
      </c>
      <c r="AL43" s="233">
        <v>15</v>
      </c>
      <c r="AM43" s="233">
        <f>G43*0</f>
        <v>0</v>
      </c>
      <c r="AN43" s="233">
        <f>G43*(1-0)</f>
        <v>0</v>
      </c>
      <c r="AO43" s="234" t="s">
        <v>157</v>
      </c>
      <c r="AT43" s="233">
        <f>AU43+AV43</f>
        <v>0</v>
      </c>
      <c r="AU43" s="233">
        <f>F43*AM43</f>
        <v>0</v>
      </c>
      <c r="AV43" s="233">
        <f>F43*AN43</f>
        <v>0</v>
      </c>
      <c r="AW43" s="234" t="s">
        <v>205</v>
      </c>
      <c r="AX43" s="234" t="s">
        <v>163</v>
      </c>
      <c r="AY43" s="229" t="s">
        <v>164</v>
      </c>
      <c r="BA43" s="233">
        <f>AU43+AV43</f>
        <v>0</v>
      </c>
      <c r="BB43" s="233">
        <f>G43/(100-BC43)*100</f>
        <v>0</v>
      </c>
      <c r="BC43" s="233">
        <v>0</v>
      </c>
      <c r="BD43" s="233">
        <f>L43</f>
        <v>0</v>
      </c>
      <c r="BF43" s="233">
        <f>F43*AM43</f>
        <v>0</v>
      </c>
      <c r="BG43" s="233">
        <f>F43*AN43</f>
        <v>0</v>
      </c>
      <c r="BH43" s="233">
        <f>F43*G43</f>
        <v>0</v>
      </c>
      <c r="BI43" s="233"/>
      <c r="BJ43" s="233">
        <v>13</v>
      </c>
      <c r="BU43" s="233" t="e">
        <f>#REF!</f>
        <v>#REF!</v>
      </c>
      <c r="BV43" s="225" t="s">
        <v>889</v>
      </c>
    </row>
    <row r="44" spans="1:74" ht="40.5" customHeight="1" x14ac:dyDescent="0.3">
      <c r="A44" s="241"/>
      <c r="B44" s="242" t="s">
        <v>165</v>
      </c>
      <c r="C44" s="530" t="s">
        <v>1785</v>
      </c>
      <c r="D44" s="531"/>
      <c r="E44" s="531"/>
      <c r="F44" s="531"/>
      <c r="G44" s="531"/>
      <c r="H44" s="531"/>
      <c r="I44" s="531"/>
      <c r="J44" s="531"/>
      <c r="K44" s="531"/>
      <c r="L44" s="531"/>
      <c r="M44" s="532"/>
    </row>
    <row r="45" spans="1:74" ht="14.4" x14ac:dyDescent="0.3">
      <c r="A45" s="239" t="s">
        <v>154</v>
      </c>
      <c r="B45" s="224" t="s">
        <v>161</v>
      </c>
      <c r="C45" s="526" t="s">
        <v>219</v>
      </c>
      <c r="D45" s="527"/>
      <c r="E45" s="223" t="s">
        <v>114</v>
      </c>
      <c r="F45" s="223" t="s">
        <v>114</v>
      </c>
      <c r="G45" s="223" t="s">
        <v>114</v>
      </c>
      <c r="H45" s="235">
        <f>SUM(H46:H48)</f>
        <v>0</v>
      </c>
      <c r="I45" s="235">
        <f>SUM(I46:I48)</f>
        <v>0</v>
      </c>
      <c r="J45" s="235">
        <f>SUM(J46:J48)</f>
        <v>0</v>
      </c>
      <c r="K45" s="230" t="s">
        <v>154</v>
      </c>
      <c r="L45" s="235">
        <f>SUM(L46:L48)</f>
        <v>3.0294000000000001E-2</v>
      </c>
      <c r="M45" s="243" t="s">
        <v>154</v>
      </c>
      <c r="AG45" s="229" t="s">
        <v>154</v>
      </c>
      <c r="AQ45" s="222">
        <f>SUM(AH46:AH48)</f>
        <v>0</v>
      </c>
      <c r="AR45" s="222">
        <f>SUM(AI46:AI48)</f>
        <v>0</v>
      </c>
      <c r="AS45" s="222">
        <f>SUM(AJ46:AJ48)</f>
        <v>0</v>
      </c>
    </row>
    <row r="46" spans="1:74" ht="14.4" x14ac:dyDescent="0.3">
      <c r="A46" s="239" t="s">
        <v>215</v>
      </c>
      <c r="B46" s="223" t="s">
        <v>499</v>
      </c>
      <c r="C46" s="521" t="s">
        <v>500</v>
      </c>
      <c r="D46" s="519"/>
      <c r="E46" s="223" t="s">
        <v>180</v>
      </c>
      <c r="F46" s="233">
        <v>30.6</v>
      </c>
      <c r="G46" s="311">
        <v>0</v>
      </c>
      <c r="H46" s="233">
        <f>F46*AM46</f>
        <v>0</v>
      </c>
      <c r="I46" s="233">
        <f>F46*AN46</f>
        <v>0</v>
      </c>
      <c r="J46" s="233">
        <f>F46*G46</f>
        <v>0</v>
      </c>
      <c r="K46" s="233">
        <v>9.8999999999999999E-4</v>
      </c>
      <c r="L46" s="233">
        <f>F46*K46</f>
        <v>3.0294000000000001E-2</v>
      </c>
      <c r="M46" s="240" t="s">
        <v>472</v>
      </c>
      <c r="X46" s="233">
        <f>IF(AO46="5",BH46,0)</f>
        <v>0</v>
      </c>
      <c r="Z46" s="233">
        <f>IF(AO46="1",BF46,0)</f>
        <v>0</v>
      </c>
      <c r="AA46" s="233">
        <f>IF(AO46="1",BG46,0)</f>
        <v>0</v>
      </c>
      <c r="AB46" s="233">
        <f>IF(AO46="7",BF46,0)</f>
        <v>0</v>
      </c>
      <c r="AC46" s="233">
        <f>IF(AO46="7",BG46,0)</f>
        <v>0</v>
      </c>
      <c r="AD46" s="233">
        <f>IF(AO46="2",BF46,0)</f>
        <v>0</v>
      </c>
      <c r="AE46" s="233">
        <f>IF(AO46="2",BG46,0)</f>
        <v>0</v>
      </c>
      <c r="AF46" s="233">
        <f>IF(AO46="0",BH46,0)</f>
        <v>0</v>
      </c>
      <c r="AG46" s="229" t="s">
        <v>154</v>
      </c>
      <c r="AH46" s="233">
        <f>IF(AL46=0,J46,0)</f>
        <v>0</v>
      </c>
      <c r="AI46" s="233">
        <f>IF(AL46=15,J46,0)</f>
        <v>0</v>
      </c>
      <c r="AJ46" s="233">
        <f>IF(AL46=21,J46,0)</f>
        <v>0</v>
      </c>
      <c r="AL46" s="233">
        <v>15</v>
      </c>
      <c r="AM46" s="233">
        <f>G46*0.085202864</f>
        <v>0</v>
      </c>
      <c r="AN46" s="233">
        <f>G46*(1-0.085202864)</f>
        <v>0</v>
      </c>
      <c r="AO46" s="234" t="s">
        <v>157</v>
      </c>
      <c r="AT46" s="233">
        <f>AU46+AV46</f>
        <v>0</v>
      </c>
      <c r="AU46" s="233">
        <f>F46*AM46</f>
        <v>0</v>
      </c>
      <c r="AV46" s="233">
        <f>F46*AN46</f>
        <v>0</v>
      </c>
      <c r="AW46" s="234" t="s">
        <v>223</v>
      </c>
      <c r="AX46" s="234" t="s">
        <v>163</v>
      </c>
      <c r="AY46" s="229" t="s">
        <v>164</v>
      </c>
      <c r="BA46" s="233">
        <f>AU46+AV46</f>
        <v>0</v>
      </c>
      <c r="BB46" s="233">
        <f>G46/(100-BC46)*100</f>
        <v>0</v>
      </c>
      <c r="BC46" s="233">
        <v>0</v>
      </c>
      <c r="BD46" s="233">
        <f>L46</f>
        <v>3.0294000000000001E-2</v>
      </c>
      <c r="BF46" s="233">
        <f>F46*AM46</f>
        <v>0</v>
      </c>
      <c r="BG46" s="233">
        <f>F46*AN46</f>
        <v>0</v>
      </c>
      <c r="BH46" s="233">
        <f>F46*G46</f>
        <v>0</v>
      </c>
      <c r="BI46" s="233"/>
      <c r="BJ46" s="233">
        <v>15</v>
      </c>
      <c r="BU46" s="233" t="e">
        <f>#REF!</f>
        <v>#REF!</v>
      </c>
      <c r="BV46" s="225" t="s">
        <v>500</v>
      </c>
    </row>
    <row r="47" spans="1:74" ht="40.5" customHeight="1" x14ac:dyDescent="0.3">
      <c r="A47" s="241"/>
      <c r="B47" s="242" t="s">
        <v>165</v>
      </c>
      <c r="C47" s="530" t="s">
        <v>1786</v>
      </c>
      <c r="D47" s="531"/>
      <c r="E47" s="531"/>
      <c r="F47" s="531"/>
      <c r="G47" s="531"/>
      <c r="H47" s="531"/>
      <c r="I47" s="531"/>
      <c r="J47" s="531"/>
      <c r="K47" s="531"/>
      <c r="L47" s="531"/>
      <c r="M47" s="532"/>
    </row>
    <row r="48" spans="1:74" ht="14.4" x14ac:dyDescent="0.3">
      <c r="A48" s="239" t="s">
        <v>220</v>
      </c>
      <c r="B48" s="223" t="s">
        <v>501</v>
      </c>
      <c r="C48" s="521" t="s">
        <v>502</v>
      </c>
      <c r="D48" s="519"/>
      <c r="E48" s="223" t="s">
        <v>180</v>
      </c>
      <c r="F48" s="233">
        <v>30.6</v>
      </c>
      <c r="G48" s="311">
        <v>0</v>
      </c>
      <c r="H48" s="233">
        <f>F48*AM48</f>
        <v>0</v>
      </c>
      <c r="I48" s="233">
        <f>F48*AN48</f>
        <v>0</v>
      </c>
      <c r="J48" s="233">
        <f>F48*G48</f>
        <v>0</v>
      </c>
      <c r="K48" s="233">
        <v>0</v>
      </c>
      <c r="L48" s="233">
        <f>F48*K48</f>
        <v>0</v>
      </c>
      <c r="M48" s="240" t="s">
        <v>472</v>
      </c>
      <c r="X48" s="233">
        <f>IF(AO48="5",BH48,0)</f>
        <v>0</v>
      </c>
      <c r="Z48" s="233">
        <f>IF(AO48="1",BF48,0)</f>
        <v>0</v>
      </c>
      <c r="AA48" s="233">
        <f>IF(AO48="1",BG48,0)</f>
        <v>0</v>
      </c>
      <c r="AB48" s="233">
        <f>IF(AO48="7",BF48,0)</f>
        <v>0</v>
      </c>
      <c r="AC48" s="233">
        <f>IF(AO48="7",BG48,0)</f>
        <v>0</v>
      </c>
      <c r="AD48" s="233">
        <f>IF(AO48="2",BF48,0)</f>
        <v>0</v>
      </c>
      <c r="AE48" s="233">
        <f>IF(AO48="2",BG48,0)</f>
        <v>0</v>
      </c>
      <c r="AF48" s="233">
        <f>IF(AO48="0",BH48,0)</f>
        <v>0</v>
      </c>
      <c r="AG48" s="229" t="s">
        <v>154</v>
      </c>
      <c r="AH48" s="233">
        <f>IF(AL48=0,J48,0)</f>
        <v>0</v>
      </c>
      <c r="AI48" s="233">
        <f>IF(AL48=15,J48,0)</f>
        <v>0</v>
      </c>
      <c r="AJ48" s="233">
        <f>IF(AL48=21,J48,0)</f>
        <v>0</v>
      </c>
      <c r="AL48" s="233">
        <v>15</v>
      </c>
      <c r="AM48" s="233">
        <f>G48*0</f>
        <v>0</v>
      </c>
      <c r="AN48" s="233">
        <f>G48*(1-0)</f>
        <v>0</v>
      </c>
      <c r="AO48" s="234" t="s">
        <v>157</v>
      </c>
      <c r="AT48" s="233">
        <f>AU48+AV48</f>
        <v>0</v>
      </c>
      <c r="AU48" s="233">
        <f>F48*AM48</f>
        <v>0</v>
      </c>
      <c r="AV48" s="233">
        <f>F48*AN48</f>
        <v>0</v>
      </c>
      <c r="AW48" s="234" t="s">
        <v>223</v>
      </c>
      <c r="AX48" s="234" t="s">
        <v>163</v>
      </c>
      <c r="AY48" s="229" t="s">
        <v>164</v>
      </c>
      <c r="BA48" s="233">
        <f>AU48+AV48</f>
        <v>0</v>
      </c>
      <c r="BB48" s="233">
        <f>G48/(100-BC48)*100</f>
        <v>0</v>
      </c>
      <c r="BC48" s="233">
        <v>0</v>
      </c>
      <c r="BD48" s="233">
        <f>L48</f>
        <v>0</v>
      </c>
      <c r="BF48" s="233">
        <f>F48*AM48</f>
        <v>0</v>
      </c>
      <c r="BG48" s="233">
        <f>F48*AN48</f>
        <v>0</v>
      </c>
      <c r="BH48" s="233">
        <f>F48*G48</f>
        <v>0</v>
      </c>
      <c r="BI48" s="233"/>
      <c r="BJ48" s="233">
        <v>15</v>
      </c>
      <c r="BU48" s="233" t="e">
        <f>#REF!</f>
        <v>#REF!</v>
      </c>
      <c r="BV48" s="225" t="s">
        <v>502</v>
      </c>
    </row>
    <row r="49" spans="1:74" ht="40.5" customHeight="1" x14ac:dyDescent="0.3">
      <c r="A49" s="241"/>
      <c r="B49" s="242" t="s">
        <v>165</v>
      </c>
      <c r="C49" s="530" t="s">
        <v>1787</v>
      </c>
      <c r="D49" s="531"/>
      <c r="E49" s="531"/>
      <c r="F49" s="531"/>
      <c r="G49" s="531"/>
      <c r="H49" s="531"/>
      <c r="I49" s="531"/>
      <c r="J49" s="531"/>
      <c r="K49" s="531"/>
      <c r="L49" s="531"/>
      <c r="M49" s="532"/>
    </row>
    <row r="50" spans="1:74" ht="14.4" x14ac:dyDescent="0.3">
      <c r="A50" s="239" t="s">
        <v>154</v>
      </c>
      <c r="B50" s="224" t="s">
        <v>215</v>
      </c>
      <c r="C50" s="526" t="s">
        <v>227</v>
      </c>
      <c r="D50" s="527"/>
      <c r="E50" s="223" t="s">
        <v>114</v>
      </c>
      <c r="F50" s="223" t="s">
        <v>114</v>
      </c>
      <c r="G50" s="223" t="s">
        <v>114</v>
      </c>
      <c r="H50" s="235">
        <f>SUM(H51:H69)</f>
        <v>0</v>
      </c>
      <c r="I50" s="235">
        <f>SUM(I51:I69)</f>
        <v>0</v>
      </c>
      <c r="J50" s="235">
        <f>SUM(J51:J69)</f>
        <v>0</v>
      </c>
      <c r="K50" s="230" t="s">
        <v>154</v>
      </c>
      <c r="L50" s="235">
        <f>SUM(L51:L69)</f>
        <v>0</v>
      </c>
      <c r="M50" s="243" t="s">
        <v>154</v>
      </c>
      <c r="AG50" s="229" t="s">
        <v>154</v>
      </c>
      <c r="AQ50" s="222">
        <f>SUM(AH51:AH69)</f>
        <v>0</v>
      </c>
      <c r="AR50" s="222">
        <f>SUM(AI51:AI69)</f>
        <v>0</v>
      </c>
      <c r="AS50" s="222">
        <f>SUM(AJ51:AJ69)</f>
        <v>0</v>
      </c>
    </row>
    <row r="51" spans="1:74" ht="14.4" x14ac:dyDescent="0.3">
      <c r="A51" s="239" t="s">
        <v>224</v>
      </c>
      <c r="B51" s="223" t="s">
        <v>229</v>
      </c>
      <c r="C51" s="521" t="s">
        <v>230</v>
      </c>
      <c r="D51" s="519"/>
      <c r="E51" s="223" t="s">
        <v>196</v>
      </c>
      <c r="F51" s="233">
        <v>0.43</v>
      </c>
      <c r="G51" s="311">
        <v>0</v>
      </c>
      <c r="H51" s="233">
        <f>F51*AM51</f>
        <v>0</v>
      </c>
      <c r="I51" s="233">
        <f>F51*AN51</f>
        <v>0</v>
      </c>
      <c r="J51" s="233">
        <f>F51*G51</f>
        <v>0</v>
      </c>
      <c r="K51" s="233">
        <v>0</v>
      </c>
      <c r="L51" s="233">
        <f>F51*K51</f>
        <v>0</v>
      </c>
      <c r="M51" s="240" t="s">
        <v>472</v>
      </c>
      <c r="X51" s="233">
        <f>IF(AO51="5",BH51,0)</f>
        <v>0</v>
      </c>
      <c r="Z51" s="233">
        <f>IF(AO51="1",BF51,0)</f>
        <v>0</v>
      </c>
      <c r="AA51" s="233">
        <f>IF(AO51="1",BG51,0)</f>
        <v>0</v>
      </c>
      <c r="AB51" s="233">
        <f>IF(AO51="7",BF51,0)</f>
        <v>0</v>
      </c>
      <c r="AC51" s="233">
        <f>IF(AO51="7",BG51,0)</f>
        <v>0</v>
      </c>
      <c r="AD51" s="233">
        <f>IF(AO51="2",BF51,0)</f>
        <v>0</v>
      </c>
      <c r="AE51" s="233">
        <f>IF(AO51="2",BG51,0)</f>
        <v>0</v>
      </c>
      <c r="AF51" s="233">
        <f>IF(AO51="0",BH51,0)</f>
        <v>0</v>
      </c>
      <c r="AG51" s="229" t="s">
        <v>154</v>
      </c>
      <c r="AH51" s="233">
        <f>IF(AL51=0,J51,0)</f>
        <v>0</v>
      </c>
      <c r="AI51" s="233">
        <f>IF(AL51=15,J51,0)</f>
        <v>0</v>
      </c>
      <c r="AJ51" s="233">
        <f>IF(AL51=21,J51,0)</f>
        <v>0</v>
      </c>
      <c r="AL51" s="233">
        <v>15</v>
      </c>
      <c r="AM51" s="233">
        <f>G51*0</f>
        <v>0</v>
      </c>
      <c r="AN51" s="233">
        <f>G51*(1-0)</f>
        <v>0</v>
      </c>
      <c r="AO51" s="234" t="s">
        <v>157</v>
      </c>
      <c r="AT51" s="233">
        <f>AU51+AV51</f>
        <v>0</v>
      </c>
      <c r="AU51" s="233">
        <f>F51*AM51</f>
        <v>0</v>
      </c>
      <c r="AV51" s="233">
        <f>F51*AN51</f>
        <v>0</v>
      </c>
      <c r="AW51" s="234" t="s">
        <v>231</v>
      </c>
      <c r="AX51" s="234" t="s">
        <v>163</v>
      </c>
      <c r="AY51" s="229" t="s">
        <v>164</v>
      </c>
      <c r="BA51" s="233">
        <f>AU51+AV51</f>
        <v>0</v>
      </c>
      <c r="BB51" s="233">
        <f>G51/(100-BC51)*100</f>
        <v>0</v>
      </c>
      <c r="BC51" s="233">
        <v>0</v>
      </c>
      <c r="BD51" s="233">
        <f>L51</f>
        <v>0</v>
      </c>
      <c r="BF51" s="233">
        <f>F51*AM51</f>
        <v>0</v>
      </c>
      <c r="BG51" s="233">
        <f>F51*AN51</f>
        <v>0</v>
      </c>
      <c r="BH51" s="233">
        <f>F51*G51</f>
        <v>0</v>
      </c>
      <c r="BI51" s="233"/>
      <c r="BJ51" s="233">
        <v>16</v>
      </c>
      <c r="BU51" s="233" t="e">
        <f>#REF!</f>
        <v>#REF!</v>
      </c>
      <c r="BV51" s="225" t="s">
        <v>230</v>
      </c>
    </row>
    <row r="52" spans="1:74" ht="54" customHeight="1" x14ac:dyDescent="0.3">
      <c r="A52" s="244"/>
      <c r="B52" s="245" t="s">
        <v>165</v>
      </c>
      <c r="C52" s="540" t="s">
        <v>1788</v>
      </c>
      <c r="D52" s="541"/>
      <c r="E52" s="541"/>
      <c r="F52" s="541"/>
      <c r="G52" s="541"/>
      <c r="H52" s="541"/>
      <c r="I52" s="541"/>
      <c r="J52" s="541"/>
      <c r="K52" s="541"/>
      <c r="L52" s="541"/>
      <c r="M52" s="542"/>
    </row>
    <row r="53" spans="1:74" ht="14.4" x14ac:dyDescent="0.3">
      <c r="A53" s="237" t="s">
        <v>228</v>
      </c>
      <c r="B53" s="238" t="s">
        <v>233</v>
      </c>
      <c r="C53" s="543" t="s">
        <v>234</v>
      </c>
      <c r="D53" s="544"/>
      <c r="E53" s="238" t="s">
        <v>196</v>
      </c>
      <c r="F53" s="258">
        <v>0.12</v>
      </c>
      <c r="G53" s="311">
        <v>0</v>
      </c>
      <c r="H53" s="258">
        <f>F53*AM53</f>
        <v>0</v>
      </c>
      <c r="I53" s="258">
        <f>F53*AN53</f>
        <v>0</v>
      </c>
      <c r="J53" s="258">
        <f>F53*G53</f>
        <v>0</v>
      </c>
      <c r="K53" s="258">
        <v>0</v>
      </c>
      <c r="L53" s="258">
        <f>F53*K53</f>
        <v>0</v>
      </c>
      <c r="M53" s="259" t="s">
        <v>472</v>
      </c>
      <c r="X53" s="233">
        <f>IF(AO53="5",BH53,0)</f>
        <v>0</v>
      </c>
      <c r="Z53" s="233">
        <f>IF(AO53="1",BF53,0)</f>
        <v>0</v>
      </c>
      <c r="AA53" s="233">
        <f>IF(AO53="1",BG53,0)</f>
        <v>0</v>
      </c>
      <c r="AB53" s="233">
        <f>IF(AO53="7",BF53,0)</f>
        <v>0</v>
      </c>
      <c r="AC53" s="233">
        <f>IF(AO53="7",BG53,0)</f>
        <v>0</v>
      </c>
      <c r="AD53" s="233">
        <f>IF(AO53="2",BF53,0)</f>
        <v>0</v>
      </c>
      <c r="AE53" s="233">
        <f>IF(AO53="2",BG53,0)</f>
        <v>0</v>
      </c>
      <c r="AF53" s="233">
        <f>IF(AO53="0",BH53,0)</f>
        <v>0</v>
      </c>
      <c r="AG53" s="229" t="s">
        <v>154</v>
      </c>
      <c r="AH53" s="233">
        <f>IF(AL53=0,J53,0)</f>
        <v>0</v>
      </c>
      <c r="AI53" s="233">
        <f>IF(AL53=15,J53,0)</f>
        <v>0</v>
      </c>
      <c r="AJ53" s="233">
        <f>IF(AL53=21,J53,0)</f>
        <v>0</v>
      </c>
      <c r="AL53" s="233">
        <v>15</v>
      </c>
      <c r="AM53" s="233">
        <f>G53*0</f>
        <v>0</v>
      </c>
      <c r="AN53" s="233">
        <f>G53*(1-0)</f>
        <v>0</v>
      </c>
      <c r="AO53" s="234" t="s">
        <v>157</v>
      </c>
      <c r="AT53" s="233">
        <f>AU53+AV53</f>
        <v>0</v>
      </c>
      <c r="AU53" s="233">
        <f>F53*AM53</f>
        <v>0</v>
      </c>
      <c r="AV53" s="233">
        <f>F53*AN53</f>
        <v>0</v>
      </c>
      <c r="AW53" s="234" t="s">
        <v>231</v>
      </c>
      <c r="AX53" s="234" t="s">
        <v>163</v>
      </c>
      <c r="AY53" s="229" t="s">
        <v>164</v>
      </c>
      <c r="BA53" s="233">
        <f>AU53+AV53</f>
        <v>0</v>
      </c>
      <c r="BB53" s="233">
        <f>G53/(100-BC53)*100</f>
        <v>0</v>
      </c>
      <c r="BC53" s="233">
        <v>0</v>
      </c>
      <c r="BD53" s="233">
        <f>L53</f>
        <v>0</v>
      </c>
      <c r="BF53" s="233">
        <f>F53*AM53</f>
        <v>0</v>
      </c>
      <c r="BG53" s="233">
        <f>F53*AN53</f>
        <v>0</v>
      </c>
      <c r="BH53" s="233">
        <f>F53*G53</f>
        <v>0</v>
      </c>
      <c r="BI53" s="233"/>
      <c r="BJ53" s="233">
        <v>16</v>
      </c>
      <c r="BU53" s="233" t="e">
        <f>#REF!</f>
        <v>#REF!</v>
      </c>
      <c r="BV53" s="225" t="s">
        <v>234</v>
      </c>
    </row>
    <row r="54" spans="1:74" ht="67.5" customHeight="1" x14ac:dyDescent="0.3">
      <c r="A54" s="241"/>
      <c r="B54" s="242" t="s">
        <v>165</v>
      </c>
      <c r="C54" s="530" t="s">
        <v>1789</v>
      </c>
      <c r="D54" s="531"/>
      <c r="E54" s="531"/>
      <c r="F54" s="531"/>
      <c r="G54" s="531"/>
      <c r="H54" s="531"/>
      <c r="I54" s="531"/>
      <c r="J54" s="531"/>
      <c r="K54" s="531"/>
      <c r="L54" s="531"/>
      <c r="M54" s="532"/>
    </row>
    <row r="55" spans="1:74" ht="14.4" x14ac:dyDescent="0.3">
      <c r="A55" s="239" t="s">
        <v>232</v>
      </c>
      <c r="B55" s="223" t="s">
        <v>503</v>
      </c>
      <c r="C55" s="521" t="s">
        <v>237</v>
      </c>
      <c r="D55" s="519"/>
      <c r="E55" s="223" t="s">
        <v>196</v>
      </c>
      <c r="F55" s="233">
        <v>6.81</v>
      </c>
      <c r="G55" s="311">
        <v>0</v>
      </c>
      <c r="H55" s="233">
        <f>F55*AM55</f>
        <v>0</v>
      </c>
      <c r="I55" s="233">
        <f>F55*AN55</f>
        <v>0</v>
      </c>
      <c r="J55" s="233">
        <f>F55*G55</f>
        <v>0</v>
      </c>
      <c r="K55" s="233">
        <v>0</v>
      </c>
      <c r="L55" s="233">
        <f>F55*K55</f>
        <v>0</v>
      </c>
      <c r="M55" s="240" t="s">
        <v>472</v>
      </c>
      <c r="X55" s="233">
        <f>IF(AO55="5",BH55,0)</f>
        <v>0</v>
      </c>
      <c r="Z55" s="233">
        <f>IF(AO55="1",BF55,0)</f>
        <v>0</v>
      </c>
      <c r="AA55" s="233">
        <f>IF(AO55="1",BG55,0)</f>
        <v>0</v>
      </c>
      <c r="AB55" s="233">
        <f>IF(AO55="7",BF55,0)</f>
        <v>0</v>
      </c>
      <c r="AC55" s="233">
        <f>IF(AO55="7",BG55,0)</f>
        <v>0</v>
      </c>
      <c r="AD55" s="233">
        <f>IF(AO55="2",BF55,0)</f>
        <v>0</v>
      </c>
      <c r="AE55" s="233">
        <f>IF(AO55="2",BG55,0)</f>
        <v>0</v>
      </c>
      <c r="AF55" s="233">
        <f>IF(AO55="0",BH55,0)</f>
        <v>0</v>
      </c>
      <c r="AG55" s="229" t="s">
        <v>154</v>
      </c>
      <c r="AH55" s="233">
        <f>IF(AL55=0,J55,0)</f>
        <v>0</v>
      </c>
      <c r="AI55" s="233">
        <f>IF(AL55=15,J55,0)</f>
        <v>0</v>
      </c>
      <c r="AJ55" s="233">
        <f>IF(AL55=21,J55,0)</f>
        <v>0</v>
      </c>
      <c r="AL55" s="233">
        <v>15</v>
      </c>
      <c r="AM55" s="233">
        <f>G55*0</f>
        <v>0</v>
      </c>
      <c r="AN55" s="233">
        <f>G55*(1-0)</f>
        <v>0</v>
      </c>
      <c r="AO55" s="234" t="s">
        <v>157</v>
      </c>
      <c r="AT55" s="233">
        <f>AU55+AV55</f>
        <v>0</v>
      </c>
      <c r="AU55" s="233">
        <f>F55*AM55</f>
        <v>0</v>
      </c>
      <c r="AV55" s="233">
        <f>F55*AN55</f>
        <v>0</v>
      </c>
      <c r="AW55" s="234" t="s">
        <v>231</v>
      </c>
      <c r="AX55" s="234" t="s">
        <v>163</v>
      </c>
      <c r="AY55" s="229" t="s">
        <v>164</v>
      </c>
      <c r="BA55" s="233">
        <f>AU55+AV55</f>
        <v>0</v>
      </c>
      <c r="BB55" s="233">
        <f>G55/(100-BC55)*100</f>
        <v>0</v>
      </c>
      <c r="BC55" s="233">
        <v>0</v>
      </c>
      <c r="BD55" s="233">
        <f>L55</f>
        <v>0</v>
      </c>
      <c r="BF55" s="233">
        <f>F55*AM55</f>
        <v>0</v>
      </c>
      <c r="BG55" s="233">
        <f>F55*AN55</f>
        <v>0</v>
      </c>
      <c r="BH55" s="233">
        <f>F55*G55</f>
        <v>0</v>
      </c>
      <c r="BI55" s="233"/>
      <c r="BJ55" s="233">
        <v>16</v>
      </c>
      <c r="BU55" s="233" t="e">
        <f>#REF!</f>
        <v>#REF!</v>
      </c>
      <c r="BV55" s="225" t="s">
        <v>237</v>
      </c>
    </row>
    <row r="56" spans="1:74" ht="67.5" customHeight="1" x14ac:dyDescent="0.3">
      <c r="A56" s="241"/>
      <c r="B56" s="242" t="s">
        <v>165</v>
      </c>
      <c r="C56" s="530" t="s">
        <v>1790</v>
      </c>
      <c r="D56" s="531"/>
      <c r="E56" s="531"/>
      <c r="F56" s="531"/>
      <c r="G56" s="531"/>
      <c r="H56" s="531"/>
      <c r="I56" s="531"/>
      <c r="J56" s="531"/>
      <c r="K56" s="531"/>
      <c r="L56" s="531"/>
      <c r="M56" s="532"/>
    </row>
    <row r="57" spans="1:74" ht="14.4" x14ac:dyDescent="0.3">
      <c r="A57" s="239" t="s">
        <v>235</v>
      </c>
      <c r="B57" s="223" t="s">
        <v>504</v>
      </c>
      <c r="C57" s="521" t="s">
        <v>240</v>
      </c>
      <c r="D57" s="519"/>
      <c r="E57" s="223" t="s">
        <v>196</v>
      </c>
      <c r="F57" s="233">
        <v>95.34</v>
      </c>
      <c r="G57" s="311">
        <v>0</v>
      </c>
      <c r="H57" s="233">
        <f>F57*AM57</f>
        <v>0</v>
      </c>
      <c r="I57" s="233">
        <f>F57*AN57</f>
        <v>0</v>
      </c>
      <c r="J57" s="233">
        <f>F57*G57</f>
        <v>0</v>
      </c>
      <c r="K57" s="233">
        <v>0</v>
      </c>
      <c r="L57" s="233">
        <f>F57*K57</f>
        <v>0</v>
      </c>
      <c r="M57" s="240" t="s">
        <v>472</v>
      </c>
      <c r="X57" s="233">
        <f>IF(AO57="5",BH57,0)</f>
        <v>0</v>
      </c>
      <c r="Z57" s="233">
        <f>IF(AO57="1",BF57,0)</f>
        <v>0</v>
      </c>
      <c r="AA57" s="233">
        <f>IF(AO57="1",BG57,0)</f>
        <v>0</v>
      </c>
      <c r="AB57" s="233">
        <f>IF(AO57="7",BF57,0)</f>
        <v>0</v>
      </c>
      <c r="AC57" s="233">
        <f>IF(AO57="7",BG57,0)</f>
        <v>0</v>
      </c>
      <c r="AD57" s="233">
        <f>IF(AO57="2",BF57,0)</f>
        <v>0</v>
      </c>
      <c r="AE57" s="233">
        <f>IF(AO57="2",BG57,0)</f>
        <v>0</v>
      </c>
      <c r="AF57" s="233">
        <f>IF(AO57="0",BH57,0)</f>
        <v>0</v>
      </c>
      <c r="AG57" s="229" t="s">
        <v>154</v>
      </c>
      <c r="AH57" s="233">
        <f>IF(AL57=0,J57,0)</f>
        <v>0</v>
      </c>
      <c r="AI57" s="233">
        <f>IF(AL57=15,J57,0)</f>
        <v>0</v>
      </c>
      <c r="AJ57" s="233">
        <f>IF(AL57=21,J57,0)</f>
        <v>0</v>
      </c>
      <c r="AL57" s="233">
        <v>15</v>
      </c>
      <c r="AM57" s="233">
        <f>G57*0</f>
        <v>0</v>
      </c>
      <c r="AN57" s="233">
        <f>G57*(1-0)</f>
        <v>0</v>
      </c>
      <c r="AO57" s="234" t="s">
        <v>157</v>
      </c>
      <c r="AT57" s="233">
        <f>AU57+AV57</f>
        <v>0</v>
      </c>
      <c r="AU57" s="233">
        <f>F57*AM57</f>
        <v>0</v>
      </c>
      <c r="AV57" s="233">
        <f>F57*AN57</f>
        <v>0</v>
      </c>
      <c r="AW57" s="234" t="s">
        <v>231</v>
      </c>
      <c r="AX57" s="234" t="s">
        <v>163</v>
      </c>
      <c r="AY57" s="229" t="s">
        <v>164</v>
      </c>
      <c r="BA57" s="233">
        <f>AU57+AV57</f>
        <v>0</v>
      </c>
      <c r="BB57" s="233">
        <f>G57/(100-BC57)*100</f>
        <v>0</v>
      </c>
      <c r="BC57" s="233">
        <v>0</v>
      </c>
      <c r="BD57" s="233">
        <f>L57</f>
        <v>0</v>
      </c>
      <c r="BF57" s="233">
        <f>F57*AM57</f>
        <v>0</v>
      </c>
      <c r="BG57" s="233">
        <f>F57*AN57</f>
        <v>0</v>
      </c>
      <c r="BH57" s="233">
        <f>F57*G57</f>
        <v>0</v>
      </c>
      <c r="BI57" s="233"/>
      <c r="BJ57" s="233">
        <v>16</v>
      </c>
      <c r="BU57" s="233" t="e">
        <f>#REF!</f>
        <v>#REF!</v>
      </c>
      <c r="BV57" s="225" t="s">
        <v>240</v>
      </c>
    </row>
    <row r="58" spans="1:74" ht="54" customHeight="1" x14ac:dyDescent="0.3">
      <c r="A58" s="241"/>
      <c r="B58" s="242" t="s">
        <v>165</v>
      </c>
      <c r="C58" s="530" t="s">
        <v>1791</v>
      </c>
      <c r="D58" s="531"/>
      <c r="E58" s="531"/>
      <c r="F58" s="531"/>
      <c r="G58" s="531"/>
      <c r="H58" s="531"/>
      <c r="I58" s="531"/>
      <c r="J58" s="531"/>
      <c r="K58" s="531"/>
      <c r="L58" s="531"/>
      <c r="M58" s="532"/>
    </row>
    <row r="59" spans="1:74" ht="14.4" x14ac:dyDescent="0.3">
      <c r="A59" s="239" t="s">
        <v>238</v>
      </c>
      <c r="B59" s="223" t="s">
        <v>505</v>
      </c>
      <c r="C59" s="521" t="s">
        <v>243</v>
      </c>
      <c r="D59" s="519"/>
      <c r="E59" s="223" t="s">
        <v>196</v>
      </c>
      <c r="F59" s="233">
        <v>3.97</v>
      </c>
      <c r="G59" s="311">
        <v>0</v>
      </c>
      <c r="H59" s="233">
        <f>F59*AM59</f>
        <v>0</v>
      </c>
      <c r="I59" s="233">
        <f>F59*AN59</f>
        <v>0</v>
      </c>
      <c r="J59" s="233">
        <f>F59*G59</f>
        <v>0</v>
      </c>
      <c r="K59" s="233">
        <v>0</v>
      </c>
      <c r="L59" s="233">
        <f>F59*K59</f>
        <v>0</v>
      </c>
      <c r="M59" s="240" t="s">
        <v>472</v>
      </c>
      <c r="X59" s="233">
        <f>IF(AO59="5",BH59,0)</f>
        <v>0</v>
      </c>
      <c r="Z59" s="233">
        <f>IF(AO59="1",BF59,0)</f>
        <v>0</v>
      </c>
      <c r="AA59" s="233">
        <f>IF(AO59="1",BG59,0)</f>
        <v>0</v>
      </c>
      <c r="AB59" s="233">
        <f>IF(AO59="7",BF59,0)</f>
        <v>0</v>
      </c>
      <c r="AC59" s="233">
        <f>IF(AO59="7",BG59,0)</f>
        <v>0</v>
      </c>
      <c r="AD59" s="233">
        <f>IF(AO59="2",BF59,0)</f>
        <v>0</v>
      </c>
      <c r="AE59" s="233">
        <f>IF(AO59="2",BG59,0)</f>
        <v>0</v>
      </c>
      <c r="AF59" s="233">
        <f>IF(AO59="0",BH59,0)</f>
        <v>0</v>
      </c>
      <c r="AG59" s="229" t="s">
        <v>154</v>
      </c>
      <c r="AH59" s="233">
        <f>IF(AL59=0,J59,0)</f>
        <v>0</v>
      </c>
      <c r="AI59" s="233">
        <f>IF(AL59=15,J59,0)</f>
        <v>0</v>
      </c>
      <c r="AJ59" s="233">
        <f>IF(AL59=21,J59,0)</f>
        <v>0</v>
      </c>
      <c r="AL59" s="233">
        <v>15</v>
      </c>
      <c r="AM59" s="233">
        <f>G59*0</f>
        <v>0</v>
      </c>
      <c r="AN59" s="233">
        <f>G59*(1-0)</f>
        <v>0</v>
      </c>
      <c r="AO59" s="234" t="s">
        <v>157</v>
      </c>
      <c r="AT59" s="233">
        <f>AU59+AV59</f>
        <v>0</v>
      </c>
      <c r="AU59" s="233">
        <f>F59*AM59</f>
        <v>0</v>
      </c>
      <c r="AV59" s="233">
        <f>F59*AN59</f>
        <v>0</v>
      </c>
      <c r="AW59" s="234" t="s">
        <v>231</v>
      </c>
      <c r="AX59" s="234" t="s">
        <v>163</v>
      </c>
      <c r="AY59" s="229" t="s">
        <v>164</v>
      </c>
      <c r="BA59" s="233">
        <f>AU59+AV59</f>
        <v>0</v>
      </c>
      <c r="BB59" s="233">
        <f>G59/(100-BC59)*100</f>
        <v>0</v>
      </c>
      <c r="BC59" s="233">
        <v>0</v>
      </c>
      <c r="BD59" s="233">
        <f>L59</f>
        <v>0</v>
      </c>
      <c r="BF59" s="233">
        <f>F59*AM59</f>
        <v>0</v>
      </c>
      <c r="BG59" s="233">
        <f>F59*AN59</f>
        <v>0</v>
      </c>
      <c r="BH59" s="233">
        <f>F59*G59</f>
        <v>0</v>
      </c>
      <c r="BI59" s="233"/>
      <c r="BJ59" s="233">
        <v>16</v>
      </c>
      <c r="BU59" s="233" t="e">
        <f>#REF!</f>
        <v>#REF!</v>
      </c>
      <c r="BV59" s="225" t="s">
        <v>243</v>
      </c>
    </row>
    <row r="60" spans="1:74" ht="54" customHeight="1" x14ac:dyDescent="0.3">
      <c r="A60" s="241"/>
      <c r="B60" s="242" t="s">
        <v>165</v>
      </c>
      <c r="C60" s="530" t="s">
        <v>1792</v>
      </c>
      <c r="D60" s="531"/>
      <c r="E60" s="531"/>
      <c r="F60" s="531"/>
      <c r="G60" s="531"/>
      <c r="H60" s="531"/>
      <c r="I60" s="531"/>
      <c r="J60" s="531"/>
      <c r="K60" s="531"/>
      <c r="L60" s="531"/>
      <c r="M60" s="532"/>
    </row>
    <row r="61" spans="1:74" ht="14.4" x14ac:dyDescent="0.3">
      <c r="A61" s="239" t="s">
        <v>241</v>
      </c>
      <c r="B61" s="223" t="s">
        <v>506</v>
      </c>
      <c r="C61" s="521" t="s">
        <v>246</v>
      </c>
      <c r="D61" s="519"/>
      <c r="E61" s="223" t="s">
        <v>196</v>
      </c>
      <c r="F61" s="233">
        <v>55.58</v>
      </c>
      <c r="G61" s="311">
        <v>0</v>
      </c>
      <c r="H61" s="233">
        <f>F61*AM61</f>
        <v>0</v>
      </c>
      <c r="I61" s="233">
        <f>F61*AN61</f>
        <v>0</v>
      </c>
      <c r="J61" s="233">
        <f>F61*G61</f>
        <v>0</v>
      </c>
      <c r="K61" s="233">
        <v>0</v>
      </c>
      <c r="L61" s="233">
        <f>F61*K61</f>
        <v>0</v>
      </c>
      <c r="M61" s="240" t="s">
        <v>472</v>
      </c>
      <c r="X61" s="233">
        <f>IF(AO61="5",BH61,0)</f>
        <v>0</v>
      </c>
      <c r="Z61" s="233">
        <f>IF(AO61="1",BF61,0)</f>
        <v>0</v>
      </c>
      <c r="AA61" s="233">
        <f>IF(AO61="1",BG61,0)</f>
        <v>0</v>
      </c>
      <c r="AB61" s="233">
        <f>IF(AO61="7",BF61,0)</f>
        <v>0</v>
      </c>
      <c r="AC61" s="233">
        <f>IF(AO61="7",BG61,0)</f>
        <v>0</v>
      </c>
      <c r="AD61" s="233">
        <f>IF(AO61="2",BF61,0)</f>
        <v>0</v>
      </c>
      <c r="AE61" s="233">
        <f>IF(AO61="2",BG61,0)</f>
        <v>0</v>
      </c>
      <c r="AF61" s="233">
        <f>IF(AO61="0",BH61,0)</f>
        <v>0</v>
      </c>
      <c r="AG61" s="229" t="s">
        <v>154</v>
      </c>
      <c r="AH61" s="233">
        <f>IF(AL61=0,J61,0)</f>
        <v>0</v>
      </c>
      <c r="AI61" s="233">
        <f>IF(AL61=15,J61,0)</f>
        <v>0</v>
      </c>
      <c r="AJ61" s="233">
        <f>IF(AL61=21,J61,0)</f>
        <v>0</v>
      </c>
      <c r="AL61" s="233">
        <v>15</v>
      </c>
      <c r="AM61" s="233">
        <f>G61*0</f>
        <v>0</v>
      </c>
      <c r="AN61" s="233">
        <f>G61*(1-0)</f>
        <v>0</v>
      </c>
      <c r="AO61" s="234" t="s">
        <v>157</v>
      </c>
      <c r="AT61" s="233">
        <f>AU61+AV61</f>
        <v>0</v>
      </c>
      <c r="AU61" s="233">
        <f>F61*AM61</f>
        <v>0</v>
      </c>
      <c r="AV61" s="233">
        <f>F61*AN61</f>
        <v>0</v>
      </c>
      <c r="AW61" s="234" t="s">
        <v>231</v>
      </c>
      <c r="AX61" s="234" t="s">
        <v>163</v>
      </c>
      <c r="AY61" s="229" t="s">
        <v>164</v>
      </c>
      <c r="BA61" s="233">
        <f>AU61+AV61</f>
        <v>0</v>
      </c>
      <c r="BB61" s="233">
        <f>G61/(100-BC61)*100</f>
        <v>0</v>
      </c>
      <c r="BC61" s="233">
        <v>0</v>
      </c>
      <c r="BD61" s="233">
        <f>L61</f>
        <v>0</v>
      </c>
      <c r="BF61" s="233">
        <f>F61*AM61</f>
        <v>0</v>
      </c>
      <c r="BG61" s="233">
        <f>F61*AN61</f>
        <v>0</v>
      </c>
      <c r="BH61" s="233">
        <f>F61*G61</f>
        <v>0</v>
      </c>
      <c r="BI61" s="233"/>
      <c r="BJ61" s="233">
        <v>16</v>
      </c>
      <c r="BU61" s="233" t="e">
        <f>#REF!</f>
        <v>#REF!</v>
      </c>
      <c r="BV61" s="225" t="s">
        <v>246</v>
      </c>
    </row>
    <row r="62" spans="1:74" ht="54" customHeight="1" x14ac:dyDescent="0.3">
      <c r="A62" s="241"/>
      <c r="B62" s="242" t="s">
        <v>165</v>
      </c>
      <c r="C62" s="530" t="s">
        <v>1793</v>
      </c>
      <c r="D62" s="531"/>
      <c r="E62" s="531"/>
      <c r="F62" s="531"/>
      <c r="G62" s="531"/>
      <c r="H62" s="531"/>
      <c r="I62" s="531"/>
      <c r="J62" s="531"/>
      <c r="K62" s="531"/>
      <c r="L62" s="531"/>
      <c r="M62" s="532"/>
    </row>
    <row r="63" spans="1:74" ht="14.4" x14ac:dyDescent="0.3">
      <c r="A63" s="239" t="s">
        <v>244</v>
      </c>
      <c r="B63" s="223" t="s">
        <v>248</v>
      </c>
      <c r="C63" s="521" t="s">
        <v>249</v>
      </c>
      <c r="D63" s="519"/>
      <c r="E63" s="223" t="s">
        <v>196</v>
      </c>
      <c r="F63" s="233">
        <v>14.86</v>
      </c>
      <c r="G63" s="311">
        <v>0</v>
      </c>
      <c r="H63" s="233">
        <f>F63*AM63</f>
        <v>0</v>
      </c>
      <c r="I63" s="233">
        <f>F63*AN63</f>
        <v>0</v>
      </c>
      <c r="J63" s="233">
        <f>F63*G63</f>
        <v>0</v>
      </c>
      <c r="K63" s="233">
        <v>0</v>
      </c>
      <c r="L63" s="233">
        <f>F63*K63</f>
        <v>0</v>
      </c>
      <c r="M63" s="240" t="s">
        <v>472</v>
      </c>
      <c r="X63" s="233">
        <f>IF(AO63="5",BH63,0)</f>
        <v>0</v>
      </c>
      <c r="Z63" s="233">
        <f>IF(AO63="1",BF63,0)</f>
        <v>0</v>
      </c>
      <c r="AA63" s="233">
        <f>IF(AO63="1",BG63,0)</f>
        <v>0</v>
      </c>
      <c r="AB63" s="233">
        <f>IF(AO63="7",BF63,0)</f>
        <v>0</v>
      </c>
      <c r="AC63" s="233">
        <f>IF(AO63="7",BG63,0)</f>
        <v>0</v>
      </c>
      <c r="AD63" s="233">
        <f>IF(AO63="2",BF63,0)</f>
        <v>0</v>
      </c>
      <c r="AE63" s="233">
        <f>IF(AO63="2",BG63,0)</f>
        <v>0</v>
      </c>
      <c r="AF63" s="233">
        <f>IF(AO63="0",BH63,0)</f>
        <v>0</v>
      </c>
      <c r="AG63" s="229" t="s">
        <v>154</v>
      </c>
      <c r="AH63" s="233">
        <f>IF(AL63=0,J63,0)</f>
        <v>0</v>
      </c>
      <c r="AI63" s="233">
        <f>IF(AL63=15,J63,0)</f>
        <v>0</v>
      </c>
      <c r="AJ63" s="233">
        <f>IF(AL63=21,J63,0)</f>
        <v>0</v>
      </c>
      <c r="AL63" s="233">
        <v>15</v>
      </c>
      <c r="AM63" s="233">
        <f>G63*0</f>
        <v>0</v>
      </c>
      <c r="AN63" s="233">
        <f>G63*(1-0)</f>
        <v>0</v>
      </c>
      <c r="AO63" s="234" t="s">
        <v>157</v>
      </c>
      <c r="AT63" s="233">
        <f>AU63+AV63</f>
        <v>0</v>
      </c>
      <c r="AU63" s="233">
        <f>F63*AM63</f>
        <v>0</v>
      </c>
      <c r="AV63" s="233">
        <f>F63*AN63</f>
        <v>0</v>
      </c>
      <c r="AW63" s="234" t="s">
        <v>231</v>
      </c>
      <c r="AX63" s="234" t="s">
        <v>163</v>
      </c>
      <c r="AY63" s="229" t="s">
        <v>164</v>
      </c>
      <c r="BA63" s="233">
        <f>AU63+AV63</f>
        <v>0</v>
      </c>
      <c r="BB63" s="233">
        <f>G63/(100-BC63)*100</f>
        <v>0</v>
      </c>
      <c r="BC63" s="233">
        <v>0</v>
      </c>
      <c r="BD63" s="233">
        <f>L63</f>
        <v>0</v>
      </c>
      <c r="BF63" s="233">
        <f>F63*AM63</f>
        <v>0</v>
      </c>
      <c r="BG63" s="233">
        <f>F63*AN63</f>
        <v>0</v>
      </c>
      <c r="BH63" s="233">
        <f>F63*G63</f>
        <v>0</v>
      </c>
      <c r="BI63" s="233"/>
      <c r="BJ63" s="233">
        <v>16</v>
      </c>
      <c r="BU63" s="233" t="e">
        <f>#REF!</f>
        <v>#REF!</v>
      </c>
      <c r="BV63" s="225" t="s">
        <v>249</v>
      </c>
    </row>
    <row r="64" spans="1:74" ht="40.5" customHeight="1" x14ac:dyDescent="0.3">
      <c r="A64" s="241"/>
      <c r="B64" s="242" t="s">
        <v>165</v>
      </c>
      <c r="C64" s="530" t="s">
        <v>1794</v>
      </c>
      <c r="D64" s="531"/>
      <c r="E64" s="531"/>
      <c r="F64" s="531"/>
      <c r="G64" s="531"/>
      <c r="H64" s="531"/>
      <c r="I64" s="531"/>
      <c r="J64" s="531"/>
      <c r="K64" s="531"/>
      <c r="L64" s="531"/>
      <c r="M64" s="532"/>
    </row>
    <row r="65" spans="1:74" ht="14.4" x14ac:dyDescent="0.3">
      <c r="A65" s="239" t="s">
        <v>247</v>
      </c>
      <c r="B65" s="223" t="s">
        <v>251</v>
      </c>
      <c r="C65" s="521" t="s">
        <v>252</v>
      </c>
      <c r="D65" s="519"/>
      <c r="E65" s="223" t="s">
        <v>196</v>
      </c>
      <c r="F65" s="233">
        <v>14.86</v>
      </c>
      <c r="G65" s="311">
        <v>0</v>
      </c>
      <c r="H65" s="233">
        <f>F65*AM65</f>
        <v>0</v>
      </c>
      <c r="I65" s="233">
        <f>F65*AN65</f>
        <v>0</v>
      </c>
      <c r="J65" s="233">
        <f>F65*G65</f>
        <v>0</v>
      </c>
      <c r="K65" s="233">
        <v>0</v>
      </c>
      <c r="L65" s="233">
        <f>F65*K65</f>
        <v>0</v>
      </c>
      <c r="M65" s="240" t="s">
        <v>472</v>
      </c>
      <c r="X65" s="233">
        <f>IF(AO65="5",BH65,0)</f>
        <v>0</v>
      </c>
      <c r="Z65" s="233">
        <f>IF(AO65="1",BF65,0)</f>
        <v>0</v>
      </c>
      <c r="AA65" s="233">
        <f>IF(AO65="1",BG65,0)</f>
        <v>0</v>
      </c>
      <c r="AB65" s="233">
        <f>IF(AO65="7",BF65,0)</f>
        <v>0</v>
      </c>
      <c r="AC65" s="233">
        <f>IF(AO65="7",BG65,0)</f>
        <v>0</v>
      </c>
      <c r="AD65" s="233">
        <f>IF(AO65="2",BF65,0)</f>
        <v>0</v>
      </c>
      <c r="AE65" s="233">
        <f>IF(AO65="2",BG65,0)</f>
        <v>0</v>
      </c>
      <c r="AF65" s="233">
        <f>IF(AO65="0",BH65,0)</f>
        <v>0</v>
      </c>
      <c r="AG65" s="229" t="s">
        <v>154</v>
      </c>
      <c r="AH65" s="233">
        <f>IF(AL65=0,J65,0)</f>
        <v>0</v>
      </c>
      <c r="AI65" s="233">
        <f>IF(AL65=15,J65,0)</f>
        <v>0</v>
      </c>
      <c r="AJ65" s="233">
        <f>IF(AL65=21,J65,0)</f>
        <v>0</v>
      </c>
      <c r="AL65" s="233">
        <v>15</v>
      </c>
      <c r="AM65" s="233">
        <f>G65*0</f>
        <v>0</v>
      </c>
      <c r="AN65" s="233">
        <f>G65*(1-0)</f>
        <v>0</v>
      </c>
      <c r="AO65" s="234" t="s">
        <v>157</v>
      </c>
      <c r="AT65" s="233">
        <f>AU65+AV65</f>
        <v>0</v>
      </c>
      <c r="AU65" s="233">
        <f>F65*AM65</f>
        <v>0</v>
      </c>
      <c r="AV65" s="233">
        <f>F65*AN65</f>
        <v>0</v>
      </c>
      <c r="AW65" s="234" t="s">
        <v>231</v>
      </c>
      <c r="AX65" s="234" t="s">
        <v>163</v>
      </c>
      <c r="AY65" s="229" t="s">
        <v>164</v>
      </c>
      <c r="BA65" s="233">
        <f>AU65+AV65</f>
        <v>0</v>
      </c>
      <c r="BB65" s="233">
        <f>G65/(100-BC65)*100</f>
        <v>0</v>
      </c>
      <c r="BC65" s="233">
        <v>0</v>
      </c>
      <c r="BD65" s="233">
        <f>L65</f>
        <v>0</v>
      </c>
      <c r="BF65" s="233">
        <f>F65*AM65</f>
        <v>0</v>
      </c>
      <c r="BG65" s="233">
        <f>F65*AN65</f>
        <v>0</v>
      </c>
      <c r="BH65" s="233">
        <f>F65*G65</f>
        <v>0</v>
      </c>
      <c r="BI65" s="233"/>
      <c r="BJ65" s="233">
        <v>16</v>
      </c>
      <c r="BU65" s="233" t="e">
        <f>#REF!</f>
        <v>#REF!</v>
      </c>
      <c r="BV65" s="225" t="s">
        <v>252</v>
      </c>
    </row>
    <row r="66" spans="1:74" ht="40.5" customHeight="1" x14ac:dyDescent="0.3">
      <c r="A66" s="241"/>
      <c r="B66" s="242" t="s">
        <v>165</v>
      </c>
      <c r="C66" s="530" t="s">
        <v>1795</v>
      </c>
      <c r="D66" s="531"/>
      <c r="E66" s="531"/>
      <c r="F66" s="531"/>
      <c r="G66" s="531"/>
      <c r="H66" s="531"/>
      <c r="I66" s="531"/>
      <c r="J66" s="531"/>
      <c r="K66" s="531"/>
      <c r="L66" s="531"/>
      <c r="M66" s="532"/>
    </row>
    <row r="67" spans="1:74" ht="14.4" x14ac:dyDescent="0.3">
      <c r="A67" s="239" t="s">
        <v>250</v>
      </c>
      <c r="B67" s="223" t="s">
        <v>254</v>
      </c>
      <c r="C67" s="521" t="s">
        <v>255</v>
      </c>
      <c r="D67" s="519"/>
      <c r="E67" s="223" t="s">
        <v>196</v>
      </c>
      <c r="F67" s="233">
        <v>2.2400000000000002</v>
      </c>
      <c r="G67" s="311">
        <v>0</v>
      </c>
      <c r="H67" s="233">
        <f>F67*AM67</f>
        <v>0</v>
      </c>
      <c r="I67" s="233">
        <f>F67*AN67</f>
        <v>0</v>
      </c>
      <c r="J67" s="233">
        <f>F67*G67</f>
        <v>0</v>
      </c>
      <c r="K67" s="233">
        <v>0</v>
      </c>
      <c r="L67" s="233">
        <f>F67*K67</f>
        <v>0</v>
      </c>
      <c r="M67" s="240" t="s">
        <v>472</v>
      </c>
      <c r="X67" s="233">
        <f>IF(AO67="5",BH67,0)</f>
        <v>0</v>
      </c>
      <c r="Z67" s="233">
        <f>IF(AO67="1",BF67,0)</f>
        <v>0</v>
      </c>
      <c r="AA67" s="233">
        <f>IF(AO67="1",BG67,0)</f>
        <v>0</v>
      </c>
      <c r="AB67" s="233">
        <f>IF(AO67="7",BF67,0)</f>
        <v>0</v>
      </c>
      <c r="AC67" s="233">
        <f>IF(AO67="7",BG67,0)</f>
        <v>0</v>
      </c>
      <c r="AD67" s="233">
        <f>IF(AO67="2",BF67,0)</f>
        <v>0</v>
      </c>
      <c r="AE67" s="233">
        <f>IF(AO67="2",BG67,0)</f>
        <v>0</v>
      </c>
      <c r="AF67" s="233">
        <f>IF(AO67="0",BH67,0)</f>
        <v>0</v>
      </c>
      <c r="AG67" s="229" t="s">
        <v>154</v>
      </c>
      <c r="AH67" s="233">
        <f>IF(AL67=0,J67,0)</f>
        <v>0</v>
      </c>
      <c r="AI67" s="233">
        <f>IF(AL67=15,J67,0)</f>
        <v>0</v>
      </c>
      <c r="AJ67" s="233">
        <f>IF(AL67=21,J67,0)</f>
        <v>0</v>
      </c>
      <c r="AL67" s="233">
        <v>15</v>
      </c>
      <c r="AM67" s="233">
        <f>G67*0</f>
        <v>0</v>
      </c>
      <c r="AN67" s="233">
        <f>G67*(1-0)</f>
        <v>0</v>
      </c>
      <c r="AO67" s="234" t="s">
        <v>157</v>
      </c>
      <c r="AT67" s="233">
        <f>AU67+AV67</f>
        <v>0</v>
      </c>
      <c r="AU67" s="233">
        <f>F67*AM67</f>
        <v>0</v>
      </c>
      <c r="AV67" s="233">
        <f>F67*AN67</f>
        <v>0</v>
      </c>
      <c r="AW67" s="234" t="s">
        <v>231</v>
      </c>
      <c r="AX67" s="234" t="s">
        <v>163</v>
      </c>
      <c r="AY67" s="229" t="s">
        <v>164</v>
      </c>
      <c r="BA67" s="233">
        <f>AU67+AV67</f>
        <v>0</v>
      </c>
      <c r="BB67" s="233">
        <f>G67/(100-BC67)*100</f>
        <v>0</v>
      </c>
      <c r="BC67" s="233">
        <v>0</v>
      </c>
      <c r="BD67" s="233">
        <f>L67</f>
        <v>0</v>
      </c>
      <c r="BF67" s="233">
        <f>F67*AM67</f>
        <v>0</v>
      </c>
      <c r="BG67" s="233">
        <f>F67*AN67</f>
        <v>0</v>
      </c>
      <c r="BH67" s="233">
        <f>F67*G67</f>
        <v>0</v>
      </c>
      <c r="BI67" s="233"/>
      <c r="BJ67" s="233">
        <v>16</v>
      </c>
      <c r="BU67" s="233" t="e">
        <f>#REF!</f>
        <v>#REF!</v>
      </c>
      <c r="BV67" s="225" t="s">
        <v>255</v>
      </c>
    </row>
    <row r="68" spans="1:74" ht="40.5" customHeight="1" x14ac:dyDescent="0.3">
      <c r="A68" s="241"/>
      <c r="B68" s="242" t="s">
        <v>165</v>
      </c>
      <c r="C68" s="530" t="s">
        <v>1796</v>
      </c>
      <c r="D68" s="531"/>
      <c r="E68" s="531"/>
      <c r="F68" s="531"/>
      <c r="G68" s="531"/>
      <c r="H68" s="531"/>
      <c r="I68" s="531"/>
      <c r="J68" s="531"/>
      <c r="K68" s="531"/>
      <c r="L68" s="531"/>
      <c r="M68" s="532"/>
    </row>
    <row r="69" spans="1:74" ht="14.4" x14ac:dyDescent="0.3">
      <c r="A69" s="239" t="s">
        <v>253</v>
      </c>
      <c r="B69" s="223" t="s">
        <v>257</v>
      </c>
      <c r="C69" s="521" t="s">
        <v>258</v>
      </c>
      <c r="D69" s="519"/>
      <c r="E69" s="223" t="s">
        <v>196</v>
      </c>
      <c r="F69" s="233">
        <v>2.2400000000000002</v>
      </c>
      <c r="G69" s="311">
        <v>0</v>
      </c>
      <c r="H69" s="233">
        <f>F69*AM69</f>
        <v>0</v>
      </c>
      <c r="I69" s="233">
        <f>F69*AN69</f>
        <v>0</v>
      </c>
      <c r="J69" s="233">
        <f>F69*G69</f>
        <v>0</v>
      </c>
      <c r="K69" s="233">
        <v>0</v>
      </c>
      <c r="L69" s="233">
        <f>F69*K69</f>
        <v>0</v>
      </c>
      <c r="M69" s="240" t="s">
        <v>472</v>
      </c>
      <c r="X69" s="233">
        <f>IF(AO69="5",BH69,0)</f>
        <v>0</v>
      </c>
      <c r="Z69" s="233">
        <f>IF(AO69="1",BF69,0)</f>
        <v>0</v>
      </c>
      <c r="AA69" s="233">
        <f>IF(AO69="1",BG69,0)</f>
        <v>0</v>
      </c>
      <c r="AB69" s="233">
        <f>IF(AO69="7",BF69,0)</f>
        <v>0</v>
      </c>
      <c r="AC69" s="233">
        <f>IF(AO69="7",BG69,0)</f>
        <v>0</v>
      </c>
      <c r="AD69" s="233">
        <f>IF(AO69="2",BF69,0)</f>
        <v>0</v>
      </c>
      <c r="AE69" s="233">
        <f>IF(AO69="2",BG69,0)</f>
        <v>0</v>
      </c>
      <c r="AF69" s="233">
        <f>IF(AO69="0",BH69,0)</f>
        <v>0</v>
      </c>
      <c r="AG69" s="229" t="s">
        <v>154</v>
      </c>
      <c r="AH69" s="233">
        <f>IF(AL69=0,J69,0)</f>
        <v>0</v>
      </c>
      <c r="AI69" s="233">
        <f>IF(AL69=15,J69,0)</f>
        <v>0</v>
      </c>
      <c r="AJ69" s="233">
        <f>IF(AL69=21,J69,0)</f>
        <v>0</v>
      </c>
      <c r="AL69" s="233">
        <v>15</v>
      </c>
      <c r="AM69" s="233">
        <f>G69*0</f>
        <v>0</v>
      </c>
      <c r="AN69" s="233">
        <f>G69*(1-0)</f>
        <v>0</v>
      </c>
      <c r="AO69" s="234" t="s">
        <v>157</v>
      </c>
      <c r="AT69" s="233">
        <f>AU69+AV69</f>
        <v>0</v>
      </c>
      <c r="AU69" s="233">
        <f>F69*AM69</f>
        <v>0</v>
      </c>
      <c r="AV69" s="233">
        <f>F69*AN69</f>
        <v>0</v>
      </c>
      <c r="AW69" s="234" t="s">
        <v>231</v>
      </c>
      <c r="AX69" s="234" t="s">
        <v>163</v>
      </c>
      <c r="AY69" s="229" t="s">
        <v>164</v>
      </c>
      <c r="BA69" s="233">
        <f>AU69+AV69</f>
        <v>0</v>
      </c>
      <c r="BB69" s="233">
        <f>G69/(100-BC69)*100</f>
        <v>0</v>
      </c>
      <c r="BC69" s="233">
        <v>0</v>
      </c>
      <c r="BD69" s="233">
        <f>L69</f>
        <v>0</v>
      </c>
      <c r="BF69" s="233">
        <f>F69*AM69</f>
        <v>0</v>
      </c>
      <c r="BG69" s="233">
        <f>F69*AN69</f>
        <v>0</v>
      </c>
      <c r="BH69" s="233">
        <f>F69*G69</f>
        <v>0</v>
      </c>
      <c r="BI69" s="233"/>
      <c r="BJ69" s="233">
        <v>16</v>
      </c>
      <c r="BU69" s="233" t="e">
        <f>#REF!</f>
        <v>#REF!</v>
      </c>
      <c r="BV69" s="225" t="s">
        <v>258</v>
      </c>
    </row>
    <row r="70" spans="1:74" ht="40.5" customHeight="1" x14ac:dyDescent="0.3">
      <c r="A70" s="241"/>
      <c r="B70" s="242" t="s">
        <v>165</v>
      </c>
      <c r="C70" s="530" t="s">
        <v>1797</v>
      </c>
      <c r="D70" s="531"/>
      <c r="E70" s="531"/>
      <c r="F70" s="531"/>
      <c r="G70" s="531"/>
      <c r="H70" s="531"/>
      <c r="I70" s="531"/>
      <c r="J70" s="531"/>
      <c r="K70" s="531"/>
      <c r="L70" s="531"/>
      <c r="M70" s="532"/>
    </row>
    <row r="71" spans="1:74" ht="14.4" x14ac:dyDescent="0.3">
      <c r="A71" s="239" t="s">
        <v>154</v>
      </c>
      <c r="B71" s="224" t="s">
        <v>220</v>
      </c>
      <c r="C71" s="526" t="s">
        <v>259</v>
      </c>
      <c r="D71" s="527"/>
      <c r="E71" s="223" t="s">
        <v>114</v>
      </c>
      <c r="F71" s="223" t="s">
        <v>114</v>
      </c>
      <c r="G71" s="223" t="s">
        <v>114</v>
      </c>
      <c r="H71" s="235">
        <f>SUM(H72:H75)</f>
        <v>0</v>
      </c>
      <c r="I71" s="235">
        <f>SUM(I72:I75)</f>
        <v>0</v>
      </c>
      <c r="J71" s="235">
        <f>SUM(J72:J75)</f>
        <v>0</v>
      </c>
      <c r="K71" s="230" t="s">
        <v>154</v>
      </c>
      <c r="L71" s="235">
        <f>SUM(L72:L75)</f>
        <v>8.9930000000000003</v>
      </c>
      <c r="M71" s="243" t="s">
        <v>154</v>
      </c>
      <c r="AG71" s="229" t="s">
        <v>154</v>
      </c>
      <c r="AQ71" s="222">
        <f>SUM(AH72:AH75)</f>
        <v>0</v>
      </c>
      <c r="AR71" s="222">
        <f>SUM(AI72:AI75)</f>
        <v>0</v>
      </c>
      <c r="AS71" s="222">
        <f>SUM(AJ72:AJ75)</f>
        <v>0</v>
      </c>
    </row>
    <row r="72" spans="1:74" ht="14.4" x14ac:dyDescent="0.3">
      <c r="A72" s="239" t="s">
        <v>256</v>
      </c>
      <c r="B72" s="223" t="s">
        <v>261</v>
      </c>
      <c r="C72" s="521" t="s">
        <v>262</v>
      </c>
      <c r="D72" s="519"/>
      <c r="E72" s="223" t="s">
        <v>196</v>
      </c>
      <c r="F72" s="233">
        <v>5.29</v>
      </c>
      <c r="G72" s="311">
        <v>0</v>
      </c>
      <c r="H72" s="233">
        <f>F72*AM72</f>
        <v>0</v>
      </c>
      <c r="I72" s="233">
        <f>F72*AN72</f>
        <v>0</v>
      </c>
      <c r="J72" s="233">
        <f>F72*G72</f>
        <v>0</v>
      </c>
      <c r="K72" s="233">
        <v>1.7</v>
      </c>
      <c r="L72" s="233">
        <f>F72*K72</f>
        <v>8.9930000000000003</v>
      </c>
      <c r="M72" s="240" t="s">
        <v>472</v>
      </c>
      <c r="X72" s="233">
        <f>IF(AO72="5",BH72,0)</f>
        <v>0</v>
      </c>
      <c r="Z72" s="233">
        <f>IF(AO72="1",BF72,0)</f>
        <v>0</v>
      </c>
      <c r="AA72" s="233">
        <f>IF(AO72="1",BG72,0)</f>
        <v>0</v>
      </c>
      <c r="AB72" s="233">
        <f>IF(AO72="7",BF72,0)</f>
        <v>0</v>
      </c>
      <c r="AC72" s="233">
        <f>IF(AO72="7",BG72,0)</f>
        <v>0</v>
      </c>
      <c r="AD72" s="233">
        <f>IF(AO72="2",BF72,0)</f>
        <v>0</v>
      </c>
      <c r="AE72" s="233">
        <f>IF(AO72="2",BG72,0)</f>
        <v>0</v>
      </c>
      <c r="AF72" s="233">
        <f>IF(AO72="0",BH72,0)</f>
        <v>0</v>
      </c>
      <c r="AG72" s="229" t="s">
        <v>154</v>
      </c>
      <c r="AH72" s="233">
        <f>IF(AL72=0,J72,0)</f>
        <v>0</v>
      </c>
      <c r="AI72" s="233">
        <f>IF(AL72=15,J72,0)</f>
        <v>0</v>
      </c>
      <c r="AJ72" s="233">
        <f>IF(AL72=21,J72,0)</f>
        <v>0</v>
      </c>
      <c r="AL72" s="233">
        <v>15</v>
      </c>
      <c r="AM72" s="233">
        <f>G72*0.51750312</f>
        <v>0</v>
      </c>
      <c r="AN72" s="233">
        <f>G72*(1-0.51750312)</f>
        <v>0</v>
      </c>
      <c r="AO72" s="234" t="s">
        <v>157</v>
      </c>
      <c r="AT72" s="233">
        <f>AU72+AV72</f>
        <v>0</v>
      </c>
      <c r="AU72" s="233">
        <f>F72*AM72</f>
        <v>0</v>
      </c>
      <c r="AV72" s="233">
        <f>F72*AN72</f>
        <v>0</v>
      </c>
      <c r="AW72" s="234" t="s">
        <v>263</v>
      </c>
      <c r="AX72" s="234" t="s">
        <v>163</v>
      </c>
      <c r="AY72" s="229" t="s">
        <v>164</v>
      </c>
      <c r="BA72" s="233">
        <f>AU72+AV72</f>
        <v>0</v>
      </c>
      <c r="BB72" s="233">
        <f>G72/(100-BC72)*100</f>
        <v>0</v>
      </c>
      <c r="BC72" s="233">
        <v>0</v>
      </c>
      <c r="BD72" s="233">
        <f>L72</f>
        <v>8.9930000000000003</v>
      </c>
      <c r="BF72" s="233">
        <f>F72*AM72</f>
        <v>0</v>
      </c>
      <c r="BG72" s="233">
        <f>F72*AN72</f>
        <v>0</v>
      </c>
      <c r="BH72" s="233">
        <f>F72*G72</f>
        <v>0</v>
      </c>
      <c r="BI72" s="233"/>
      <c r="BJ72" s="233">
        <v>17</v>
      </c>
      <c r="BU72" s="233" t="e">
        <f>#REF!</f>
        <v>#REF!</v>
      </c>
      <c r="BV72" s="225" t="s">
        <v>262</v>
      </c>
    </row>
    <row r="73" spans="1:74" ht="67.5" customHeight="1" x14ac:dyDescent="0.3">
      <c r="A73" s="241"/>
      <c r="B73" s="242" t="s">
        <v>165</v>
      </c>
      <c r="C73" s="530" t="s">
        <v>1798</v>
      </c>
      <c r="D73" s="531"/>
      <c r="E73" s="531"/>
      <c r="F73" s="531"/>
      <c r="G73" s="531"/>
      <c r="H73" s="531"/>
      <c r="I73" s="531"/>
      <c r="J73" s="531"/>
      <c r="K73" s="531"/>
      <c r="L73" s="531"/>
      <c r="M73" s="532"/>
    </row>
    <row r="74" spans="1:74" ht="14.4" x14ac:dyDescent="0.3">
      <c r="A74" s="239" t="s">
        <v>260</v>
      </c>
      <c r="B74" s="223" t="s">
        <v>265</v>
      </c>
      <c r="C74" s="521" t="s">
        <v>266</v>
      </c>
      <c r="D74" s="519"/>
      <c r="E74" s="223" t="s">
        <v>196</v>
      </c>
      <c r="F74" s="233">
        <v>5.29</v>
      </c>
      <c r="G74" s="311">
        <v>0</v>
      </c>
      <c r="H74" s="233">
        <f>F74*AM74</f>
        <v>0</v>
      </c>
      <c r="I74" s="233">
        <f>F74*AN74</f>
        <v>0</v>
      </c>
      <c r="J74" s="233">
        <f>F74*G74</f>
        <v>0</v>
      </c>
      <c r="K74" s="233">
        <v>0</v>
      </c>
      <c r="L74" s="233">
        <f>F74*K74</f>
        <v>0</v>
      </c>
      <c r="M74" s="240" t="s">
        <v>472</v>
      </c>
      <c r="X74" s="233">
        <f>IF(AO74="5",BH74,0)</f>
        <v>0</v>
      </c>
      <c r="Z74" s="233">
        <f>IF(AO74="1",BF74,0)</f>
        <v>0</v>
      </c>
      <c r="AA74" s="233">
        <f>IF(AO74="1",BG74,0)</f>
        <v>0</v>
      </c>
      <c r="AB74" s="233">
        <f>IF(AO74="7",BF74,0)</f>
        <v>0</v>
      </c>
      <c r="AC74" s="233">
        <f>IF(AO74="7",BG74,0)</f>
        <v>0</v>
      </c>
      <c r="AD74" s="233">
        <f>IF(AO74="2",BF74,0)</f>
        <v>0</v>
      </c>
      <c r="AE74" s="233">
        <f>IF(AO74="2",BG74,0)</f>
        <v>0</v>
      </c>
      <c r="AF74" s="233">
        <f>IF(AO74="0",BH74,0)</f>
        <v>0</v>
      </c>
      <c r="AG74" s="229" t="s">
        <v>154</v>
      </c>
      <c r="AH74" s="233">
        <f>IF(AL74=0,J74,0)</f>
        <v>0</v>
      </c>
      <c r="AI74" s="233">
        <f>IF(AL74=15,J74,0)</f>
        <v>0</v>
      </c>
      <c r="AJ74" s="233">
        <f>IF(AL74=21,J74,0)</f>
        <v>0</v>
      </c>
      <c r="AL74" s="233">
        <v>15</v>
      </c>
      <c r="AM74" s="233">
        <f>G74*0</f>
        <v>0</v>
      </c>
      <c r="AN74" s="233">
        <f>G74*(1-0)</f>
        <v>0</v>
      </c>
      <c r="AO74" s="234" t="s">
        <v>157</v>
      </c>
      <c r="AT74" s="233">
        <f>AU74+AV74</f>
        <v>0</v>
      </c>
      <c r="AU74" s="233">
        <f>F74*AM74</f>
        <v>0</v>
      </c>
      <c r="AV74" s="233">
        <f>F74*AN74</f>
        <v>0</v>
      </c>
      <c r="AW74" s="234" t="s">
        <v>263</v>
      </c>
      <c r="AX74" s="234" t="s">
        <v>163</v>
      </c>
      <c r="AY74" s="229" t="s">
        <v>164</v>
      </c>
      <c r="BA74" s="233">
        <f>AU74+AV74</f>
        <v>0</v>
      </c>
      <c r="BB74" s="233">
        <f>G74/(100-BC74)*100</f>
        <v>0</v>
      </c>
      <c r="BC74" s="233">
        <v>0</v>
      </c>
      <c r="BD74" s="233">
        <f>L74</f>
        <v>0</v>
      </c>
      <c r="BF74" s="233">
        <f>F74*AM74</f>
        <v>0</v>
      </c>
      <c r="BG74" s="233">
        <f>F74*AN74</f>
        <v>0</v>
      </c>
      <c r="BH74" s="233">
        <f>F74*G74</f>
        <v>0</v>
      </c>
      <c r="BI74" s="233"/>
      <c r="BJ74" s="233">
        <v>17</v>
      </c>
      <c r="BU74" s="233" t="e">
        <f>#REF!</f>
        <v>#REF!</v>
      </c>
      <c r="BV74" s="225" t="s">
        <v>266</v>
      </c>
    </row>
    <row r="75" spans="1:74" ht="14.4" x14ac:dyDescent="0.3">
      <c r="A75" s="239" t="s">
        <v>264</v>
      </c>
      <c r="B75" s="223" t="s">
        <v>268</v>
      </c>
      <c r="C75" s="521" t="s">
        <v>269</v>
      </c>
      <c r="D75" s="519"/>
      <c r="E75" s="223" t="s">
        <v>196</v>
      </c>
      <c r="F75" s="233">
        <v>7.43</v>
      </c>
      <c r="G75" s="311">
        <v>0</v>
      </c>
      <c r="H75" s="233">
        <f>F75*AM75</f>
        <v>0</v>
      </c>
      <c r="I75" s="233">
        <f>F75*AN75</f>
        <v>0</v>
      </c>
      <c r="J75" s="233">
        <f>F75*G75</f>
        <v>0</v>
      </c>
      <c r="K75" s="233">
        <v>0</v>
      </c>
      <c r="L75" s="233">
        <f>F75*K75</f>
        <v>0</v>
      </c>
      <c r="M75" s="240" t="s">
        <v>472</v>
      </c>
      <c r="X75" s="233">
        <f>IF(AO75="5",BH75,0)</f>
        <v>0</v>
      </c>
      <c r="Z75" s="233">
        <f>IF(AO75="1",BF75,0)</f>
        <v>0</v>
      </c>
      <c r="AA75" s="233">
        <f>IF(AO75="1",BG75,0)</f>
        <v>0</v>
      </c>
      <c r="AB75" s="233">
        <f>IF(AO75="7",BF75,0)</f>
        <v>0</v>
      </c>
      <c r="AC75" s="233">
        <f>IF(AO75="7",BG75,0)</f>
        <v>0</v>
      </c>
      <c r="AD75" s="233">
        <f>IF(AO75="2",BF75,0)</f>
        <v>0</v>
      </c>
      <c r="AE75" s="233">
        <f>IF(AO75="2",BG75,0)</f>
        <v>0</v>
      </c>
      <c r="AF75" s="233">
        <f>IF(AO75="0",BH75,0)</f>
        <v>0</v>
      </c>
      <c r="AG75" s="229" t="s">
        <v>154</v>
      </c>
      <c r="AH75" s="233">
        <f>IF(AL75=0,J75,0)</f>
        <v>0</v>
      </c>
      <c r="AI75" s="233">
        <f>IF(AL75=15,J75,0)</f>
        <v>0</v>
      </c>
      <c r="AJ75" s="233">
        <f>IF(AL75=21,J75,0)</f>
        <v>0</v>
      </c>
      <c r="AL75" s="233">
        <v>15</v>
      </c>
      <c r="AM75" s="233">
        <f>G75*0</f>
        <v>0</v>
      </c>
      <c r="AN75" s="233">
        <f>G75*(1-0)</f>
        <v>0</v>
      </c>
      <c r="AO75" s="234" t="s">
        <v>157</v>
      </c>
      <c r="AT75" s="233">
        <f>AU75+AV75</f>
        <v>0</v>
      </c>
      <c r="AU75" s="233">
        <f>F75*AM75</f>
        <v>0</v>
      </c>
      <c r="AV75" s="233">
        <f>F75*AN75</f>
        <v>0</v>
      </c>
      <c r="AW75" s="234" t="s">
        <v>263</v>
      </c>
      <c r="AX75" s="234" t="s">
        <v>163</v>
      </c>
      <c r="AY75" s="229" t="s">
        <v>164</v>
      </c>
      <c r="BA75" s="233">
        <f>AU75+AV75</f>
        <v>0</v>
      </c>
      <c r="BB75" s="233">
        <f>G75/(100-BC75)*100</f>
        <v>0</v>
      </c>
      <c r="BC75" s="233">
        <v>0</v>
      </c>
      <c r="BD75" s="233">
        <f>L75</f>
        <v>0</v>
      </c>
      <c r="BF75" s="233">
        <f>F75*AM75</f>
        <v>0</v>
      </c>
      <c r="BG75" s="233">
        <f>F75*AN75</f>
        <v>0</v>
      </c>
      <c r="BH75" s="233">
        <f>F75*G75</f>
        <v>0</v>
      </c>
      <c r="BI75" s="233"/>
      <c r="BJ75" s="233">
        <v>17</v>
      </c>
      <c r="BU75" s="233" t="e">
        <f>#REF!</f>
        <v>#REF!</v>
      </c>
      <c r="BV75" s="225" t="s">
        <v>269</v>
      </c>
    </row>
    <row r="76" spans="1:74" ht="67.5" customHeight="1" x14ac:dyDescent="0.3">
      <c r="A76" s="244"/>
      <c r="B76" s="245" t="s">
        <v>165</v>
      </c>
      <c r="C76" s="540" t="s">
        <v>1799</v>
      </c>
      <c r="D76" s="541"/>
      <c r="E76" s="541"/>
      <c r="F76" s="541"/>
      <c r="G76" s="541"/>
      <c r="H76" s="541"/>
      <c r="I76" s="541"/>
      <c r="J76" s="541"/>
      <c r="K76" s="541"/>
      <c r="L76" s="541"/>
      <c r="M76" s="542"/>
    </row>
    <row r="77" spans="1:74" ht="14.4" x14ac:dyDescent="0.3">
      <c r="A77" s="237" t="s">
        <v>154</v>
      </c>
      <c r="B77" s="260" t="s">
        <v>224</v>
      </c>
      <c r="C77" s="545" t="s">
        <v>270</v>
      </c>
      <c r="D77" s="546"/>
      <c r="E77" s="238" t="s">
        <v>114</v>
      </c>
      <c r="F77" s="238" t="s">
        <v>114</v>
      </c>
      <c r="G77" s="238" t="s">
        <v>114</v>
      </c>
      <c r="H77" s="261">
        <f>SUM(H78:H78)</f>
        <v>0</v>
      </c>
      <c r="I77" s="261">
        <f>SUM(I78:I78)</f>
        <v>0</v>
      </c>
      <c r="J77" s="261">
        <f>SUM(J78:J78)</f>
        <v>0</v>
      </c>
      <c r="K77" s="262" t="s">
        <v>154</v>
      </c>
      <c r="L77" s="261">
        <f>SUM(L78:L78)</f>
        <v>1.6770000000000001E-4</v>
      </c>
      <c r="M77" s="263" t="s">
        <v>154</v>
      </c>
      <c r="AG77" s="229" t="s">
        <v>154</v>
      </c>
      <c r="AQ77" s="222">
        <f>SUM(AH78:AH78)</f>
        <v>0</v>
      </c>
      <c r="AR77" s="222">
        <f>SUM(AI78:AI78)</f>
        <v>0</v>
      </c>
      <c r="AS77" s="222">
        <f>SUM(AJ78:AJ78)</f>
        <v>0</v>
      </c>
    </row>
    <row r="78" spans="1:74" ht="14.4" x14ac:dyDescent="0.3">
      <c r="A78" s="239" t="s">
        <v>267</v>
      </c>
      <c r="B78" s="223" t="s">
        <v>980</v>
      </c>
      <c r="C78" s="521" t="s">
        <v>273</v>
      </c>
      <c r="D78" s="519"/>
      <c r="E78" s="223" t="s">
        <v>180</v>
      </c>
      <c r="F78" s="233">
        <v>5.59</v>
      </c>
      <c r="G78" s="311">
        <v>0</v>
      </c>
      <c r="H78" s="233">
        <f>F78*AM78</f>
        <v>0</v>
      </c>
      <c r="I78" s="233">
        <f>F78*AN78</f>
        <v>0</v>
      </c>
      <c r="J78" s="233">
        <f>F78*G78</f>
        <v>0</v>
      </c>
      <c r="K78" s="233">
        <v>3.0000000000000001E-5</v>
      </c>
      <c r="L78" s="233">
        <f>F78*K78</f>
        <v>1.6770000000000001E-4</v>
      </c>
      <c r="M78" s="240" t="s">
        <v>472</v>
      </c>
      <c r="X78" s="233">
        <f>IF(AO78="5",BH78,0)</f>
        <v>0</v>
      </c>
      <c r="Z78" s="233">
        <f>IF(AO78="1",BF78,0)</f>
        <v>0</v>
      </c>
      <c r="AA78" s="233">
        <f>IF(AO78="1",BG78,0)</f>
        <v>0</v>
      </c>
      <c r="AB78" s="233">
        <f>IF(AO78="7",BF78,0)</f>
        <v>0</v>
      </c>
      <c r="AC78" s="233">
        <f>IF(AO78="7",BG78,0)</f>
        <v>0</v>
      </c>
      <c r="AD78" s="233">
        <f>IF(AO78="2",BF78,0)</f>
        <v>0</v>
      </c>
      <c r="AE78" s="233">
        <f>IF(AO78="2",BG78,0)</f>
        <v>0</v>
      </c>
      <c r="AF78" s="233">
        <f>IF(AO78="0",BH78,0)</f>
        <v>0</v>
      </c>
      <c r="AG78" s="229" t="s">
        <v>154</v>
      </c>
      <c r="AH78" s="233">
        <f>IF(AL78=0,J78,0)</f>
        <v>0</v>
      </c>
      <c r="AI78" s="233">
        <f>IF(AL78=15,J78,0)</f>
        <v>0</v>
      </c>
      <c r="AJ78" s="233">
        <f>IF(AL78=21,J78,0)</f>
        <v>0</v>
      </c>
      <c r="AL78" s="233">
        <v>15</v>
      </c>
      <c r="AM78" s="233">
        <f>G78*0.041714011</f>
        <v>0</v>
      </c>
      <c r="AN78" s="233">
        <f>G78*(1-0.041714011)</f>
        <v>0</v>
      </c>
      <c r="AO78" s="234" t="s">
        <v>157</v>
      </c>
      <c r="AT78" s="233">
        <f>AU78+AV78</f>
        <v>0</v>
      </c>
      <c r="AU78" s="233">
        <f>F78*AM78</f>
        <v>0</v>
      </c>
      <c r="AV78" s="233">
        <f>F78*AN78</f>
        <v>0</v>
      </c>
      <c r="AW78" s="234" t="s">
        <v>274</v>
      </c>
      <c r="AX78" s="234" t="s">
        <v>163</v>
      </c>
      <c r="AY78" s="229" t="s">
        <v>164</v>
      </c>
      <c r="BA78" s="233">
        <f>AU78+AV78</f>
        <v>0</v>
      </c>
      <c r="BB78" s="233">
        <f>G78/(100-BC78)*100</f>
        <v>0</v>
      </c>
      <c r="BC78" s="233">
        <v>0</v>
      </c>
      <c r="BD78" s="233">
        <f>L78</f>
        <v>1.6770000000000001E-4</v>
      </c>
      <c r="BF78" s="233">
        <f>F78*AM78</f>
        <v>0</v>
      </c>
      <c r="BG78" s="233">
        <f>F78*AN78</f>
        <v>0</v>
      </c>
      <c r="BH78" s="233">
        <f>F78*G78</f>
        <v>0</v>
      </c>
      <c r="BI78" s="233"/>
      <c r="BJ78" s="233">
        <v>18</v>
      </c>
      <c r="BU78" s="233" t="e">
        <f>#REF!</f>
        <v>#REF!</v>
      </c>
      <c r="BV78" s="225" t="s">
        <v>273</v>
      </c>
    </row>
    <row r="79" spans="1:74" ht="40.5" customHeight="1" x14ac:dyDescent="0.3">
      <c r="A79" s="241"/>
      <c r="B79" s="242" t="s">
        <v>165</v>
      </c>
      <c r="C79" s="530" t="s">
        <v>1800</v>
      </c>
      <c r="D79" s="531"/>
      <c r="E79" s="531"/>
      <c r="F79" s="531"/>
      <c r="G79" s="531"/>
      <c r="H79" s="531"/>
      <c r="I79" s="531"/>
      <c r="J79" s="531"/>
      <c r="K79" s="531"/>
      <c r="L79" s="531"/>
      <c r="M79" s="532"/>
    </row>
    <row r="80" spans="1:74" ht="14.4" x14ac:dyDescent="0.3">
      <c r="A80" s="239" t="s">
        <v>154</v>
      </c>
      <c r="B80" s="224" t="s">
        <v>228</v>
      </c>
      <c r="C80" s="526" t="s">
        <v>275</v>
      </c>
      <c r="D80" s="527"/>
      <c r="E80" s="223" t="s">
        <v>114</v>
      </c>
      <c r="F80" s="223" t="s">
        <v>114</v>
      </c>
      <c r="G80" s="223" t="s">
        <v>114</v>
      </c>
      <c r="H80" s="235">
        <f>SUM(H81:H83)</f>
        <v>0</v>
      </c>
      <c r="I80" s="235">
        <f>SUM(I81:I83)</f>
        <v>0</v>
      </c>
      <c r="J80" s="235">
        <f>SUM(J81:J83)</f>
        <v>0</v>
      </c>
      <c r="K80" s="230" t="s">
        <v>154</v>
      </c>
      <c r="L80" s="235">
        <f>SUM(L81:L83)</f>
        <v>0</v>
      </c>
      <c r="M80" s="243" t="s">
        <v>154</v>
      </c>
      <c r="AG80" s="229" t="s">
        <v>154</v>
      </c>
      <c r="AQ80" s="222">
        <f>SUM(AH81:AH83)</f>
        <v>0</v>
      </c>
      <c r="AR80" s="222">
        <f>SUM(AI81:AI83)</f>
        <v>0</v>
      </c>
      <c r="AS80" s="222">
        <f>SUM(AJ81:AJ83)</f>
        <v>0</v>
      </c>
    </row>
    <row r="81" spans="1:74" ht="14.4" x14ac:dyDescent="0.3">
      <c r="A81" s="239" t="s">
        <v>271</v>
      </c>
      <c r="B81" s="223" t="s">
        <v>277</v>
      </c>
      <c r="C81" s="521" t="s">
        <v>278</v>
      </c>
      <c r="D81" s="519"/>
      <c r="E81" s="223" t="s">
        <v>196</v>
      </c>
      <c r="F81" s="233">
        <v>6.81</v>
      </c>
      <c r="G81" s="311">
        <v>0</v>
      </c>
      <c r="H81" s="233">
        <f>F81*AM81</f>
        <v>0</v>
      </c>
      <c r="I81" s="233">
        <f>F81*AN81</f>
        <v>0</v>
      </c>
      <c r="J81" s="233">
        <f>F81*G81</f>
        <v>0</v>
      </c>
      <c r="K81" s="233">
        <v>0</v>
      </c>
      <c r="L81" s="233">
        <f>F81*K81</f>
        <v>0</v>
      </c>
      <c r="M81" s="240" t="s">
        <v>472</v>
      </c>
      <c r="X81" s="233">
        <f>IF(AO81="5",BH81,0)</f>
        <v>0</v>
      </c>
      <c r="Z81" s="233">
        <f>IF(AO81="1",BF81,0)</f>
        <v>0</v>
      </c>
      <c r="AA81" s="233">
        <f>IF(AO81="1",BG81,0)</f>
        <v>0</v>
      </c>
      <c r="AB81" s="233">
        <f>IF(AO81="7",BF81,0)</f>
        <v>0</v>
      </c>
      <c r="AC81" s="233">
        <f>IF(AO81="7",BG81,0)</f>
        <v>0</v>
      </c>
      <c r="AD81" s="233">
        <f>IF(AO81="2",BF81,0)</f>
        <v>0</v>
      </c>
      <c r="AE81" s="233">
        <f>IF(AO81="2",BG81,0)</f>
        <v>0</v>
      </c>
      <c r="AF81" s="233">
        <f>IF(AO81="0",BH81,0)</f>
        <v>0</v>
      </c>
      <c r="AG81" s="229" t="s">
        <v>154</v>
      </c>
      <c r="AH81" s="233">
        <f>IF(AL81=0,J81,0)</f>
        <v>0</v>
      </c>
      <c r="AI81" s="233">
        <f>IF(AL81=15,J81,0)</f>
        <v>0</v>
      </c>
      <c r="AJ81" s="233">
        <f>IF(AL81=21,J81,0)</f>
        <v>0</v>
      </c>
      <c r="AL81" s="233">
        <v>15</v>
      </c>
      <c r="AM81" s="233">
        <f>G81*0</f>
        <v>0</v>
      </c>
      <c r="AN81" s="233">
        <f>G81*(1-0)</f>
        <v>0</v>
      </c>
      <c r="AO81" s="234" t="s">
        <v>157</v>
      </c>
      <c r="AT81" s="233">
        <f>AU81+AV81</f>
        <v>0</v>
      </c>
      <c r="AU81" s="233">
        <f>F81*AM81</f>
        <v>0</v>
      </c>
      <c r="AV81" s="233">
        <f>F81*AN81</f>
        <v>0</v>
      </c>
      <c r="AW81" s="234" t="s">
        <v>279</v>
      </c>
      <c r="AX81" s="234" t="s">
        <v>163</v>
      </c>
      <c r="AY81" s="229" t="s">
        <v>164</v>
      </c>
      <c r="BA81" s="233">
        <f>AU81+AV81</f>
        <v>0</v>
      </c>
      <c r="BB81" s="233">
        <f>G81/(100-BC81)*100</f>
        <v>0</v>
      </c>
      <c r="BC81" s="233">
        <v>0</v>
      </c>
      <c r="BD81" s="233">
        <f>L81</f>
        <v>0</v>
      </c>
      <c r="BF81" s="233">
        <f>F81*AM81</f>
        <v>0</v>
      </c>
      <c r="BG81" s="233">
        <f>F81*AN81</f>
        <v>0</v>
      </c>
      <c r="BH81" s="233">
        <f>F81*G81</f>
        <v>0</v>
      </c>
      <c r="BI81" s="233"/>
      <c r="BJ81" s="233">
        <v>19</v>
      </c>
      <c r="BU81" s="233" t="e">
        <f>#REF!</f>
        <v>#REF!</v>
      </c>
      <c r="BV81" s="225" t="s">
        <v>278</v>
      </c>
    </row>
    <row r="82" spans="1:74" ht="27" customHeight="1" x14ac:dyDescent="0.3">
      <c r="A82" s="241"/>
      <c r="B82" s="242" t="s">
        <v>165</v>
      </c>
      <c r="C82" s="530" t="s">
        <v>1801</v>
      </c>
      <c r="D82" s="531"/>
      <c r="E82" s="531"/>
      <c r="F82" s="531"/>
      <c r="G82" s="531"/>
      <c r="H82" s="531"/>
      <c r="I82" s="531"/>
      <c r="J82" s="531"/>
      <c r="K82" s="531"/>
      <c r="L82" s="531"/>
      <c r="M82" s="532"/>
    </row>
    <row r="83" spans="1:74" ht="14.4" x14ac:dyDescent="0.3">
      <c r="A83" s="239" t="s">
        <v>276</v>
      </c>
      <c r="B83" s="223" t="s">
        <v>282</v>
      </c>
      <c r="C83" s="521" t="s">
        <v>283</v>
      </c>
      <c r="D83" s="519"/>
      <c r="E83" s="223" t="s">
        <v>196</v>
      </c>
      <c r="F83" s="233">
        <v>3.97</v>
      </c>
      <c r="G83" s="311">
        <v>0</v>
      </c>
      <c r="H83" s="233">
        <f>F83*AM83</f>
        <v>0</v>
      </c>
      <c r="I83" s="233">
        <f>F83*AN83</f>
        <v>0</v>
      </c>
      <c r="J83" s="233">
        <f>F83*G83</f>
        <v>0</v>
      </c>
      <c r="K83" s="233">
        <v>0</v>
      </c>
      <c r="L83" s="233">
        <f>F83*K83</f>
        <v>0</v>
      </c>
      <c r="M83" s="240" t="s">
        <v>472</v>
      </c>
      <c r="X83" s="233">
        <f>IF(AO83="5",BH83,0)</f>
        <v>0</v>
      </c>
      <c r="Z83" s="233">
        <f>IF(AO83="1",BF83,0)</f>
        <v>0</v>
      </c>
      <c r="AA83" s="233">
        <f>IF(AO83="1",BG83,0)</f>
        <v>0</v>
      </c>
      <c r="AB83" s="233">
        <f>IF(AO83="7",BF83,0)</f>
        <v>0</v>
      </c>
      <c r="AC83" s="233">
        <f>IF(AO83="7",BG83,0)</f>
        <v>0</v>
      </c>
      <c r="AD83" s="233">
        <f>IF(AO83="2",BF83,0)</f>
        <v>0</v>
      </c>
      <c r="AE83" s="233">
        <f>IF(AO83="2",BG83,0)</f>
        <v>0</v>
      </c>
      <c r="AF83" s="233">
        <f>IF(AO83="0",BH83,0)</f>
        <v>0</v>
      </c>
      <c r="AG83" s="229" t="s">
        <v>154</v>
      </c>
      <c r="AH83" s="233">
        <f>IF(AL83=0,J83,0)</f>
        <v>0</v>
      </c>
      <c r="AI83" s="233">
        <f>IF(AL83=15,J83,0)</f>
        <v>0</v>
      </c>
      <c r="AJ83" s="233">
        <f>IF(AL83=21,J83,0)</f>
        <v>0</v>
      </c>
      <c r="AL83" s="233">
        <v>15</v>
      </c>
      <c r="AM83" s="233">
        <f>G83*0</f>
        <v>0</v>
      </c>
      <c r="AN83" s="233">
        <f>G83*(1-0)</f>
        <v>0</v>
      </c>
      <c r="AO83" s="234" t="s">
        <v>157</v>
      </c>
      <c r="AT83" s="233">
        <f>AU83+AV83</f>
        <v>0</v>
      </c>
      <c r="AU83" s="233">
        <f>F83*AM83</f>
        <v>0</v>
      </c>
      <c r="AV83" s="233">
        <f>F83*AN83</f>
        <v>0</v>
      </c>
      <c r="AW83" s="234" t="s">
        <v>279</v>
      </c>
      <c r="AX83" s="234" t="s">
        <v>163</v>
      </c>
      <c r="AY83" s="229" t="s">
        <v>164</v>
      </c>
      <c r="BA83" s="233">
        <f>AU83+AV83</f>
        <v>0</v>
      </c>
      <c r="BB83" s="233">
        <f>G83/(100-BC83)*100</f>
        <v>0</v>
      </c>
      <c r="BC83" s="233">
        <v>0</v>
      </c>
      <c r="BD83" s="233">
        <f>L83</f>
        <v>0</v>
      </c>
      <c r="BF83" s="233">
        <f>F83*AM83</f>
        <v>0</v>
      </c>
      <c r="BG83" s="233">
        <f>F83*AN83</f>
        <v>0</v>
      </c>
      <c r="BH83" s="233">
        <f>F83*G83</f>
        <v>0</v>
      </c>
      <c r="BI83" s="233"/>
      <c r="BJ83" s="233">
        <v>19</v>
      </c>
      <c r="BU83" s="233" t="e">
        <f>#REF!</f>
        <v>#REF!</v>
      </c>
      <c r="BV83" s="225" t="s">
        <v>283</v>
      </c>
    </row>
    <row r="84" spans="1:74" ht="27" customHeight="1" x14ac:dyDescent="0.3">
      <c r="A84" s="241"/>
      <c r="B84" s="242" t="s">
        <v>165</v>
      </c>
      <c r="C84" s="530" t="s">
        <v>1802</v>
      </c>
      <c r="D84" s="531"/>
      <c r="E84" s="531"/>
      <c r="F84" s="531"/>
      <c r="G84" s="531"/>
      <c r="H84" s="531"/>
      <c r="I84" s="531"/>
      <c r="J84" s="531"/>
      <c r="K84" s="531"/>
      <c r="L84" s="531"/>
      <c r="M84" s="532"/>
    </row>
    <row r="85" spans="1:74" ht="14.4" x14ac:dyDescent="0.3">
      <c r="A85" s="239" t="s">
        <v>154</v>
      </c>
      <c r="B85" s="224" t="s">
        <v>235</v>
      </c>
      <c r="C85" s="526" t="s">
        <v>284</v>
      </c>
      <c r="D85" s="527"/>
      <c r="E85" s="223" t="s">
        <v>114</v>
      </c>
      <c r="F85" s="223" t="s">
        <v>114</v>
      </c>
      <c r="G85" s="223" t="s">
        <v>114</v>
      </c>
      <c r="H85" s="235">
        <f>SUM(H86:H90)</f>
        <v>0</v>
      </c>
      <c r="I85" s="235">
        <f>SUM(I86:I90)</f>
        <v>0</v>
      </c>
      <c r="J85" s="235">
        <f>SUM(J86:J90)</f>
        <v>0</v>
      </c>
      <c r="K85" s="230" t="s">
        <v>154</v>
      </c>
      <c r="L85" s="235">
        <f>SUM(L86:L90)</f>
        <v>2.1812500000000004</v>
      </c>
      <c r="M85" s="243" t="s">
        <v>154</v>
      </c>
      <c r="AG85" s="229" t="s">
        <v>154</v>
      </c>
      <c r="AQ85" s="222">
        <f>SUM(AH86:AH90)</f>
        <v>0</v>
      </c>
      <c r="AR85" s="222">
        <f>SUM(AI86:AI90)</f>
        <v>0</v>
      </c>
      <c r="AS85" s="222">
        <f>SUM(AJ86:AJ90)</f>
        <v>0</v>
      </c>
    </row>
    <row r="86" spans="1:74" ht="14.4" x14ac:dyDescent="0.3">
      <c r="A86" s="239" t="s">
        <v>281</v>
      </c>
      <c r="B86" s="223" t="s">
        <v>507</v>
      </c>
      <c r="C86" s="521" t="s">
        <v>287</v>
      </c>
      <c r="D86" s="519"/>
      <c r="E86" s="223" t="s">
        <v>180</v>
      </c>
      <c r="F86" s="233">
        <v>9.82</v>
      </c>
      <c r="G86" s="311">
        <v>0</v>
      </c>
      <c r="H86" s="233">
        <f>F86*AM86</f>
        <v>0</v>
      </c>
      <c r="I86" s="233">
        <f>F86*AN86</f>
        <v>0</v>
      </c>
      <c r="J86" s="233">
        <f>F86*G86</f>
        <v>0</v>
      </c>
      <c r="K86" s="233">
        <v>0</v>
      </c>
      <c r="L86" s="233">
        <f>F86*K86</f>
        <v>0</v>
      </c>
      <c r="M86" s="240" t="s">
        <v>472</v>
      </c>
      <c r="X86" s="233">
        <f>IF(AO86="5",BH86,0)</f>
        <v>0</v>
      </c>
      <c r="Z86" s="233">
        <f>IF(AO86="1",BF86,0)</f>
        <v>0</v>
      </c>
      <c r="AA86" s="233">
        <f>IF(AO86="1",BG86,0)</f>
        <v>0</v>
      </c>
      <c r="AB86" s="233">
        <f>IF(AO86="7",BF86,0)</f>
        <v>0</v>
      </c>
      <c r="AC86" s="233">
        <f>IF(AO86="7",BG86,0)</f>
        <v>0</v>
      </c>
      <c r="AD86" s="233">
        <f>IF(AO86="2",BF86,0)</f>
        <v>0</v>
      </c>
      <c r="AE86" s="233">
        <f>IF(AO86="2",BG86,0)</f>
        <v>0</v>
      </c>
      <c r="AF86" s="233">
        <f>IF(AO86="0",BH86,0)</f>
        <v>0</v>
      </c>
      <c r="AG86" s="229" t="s">
        <v>154</v>
      </c>
      <c r="AH86" s="233">
        <f>IF(AL86=0,J86,0)</f>
        <v>0</v>
      </c>
      <c r="AI86" s="233">
        <f>IF(AL86=15,J86,0)</f>
        <v>0</v>
      </c>
      <c r="AJ86" s="233">
        <f>IF(AL86=21,J86,0)</f>
        <v>0</v>
      </c>
      <c r="AL86" s="233">
        <v>15</v>
      </c>
      <c r="AM86" s="233">
        <f>G86*0</f>
        <v>0</v>
      </c>
      <c r="AN86" s="233">
        <f>G86*(1-0)</f>
        <v>0</v>
      </c>
      <c r="AO86" s="234" t="s">
        <v>157</v>
      </c>
      <c r="AT86" s="233">
        <f>AU86+AV86</f>
        <v>0</v>
      </c>
      <c r="AU86" s="233">
        <f>F86*AM86</f>
        <v>0</v>
      </c>
      <c r="AV86" s="233">
        <f>F86*AN86</f>
        <v>0</v>
      </c>
      <c r="AW86" s="234" t="s">
        <v>288</v>
      </c>
      <c r="AX86" s="234" t="s">
        <v>289</v>
      </c>
      <c r="AY86" s="229" t="s">
        <v>164</v>
      </c>
      <c r="BA86" s="233">
        <f>AU86+AV86</f>
        <v>0</v>
      </c>
      <c r="BB86" s="233">
        <f>G86/(100-BC86)*100</f>
        <v>0</v>
      </c>
      <c r="BC86" s="233">
        <v>0</v>
      </c>
      <c r="BD86" s="233">
        <f>L86</f>
        <v>0</v>
      </c>
      <c r="BF86" s="233">
        <f>F86*AM86</f>
        <v>0</v>
      </c>
      <c r="BG86" s="233">
        <f>F86*AN86</f>
        <v>0</v>
      </c>
      <c r="BH86" s="233">
        <f>F86*G86</f>
        <v>0</v>
      </c>
      <c r="BI86" s="233"/>
      <c r="BJ86" s="233">
        <v>21</v>
      </c>
      <c r="BU86" s="233" t="e">
        <f>#REF!</f>
        <v>#REF!</v>
      </c>
      <c r="BV86" s="225" t="s">
        <v>287</v>
      </c>
    </row>
    <row r="87" spans="1:74" ht="40.5" customHeight="1" x14ac:dyDescent="0.3">
      <c r="A87" s="241"/>
      <c r="B87" s="242" t="s">
        <v>165</v>
      </c>
      <c r="C87" s="530" t="s">
        <v>1803</v>
      </c>
      <c r="D87" s="531"/>
      <c r="E87" s="531"/>
      <c r="F87" s="531"/>
      <c r="G87" s="531"/>
      <c r="H87" s="531"/>
      <c r="I87" s="531"/>
      <c r="J87" s="531"/>
      <c r="K87" s="531"/>
      <c r="L87" s="531"/>
      <c r="M87" s="532"/>
    </row>
    <row r="88" spans="1:74" ht="14.4" x14ac:dyDescent="0.3">
      <c r="A88" s="239" t="s">
        <v>285</v>
      </c>
      <c r="B88" s="223" t="s">
        <v>291</v>
      </c>
      <c r="C88" s="521" t="s">
        <v>292</v>
      </c>
      <c r="D88" s="519"/>
      <c r="E88" s="223" t="s">
        <v>160</v>
      </c>
      <c r="F88" s="233">
        <v>5</v>
      </c>
      <c r="G88" s="311">
        <v>0</v>
      </c>
      <c r="H88" s="233">
        <f>F88*AM88</f>
        <v>0</v>
      </c>
      <c r="I88" s="233">
        <f>F88*AN88</f>
        <v>0</v>
      </c>
      <c r="J88" s="233">
        <f>F88*G88</f>
        <v>0</v>
      </c>
      <c r="K88" s="233">
        <v>0.43625000000000003</v>
      </c>
      <c r="L88" s="233">
        <f>F88*K88</f>
        <v>2.1812500000000004</v>
      </c>
      <c r="M88" s="240" t="s">
        <v>472</v>
      </c>
      <c r="X88" s="233">
        <f>IF(AO88="5",BH88,0)</f>
        <v>0</v>
      </c>
      <c r="Z88" s="233">
        <f>IF(AO88="1",BF88,0)</f>
        <v>0</v>
      </c>
      <c r="AA88" s="233">
        <f>IF(AO88="1",BG88,0)</f>
        <v>0</v>
      </c>
      <c r="AB88" s="233">
        <f>IF(AO88="7",BF88,0)</f>
        <v>0</v>
      </c>
      <c r="AC88" s="233">
        <f>IF(AO88="7",BG88,0)</f>
        <v>0</v>
      </c>
      <c r="AD88" s="233">
        <f>IF(AO88="2",BF88,0)</f>
        <v>0</v>
      </c>
      <c r="AE88" s="233">
        <f>IF(AO88="2",BG88,0)</f>
        <v>0</v>
      </c>
      <c r="AF88" s="233">
        <f>IF(AO88="0",BH88,0)</f>
        <v>0</v>
      </c>
      <c r="AG88" s="229" t="s">
        <v>154</v>
      </c>
      <c r="AH88" s="233">
        <f>IF(AL88=0,J88,0)</f>
        <v>0</v>
      </c>
      <c r="AI88" s="233">
        <f>IF(AL88=15,J88,0)</f>
        <v>0</v>
      </c>
      <c r="AJ88" s="233">
        <f>IF(AL88=21,J88,0)</f>
        <v>0</v>
      </c>
      <c r="AL88" s="233">
        <v>15</v>
      </c>
      <c r="AM88" s="233">
        <f>G88*0.44719697</f>
        <v>0</v>
      </c>
      <c r="AN88" s="233">
        <f>G88*(1-0.44719697)</f>
        <v>0</v>
      </c>
      <c r="AO88" s="234" t="s">
        <v>157</v>
      </c>
      <c r="AT88" s="233">
        <f>AU88+AV88</f>
        <v>0</v>
      </c>
      <c r="AU88" s="233">
        <f>F88*AM88</f>
        <v>0</v>
      </c>
      <c r="AV88" s="233">
        <f>F88*AN88</f>
        <v>0</v>
      </c>
      <c r="AW88" s="234" t="s">
        <v>288</v>
      </c>
      <c r="AX88" s="234" t="s">
        <v>289</v>
      </c>
      <c r="AY88" s="229" t="s">
        <v>164</v>
      </c>
      <c r="BA88" s="233">
        <f>AU88+AV88</f>
        <v>0</v>
      </c>
      <c r="BB88" s="233">
        <f>G88/(100-BC88)*100</f>
        <v>0</v>
      </c>
      <c r="BC88" s="233">
        <v>0</v>
      </c>
      <c r="BD88" s="233">
        <f>L88</f>
        <v>2.1812500000000004</v>
      </c>
      <c r="BF88" s="233">
        <f>F88*AM88</f>
        <v>0</v>
      </c>
      <c r="BG88" s="233">
        <f>F88*AN88</f>
        <v>0</v>
      </c>
      <c r="BH88" s="233">
        <f>F88*G88</f>
        <v>0</v>
      </c>
      <c r="BI88" s="233"/>
      <c r="BJ88" s="233">
        <v>21</v>
      </c>
      <c r="BU88" s="233" t="e">
        <f>#REF!</f>
        <v>#REF!</v>
      </c>
      <c r="BV88" s="225" t="s">
        <v>292</v>
      </c>
    </row>
    <row r="89" spans="1:74" ht="27" customHeight="1" x14ac:dyDescent="0.3">
      <c r="A89" s="241"/>
      <c r="B89" s="242" t="s">
        <v>165</v>
      </c>
      <c r="C89" s="530" t="s">
        <v>1567</v>
      </c>
      <c r="D89" s="531"/>
      <c r="E89" s="531"/>
      <c r="F89" s="531"/>
      <c r="G89" s="531"/>
      <c r="H89" s="531"/>
      <c r="I89" s="531"/>
      <c r="J89" s="531"/>
      <c r="K89" s="531"/>
      <c r="L89" s="531"/>
      <c r="M89" s="532"/>
    </row>
    <row r="90" spans="1:74" ht="14.4" x14ac:dyDescent="0.3">
      <c r="A90" s="239" t="s">
        <v>290</v>
      </c>
      <c r="B90" s="223" t="s">
        <v>414</v>
      </c>
      <c r="C90" s="521" t="s">
        <v>415</v>
      </c>
      <c r="D90" s="519"/>
      <c r="E90" s="223" t="s">
        <v>380</v>
      </c>
      <c r="F90" s="233">
        <v>2.1800000000000002</v>
      </c>
      <c r="G90" s="311">
        <v>0</v>
      </c>
      <c r="H90" s="233">
        <f>F90*AM90</f>
        <v>0</v>
      </c>
      <c r="I90" s="233">
        <f>F90*AN90</f>
        <v>0</v>
      </c>
      <c r="J90" s="233">
        <f>F90*G90</f>
        <v>0</v>
      </c>
      <c r="K90" s="233">
        <v>0</v>
      </c>
      <c r="L90" s="233">
        <f>F90*K90</f>
        <v>0</v>
      </c>
      <c r="M90" s="240" t="s">
        <v>472</v>
      </c>
      <c r="X90" s="233">
        <f>IF(AO90="5",BH90,0)</f>
        <v>0</v>
      </c>
      <c r="Z90" s="233">
        <f>IF(AO90="1",BF90,0)</f>
        <v>0</v>
      </c>
      <c r="AA90" s="233">
        <f>IF(AO90="1",BG90,0)</f>
        <v>0</v>
      </c>
      <c r="AB90" s="233">
        <f>IF(AO90="7",BF90,0)</f>
        <v>0</v>
      </c>
      <c r="AC90" s="233">
        <f>IF(AO90="7",BG90,0)</f>
        <v>0</v>
      </c>
      <c r="AD90" s="233">
        <f>IF(AO90="2",BF90,0)</f>
        <v>0</v>
      </c>
      <c r="AE90" s="233">
        <f>IF(AO90="2",BG90,0)</f>
        <v>0</v>
      </c>
      <c r="AF90" s="233">
        <f>IF(AO90="0",BH90,0)</f>
        <v>0</v>
      </c>
      <c r="AG90" s="229" t="s">
        <v>154</v>
      </c>
      <c r="AH90" s="233">
        <f>IF(AL90=0,J90,0)</f>
        <v>0</v>
      </c>
      <c r="AI90" s="233">
        <f>IF(AL90=15,J90,0)</f>
        <v>0</v>
      </c>
      <c r="AJ90" s="233">
        <f>IF(AL90=21,J90,0)</f>
        <v>0</v>
      </c>
      <c r="AL90" s="233">
        <v>15</v>
      </c>
      <c r="AM90" s="233">
        <f>G90*0</f>
        <v>0</v>
      </c>
      <c r="AN90" s="233">
        <f>G90*(1-0)</f>
        <v>0</v>
      </c>
      <c r="AO90" s="234" t="s">
        <v>177</v>
      </c>
      <c r="AT90" s="233">
        <f>AU90+AV90</f>
        <v>0</v>
      </c>
      <c r="AU90" s="233">
        <f>F90*AM90</f>
        <v>0</v>
      </c>
      <c r="AV90" s="233">
        <f>F90*AN90</f>
        <v>0</v>
      </c>
      <c r="AW90" s="234" t="s">
        <v>288</v>
      </c>
      <c r="AX90" s="234" t="s">
        <v>289</v>
      </c>
      <c r="AY90" s="229" t="s">
        <v>164</v>
      </c>
      <c r="BA90" s="233">
        <f>AU90+AV90</f>
        <v>0</v>
      </c>
      <c r="BB90" s="233">
        <f>G90/(100-BC90)*100</f>
        <v>0</v>
      </c>
      <c r="BC90" s="233">
        <v>0</v>
      </c>
      <c r="BD90" s="233">
        <f>L90</f>
        <v>0</v>
      </c>
      <c r="BF90" s="233">
        <f>F90*AM90</f>
        <v>0</v>
      </c>
      <c r="BG90" s="233">
        <f>F90*AN90</f>
        <v>0</v>
      </c>
      <c r="BH90" s="233">
        <f>F90*G90</f>
        <v>0</v>
      </c>
      <c r="BI90" s="233"/>
      <c r="BJ90" s="233">
        <v>21</v>
      </c>
      <c r="BU90" s="233" t="e">
        <f>#REF!</f>
        <v>#REF!</v>
      </c>
      <c r="BV90" s="225" t="s">
        <v>415</v>
      </c>
    </row>
    <row r="91" spans="1:74" ht="14.4" x14ac:dyDescent="0.3">
      <c r="A91" s="239" t="s">
        <v>154</v>
      </c>
      <c r="B91" s="224" t="s">
        <v>253</v>
      </c>
      <c r="C91" s="526" t="s">
        <v>293</v>
      </c>
      <c r="D91" s="527"/>
      <c r="E91" s="223" t="s">
        <v>114</v>
      </c>
      <c r="F91" s="223" t="s">
        <v>114</v>
      </c>
      <c r="G91" s="223" t="s">
        <v>114</v>
      </c>
      <c r="H91" s="235">
        <f>SUM(H92:H92)</f>
        <v>0</v>
      </c>
      <c r="I91" s="235">
        <f>SUM(I92:I92)</f>
        <v>0</v>
      </c>
      <c r="J91" s="235">
        <f>SUM(J92:J92)</f>
        <v>0</v>
      </c>
      <c r="K91" s="230" t="s">
        <v>154</v>
      </c>
      <c r="L91" s="235">
        <f>SUM(L92:L92)</f>
        <v>0.32826820000000001</v>
      </c>
      <c r="M91" s="243" t="s">
        <v>154</v>
      </c>
      <c r="AG91" s="229" t="s">
        <v>154</v>
      </c>
      <c r="AQ91" s="222">
        <f>SUM(AH92:AH92)</f>
        <v>0</v>
      </c>
      <c r="AR91" s="222">
        <f>SUM(AI92:AI92)</f>
        <v>0</v>
      </c>
      <c r="AS91" s="222">
        <f>SUM(AJ92:AJ92)</f>
        <v>0</v>
      </c>
    </row>
    <row r="92" spans="1:74" ht="14.4" x14ac:dyDescent="0.3">
      <c r="A92" s="239" t="s">
        <v>294</v>
      </c>
      <c r="B92" s="223" t="s">
        <v>890</v>
      </c>
      <c r="C92" s="521" t="s">
        <v>296</v>
      </c>
      <c r="D92" s="519"/>
      <c r="E92" s="223" t="s">
        <v>196</v>
      </c>
      <c r="F92" s="233">
        <v>0.13</v>
      </c>
      <c r="G92" s="311">
        <v>0</v>
      </c>
      <c r="H92" s="233">
        <f>F92*AM92</f>
        <v>0</v>
      </c>
      <c r="I92" s="233">
        <f>F92*AN92</f>
        <v>0</v>
      </c>
      <c r="J92" s="233">
        <f>F92*G92</f>
        <v>0</v>
      </c>
      <c r="K92" s="233">
        <v>2.5251399999999999</v>
      </c>
      <c r="L92" s="233">
        <f>F92*K92</f>
        <v>0.32826820000000001</v>
      </c>
      <c r="M92" s="240" t="s">
        <v>472</v>
      </c>
      <c r="X92" s="233">
        <f>IF(AO92="5",BH92,0)</f>
        <v>0</v>
      </c>
      <c r="Z92" s="233">
        <f>IF(AO92="1",BF92,0)</f>
        <v>0</v>
      </c>
      <c r="AA92" s="233">
        <f>IF(AO92="1",BG92,0)</f>
        <v>0</v>
      </c>
      <c r="AB92" s="233">
        <f>IF(AO92="7",BF92,0)</f>
        <v>0</v>
      </c>
      <c r="AC92" s="233">
        <f>IF(AO92="7",BG92,0)</f>
        <v>0</v>
      </c>
      <c r="AD92" s="233">
        <f>IF(AO92="2",BF92,0)</f>
        <v>0</v>
      </c>
      <c r="AE92" s="233">
        <f>IF(AO92="2",BG92,0)</f>
        <v>0</v>
      </c>
      <c r="AF92" s="233">
        <f>IF(AO92="0",BH92,0)</f>
        <v>0</v>
      </c>
      <c r="AG92" s="229" t="s">
        <v>154</v>
      </c>
      <c r="AH92" s="233">
        <f>IF(AL92=0,J92,0)</f>
        <v>0</v>
      </c>
      <c r="AI92" s="233">
        <f>IF(AL92=15,J92,0)</f>
        <v>0</v>
      </c>
      <c r="AJ92" s="233">
        <f>IF(AL92=21,J92,0)</f>
        <v>0</v>
      </c>
      <c r="AL92" s="233">
        <v>15</v>
      </c>
      <c r="AM92" s="233">
        <f>G92*0.848132833</f>
        <v>0</v>
      </c>
      <c r="AN92" s="233">
        <f>G92*(1-0.848132833)</f>
        <v>0</v>
      </c>
      <c r="AO92" s="234" t="s">
        <v>157</v>
      </c>
      <c r="AT92" s="233">
        <f>AU92+AV92</f>
        <v>0</v>
      </c>
      <c r="AU92" s="233">
        <f>F92*AM92</f>
        <v>0</v>
      </c>
      <c r="AV92" s="233">
        <f>F92*AN92</f>
        <v>0</v>
      </c>
      <c r="AW92" s="234" t="s">
        <v>297</v>
      </c>
      <c r="AX92" s="234" t="s">
        <v>289</v>
      </c>
      <c r="AY92" s="229" t="s">
        <v>164</v>
      </c>
      <c r="BA92" s="233">
        <f>AU92+AV92</f>
        <v>0</v>
      </c>
      <c r="BB92" s="233">
        <f>G92/(100-BC92)*100</f>
        <v>0</v>
      </c>
      <c r="BC92" s="233">
        <v>0</v>
      </c>
      <c r="BD92" s="233">
        <f>L92</f>
        <v>0.32826820000000001</v>
      </c>
      <c r="BF92" s="233">
        <f>F92*AM92</f>
        <v>0</v>
      </c>
      <c r="BG92" s="233">
        <f>F92*AN92</f>
        <v>0</v>
      </c>
      <c r="BH92" s="233">
        <f>F92*G92</f>
        <v>0</v>
      </c>
      <c r="BI92" s="233"/>
      <c r="BJ92" s="233">
        <v>27</v>
      </c>
      <c r="BU92" s="233" t="e">
        <f>#REF!</f>
        <v>#REF!</v>
      </c>
      <c r="BV92" s="225" t="s">
        <v>296</v>
      </c>
    </row>
    <row r="93" spans="1:74" ht="40.5" customHeight="1" x14ac:dyDescent="0.3">
      <c r="A93" s="241"/>
      <c r="B93" s="242" t="s">
        <v>165</v>
      </c>
      <c r="C93" s="530" t="s">
        <v>1804</v>
      </c>
      <c r="D93" s="531"/>
      <c r="E93" s="531"/>
      <c r="F93" s="531"/>
      <c r="G93" s="531"/>
      <c r="H93" s="531"/>
      <c r="I93" s="531"/>
      <c r="J93" s="531"/>
      <c r="K93" s="531"/>
      <c r="L93" s="531"/>
      <c r="M93" s="532"/>
    </row>
    <row r="94" spans="1:74" ht="14.4" x14ac:dyDescent="0.3">
      <c r="A94" s="239" t="s">
        <v>154</v>
      </c>
      <c r="B94" s="224" t="s">
        <v>298</v>
      </c>
      <c r="C94" s="526" t="s">
        <v>299</v>
      </c>
      <c r="D94" s="527"/>
      <c r="E94" s="223" t="s">
        <v>114</v>
      </c>
      <c r="F94" s="223" t="s">
        <v>114</v>
      </c>
      <c r="G94" s="223" t="s">
        <v>114</v>
      </c>
      <c r="H94" s="235">
        <f>SUM(H95:H95)</f>
        <v>0</v>
      </c>
      <c r="I94" s="235">
        <f>SUM(I95:I95)</f>
        <v>0</v>
      </c>
      <c r="J94" s="235">
        <f>SUM(J95:J95)</f>
        <v>0</v>
      </c>
      <c r="K94" s="230" t="s">
        <v>154</v>
      </c>
      <c r="L94" s="235">
        <f>SUM(L95:L95)</f>
        <v>2.9117858000000001</v>
      </c>
      <c r="M94" s="243" t="s">
        <v>154</v>
      </c>
      <c r="AG94" s="229" t="s">
        <v>154</v>
      </c>
      <c r="AQ94" s="222">
        <f>SUM(AH95:AH95)</f>
        <v>0</v>
      </c>
      <c r="AR94" s="222">
        <f>SUM(AI95:AI95)</f>
        <v>0</v>
      </c>
      <c r="AS94" s="222">
        <f>SUM(AJ95:AJ95)</f>
        <v>0</v>
      </c>
    </row>
    <row r="95" spans="1:74" ht="14.4" x14ac:dyDescent="0.3">
      <c r="A95" s="239" t="s">
        <v>300</v>
      </c>
      <c r="B95" s="223" t="s">
        <v>301</v>
      </c>
      <c r="C95" s="521" t="s">
        <v>891</v>
      </c>
      <c r="D95" s="519"/>
      <c r="E95" s="223" t="s">
        <v>196</v>
      </c>
      <c r="F95" s="233">
        <v>1.54</v>
      </c>
      <c r="G95" s="311">
        <v>0</v>
      </c>
      <c r="H95" s="233">
        <f>F95*AM95</f>
        <v>0</v>
      </c>
      <c r="I95" s="233">
        <f>F95*AN95</f>
        <v>0</v>
      </c>
      <c r="J95" s="233">
        <f>F95*G95</f>
        <v>0</v>
      </c>
      <c r="K95" s="233">
        <v>1.8907700000000001</v>
      </c>
      <c r="L95" s="233">
        <f>F95*K95</f>
        <v>2.9117858000000001</v>
      </c>
      <c r="M95" s="240" t="s">
        <v>472</v>
      </c>
      <c r="X95" s="233">
        <f>IF(AO95="5",BH95,0)</f>
        <v>0</v>
      </c>
      <c r="Z95" s="233">
        <f>IF(AO95="1",BF95,0)</f>
        <v>0</v>
      </c>
      <c r="AA95" s="233">
        <f>IF(AO95="1",BG95,0)</f>
        <v>0</v>
      </c>
      <c r="AB95" s="233">
        <f>IF(AO95="7",BF95,0)</f>
        <v>0</v>
      </c>
      <c r="AC95" s="233">
        <f>IF(AO95="7",BG95,0)</f>
        <v>0</v>
      </c>
      <c r="AD95" s="233">
        <f>IF(AO95="2",BF95,0)</f>
        <v>0</v>
      </c>
      <c r="AE95" s="233">
        <f>IF(AO95="2",BG95,0)</f>
        <v>0</v>
      </c>
      <c r="AF95" s="233">
        <f>IF(AO95="0",BH95,0)</f>
        <v>0</v>
      </c>
      <c r="AG95" s="229" t="s">
        <v>154</v>
      </c>
      <c r="AH95" s="233">
        <f>IF(AL95=0,J95,0)</f>
        <v>0</v>
      </c>
      <c r="AI95" s="233">
        <f>IF(AL95=15,J95,0)</f>
        <v>0</v>
      </c>
      <c r="AJ95" s="233">
        <f>IF(AL95=21,J95,0)</f>
        <v>0</v>
      </c>
      <c r="AL95" s="233">
        <v>15</v>
      </c>
      <c r="AM95" s="233">
        <f>G95*0.492371933</f>
        <v>0</v>
      </c>
      <c r="AN95" s="233">
        <f>G95*(1-0.492371933)</f>
        <v>0</v>
      </c>
      <c r="AO95" s="234" t="s">
        <v>157</v>
      </c>
      <c r="AT95" s="233">
        <f>AU95+AV95</f>
        <v>0</v>
      </c>
      <c r="AU95" s="233">
        <f>F95*AM95</f>
        <v>0</v>
      </c>
      <c r="AV95" s="233">
        <f>F95*AN95</f>
        <v>0</v>
      </c>
      <c r="AW95" s="234" t="s">
        <v>303</v>
      </c>
      <c r="AX95" s="234" t="s">
        <v>304</v>
      </c>
      <c r="AY95" s="229" t="s">
        <v>164</v>
      </c>
      <c r="BA95" s="233">
        <f>AU95+AV95</f>
        <v>0</v>
      </c>
      <c r="BB95" s="233">
        <f>G95/(100-BC95)*100</f>
        <v>0</v>
      </c>
      <c r="BC95" s="233">
        <v>0</v>
      </c>
      <c r="BD95" s="233">
        <f>L95</f>
        <v>2.9117858000000001</v>
      </c>
      <c r="BF95" s="233">
        <f>F95*AM95</f>
        <v>0</v>
      </c>
      <c r="BG95" s="233">
        <f>F95*AN95</f>
        <v>0</v>
      </c>
      <c r="BH95" s="233">
        <f>F95*G95</f>
        <v>0</v>
      </c>
      <c r="BI95" s="233"/>
      <c r="BJ95" s="233">
        <v>45</v>
      </c>
      <c r="BU95" s="233" t="e">
        <f>#REF!</f>
        <v>#REF!</v>
      </c>
      <c r="BV95" s="225" t="s">
        <v>891</v>
      </c>
    </row>
    <row r="96" spans="1:74" ht="40.5" customHeight="1" x14ac:dyDescent="0.3">
      <c r="A96" s="241"/>
      <c r="B96" s="242" t="s">
        <v>165</v>
      </c>
      <c r="C96" s="530" t="s">
        <v>1805</v>
      </c>
      <c r="D96" s="531"/>
      <c r="E96" s="531"/>
      <c r="F96" s="531"/>
      <c r="G96" s="531"/>
      <c r="H96" s="531"/>
      <c r="I96" s="531"/>
      <c r="J96" s="531"/>
      <c r="K96" s="531"/>
      <c r="L96" s="531"/>
      <c r="M96" s="532"/>
    </row>
    <row r="97" spans="1:74" ht="14.4" x14ac:dyDescent="0.3">
      <c r="A97" s="239" t="s">
        <v>154</v>
      </c>
      <c r="B97" s="224" t="s">
        <v>305</v>
      </c>
      <c r="C97" s="526" t="s">
        <v>306</v>
      </c>
      <c r="D97" s="527"/>
      <c r="E97" s="223" t="s">
        <v>114</v>
      </c>
      <c r="F97" s="223" t="s">
        <v>114</v>
      </c>
      <c r="G97" s="223" t="s">
        <v>114</v>
      </c>
      <c r="H97" s="235">
        <f>SUM(H98:H110)</f>
        <v>0</v>
      </c>
      <c r="I97" s="235">
        <f>SUM(I98:I110)</f>
        <v>0</v>
      </c>
      <c r="J97" s="235">
        <f>SUM(J98:J110)</f>
        <v>0</v>
      </c>
      <c r="K97" s="230" t="s">
        <v>154</v>
      </c>
      <c r="L97" s="235">
        <f>SUM(L98:L110)</f>
        <v>20.920370800000001</v>
      </c>
      <c r="M97" s="243" t="s">
        <v>154</v>
      </c>
      <c r="AG97" s="229" t="s">
        <v>154</v>
      </c>
      <c r="AQ97" s="222">
        <f>SUM(AH98:AH110)</f>
        <v>0</v>
      </c>
      <c r="AR97" s="222">
        <f>SUM(AI98:AI110)</f>
        <v>0</v>
      </c>
      <c r="AS97" s="222">
        <f>SUM(AJ98:AJ110)</f>
        <v>0</v>
      </c>
    </row>
    <row r="98" spans="1:74" ht="14.4" x14ac:dyDescent="0.3">
      <c r="A98" s="239" t="s">
        <v>307</v>
      </c>
      <c r="B98" s="223" t="s">
        <v>308</v>
      </c>
      <c r="C98" s="521" t="s">
        <v>309</v>
      </c>
      <c r="D98" s="519"/>
      <c r="E98" s="223" t="s">
        <v>180</v>
      </c>
      <c r="F98" s="233">
        <v>7.35</v>
      </c>
      <c r="G98" s="311">
        <v>0</v>
      </c>
      <c r="H98" s="233">
        <f>F98*AM98</f>
        <v>0</v>
      </c>
      <c r="I98" s="233">
        <f>F98*AN98</f>
        <v>0</v>
      </c>
      <c r="J98" s="233">
        <f>F98*G98</f>
        <v>0</v>
      </c>
      <c r="K98" s="233">
        <v>0.4284</v>
      </c>
      <c r="L98" s="233">
        <f>F98*K98</f>
        <v>3.1487399999999997</v>
      </c>
      <c r="M98" s="240" t="s">
        <v>472</v>
      </c>
      <c r="X98" s="233">
        <f>IF(AO98="5",BH98,0)</f>
        <v>0</v>
      </c>
      <c r="Z98" s="233">
        <f>IF(AO98="1",BF98,0)</f>
        <v>0</v>
      </c>
      <c r="AA98" s="233">
        <f>IF(AO98="1",BG98,0)</f>
        <v>0</v>
      </c>
      <c r="AB98" s="233">
        <f>IF(AO98="7",BF98,0)</f>
        <v>0</v>
      </c>
      <c r="AC98" s="233">
        <f>IF(AO98="7",BG98,0)</f>
        <v>0</v>
      </c>
      <c r="AD98" s="233">
        <f>IF(AO98="2",BF98,0)</f>
        <v>0</v>
      </c>
      <c r="AE98" s="233">
        <f>IF(AO98="2",BG98,0)</f>
        <v>0</v>
      </c>
      <c r="AF98" s="233">
        <f>IF(AO98="0",BH98,0)</f>
        <v>0</v>
      </c>
      <c r="AG98" s="229" t="s">
        <v>154</v>
      </c>
      <c r="AH98" s="233">
        <f>IF(AL98=0,J98,0)</f>
        <v>0</v>
      </c>
      <c r="AI98" s="233">
        <f>IF(AL98=15,J98,0)</f>
        <v>0</v>
      </c>
      <c r="AJ98" s="233">
        <f>IF(AL98=21,J98,0)</f>
        <v>0</v>
      </c>
      <c r="AL98" s="233">
        <v>15</v>
      </c>
      <c r="AM98" s="233">
        <f>G98*0.847956556</f>
        <v>0</v>
      </c>
      <c r="AN98" s="233">
        <f>G98*(1-0.847956556)</f>
        <v>0</v>
      </c>
      <c r="AO98" s="234" t="s">
        <v>157</v>
      </c>
      <c r="AT98" s="233">
        <f>AU98+AV98</f>
        <v>0</v>
      </c>
      <c r="AU98" s="233">
        <f>F98*AM98</f>
        <v>0</v>
      </c>
      <c r="AV98" s="233">
        <f>F98*AN98</f>
        <v>0</v>
      </c>
      <c r="AW98" s="234" t="s">
        <v>310</v>
      </c>
      <c r="AX98" s="234" t="s">
        <v>311</v>
      </c>
      <c r="AY98" s="229" t="s">
        <v>164</v>
      </c>
      <c r="BA98" s="233">
        <f>AU98+AV98</f>
        <v>0</v>
      </c>
      <c r="BB98" s="233">
        <f>G98/(100-BC98)*100</f>
        <v>0</v>
      </c>
      <c r="BC98" s="233">
        <v>0</v>
      </c>
      <c r="BD98" s="233">
        <f>L98</f>
        <v>3.1487399999999997</v>
      </c>
      <c r="BF98" s="233">
        <f>F98*AM98</f>
        <v>0</v>
      </c>
      <c r="BG98" s="233">
        <f>F98*AN98</f>
        <v>0</v>
      </c>
      <c r="BH98" s="233">
        <f>F98*G98</f>
        <v>0</v>
      </c>
      <c r="BI98" s="233"/>
      <c r="BJ98" s="233">
        <v>56</v>
      </c>
      <c r="BU98" s="233" t="e">
        <f>#REF!</f>
        <v>#REF!</v>
      </c>
      <c r="BV98" s="225" t="s">
        <v>309</v>
      </c>
    </row>
    <row r="99" spans="1:74" ht="40.5" customHeight="1" x14ac:dyDescent="0.3">
      <c r="A99" s="241"/>
      <c r="B99" s="242" t="s">
        <v>165</v>
      </c>
      <c r="C99" s="530" t="s">
        <v>1806</v>
      </c>
      <c r="D99" s="531"/>
      <c r="E99" s="531"/>
      <c r="F99" s="531"/>
      <c r="G99" s="531"/>
      <c r="H99" s="531"/>
      <c r="I99" s="531"/>
      <c r="J99" s="531"/>
      <c r="K99" s="531"/>
      <c r="L99" s="531"/>
      <c r="M99" s="532"/>
    </row>
    <row r="100" spans="1:74" ht="14.4" x14ac:dyDescent="0.3">
      <c r="A100" s="239" t="s">
        <v>312</v>
      </c>
      <c r="B100" s="223" t="s">
        <v>313</v>
      </c>
      <c r="C100" s="521" t="s">
        <v>314</v>
      </c>
      <c r="D100" s="519"/>
      <c r="E100" s="223" t="s">
        <v>180</v>
      </c>
      <c r="F100" s="233">
        <v>7.84</v>
      </c>
      <c r="G100" s="311">
        <v>0</v>
      </c>
      <c r="H100" s="233">
        <f>F100*AM100</f>
        <v>0</v>
      </c>
      <c r="I100" s="233">
        <f>F100*AN100</f>
        <v>0</v>
      </c>
      <c r="J100" s="233">
        <f>F100*G100</f>
        <v>0</v>
      </c>
      <c r="K100" s="233">
        <v>0.60104000000000002</v>
      </c>
      <c r="L100" s="233">
        <f>F100*K100</f>
        <v>4.7121535999999997</v>
      </c>
      <c r="M100" s="240" t="s">
        <v>472</v>
      </c>
      <c r="X100" s="233">
        <f>IF(AO100="5",BH100,0)</f>
        <v>0</v>
      </c>
      <c r="Z100" s="233">
        <f>IF(AO100="1",BF100,0)</f>
        <v>0</v>
      </c>
      <c r="AA100" s="233">
        <f>IF(AO100="1",BG100,0)</f>
        <v>0</v>
      </c>
      <c r="AB100" s="233">
        <f>IF(AO100="7",BF100,0)</f>
        <v>0</v>
      </c>
      <c r="AC100" s="233">
        <f>IF(AO100="7",BG100,0)</f>
        <v>0</v>
      </c>
      <c r="AD100" s="233">
        <f>IF(AO100="2",BF100,0)</f>
        <v>0</v>
      </c>
      <c r="AE100" s="233">
        <f>IF(AO100="2",BG100,0)</f>
        <v>0</v>
      </c>
      <c r="AF100" s="233">
        <f>IF(AO100="0",BH100,0)</f>
        <v>0</v>
      </c>
      <c r="AG100" s="229" t="s">
        <v>154</v>
      </c>
      <c r="AH100" s="233">
        <f>IF(AL100=0,J100,0)</f>
        <v>0</v>
      </c>
      <c r="AI100" s="233">
        <f>IF(AL100=15,J100,0)</f>
        <v>0</v>
      </c>
      <c r="AJ100" s="233">
        <f>IF(AL100=21,J100,0)</f>
        <v>0</v>
      </c>
      <c r="AL100" s="233">
        <v>15</v>
      </c>
      <c r="AM100" s="233">
        <f>G100*0.832421135</f>
        <v>0</v>
      </c>
      <c r="AN100" s="233">
        <f>G100*(1-0.832421135)</f>
        <v>0</v>
      </c>
      <c r="AO100" s="234" t="s">
        <v>157</v>
      </c>
      <c r="AT100" s="233">
        <f>AU100+AV100</f>
        <v>0</v>
      </c>
      <c r="AU100" s="233">
        <f>F100*AM100</f>
        <v>0</v>
      </c>
      <c r="AV100" s="233">
        <f>F100*AN100</f>
        <v>0</v>
      </c>
      <c r="AW100" s="234" t="s">
        <v>310</v>
      </c>
      <c r="AX100" s="234" t="s">
        <v>311</v>
      </c>
      <c r="AY100" s="229" t="s">
        <v>164</v>
      </c>
      <c r="BA100" s="233">
        <f>AU100+AV100</f>
        <v>0</v>
      </c>
      <c r="BB100" s="233">
        <f>G100/(100-BC100)*100</f>
        <v>0</v>
      </c>
      <c r="BC100" s="233">
        <v>0</v>
      </c>
      <c r="BD100" s="233">
        <f>L100</f>
        <v>4.7121535999999997</v>
      </c>
      <c r="BF100" s="233">
        <f>F100*AM100</f>
        <v>0</v>
      </c>
      <c r="BG100" s="233">
        <f>F100*AN100</f>
        <v>0</v>
      </c>
      <c r="BH100" s="233">
        <f>F100*G100</f>
        <v>0</v>
      </c>
      <c r="BI100" s="233"/>
      <c r="BJ100" s="233">
        <v>56</v>
      </c>
      <c r="BU100" s="233" t="e">
        <f>#REF!</f>
        <v>#REF!</v>
      </c>
      <c r="BV100" s="225" t="s">
        <v>314</v>
      </c>
    </row>
    <row r="101" spans="1:74" ht="40.5" customHeight="1" x14ac:dyDescent="0.3">
      <c r="A101" s="241"/>
      <c r="B101" s="242" t="s">
        <v>165</v>
      </c>
      <c r="C101" s="530" t="s">
        <v>1807</v>
      </c>
      <c r="D101" s="531"/>
      <c r="E101" s="531"/>
      <c r="F101" s="531"/>
      <c r="G101" s="531"/>
      <c r="H101" s="531"/>
      <c r="I101" s="531"/>
      <c r="J101" s="531"/>
      <c r="K101" s="531"/>
      <c r="L101" s="531"/>
      <c r="M101" s="532"/>
    </row>
    <row r="102" spans="1:74" ht="14.4" x14ac:dyDescent="0.3">
      <c r="A102" s="239" t="s">
        <v>315</v>
      </c>
      <c r="B102" s="223" t="s">
        <v>316</v>
      </c>
      <c r="C102" s="521" t="s">
        <v>317</v>
      </c>
      <c r="D102" s="519"/>
      <c r="E102" s="223" t="s">
        <v>180</v>
      </c>
      <c r="F102" s="233">
        <v>7.84</v>
      </c>
      <c r="G102" s="311">
        <v>0</v>
      </c>
      <c r="H102" s="233">
        <f>F102*AM102</f>
        <v>0</v>
      </c>
      <c r="I102" s="233">
        <f>F102*AN102</f>
        <v>0</v>
      </c>
      <c r="J102" s="233">
        <f>F102*G102</f>
        <v>0</v>
      </c>
      <c r="K102" s="233">
        <v>0.48574000000000001</v>
      </c>
      <c r="L102" s="233">
        <f>F102*K102</f>
        <v>3.8082015999999999</v>
      </c>
      <c r="M102" s="240" t="s">
        <v>472</v>
      </c>
      <c r="X102" s="233">
        <f>IF(AO102="5",BH102,0)</f>
        <v>0</v>
      </c>
      <c r="Z102" s="233">
        <f>IF(AO102="1",BF102,0)</f>
        <v>0</v>
      </c>
      <c r="AA102" s="233">
        <f>IF(AO102="1",BG102,0)</f>
        <v>0</v>
      </c>
      <c r="AB102" s="233">
        <f>IF(AO102="7",BF102,0)</f>
        <v>0</v>
      </c>
      <c r="AC102" s="233">
        <f>IF(AO102="7",BG102,0)</f>
        <v>0</v>
      </c>
      <c r="AD102" s="233">
        <f>IF(AO102="2",BF102,0)</f>
        <v>0</v>
      </c>
      <c r="AE102" s="233">
        <f>IF(AO102="2",BG102,0)</f>
        <v>0</v>
      </c>
      <c r="AF102" s="233">
        <f>IF(AO102="0",BH102,0)</f>
        <v>0</v>
      </c>
      <c r="AG102" s="229" t="s">
        <v>154</v>
      </c>
      <c r="AH102" s="233">
        <f>IF(AL102=0,J102,0)</f>
        <v>0</v>
      </c>
      <c r="AI102" s="233">
        <f>IF(AL102=15,J102,0)</f>
        <v>0</v>
      </c>
      <c r="AJ102" s="233">
        <f>IF(AL102=21,J102,0)</f>
        <v>0</v>
      </c>
      <c r="AL102" s="233">
        <v>15</v>
      </c>
      <c r="AM102" s="233">
        <f>G102*0.812876101</f>
        <v>0</v>
      </c>
      <c r="AN102" s="233">
        <f>G102*(1-0.812876101)</f>
        <v>0</v>
      </c>
      <c r="AO102" s="234" t="s">
        <v>157</v>
      </c>
      <c r="AT102" s="233">
        <f>AU102+AV102</f>
        <v>0</v>
      </c>
      <c r="AU102" s="233">
        <f>F102*AM102</f>
        <v>0</v>
      </c>
      <c r="AV102" s="233">
        <f>F102*AN102</f>
        <v>0</v>
      </c>
      <c r="AW102" s="234" t="s">
        <v>310</v>
      </c>
      <c r="AX102" s="234" t="s">
        <v>311</v>
      </c>
      <c r="AY102" s="229" t="s">
        <v>164</v>
      </c>
      <c r="BA102" s="233">
        <f>AU102+AV102</f>
        <v>0</v>
      </c>
      <c r="BB102" s="233">
        <f>G102/(100-BC102)*100</f>
        <v>0</v>
      </c>
      <c r="BC102" s="233">
        <v>0</v>
      </c>
      <c r="BD102" s="233">
        <f>L102</f>
        <v>3.8082015999999999</v>
      </c>
      <c r="BF102" s="233">
        <f>F102*AM102</f>
        <v>0</v>
      </c>
      <c r="BG102" s="233">
        <f>F102*AN102</f>
        <v>0</v>
      </c>
      <c r="BH102" s="233">
        <f>F102*G102</f>
        <v>0</v>
      </c>
      <c r="BI102" s="233"/>
      <c r="BJ102" s="233">
        <v>56</v>
      </c>
      <c r="BU102" s="233" t="e">
        <f>#REF!</f>
        <v>#REF!</v>
      </c>
      <c r="BV102" s="225" t="s">
        <v>317</v>
      </c>
    </row>
    <row r="103" spans="1:74" ht="40.5" customHeight="1" x14ac:dyDescent="0.3">
      <c r="A103" s="241"/>
      <c r="B103" s="242" t="s">
        <v>165</v>
      </c>
      <c r="C103" s="530" t="s">
        <v>1808</v>
      </c>
      <c r="D103" s="531"/>
      <c r="E103" s="531"/>
      <c r="F103" s="531"/>
      <c r="G103" s="531"/>
      <c r="H103" s="531"/>
      <c r="I103" s="531"/>
      <c r="J103" s="531"/>
      <c r="K103" s="531"/>
      <c r="L103" s="531"/>
      <c r="M103" s="532"/>
    </row>
    <row r="104" spans="1:74" ht="14.4" x14ac:dyDescent="0.3">
      <c r="A104" s="239" t="s">
        <v>318</v>
      </c>
      <c r="B104" s="223" t="s">
        <v>316</v>
      </c>
      <c r="C104" s="521" t="s">
        <v>317</v>
      </c>
      <c r="D104" s="519"/>
      <c r="E104" s="223" t="s">
        <v>180</v>
      </c>
      <c r="F104" s="233">
        <v>7.84</v>
      </c>
      <c r="G104" s="311">
        <v>0</v>
      </c>
      <c r="H104" s="233">
        <f>F104*AM104</f>
        <v>0</v>
      </c>
      <c r="I104" s="233">
        <f>F104*AN104</f>
        <v>0</v>
      </c>
      <c r="J104" s="233">
        <f>F104*G104</f>
        <v>0</v>
      </c>
      <c r="K104" s="233">
        <v>0.48574000000000001</v>
      </c>
      <c r="L104" s="233">
        <f>F104*K104</f>
        <v>3.8082015999999999</v>
      </c>
      <c r="M104" s="240" t="s">
        <v>472</v>
      </c>
      <c r="X104" s="233">
        <f>IF(AO104="5",BH104,0)</f>
        <v>0</v>
      </c>
      <c r="Z104" s="233">
        <f>IF(AO104="1",BF104,0)</f>
        <v>0</v>
      </c>
      <c r="AA104" s="233">
        <f>IF(AO104="1",BG104,0)</f>
        <v>0</v>
      </c>
      <c r="AB104" s="233">
        <f>IF(AO104="7",BF104,0)</f>
        <v>0</v>
      </c>
      <c r="AC104" s="233">
        <f>IF(AO104="7",BG104,0)</f>
        <v>0</v>
      </c>
      <c r="AD104" s="233">
        <f>IF(AO104="2",BF104,0)</f>
        <v>0</v>
      </c>
      <c r="AE104" s="233">
        <f>IF(AO104="2",BG104,0)</f>
        <v>0</v>
      </c>
      <c r="AF104" s="233">
        <f>IF(AO104="0",BH104,0)</f>
        <v>0</v>
      </c>
      <c r="AG104" s="229" t="s">
        <v>154</v>
      </c>
      <c r="AH104" s="233">
        <f>IF(AL104=0,J104,0)</f>
        <v>0</v>
      </c>
      <c r="AI104" s="233">
        <f>IF(AL104=15,J104,0)</f>
        <v>0</v>
      </c>
      <c r="AJ104" s="233">
        <f>IF(AL104=21,J104,0)</f>
        <v>0</v>
      </c>
      <c r="AL104" s="233">
        <v>15</v>
      </c>
      <c r="AM104" s="233">
        <f>G104*0.812876101</f>
        <v>0</v>
      </c>
      <c r="AN104" s="233">
        <f>G104*(1-0.812876101)</f>
        <v>0</v>
      </c>
      <c r="AO104" s="234" t="s">
        <v>157</v>
      </c>
      <c r="AT104" s="233">
        <f>AU104+AV104</f>
        <v>0</v>
      </c>
      <c r="AU104" s="233">
        <f>F104*AM104</f>
        <v>0</v>
      </c>
      <c r="AV104" s="233">
        <f>F104*AN104</f>
        <v>0</v>
      </c>
      <c r="AW104" s="234" t="s">
        <v>310</v>
      </c>
      <c r="AX104" s="234" t="s">
        <v>311</v>
      </c>
      <c r="AY104" s="229" t="s">
        <v>164</v>
      </c>
      <c r="BA104" s="233">
        <f>AU104+AV104</f>
        <v>0</v>
      </c>
      <c r="BB104" s="233">
        <f>G104/(100-BC104)*100</f>
        <v>0</v>
      </c>
      <c r="BC104" s="233">
        <v>0</v>
      </c>
      <c r="BD104" s="233">
        <f>L104</f>
        <v>3.8082015999999999</v>
      </c>
      <c r="BF104" s="233">
        <f>F104*AM104</f>
        <v>0</v>
      </c>
      <c r="BG104" s="233">
        <f>F104*AN104</f>
        <v>0</v>
      </c>
      <c r="BH104" s="233">
        <f>F104*G104</f>
        <v>0</v>
      </c>
      <c r="BI104" s="233"/>
      <c r="BJ104" s="233">
        <v>56</v>
      </c>
      <c r="BU104" s="233" t="e">
        <f>#REF!</f>
        <v>#REF!</v>
      </c>
      <c r="BV104" s="225" t="s">
        <v>317</v>
      </c>
    </row>
    <row r="105" spans="1:74" ht="40.5" customHeight="1" x14ac:dyDescent="0.3">
      <c r="A105" s="241"/>
      <c r="B105" s="242" t="s">
        <v>165</v>
      </c>
      <c r="C105" s="530" t="s">
        <v>1808</v>
      </c>
      <c r="D105" s="531"/>
      <c r="E105" s="531"/>
      <c r="F105" s="531"/>
      <c r="G105" s="531"/>
      <c r="H105" s="531"/>
      <c r="I105" s="531"/>
      <c r="J105" s="531"/>
      <c r="K105" s="531"/>
      <c r="L105" s="531"/>
      <c r="M105" s="532"/>
    </row>
    <row r="106" spans="1:74" ht="14.4" x14ac:dyDescent="0.3">
      <c r="A106" s="239" t="s">
        <v>319</v>
      </c>
      <c r="B106" s="223" t="s">
        <v>320</v>
      </c>
      <c r="C106" s="521" t="s">
        <v>321</v>
      </c>
      <c r="D106" s="519"/>
      <c r="E106" s="223" t="s">
        <v>180</v>
      </c>
      <c r="F106" s="233">
        <v>8.19</v>
      </c>
      <c r="G106" s="311">
        <v>0</v>
      </c>
      <c r="H106" s="233">
        <f>F106*AM106</f>
        <v>0</v>
      </c>
      <c r="I106" s="233">
        <f>F106*AN106</f>
        <v>0</v>
      </c>
      <c r="J106" s="233">
        <f>F106*G106</f>
        <v>0</v>
      </c>
      <c r="K106" s="233">
        <v>0.4536</v>
      </c>
      <c r="L106" s="233">
        <f>F106*K106</f>
        <v>3.7149839999999998</v>
      </c>
      <c r="M106" s="240" t="s">
        <v>472</v>
      </c>
      <c r="X106" s="233">
        <f>IF(AO106="5",BH106,0)</f>
        <v>0</v>
      </c>
      <c r="Z106" s="233">
        <f>IF(AO106="1",BF106,0)</f>
        <v>0</v>
      </c>
      <c r="AA106" s="233">
        <f>IF(AO106="1",BG106,0)</f>
        <v>0</v>
      </c>
      <c r="AB106" s="233">
        <f>IF(AO106="7",BF106,0)</f>
        <v>0</v>
      </c>
      <c r="AC106" s="233">
        <f>IF(AO106="7",BG106,0)</f>
        <v>0</v>
      </c>
      <c r="AD106" s="233">
        <f>IF(AO106="2",BF106,0)</f>
        <v>0</v>
      </c>
      <c r="AE106" s="233">
        <f>IF(AO106="2",BG106,0)</f>
        <v>0</v>
      </c>
      <c r="AF106" s="233">
        <f>IF(AO106="0",BH106,0)</f>
        <v>0</v>
      </c>
      <c r="AG106" s="229" t="s">
        <v>154</v>
      </c>
      <c r="AH106" s="233">
        <f>IF(AL106=0,J106,0)</f>
        <v>0</v>
      </c>
      <c r="AI106" s="233">
        <f>IF(AL106=15,J106,0)</f>
        <v>0</v>
      </c>
      <c r="AJ106" s="233">
        <f>IF(AL106=21,J106,0)</f>
        <v>0</v>
      </c>
      <c r="AL106" s="233">
        <v>15</v>
      </c>
      <c r="AM106" s="233">
        <f>G106*0.842940455</f>
        <v>0</v>
      </c>
      <c r="AN106" s="233">
        <f>G106*(1-0.842940455)</f>
        <v>0</v>
      </c>
      <c r="AO106" s="234" t="s">
        <v>157</v>
      </c>
      <c r="AT106" s="233">
        <f>AU106+AV106</f>
        <v>0</v>
      </c>
      <c r="AU106" s="233">
        <f>F106*AM106</f>
        <v>0</v>
      </c>
      <c r="AV106" s="233">
        <f>F106*AN106</f>
        <v>0</v>
      </c>
      <c r="AW106" s="234" t="s">
        <v>310</v>
      </c>
      <c r="AX106" s="234" t="s">
        <v>311</v>
      </c>
      <c r="AY106" s="229" t="s">
        <v>164</v>
      </c>
      <c r="BA106" s="233">
        <f>AU106+AV106</f>
        <v>0</v>
      </c>
      <c r="BB106" s="233">
        <f>G106/(100-BC106)*100</f>
        <v>0</v>
      </c>
      <c r="BC106" s="233">
        <v>0</v>
      </c>
      <c r="BD106" s="233">
        <f>L106</f>
        <v>3.7149839999999998</v>
      </c>
      <c r="BF106" s="233">
        <f>F106*AM106</f>
        <v>0</v>
      </c>
      <c r="BG106" s="233">
        <f>F106*AN106</f>
        <v>0</v>
      </c>
      <c r="BH106" s="233">
        <f>F106*G106</f>
        <v>0</v>
      </c>
      <c r="BI106" s="233"/>
      <c r="BJ106" s="233">
        <v>56</v>
      </c>
      <c r="BU106" s="233" t="e">
        <f>#REF!</f>
        <v>#REF!</v>
      </c>
      <c r="BV106" s="225" t="s">
        <v>321</v>
      </c>
    </row>
    <row r="107" spans="1:74" ht="40.5" customHeight="1" x14ac:dyDescent="0.3">
      <c r="A107" s="241"/>
      <c r="B107" s="242" t="s">
        <v>165</v>
      </c>
      <c r="C107" s="530" t="s">
        <v>1809</v>
      </c>
      <c r="D107" s="531"/>
      <c r="E107" s="531"/>
      <c r="F107" s="531"/>
      <c r="G107" s="531"/>
      <c r="H107" s="531"/>
      <c r="I107" s="531"/>
      <c r="J107" s="531"/>
      <c r="K107" s="531"/>
      <c r="L107" s="531"/>
      <c r="M107" s="532"/>
    </row>
    <row r="108" spans="1:74" ht="14.4" x14ac:dyDescent="0.3">
      <c r="A108" s="239" t="s">
        <v>322</v>
      </c>
      <c r="B108" s="223" t="s">
        <v>323</v>
      </c>
      <c r="C108" s="521" t="s">
        <v>324</v>
      </c>
      <c r="D108" s="519"/>
      <c r="E108" s="223" t="s">
        <v>180</v>
      </c>
      <c r="F108" s="233">
        <v>8.19</v>
      </c>
      <c r="G108" s="311">
        <v>0</v>
      </c>
      <c r="H108" s="233">
        <f>F108*AM108</f>
        <v>0</v>
      </c>
      <c r="I108" s="233">
        <f>F108*AN108</f>
        <v>0</v>
      </c>
      <c r="J108" s="233">
        <f>F108*G108</f>
        <v>0</v>
      </c>
      <c r="K108" s="233">
        <v>0.21099999999999999</v>
      </c>
      <c r="L108" s="233">
        <f>F108*K108</f>
        <v>1.7280899999999999</v>
      </c>
      <c r="M108" s="240" t="s">
        <v>472</v>
      </c>
      <c r="X108" s="233">
        <f>IF(AO108="5",BH108,0)</f>
        <v>0</v>
      </c>
      <c r="Z108" s="233">
        <f>IF(AO108="1",BF108,0)</f>
        <v>0</v>
      </c>
      <c r="AA108" s="233">
        <f>IF(AO108="1",BG108,0)</f>
        <v>0</v>
      </c>
      <c r="AB108" s="233">
        <f>IF(AO108="7",BF108,0)</f>
        <v>0</v>
      </c>
      <c r="AC108" s="233">
        <f>IF(AO108="7",BG108,0)</f>
        <v>0</v>
      </c>
      <c r="AD108" s="233">
        <f>IF(AO108="2",BF108,0)</f>
        <v>0</v>
      </c>
      <c r="AE108" s="233">
        <f>IF(AO108="2",BG108,0)</f>
        <v>0</v>
      </c>
      <c r="AF108" s="233">
        <f>IF(AO108="0",BH108,0)</f>
        <v>0</v>
      </c>
      <c r="AG108" s="229" t="s">
        <v>154</v>
      </c>
      <c r="AH108" s="233">
        <f>IF(AL108=0,J108,0)</f>
        <v>0</v>
      </c>
      <c r="AI108" s="233">
        <f>IF(AL108=15,J108,0)</f>
        <v>0</v>
      </c>
      <c r="AJ108" s="233">
        <f>IF(AL108=21,J108,0)</f>
        <v>0</v>
      </c>
      <c r="AL108" s="233">
        <v>15</v>
      </c>
      <c r="AM108" s="233">
        <f>G108*0.593948651</f>
        <v>0</v>
      </c>
      <c r="AN108" s="233">
        <f>G108*(1-0.593948651)</f>
        <v>0</v>
      </c>
      <c r="AO108" s="234" t="s">
        <v>157</v>
      </c>
      <c r="AT108" s="233">
        <f>AU108+AV108</f>
        <v>0</v>
      </c>
      <c r="AU108" s="233">
        <f>F108*AM108</f>
        <v>0</v>
      </c>
      <c r="AV108" s="233">
        <f>F108*AN108</f>
        <v>0</v>
      </c>
      <c r="AW108" s="234" t="s">
        <v>310</v>
      </c>
      <c r="AX108" s="234" t="s">
        <v>311</v>
      </c>
      <c r="AY108" s="229" t="s">
        <v>164</v>
      </c>
      <c r="BA108" s="233">
        <f>AU108+AV108</f>
        <v>0</v>
      </c>
      <c r="BB108" s="233">
        <f>G108/(100-BC108)*100</f>
        <v>0</v>
      </c>
      <c r="BC108" s="233">
        <v>0</v>
      </c>
      <c r="BD108" s="233">
        <f>L108</f>
        <v>1.7280899999999999</v>
      </c>
      <c r="BF108" s="233">
        <f>F108*AM108</f>
        <v>0</v>
      </c>
      <c r="BG108" s="233">
        <f>F108*AN108</f>
        <v>0</v>
      </c>
      <c r="BH108" s="233">
        <f>F108*G108</f>
        <v>0</v>
      </c>
      <c r="BI108" s="233"/>
      <c r="BJ108" s="233">
        <v>56</v>
      </c>
      <c r="BU108" s="233" t="e">
        <f>#REF!</f>
        <v>#REF!</v>
      </c>
      <c r="BV108" s="225" t="s">
        <v>324</v>
      </c>
    </row>
    <row r="109" spans="1:74" ht="40.5" customHeight="1" x14ac:dyDescent="0.3">
      <c r="A109" s="241"/>
      <c r="B109" s="242" t="s">
        <v>165</v>
      </c>
      <c r="C109" s="530" t="s">
        <v>1810</v>
      </c>
      <c r="D109" s="531"/>
      <c r="E109" s="531"/>
      <c r="F109" s="531"/>
      <c r="G109" s="531"/>
      <c r="H109" s="531"/>
      <c r="I109" s="531"/>
      <c r="J109" s="531"/>
      <c r="K109" s="531"/>
      <c r="L109" s="531"/>
      <c r="M109" s="532"/>
    </row>
    <row r="110" spans="1:74" ht="14.4" x14ac:dyDescent="0.3">
      <c r="A110" s="239" t="s">
        <v>298</v>
      </c>
      <c r="B110" s="223" t="s">
        <v>1436</v>
      </c>
      <c r="C110" s="521" t="s">
        <v>1437</v>
      </c>
      <c r="D110" s="519"/>
      <c r="E110" s="223" t="s">
        <v>180</v>
      </c>
      <c r="F110" s="233">
        <v>7.84</v>
      </c>
      <c r="G110" s="311">
        <v>0</v>
      </c>
      <c r="H110" s="233">
        <f>F110*AM110</f>
        <v>0</v>
      </c>
      <c r="I110" s="233">
        <f>F110*AN110</f>
        <v>0</v>
      </c>
      <c r="J110" s="233">
        <f>F110*G110</f>
        <v>0</v>
      </c>
      <c r="K110" s="233">
        <v>0</v>
      </c>
      <c r="L110" s="233">
        <f>F110*K110</f>
        <v>0</v>
      </c>
      <c r="M110" s="240" t="s">
        <v>472</v>
      </c>
      <c r="X110" s="233">
        <f>IF(AO110="5",BH110,0)</f>
        <v>0</v>
      </c>
      <c r="Z110" s="233">
        <f>IF(AO110="1",BF110,0)</f>
        <v>0</v>
      </c>
      <c r="AA110" s="233">
        <f>IF(AO110="1",BG110,0)</f>
        <v>0</v>
      </c>
      <c r="AB110" s="233">
        <f>IF(AO110="7",BF110,0)</f>
        <v>0</v>
      </c>
      <c r="AC110" s="233">
        <f>IF(AO110="7",BG110,0)</f>
        <v>0</v>
      </c>
      <c r="AD110" s="233">
        <f>IF(AO110="2",BF110,0)</f>
        <v>0</v>
      </c>
      <c r="AE110" s="233">
        <f>IF(AO110="2",BG110,0)</f>
        <v>0</v>
      </c>
      <c r="AF110" s="233">
        <f>IF(AO110="0",BH110,0)</f>
        <v>0</v>
      </c>
      <c r="AG110" s="229" t="s">
        <v>154</v>
      </c>
      <c r="AH110" s="233">
        <f>IF(AL110=0,J110,0)</f>
        <v>0</v>
      </c>
      <c r="AI110" s="233">
        <f>IF(AL110=15,J110,0)</f>
        <v>0</v>
      </c>
      <c r="AJ110" s="233">
        <f>IF(AL110=21,J110,0)</f>
        <v>0</v>
      </c>
      <c r="AL110" s="233">
        <v>15</v>
      </c>
      <c r="AM110" s="233">
        <f>G110*0.89888622</f>
        <v>0</v>
      </c>
      <c r="AN110" s="233">
        <f>G110*(1-0.89888622)</f>
        <v>0</v>
      </c>
      <c r="AO110" s="234" t="s">
        <v>157</v>
      </c>
      <c r="AT110" s="233">
        <f>AU110+AV110</f>
        <v>0</v>
      </c>
      <c r="AU110" s="233">
        <f>F110*AM110</f>
        <v>0</v>
      </c>
      <c r="AV110" s="233">
        <f>F110*AN110</f>
        <v>0</v>
      </c>
      <c r="AW110" s="234" t="s">
        <v>310</v>
      </c>
      <c r="AX110" s="234" t="s">
        <v>311</v>
      </c>
      <c r="AY110" s="229" t="s">
        <v>164</v>
      </c>
      <c r="BA110" s="233">
        <f>AU110+AV110</f>
        <v>0</v>
      </c>
      <c r="BB110" s="233">
        <f>G110/(100-BC110)*100</f>
        <v>0</v>
      </c>
      <c r="BC110" s="233">
        <v>0</v>
      </c>
      <c r="BD110" s="233">
        <f>L110</f>
        <v>0</v>
      </c>
      <c r="BF110" s="233">
        <f>F110*AM110</f>
        <v>0</v>
      </c>
      <c r="BG110" s="233">
        <f>F110*AN110</f>
        <v>0</v>
      </c>
      <c r="BH110" s="233">
        <f>F110*G110</f>
        <v>0</v>
      </c>
      <c r="BI110" s="233"/>
      <c r="BJ110" s="233">
        <v>56</v>
      </c>
      <c r="BU110" s="233" t="e">
        <f>#REF!</f>
        <v>#REF!</v>
      </c>
      <c r="BV110" s="225" t="s">
        <v>1437</v>
      </c>
    </row>
    <row r="111" spans="1:74" ht="40.5" customHeight="1" x14ac:dyDescent="0.3">
      <c r="A111" s="244"/>
      <c r="B111" s="245" t="s">
        <v>165</v>
      </c>
      <c r="C111" s="540" t="s">
        <v>1811</v>
      </c>
      <c r="D111" s="541"/>
      <c r="E111" s="541"/>
      <c r="F111" s="541"/>
      <c r="G111" s="541"/>
      <c r="H111" s="541"/>
      <c r="I111" s="541"/>
      <c r="J111" s="541"/>
      <c r="K111" s="541"/>
      <c r="L111" s="541"/>
      <c r="M111" s="542"/>
    </row>
    <row r="112" spans="1:74" ht="14.4" x14ac:dyDescent="0.3">
      <c r="A112" s="237" t="s">
        <v>154</v>
      </c>
      <c r="B112" s="260" t="s">
        <v>335</v>
      </c>
      <c r="C112" s="545" t="s">
        <v>336</v>
      </c>
      <c r="D112" s="546"/>
      <c r="E112" s="238" t="s">
        <v>114</v>
      </c>
      <c r="F112" s="238" t="s">
        <v>114</v>
      </c>
      <c r="G112" s="238" t="s">
        <v>114</v>
      </c>
      <c r="H112" s="261">
        <f>SUM(H113:H113)</f>
        <v>0</v>
      </c>
      <c r="I112" s="261">
        <f>SUM(I113:I113)</f>
        <v>0</v>
      </c>
      <c r="J112" s="261">
        <f>SUM(J113:J113)</f>
        <v>0</v>
      </c>
      <c r="K112" s="262" t="s">
        <v>154</v>
      </c>
      <c r="L112" s="261">
        <f>SUM(L113:L113)</f>
        <v>5.7329999999999994E-3</v>
      </c>
      <c r="M112" s="263" t="s">
        <v>154</v>
      </c>
      <c r="AG112" s="229" t="s">
        <v>154</v>
      </c>
      <c r="AQ112" s="222">
        <f>SUM(AH113:AH113)</f>
        <v>0</v>
      </c>
      <c r="AR112" s="222">
        <f>SUM(AI113:AI113)</f>
        <v>0</v>
      </c>
      <c r="AS112" s="222">
        <f>SUM(AJ113:AJ113)</f>
        <v>0</v>
      </c>
    </row>
    <row r="113" spans="1:74" ht="14.4" x14ac:dyDescent="0.3">
      <c r="A113" s="239" t="s">
        <v>327</v>
      </c>
      <c r="B113" s="223" t="s">
        <v>342</v>
      </c>
      <c r="C113" s="521" t="s">
        <v>427</v>
      </c>
      <c r="D113" s="519"/>
      <c r="E113" s="223" t="s">
        <v>180</v>
      </c>
      <c r="F113" s="233">
        <v>8.19</v>
      </c>
      <c r="G113" s="311">
        <v>0</v>
      </c>
      <c r="H113" s="233">
        <f>F113*AM113</f>
        <v>0</v>
      </c>
      <c r="I113" s="233">
        <f>F113*AN113</f>
        <v>0</v>
      </c>
      <c r="J113" s="233">
        <f>F113*G113</f>
        <v>0</v>
      </c>
      <c r="K113" s="233">
        <v>6.9999999999999999E-4</v>
      </c>
      <c r="L113" s="233">
        <f>F113*K113</f>
        <v>5.7329999999999994E-3</v>
      </c>
      <c r="M113" s="240" t="s">
        <v>472</v>
      </c>
      <c r="X113" s="233">
        <f>IF(AO113="5",BH113,0)</f>
        <v>0</v>
      </c>
      <c r="Z113" s="233">
        <f>IF(AO113="1",BF113,0)</f>
        <v>0</v>
      </c>
      <c r="AA113" s="233">
        <f>IF(AO113="1",BG113,0)</f>
        <v>0</v>
      </c>
      <c r="AB113" s="233">
        <f>IF(AO113="7",BF113,0)</f>
        <v>0</v>
      </c>
      <c r="AC113" s="233">
        <f>IF(AO113="7",BG113,0)</f>
        <v>0</v>
      </c>
      <c r="AD113" s="233">
        <f>IF(AO113="2",BF113,0)</f>
        <v>0</v>
      </c>
      <c r="AE113" s="233">
        <f>IF(AO113="2",BG113,0)</f>
        <v>0</v>
      </c>
      <c r="AF113" s="233">
        <f>IF(AO113="0",BH113,0)</f>
        <v>0</v>
      </c>
      <c r="AG113" s="229" t="s">
        <v>154</v>
      </c>
      <c r="AH113" s="233">
        <f>IF(AL113=0,J113,0)</f>
        <v>0</v>
      </c>
      <c r="AI113" s="233">
        <f>IF(AL113=15,J113,0)</f>
        <v>0</v>
      </c>
      <c r="AJ113" s="233">
        <f>IF(AL113=21,J113,0)</f>
        <v>0</v>
      </c>
      <c r="AL113" s="233">
        <v>15</v>
      </c>
      <c r="AM113" s="233">
        <f>G113*0.93128623</f>
        <v>0</v>
      </c>
      <c r="AN113" s="233">
        <f>G113*(1-0.93128623)</f>
        <v>0</v>
      </c>
      <c r="AO113" s="234" t="s">
        <v>157</v>
      </c>
      <c r="AT113" s="233">
        <f>AU113+AV113</f>
        <v>0</v>
      </c>
      <c r="AU113" s="233">
        <f>F113*AM113</f>
        <v>0</v>
      </c>
      <c r="AV113" s="233">
        <f>F113*AN113</f>
        <v>0</v>
      </c>
      <c r="AW113" s="234" t="s">
        <v>340</v>
      </c>
      <c r="AX113" s="234" t="s">
        <v>311</v>
      </c>
      <c r="AY113" s="229" t="s">
        <v>164</v>
      </c>
      <c r="BA113" s="233">
        <f>AU113+AV113</f>
        <v>0</v>
      </c>
      <c r="BB113" s="233">
        <f>G113/(100-BC113)*100</f>
        <v>0</v>
      </c>
      <c r="BC113" s="233">
        <v>0</v>
      </c>
      <c r="BD113" s="233">
        <f>L113</f>
        <v>5.7329999999999994E-3</v>
      </c>
      <c r="BF113" s="233">
        <f>F113*AM113</f>
        <v>0</v>
      </c>
      <c r="BG113" s="233">
        <f>F113*AN113</f>
        <v>0</v>
      </c>
      <c r="BH113" s="233">
        <f>F113*G113</f>
        <v>0</v>
      </c>
      <c r="BI113" s="233"/>
      <c r="BJ113" s="233">
        <v>57</v>
      </c>
      <c r="BU113" s="233" t="e">
        <f>#REF!</f>
        <v>#REF!</v>
      </c>
      <c r="BV113" s="225" t="s">
        <v>427</v>
      </c>
    </row>
    <row r="114" spans="1:74" ht="40.5" customHeight="1" x14ac:dyDescent="0.3">
      <c r="A114" s="241"/>
      <c r="B114" s="242" t="s">
        <v>165</v>
      </c>
      <c r="C114" s="530" t="s">
        <v>1812</v>
      </c>
      <c r="D114" s="531"/>
      <c r="E114" s="531"/>
      <c r="F114" s="531"/>
      <c r="G114" s="531"/>
      <c r="H114" s="531"/>
      <c r="I114" s="531"/>
      <c r="J114" s="531"/>
      <c r="K114" s="531"/>
      <c r="L114" s="531"/>
      <c r="M114" s="532"/>
    </row>
    <row r="115" spans="1:74" ht="14.4" x14ac:dyDescent="0.3">
      <c r="A115" s="239" t="s">
        <v>154</v>
      </c>
      <c r="B115" s="224" t="s">
        <v>539</v>
      </c>
      <c r="C115" s="526" t="s">
        <v>540</v>
      </c>
      <c r="D115" s="527"/>
      <c r="E115" s="223" t="s">
        <v>114</v>
      </c>
      <c r="F115" s="223" t="s">
        <v>114</v>
      </c>
      <c r="G115" s="223" t="s">
        <v>114</v>
      </c>
      <c r="H115" s="235">
        <f>SUM(H116:H118)</f>
        <v>0</v>
      </c>
      <c r="I115" s="235">
        <f>SUM(I116:I118)</f>
        <v>0</v>
      </c>
      <c r="J115" s="235">
        <f>SUM(J116:J118)</f>
        <v>0</v>
      </c>
      <c r="K115" s="230" t="s">
        <v>154</v>
      </c>
      <c r="L115" s="235">
        <f>SUM(L116:L118)</f>
        <v>1.6300000000000002E-3</v>
      </c>
      <c r="M115" s="243" t="s">
        <v>154</v>
      </c>
      <c r="AG115" s="229" t="s">
        <v>154</v>
      </c>
      <c r="AQ115" s="222">
        <f>SUM(AH116:AH118)</f>
        <v>0</v>
      </c>
      <c r="AR115" s="222">
        <f>SUM(AI116:AI118)</f>
        <v>0</v>
      </c>
      <c r="AS115" s="222">
        <f>SUM(AJ116:AJ118)</f>
        <v>0</v>
      </c>
    </row>
    <row r="116" spans="1:74" ht="14.4" x14ac:dyDescent="0.3">
      <c r="A116" s="239" t="s">
        <v>329</v>
      </c>
      <c r="B116" s="223" t="s">
        <v>892</v>
      </c>
      <c r="C116" s="521" t="s">
        <v>893</v>
      </c>
      <c r="D116" s="519"/>
      <c r="E116" s="223" t="s">
        <v>160</v>
      </c>
      <c r="F116" s="233">
        <v>8.5</v>
      </c>
      <c r="G116" s="311">
        <v>0</v>
      </c>
      <c r="H116" s="233">
        <f>F116*AM116</f>
        <v>0</v>
      </c>
      <c r="I116" s="233">
        <f>F116*AN116</f>
        <v>0</v>
      </c>
      <c r="J116" s="233">
        <f>F116*G116</f>
        <v>0</v>
      </c>
      <c r="K116" s="233">
        <v>1.6000000000000001E-4</v>
      </c>
      <c r="L116" s="233">
        <f>F116*K116</f>
        <v>1.3600000000000001E-3</v>
      </c>
      <c r="M116" s="240" t="s">
        <v>472</v>
      </c>
      <c r="X116" s="233">
        <f>IF(AO116="5",BH116,0)</f>
        <v>0</v>
      </c>
      <c r="Z116" s="233">
        <f>IF(AO116="1",BF116,0)</f>
        <v>0</v>
      </c>
      <c r="AA116" s="233">
        <f>IF(AO116="1",BG116,0)</f>
        <v>0</v>
      </c>
      <c r="AB116" s="233">
        <f>IF(AO116="7",BF116,0)</f>
        <v>0</v>
      </c>
      <c r="AC116" s="233">
        <f>IF(AO116="7",BG116,0)</f>
        <v>0</v>
      </c>
      <c r="AD116" s="233">
        <f>IF(AO116="2",BF116,0)</f>
        <v>0</v>
      </c>
      <c r="AE116" s="233">
        <f>IF(AO116="2",BG116,0)</f>
        <v>0</v>
      </c>
      <c r="AF116" s="233">
        <f>IF(AO116="0",BH116,0)</f>
        <v>0</v>
      </c>
      <c r="AG116" s="229" t="s">
        <v>154</v>
      </c>
      <c r="AH116" s="233">
        <f>IF(AL116=0,J116,0)</f>
        <v>0</v>
      </c>
      <c r="AI116" s="233">
        <f>IF(AL116=15,J116,0)</f>
        <v>0</v>
      </c>
      <c r="AJ116" s="233">
        <f>IF(AL116=21,J116,0)</f>
        <v>0</v>
      </c>
      <c r="AL116" s="233">
        <v>15</v>
      </c>
      <c r="AM116" s="233">
        <f>G116*0.065979075</f>
        <v>0</v>
      </c>
      <c r="AN116" s="233">
        <f>G116*(1-0.065979075)</f>
        <v>0</v>
      </c>
      <c r="AO116" s="234" t="s">
        <v>157</v>
      </c>
      <c r="AT116" s="233">
        <f>AU116+AV116</f>
        <v>0</v>
      </c>
      <c r="AU116" s="233">
        <f>F116*AM116</f>
        <v>0</v>
      </c>
      <c r="AV116" s="233">
        <f>F116*AN116</f>
        <v>0</v>
      </c>
      <c r="AW116" s="234" t="s">
        <v>543</v>
      </c>
      <c r="AX116" s="234" t="s">
        <v>356</v>
      </c>
      <c r="AY116" s="229" t="s">
        <v>164</v>
      </c>
      <c r="BA116" s="233">
        <f>AU116+AV116</f>
        <v>0</v>
      </c>
      <c r="BB116" s="233">
        <f>G116/(100-BC116)*100</f>
        <v>0</v>
      </c>
      <c r="BC116" s="233">
        <v>0</v>
      </c>
      <c r="BD116" s="233">
        <f>L116</f>
        <v>1.3600000000000001E-3</v>
      </c>
      <c r="BF116" s="233">
        <f>F116*AM116</f>
        <v>0</v>
      </c>
      <c r="BG116" s="233">
        <f>F116*AN116</f>
        <v>0</v>
      </c>
      <c r="BH116" s="233">
        <f>F116*G116</f>
        <v>0</v>
      </c>
      <c r="BI116" s="233"/>
      <c r="BJ116" s="233">
        <v>87</v>
      </c>
      <c r="BU116" s="233" t="e">
        <f>#REF!</f>
        <v>#REF!</v>
      </c>
      <c r="BV116" s="225" t="s">
        <v>893</v>
      </c>
    </row>
    <row r="117" spans="1:74" ht="54" customHeight="1" x14ac:dyDescent="0.3">
      <c r="A117" s="241"/>
      <c r="B117" s="242" t="s">
        <v>165</v>
      </c>
      <c r="C117" s="530" t="s">
        <v>1813</v>
      </c>
      <c r="D117" s="531"/>
      <c r="E117" s="531"/>
      <c r="F117" s="531"/>
      <c r="G117" s="531"/>
      <c r="H117" s="531"/>
      <c r="I117" s="531"/>
      <c r="J117" s="531"/>
      <c r="K117" s="531"/>
      <c r="L117" s="531"/>
      <c r="M117" s="532"/>
    </row>
    <row r="118" spans="1:74" ht="14.4" x14ac:dyDescent="0.3">
      <c r="A118" s="239" t="s">
        <v>332</v>
      </c>
      <c r="B118" s="223" t="s">
        <v>896</v>
      </c>
      <c r="C118" s="521" t="s">
        <v>897</v>
      </c>
      <c r="D118" s="519"/>
      <c r="E118" s="223" t="s">
        <v>365</v>
      </c>
      <c r="F118" s="233">
        <v>9</v>
      </c>
      <c r="G118" s="311">
        <v>0</v>
      </c>
      <c r="H118" s="233">
        <f>F118*AM118</f>
        <v>0</v>
      </c>
      <c r="I118" s="233">
        <f>F118*AN118</f>
        <v>0</v>
      </c>
      <c r="J118" s="233">
        <f>F118*G118</f>
        <v>0</v>
      </c>
      <c r="K118" s="233">
        <v>3.0000000000000001E-5</v>
      </c>
      <c r="L118" s="233">
        <f>F118*K118</f>
        <v>2.7E-4</v>
      </c>
      <c r="M118" s="240" t="s">
        <v>472</v>
      </c>
      <c r="X118" s="233">
        <f>IF(AO118="5",BH118,0)</f>
        <v>0</v>
      </c>
      <c r="Z118" s="233">
        <f>IF(AO118="1",BF118,0)</f>
        <v>0</v>
      </c>
      <c r="AA118" s="233">
        <f>IF(AO118="1",BG118,0)</f>
        <v>0</v>
      </c>
      <c r="AB118" s="233">
        <f>IF(AO118="7",BF118,0)</f>
        <v>0</v>
      </c>
      <c r="AC118" s="233">
        <f>IF(AO118="7",BG118,0)</f>
        <v>0</v>
      </c>
      <c r="AD118" s="233">
        <f>IF(AO118="2",BF118,0)</f>
        <v>0</v>
      </c>
      <c r="AE118" s="233">
        <f>IF(AO118="2",BG118,0)</f>
        <v>0</v>
      </c>
      <c r="AF118" s="233">
        <f>IF(AO118="0",BH118,0)</f>
        <v>0</v>
      </c>
      <c r="AG118" s="229" t="s">
        <v>154</v>
      </c>
      <c r="AH118" s="233">
        <f>IF(AL118=0,J118,0)</f>
        <v>0</v>
      </c>
      <c r="AI118" s="233">
        <f>IF(AL118=15,J118,0)</f>
        <v>0</v>
      </c>
      <c r="AJ118" s="233">
        <f>IF(AL118=21,J118,0)</f>
        <v>0</v>
      </c>
      <c r="AL118" s="233">
        <v>15</v>
      </c>
      <c r="AM118" s="233">
        <f>G118*0.007120613</f>
        <v>0</v>
      </c>
      <c r="AN118" s="233">
        <f>G118*(1-0.007120613)</f>
        <v>0</v>
      </c>
      <c r="AO118" s="234" t="s">
        <v>157</v>
      </c>
      <c r="AT118" s="233">
        <f>AU118+AV118</f>
        <v>0</v>
      </c>
      <c r="AU118" s="233">
        <f>F118*AM118</f>
        <v>0</v>
      </c>
      <c r="AV118" s="233">
        <f>F118*AN118</f>
        <v>0</v>
      </c>
      <c r="AW118" s="234" t="s">
        <v>543</v>
      </c>
      <c r="AX118" s="234" t="s">
        <v>356</v>
      </c>
      <c r="AY118" s="229" t="s">
        <v>164</v>
      </c>
      <c r="BA118" s="233">
        <f>AU118+AV118</f>
        <v>0</v>
      </c>
      <c r="BB118" s="233">
        <f>G118/(100-BC118)*100</f>
        <v>0</v>
      </c>
      <c r="BC118" s="233">
        <v>0</v>
      </c>
      <c r="BD118" s="233">
        <f>L118</f>
        <v>2.7E-4</v>
      </c>
      <c r="BF118" s="233">
        <f>F118*AM118</f>
        <v>0</v>
      </c>
      <c r="BG118" s="233">
        <f>F118*AN118</f>
        <v>0</v>
      </c>
      <c r="BH118" s="233">
        <f>F118*G118</f>
        <v>0</v>
      </c>
      <c r="BI118" s="233"/>
      <c r="BJ118" s="233">
        <v>87</v>
      </c>
      <c r="BU118" s="233" t="e">
        <f>#REF!</f>
        <v>#REF!</v>
      </c>
      <c r="BV118" s="225" t="s">
        <v>897</v>
      </c>
    </row>
    <row r="119" spans="1:74" ht="40.5" customHeight="1" x14ac:dyDescent="0.3">
      <c r="A119" s="241"/>
      <c r="B119" s="242" t="s">
        <v>165</v>
      </c>
      <c r="C119" s="530" t="s">
        <v>1756</v>
      </c>
      <c r="D119" s="531"/>
      <c r="E119" s="531"/>
      <c r="F119" s="531"/>
      <c r="G119" s="531"/>
      <c r="H119" s="531"/>
      <c r="I119" s="531"/>
      <c r="J119" s="531"/>
      <c r="K119" s="531"/>
      <c r="L119" s="531"/>
      <c r="M119" s="532"/>
    </row>
    <row r="120" spans="1:74" ht="14.4" x14ac:dyDescent="0.3">
      <c r="A120" s="239" t="s">
        <v>154</v>
      </c>
      <c r="B120" s="224" t="s">
        <v>360</v>
      </c>
      <c r="C120" s="526" t="s">
        <v>361</v>
      </c>
      <c r="D120" s="527"/>
      <c r="E120" s="223" t="s">
        <v>114</v>
      </c>
      <c r="F120" s="223" t="s">
        <v>114</v>
      </c>
      <c r="G120" s="223" t="s">
        <v>114</v>
      </c>
      <c r="H120" s="235">
        <f>SUM(H121:H131)</f>
        <v>0</v>
      </c>
      <c r="I120" s="235">
        <f>SUM(I121:I131)</f>
        <v>0</v>
      </c>
      <c r="J120" s="235">
        <f>SUM(J121:J131)</f>
        <v>0</v>
      </c>
      <c r="K120" s="230" t="s">
        <v>154</v>
      </c>
      <c r="L120" s="235">
        <f>SUM(L121:L131)</f>
        <v>0.24212999999999998</v>
      </c>
      <c r="M120" s="243" t="s">
        <v>154</v>
      </c>
      <c r="AG120" s="229" t="s">
        <v>154</v>
      </c>
      <c r="AQ120" s="222">
        <f>SUM(AH121:AH131)</f>
        <v>0</v>
      </c>
      <c r="AR120" s="222">
        <f>SUM(AI121:AI131)</f>
        <v>0</v>
      </c>
      <c r="AS120" s="222">
        <f>SUM(AJ121:AJ131)</f>
        <v>0</v>
      </c>
    </row>
    <row r="121" spans="1:74" ht="14.4" x14ac:dyDescent="0.3">
      <c r="A121" s="239" t="s">
        <v>337</v>
      </c>
      <c r="B121" s="223" t="s">
        <v>994</v>
      </c>
      <c r="C121" s="521" t="s">
        <v>995</v>
      </c>
      <c r="D121" s="519"/>
      <c r="E121" s="223" t="s">
        <v>365</v>
      </c>
      <c r="F121" s="233">
        <v>1</v>
      </c>
      <c r="G121" s="311">
        <v>0</v>
      </c>
      <c r="H121" s="233">
        <f>F121*AM121</f>
        <v>0</v>
      </c>
      <c r="I121" s="233">
        <f>F121*AN121</f>
        <v>0</v>
      </c>
      <c r="J121" s="233">
        <f>F121*G121</f>
        <v>0</v>
      </c>
      <c r="K121" s="233">
        <v>0.24171999999999999</v>
      </c>
      <c r="L121" s="233">
        <f>F121*K121</f>
        <v>0.24171999999999999</v>
      </c>
      <c r="M121" s="240" t="s">
        <v>472</v>
      </c>
      <c r="X121" s="233">
        <f>IF(AO121="5",BH121,0)</f>
        <v>0</v>
      </c>
      <c r="Z121" s="233">
        <f>IF(AO121="1",BF121,0)</f>
        <v>0</v>
      </c>
      <c r="AA121" s="233">
        <f>IF(AO121="1",BG121,0)</f>
        <v>0</v>
      </c>
      <c r="AB121" s="233">
        <f>IF(AO121="7",BF121,0)</f>
        <v>0</v>
      </c>
      <c r="AC121" s="233">
        <f>IF(AO121="7",BG121,0)</f>
        <v>0</v>
      </c>
      <c r="AD121" s="233">
        <f>IF(AO121="2",BF121,0)</f>
        <v>0</v>
      </c>
      <c r="AE121" s="233">
        <f>IF(AO121="2",BG121,0)</f>
        <v>0</v>
      </c>
      <c r="AF121" s="233">
        <f>IF(AO121="0",BH121,0)</f>
        <v>0</v>
      </c>
      <c r="AG121" s="229" t="s">
        <v>154</v>
      </c>
      <c r="AH121" s="233">
        <f>IF(AL121=0,J121,0)</f>
        <v>0</v>
      </c>
      <c r="AI121" s="233">
        <f>IF(AL121=15,J121,0)</f>
        <v>0</v>
      </c>
      <c r="AJ121" s="233">
        <f>IF(AL121=21,J121,0)</f>
        <v>0</v>
      </c>
      <c r="AL121" s="233">
        <v>15</v>
      </c>
      <c r="AM121" s="233">
        <f>G121*0.933391916</f>
        <v>0</v>
      </c>
      <c r="AN121" s="233">
        <f>G121*(1-0.933391916)</f>
        <v>0</v>
      </c>
      <c r="AO121" s="234" t="s">
        <v>157</v>
      </c>
      <c r="AT121" s="233">
        <f>AU121+AV121</f>
        <v>0</v>
      </c>
      <c r="AU121" s="233">
        <f>F121*AM121</f>
        <v>0</v>
      </c>
      <c r="AV121" s="233">
        <f>F121*AN121</f>
        <v>0</v>
      </c>
      <c r="AW121" s="234" t="s">
        <v>366</v>
      </c>
      <c r="AX121" s="234" t="s">
        <v>356</v>
      </c>
      <c r="AY121" s="229" t="s">
        <v>164</v>
      </c>
      <c r="BA121" s="233">
        <f>AU121+AV121</f>
        <v>0</v>
      </c>
      <c r="BB121" s="233">
        <f>G121/(100-BC121)*100</f>
        <v>0</v>
      </c>
      <c r="BC121" s="233">
        <v>0</v>
      </c>
      <c r="BD121" s="233">
        <f>L121</f>
        <v>0.24171999999999999</v>
      </c>
      <c r="BF121" s="233">
        <f>F121*AM121</f>
        <v>0</v>
      </c>
      <c r="BG121" s="233">
        <f>F121*AN121</f>
        <v>0</v>
      </c>
      <c r="BH121" s="233">
        <f>F121*G121</f>
        <v>0</v>
      </c>
      <c r="BI121" s="233"/>
      <c r="BJ121" s="233">
        <v>89</v>
      </c>
      <c r="BU121" s="233" t="e">
        <f>#REF!</f>
        <v>#REF!</v>
      </c>
      <c r="BV121" s="225" t="s">
        <v>995</v>
      </c>
    </row>
    <row r="122" spans="1:74" ht="135" customHeight="1" x14ac:dyDescent="0.3">
      <c r="A122" s="241"/>
      <c r="B122" s="242" t="s">
        <v>165</v>
      </c>
      <c r="C122" s="530" t="s">
        <v>1757</v>
      </c>
      <c r="D122" s="531"/>
      <c r="E122" s="531"/>
      <c r="F122" s="531"/>
      <c r="G122" s="531"/>
      <c r="H122" s="531"/>
      <c r="I122" s="531"/>
      <c r="J122" s="531"/>
      <c r="K122" s="531"/>
      <c r="L122" s="531"/>
      <c r="M122" s="532"/>
    </row>
    <row r="123" spans="1:74" ht="14.4" x14ac:dyDescent="0.3">
      <c r="A123" s="239" t="s">
        <v>341</v>
      </c>
      <c r="B123" s="223" t="s">
        <v>984</v>
      </c>
      <c r="C123" s="521" t="s">
        <v>985</v>
      </c>
      <c r="D123" s="519"/>
      <c r="E123" s="223" t="s">
        <v>160</v>
      </c>
      <c r="F123" s="233">
        <v>8.5</v>
      </c>
      <c r="G123" s="311">
        <v>0</v>
      </c>
      <c r="H123" s="233">
        <f>F123*AM123</f>
        <v>0</v>
      </c>
      <c r="I123" s="233">
        <f>F123*AN123</f>
        <v>0</v>
      </c>
      <c r="J123" s="233">
        <f>F123*G123</f>
        <v>0</v>
      </c>
      <c r="K123" s="233">
        <v>0</v>
      </c>
      <c r="L123" s="233">
        <f>F123*K123</f>
        <v>0</v>
      </c>
      <c r="M123" s="240" t="s">
        <v>472</v>
      </c>
      <c r="X123" s="233">
        <f>IF(AO123="5",BH123,0)</f>
        <v>0</v>
      </c>
      <c r="Z123" s="233">
        <f>IF(AO123="1",BF123,0)</f>
        <v>0</v>
      </c>
      <c r="AA123" s="233">
        <f>IF(AO123="1",BG123,0)</f>
        <v>0</v>
      </c>
      <c r="AB123" s="233">
        <f>IF(AO123="7",BF123,0)</f>
        <v>0</v>
      </c>
      <c r="AC123" s="233">
        <f>IF(AO123="7",BG123,0)</f>
        <v>0</v>
      </c>
      <c r="AD123" s="233">
        <f>IF(AO123="2",BF123,0)</f>
        <v>0</v>
      </c>
      <c r="AE123" s="233">
        <f>IF(AO123="2",BG123,0)</f>
        <v>0</v>
      </c>
      <c r="AF123" s="233">
        <f>IF(AO123="0",BH123,0)</f>
        <v>0</v>
      </c>
      <c r="AG123" s="229" t="s">
        <v>154</v>
      </c>
      <c r="AH123" s="233">
        <f>IF(AL123=0,J123,0)</f>
        <v>0</v>
      </c>
      <c r="AI123" s="233">
        <f>IF(AL123=15,J123,0)</f>
        <v>0</v>
      </c>
      <c r="AJ123" s="233">
        <f>IF(AL123=21,J123,0)</f>
        <v>0</v>
      </c>
      <c r="AL123" s="233">
        <v>15</v>
      </c>
      <c r="AM123" s="233">
        <f>G123*0.00622093</f>
        <v>0</v>
      </c>
      <c r="AN123" s="233">
        <f>G123*(1-0.00622093)</f>
        <v>0</v>
      </c>
      <c r="AO123" s="234" t="s">
        <v>157</v>
      </c>
      <c r="AT123" s="233">
        <f>AU123+AV123</f>
        <v>0</v>
      </c>
      <c r="AU123" s="233">
        <f>F123*AM123</f>
        <v>0</v>
      </c>
      <c r="AV123" s="233">
        <f>F123*AN123</f>
        <v>0</v>
      </c>
      <c r="AW123" s="234" t="s">
        <v>366</v>
      </c>
      <c r="AX123" s="234" t="s">
        <v>356</v>
      </c>
      <c r="AY123" s="229" t="s">
        <v>164</v>
      </c>
      <c r="BA123" s="233">
        <f>AU123+AV123</f>
        <v>0</v>
      </c>
      <c r="BB123" s="233">
        <f>G123/(100-BC123)*100</f>
        <v>0</v>
      </c>
      <c r="BC123" s="233">
        <v>0</v>
      </c>
      <c r="BD123" s="233">
        <f>L123</f>
        <v>0</v>
      </c>
      <c r="BF123" s="233">
        <f>F123*AM123</f>
        <v>0</v>
      </c>
      <c r="BG123" s="233">
        <f>F123*AN123</f>
        <v>0</v>
      </c>
      <c r="BH123" s="233">
        <f>F123*G123</f>
        <v>0</v>
      </c>
      <c r="BI123" s="233"/>
      <c r="BJ123" s="233">
        <v>89</v>
      </c>
      <c r="BU123" s="233" t="e">
        <f>#REF!</f>
        <v>#REF!</v>
      </c>
      <c r="BV123" s="225" t="s">
        <v>985</v>
      </c>
    </row>
    <row r="124" spans="1:74" ht="40.5" customHeight="1" x14ac:dyDescent="0.3">
      <c r="A124" s="241"/>
      <c r="B124" s="242" t="s">
        <v>165</v>
      </c>
      <c r="C124" s="530" t="s">
        <v>1814</v>
      </c>
      <c r="D124" s="531"/>
      <c r="E124" s="531"/>
      <c r="F124" s="531"/>
      <c r="G124" s="531"/>
      <c r="H124" s="531"/>
      <c r="I124" s="531"/>
      <c r="J124" s="531"/>
      <c r="K124" s="531"/>
      <c r="L124" s="531"/>
      <c r="M124" s="532"/>
    </row>
    <row r="125" spans="1:74" ht="14.4" x14ac:dyDescent="0.3">
      <c r="A125" s="239" t="s">
        <v>346</v>
      </c>
      <c r="B125" s="223" t="s">
        <v>922</v>
      </c>
      <c r="C125" s="521" t="s">
        <v>923</v>
      </c>
      <c r="D125" s="519"/>
      <c r="E125" s="223" t="s">
        <v>924</v>
      </c>
      <c r="F125" s="233">
        <v>1</v>
      </c>
      <c r="G125" s="311">
        <v>0</v>
      </c>
      <c r="H125" s="233">
        <f>F125*AM125</f>
        <v>0</v>
      </c>
      <c r="I125" s="233">
        <f>F125*AN125</f>
        <v>0</v>
      </c>
      <c r="J125" s="233">
        <f>F125*G125</f>
        <v>0</v>
      </c>
      <c r="K125" s="233">
        <v>4.0999999999999999E-4</v>
      </c>
      <c r="L125" s="233">
        <f>F125*K125</f>
        <v>4.0999999999999999E-4</v>
      </c>
      <c r="M125" s="240" t="s">
        <v>472</v>
      </c>
      <c r="X125" s="233">
        <f>IF(AO125="5",BH125,0)</f>
        <v>0</v>
      </c>
      <c r="Z125" s="233">
        <f>IF(AO125="1",BF125,0)</f>
        <v>0</v>
      </c>
      <c r="AA125" s="233">
        <f>IF(AO125="1",BG125,0)</f>
        <v>0</v>
      </c>
      <c r="AB125" s="233">
        <f>IF(AO125="7",BF125,0)</f>
        <v>0</v>
      </c>
      <c r="AC125" s="233">
        <f>IF(AO125="7",BG125,0)</f>
        <v>0</v>
      </c>
      <c r="AD125" s="233">
        <f>IF(AO125="2",BF125,0)</f>
        <v>0</v>
      </c>
      <c r="AE125" s="233">
        <f>IF(AO125="2",BG125,0)</f>
        <v>0</v>
      </c>
      <c r="AF125" s="233">
        <f>IF(AO125="0",BH125,0)</f>
        <v>0</v>
      </c>
      <c r="AG125" s="229" t="s">
        <v>154</v>
      </c>
      <c r="AH125" s="233">
        <f>IF(AL125=0,J125,0)</f>
        <v>0</v>
      </c>
      <c r="AI125" s="233">
        <f>IF(AL125=15,J125,0)</f>
        <v>0</v>
      </c>
      <c r="AJ125" s="233">
        <f>IF(AL125=21,J125,0)</f>
        <v>0</v>
      </c>
      <c r="AL125" s="233">
        <v>15</v>
      </c>
      <c r="AM125" s="233">
        <f>G125*0.120871568</f>
        <v>0</v>
      </c>
      <c r="AN125" s="233">
        <f>G125*(1-0.120871568)</f>
        <v>0</v>
      </c>
      <c r="AO125" s="234" t="s">
        <v>157</v>
      </c>
      <c r="AT125" s="233">
        <f>AU125+AV125</f>
        <v>0</v>
      </c>
      <c r="AU125" s="233">
        <f>F125*AM125</f>
        <v>0</v>
      </c>
      <c r="AV125" s="233">
        <f>F125*AN125</f>
        <v>0</v>
      </c>
      <c r="AW125" s="234" t="s">
        <v>366</v>
      </c>
      <c r="AX125" s="234" t="s">
        <v>356</v>
      </c>
      <c r="AY125" s="229" t="s">
        <v>164</v>
      </c>
      <c r="BA125" s="233">
        <f>AU125+AV125</f>
        <v>0</v>
      </c>
      <c r="BB125" s="233">
        <f>G125/(100-BC125)*100</f>
        <v>0</v>
      </c>
      <c r="BC125" s="233">
        <v>0</v>
      </c>
      <c r="BD125" s="233">
        <f>L125</f>
        <v>4.0999999999999999E-4</v>
      </c>
      <c r="BF125" s="233">
        <f>F125*AM125</f>
        <v>0</v>
      </c>
      <c r="BG125" s="233">
        <f>F125*AN125</f>
        <v>0</v>
      </c>
      <c r="BH125" s="233">
        <f>F125*G125</f>
        <v>0</v>
      </c>
      <c r="BI125" s="233"/>
      <c r="BJ125" s="233">
        <v>89</v>
      </c>
      <c r="BU125" s="233" t="e">
        <f>#REF!</f>
        <v>#REF!</v>
      </c>
      <c r="BV125" s="225" t="s">
        <v>923</v>
      </c>
    </row>
    <row r="126" spans="1:74" ht="40.5" customHeight="1" x14ac:dyDescent="0.3">
      <c r="A126" s="241"/>
      <c r="B126" s="242" t="s">
        <v>165</v>
      </c>
      <c r="C126" s="530" t="s">
        <v>1759</v>
      </c>
      <c r="D126" s="531"/>
      <c r="E126" s="531"/>
      <c r="F126" s="531"/>
      <c r="G126" s="531"/>
      <c r="H126" s="531"/>
      <c r="I126" s="531"/>
      <c r="J126" s="531"/>
      <c r="K126" s="531"/>
      <c r="L126" s="531"/>
      <c r="M126" s="532"/>
    </row>
    <row r="127" spans="1:74" ht="14.4" x14ac:dyDescent="0.3">
      <c r="A127" s="239" t="s">
        <v>352</v>
      </c>
      <c r="B127" s="223" t="s">
        <v>925</v>
      </c>
      <c r="C127" s="521" t="s">
        <v>926</v>
      </c>
      <c r="D127" s="519"/>
      <c r="E127" s="223" t="s">
        <v>160</v>
      </c>
      <c r="F127" s="233">
        <v>8.5</v>
      </c>
      <c r="G127" s="311">
        <v>0</v>
      </c>
      <c r="H127" s="233">
        <f>F127*AM127</f>
        <v>0</v>
      </c>
      <c r="I127" s="233">
        <f>F127*AN127</f>
        <v>0</v>
      </c>
      <c r="J127" s="233">
        <f>F127*G127</f>
        <v>0</v>
      </c>
      <c r="K127" s="233">
        <v>0</v>
      </c>
      <c r="L127" s="233">
        <f>F127*K127</f>
        <v>0</v>
      </c>
      <c r="M127" s="240" t="s">
        <v>472</v>
      </c>
      <c r="X127" s="233">
        <f>IF(AO127="5",BH127,0)</f>
        <v>0</v>
      </c>
      <c r="Z127" s="233">
        <f>IF(AO127="1",BF127,0)</f>
        <v>0</v>
      </c>
      <c r="AA127" s="233">
        <f>IF(AO127="1",BG127,0)</f>
        <v>0</v>
      </c>
      <c r="AB127" s="233">
        <f>IF(AO127="7",BF127,0)</f>
        <v>0</v>
      </c>
      <c r="AC127" s="233">
        <f>IF(AO127="7",BG127,0)</f>
        <v>0</v>
      </c>
      <c r="AD127" s="233">
        <f>IF(AO127="2",BF127,0)</f>
        <v>0</v>
      </c>
      <c r="AE127" s="233">
        <f>IF(AO127="2",BG127,0)</f>
        <v>0</v>
      </c>
      <c r="AF127" s="233">
        <f>IF(AO127="0",BH127,0)</f>
        <v>0</v>
      </c>
      <c r="AG127" s="229" t="s">
        <v>154</v>
      </c>
      <c r="AH127" s="233">
        <f>IF(AL127=0,J127,0)</f>
        <v>0</v>
      </c>
      <c r="AI127" s="233">
        <f>IF(AL127=15,J127,0)</f>
        <v>0</v>
      </c>
      <c r="AJ127" s="233">
        <f>IF(AL127=21,J127,0)</f>
        <v>0</v>
      </c>
      <c r="AL127" s="233">
        <v>15</v>
      </c>
      <c r="AM127" s="233">
        <f>G127*0.092249641</f>
        <v>0</v>
      </c>
      <c r="AN127" s="233">
        <f>G127*(1-0.092249641)</f>
        <v>0</v>
      </c>
      <c r="AO127" s="234" t="s">
        <v>157</v>
      </c>
      <c r="AT127" s="233">
        <f>AU127+AV127</f>
        <v>0</v>
      </c>
      <c r="AU127" s="233">
        <f>F127*AM127</f>
        <v>0</v>
      </c>
      <c r="AV127" s="233">
        <f>F127*AN127</f>
        <v>0</v>
      </c>
      <c r="AW127" s="234" t="s">
        <v>366</v>
      </c>
      <c r="AX127" s="234" t="s">
        <v>356</v>
      </c>
      <c r="AY127" s="229" t="s">
        <v>164</v>
      </c>
      <c r="BA127" s="233">
        <f>AU127+AV127</f>
        <v>0</v>
      </c>
      <c r="BB127" s="233">
        <f>G127/(100-BC127)*100</f>
        <v>0</v>
      </c>
      <c r="BC127" s="233">
        <v>0</v>
      </c>
      <c r="BD127" s="233">
        <f>L127</f>
        <v>0</v>
      </c>
      <c r="BF127" s="233">
        <f>F127*AM127</f>
        <v>0</v>
      </c>
      <c r="BG127" s="233">
        <f>F127*AN127</f>
        <v>0</v>
      </c>
      <c r="BH127" s="233">
        <f>F127*G127</f>
        <v>0</v>
      </c>
      <c r="BI127" s="233"/>
      <c r="BJ127" s="233">
        <v>89</v>
      </c>
      <c r="BU127" s="233" t="e">
        <f>#REF!</f>
        <v>#REF!</v>
      </c>
      <c r="BV127" s="225" t="s">
        <v>926</v>
      </c>
    </row>
    <row r="128" spans="1:74" ht="40.5" customHeight="1" x14ac:dyDescent="0.3">
      <c r="A128" s="241"/>
      <c r="B128" s="242" t="s">
        <v>165</v>
      </c>
      <c r="C128" s="530" t="s">
        <v>1815</v>
      </c>
      <c r="D128" s="531"/>
      <c r="E128" s="531"/>
      <c r="F128" s="531"/>
      <c r="G128" s="531"/>
      <c r="H128" s="531"/>
      <c r="I128" s="531"/>
      <c r="J128" s="531"/>
      <c r="K128" s="531"/>
      <c r="L128" s="531"/>
      <c r="M128" s="532"/>
    </row>
    <row r="129" spans="1:74" ht="14.4" x14ac:dyDescent="0.3">
      <c r="A129" s="239" t="s">
        <v>357</v>
      </c>
      <c r="B129" s="223" t="s">
        <v>986</v>
      </c>
      <c r="C129" s="521" t="s">
        <v>987</v>
      </c>
      <c r="D129" s="519"/>
      <c r="E129" s="223" t="s">
        <v>160</v>
      </c>
      <c r="F129" s="233">
        <v>8.5</v>
      </c>
      <c r="G129" s="311">
        <v>0</v>
      </c>
      <c r="H129" s="233">
        <f>F129*AM129</f>
        <v>0</v>
      </c>
      <c r="I129" s="233">
        <f>F129*AN129</f>
        <v>0</v>
      </c>
      <c r="J129" s="233">
        <f>F129*G129</f>
        <v>0</v>
      </c>
      <c r="K129" s="233">
        <v>0</v>
      </c>
      <c r="L129" s="233">
        <f>F129*K129</f>
        <v>0</v>
      </c>
      <c r="M129" s="240" t="s">
        <v>472</v>
      </c>
      <c r="X129" s="233">
        <f>IF(AO129="5",BH129,0)</f>
        <v>0</v>
      </c>
      <c r="Z129" s="233">
        <f>IF(AO129="1",BF129,0)</f>
        <v>0</v>
      </c>
      <c r="AA129" s="233">
        <f>IF(AO129="1",BG129,0)</f>
        <v>0</v>
      </c>
      <c r="AB129" s="233">
        <f>IF(AO129="7",BF129,0)</f>
        <v>0</v>
      </c>
      <c r="AC129" s="233">
        <f>IF(AO129="7",BG129,0)</f>
        <v>0</v>
      </c>
      <c r="AD129" s="233">
        <f>IF(AO129="2",BF129,0)</f>
        <v>0</v>
      </c>
      <c r="AE129" s="233">
        <f>IF(AO129="2",BG129,0)</f>
        <v>0</v>
      </c>
      <c r="AF129" s="233">
        <f>IF(AO129="0",BH129,0)</f>
        <v>0</v>
      </c>
      <c r="AG129" s="229" t="s">
        <v>154</v>
      </c>
      <c r="AH129" s="233">
        <f>IF(AL129=0,J129,0)</f>
        <v>0</v>
      </c>
      <c r="AI129" s="233">
        <f>IF(AL129=15,J129,0)</f>
        <v>0</v>
      </c>
      <c r="AJ129" s="233">
        <f>IF(AL129=21,J129,0)</f>
        <v>0</v>
      </c>
      <c r="AL129" s="233">
        <v>15</v>
      </c>
      <c r="AM129" s="233">
        <f>G129*0</f>
        <v>0</v>
      </c>
      <c r="AN129" s="233">
        <f>G129*(1-0)</f>
        <v>0</v>
      </c>
      <c r="AO129" s="234" t="s">
        <v>157</v>
      </c>
      <c r="AT129" s="233">
        <f>AU129+AV129</f>
        <v>0</v>
      </c>
      <c r="AU129" s="233">
        <f>F129*AM129</f>
        <v>0</v>
      </c>
      <c r="AV129" s="233">
        <f>F129*AN129</f>
        <v>0</v>
      </c>
      <c r="AW129" s="234" t="s">
        <v>366</v>
      </c>
      <c r="AX129" s="234" t="s">
        <v>356</v>
      </c>
      <c r="AY129" s="229" t="s">
        <v>164</v>
      </c>
      <c r="BA129" s="233">
        <f>AU129+AV129</f>
        <v>0</v>
      </c>
      <c r="BB129" s="233">
        <f>G129/(100-BC129)*100</f>
        <v>0</v>
      </c>
      <c r="BC129" s="233">
        <v>0</v>
      </c>
      <c r="BD129" s="233">
        <f>L129</f>
        <v>0</v>
      </c>
      <c r="BF129" s="233">
        <f>F129*AM129</f>
        <v>0</v>
      </c>
      <c r="BG129" s="233">
        <f>F129*AN129</f>
        <v>0</v>
      </c>
      <c r="BH129" s="233">
        <f>F129*G129</f>
        <v>0</v>
      </c>
      <c r="BI129" s="233"/>
      <c r="BJ129" s="233">
        <v>89</v>
      </c>
      <c r="BU129" s="233" t="e">
        <f>#REF!</f>
        <v>#REF!</v>
      </c>
      <c r="BV129" s="225" t="s">
        <v>987</v>
      </c>
    </row>
    <row r="130" spans="1:74" ht="40.5" customHeight="1" x14ac:dyDescent="0.3">
      <c r="A130" s="241"/>
      <c r="B130" s="242" t="s">
        <v>165</v>
      </c>
      <c r="C130" s="530" t="s">
        <v>1816</v>
      </c>
      <c r="D130" s="531"/>
      <c r="E130" s="531"/>
      <c r="F130" s="531"/>
      <c r="G130" s="531"/>
      <c r="H130" s="531"/>
      <c r="I130" s="531"/>
      <c r="J130" s="531"/>
      <c r="K130" s="531"/>
      <c r="L130" s="531"/>
      <c r="M130" s="532"/>
    </row>
    <row r="131" spans="1:74" ht="14.4" x14ac:dyDescent="0.3">
      <c r="A131" s="239" t="s">
        <v>362</v>
      </c>
      <c r="B131" s="223" t="s">
        <v>438</v>
      </c>
      <c r="C131" s="521" t="s">
        <v>439</v>
      </c>
      <c r="D131" s="519"/>
      <c r="E131" s="223" t="s">
        <v>160</v>
      </c>
      <c r="F131" s="233">
        <v>9.35</v>
      </c>
      <c r="G131" s="311">
        <v>0</v>
      </c>
      <c r="H131" s="233">
        <f>F131*AM131</f>
        <v>0</v>
      </c>
      <c r="I131" s="233">
        <f>F131*AN131</f>
        <v>0</v>
      </c>
      <c r="J131" s="233">
        <f>F131*G131</f>
        <v>0</v>
      </c>
      <c r="K131" s="233">
        <v>0</v>
      </c>
      <c r="L131" s="233">
        <f>F131*K131</f>
        <v>0</v>
      </c>
      <c r="M131" s="240" t="s">
        <v>472</v>
      </c>
      <c r="X131" s="233">
        <f>IF(AO131="5",BH131,0)</f>
        <v>0</v>
      </c>
      <c r="Z131" s="233">
        <f>IF(AO131="1",BF131,0)</f>
        <v>0</v>
      </c>
      <c r="AA131" s="233">
        <f>IF(AO131="1",BG131,0)</f>
        <v>0</v>
      </c>
      <c r="AB131" s="233">
        <f>IF(AO131="7",BF131,0)</f>
        <v>0</v>
      </c>
      <c r="AC131" s="233">
        <f>IF(AO131="7",BG131,0)</f>
        <v>0</v>
      </c>
      <c r="AD131" s="233">
        <f>IF(AO131="2",BF131,0)</f>
        <v>0</v>
      </c>
      <c r="AE131" s="233">
        <f>IF(AO131="2",BG131,0)</f>
        <v>0</v>
      </c>
      <c r="AF131" s="233">
        <f>IF(AO131="0",BH131,0)</f>
        <v>0</v>
      </c>
      <c r="AG131" s="229" t="s">
        <v>154</v>
      </c>
      <c r="AH131" s="233">
        <f>IF(AL131=0,J131,0)</f>
        <v>0</v>
      </c>
      <c r="AI131" s="233">
        <f>IF(AL131=15,J131,0)</f>
        <v>0</v>
      </c>
      <c r="AJ131" s="233">
        <f>IF(AL131=21,J131,0)</f>
        <v>0</v>
      </c>
      <c r="AL131" s="233">
        <v>15</v>
      </c>
      <c r="AM131" s="233">
        <f>G131*0.353904478</f>
        <v>0</v>
      </c>
      <c r="AN131" s="233">
        <f>G131*(1-0.353904478)</f>
        <v>0</v>
      </c>
      <c r="AO131" s="234" t="s">
        <v>157</v>
      </c>
      <c r="AT131" s="233">
        <f>AU131+AV131</f>
        <v>0</v>
      </c>
      <c r="AU131" s="233">
        <f>F131*AM131</f>
        <v>0</v>
      </c>
      <c r="AV131" s="233">
        <f>F131*AN131</f>
        <v>0</v>
      </c>
      <c r="AW131" s="234" t="s">
        <v>366</v>
      </c>
      <c r="AX131" s="234" t="s">
        <v>356</v>
      </c>
      <c r="AY131" s="229" t="s">
        <v>164</v>
      </c>
      <c r="BA131" s="233">
        <f>AU131+AV131</f>
        <v>0</v>
      </c>
      <c r="BB131" s="233">
        <f>G131/(100-BC131)*100</f>
        <v>0</v>
      </c>
      <c r="BC131" s="233">
        <v>0</v>
      </c>
      <c r="BD131" s="233">
        <f>L131</f>
        <v>0</v>
      </c>
      <c r="BF131" s="233">
        <f>F131*AM131</f>
        <v>0</v>
      </c>
      <c r="BG131" s="233">
        <f>F131*AN131</f>
        <v>0</v>
      </c>
      <c r="BH131" s="233">
        <f>F131*G131</f>
        <v>0</v>
      </c>
      <c r="BI131" s="233"/>
      <c r="BJ131" s="233">
        <v>89</v>
      </c>
      <c r="BU131" s="233" t="e">
        <f>#REF!</f>
        <v>#REF!</v>
      </c>
      <c r="BV131" s="225" t="s">
        <v>439</v>
      </c>
    </row>
    <row r="132" spans="1:74" ht="40.5" customHeight="1" x14ac:dyDescent="0.3">
      <c r="A132" s="241"/>
      <c r="B132" s="242" t="s">
        <v>165</v>
      </c>
      <c r="C132" s="530" t="s">
        <v>1817</v>
      </c>
      <c r="D132" s="531"/>
      <c r="E132" s="531"/>
      <c r="F132" s="531"/>
      <c r="G132" s="531"/>
      <c r="H132" s="531"/>
      <c r="I132" s="531"/>
      <c r="J132" s="531"/>
      <c r="K132" s="531"/>
      <c r="L132" s="531"/>
      <c r="M132" s="532"/>
    </row>
    <row r="133" spans="1:74" ht="14.4" x14ac:dyDescent="0.3">
      <c r="A133" s="239" t="s">
        <v>154</v>
      </c>
      <c r="B133" s="224" t="s">
        <v>370</v>
      </c>
      <c r="C133" s="526" t="s">
        <v>371</v>
      </c>
      <c r="D133" s="527"/>
      <c r="E133" s="223" t="s">
        <v>114</v>
      </c>
      <c r="F133" s="223" t="s">
        <v>114</v>
      </c>
      <c r="G133" s="223" t="s">
        <v>114</v>
      </c>
      <c r="H133" s="235">
        <f>SUM(H134:H134)</f>
        <v>0</v>
      </c>
      <c r="I133" s="235">
        <f>SUM(I134:I134)</f>
        <v>0</v>
      </c>
      <c r="J133" s="235">
        <f>SUM(J134:J134)</f>
        <v>0</v>
      </c>
      <c r="K133" s="230" t="s">
        <v>154</v>
      </c>
      <c r="L133" s="235">
        <f>SUM(L134:L134)</f>
        <v>5.9499999999999996E-3</v>
      </c>
      <c r="M133" s="243" t="s">
        <v>154</v>
      </c>
      <c r="AG133" s="229" t="s">
        <v>154</v>
      </c>
      <c r="AQ133" s="222">
        <f>SUM(AH134:AH134)</f>
        <v>0</v>
      </c>
      <c r="AR133" s="222">
        <f>SUM(AI134:AI134)</f>
        <v>0</v>
      </c>
      <c r="AS133" s="222">
        <f>SUM(AJ134:AJ134)</f>
        <v>0</v>
      </c>
    </row>
    <row r="134" spans="1:74" ht="14.4" x14ac:dyDescent="0.3">
      <c r="A134" s="239" t="s">
        <v>367</v>
      </c>
      <c r="B134" s="223" t="s">
        <v>372</v>
      </c>
      <c r="C134" s="521" t="s">
        <v>373</v>
      </c>
      <c r="D134" s="519"/>
      <c r="E134" s="223" t="s">
        <v>160</v>
      </c>
      <c r="F134" s="233">
        <v>8.5</v>
      </c>
      <c r="G134" s="311">
        <v>0</v>
      </c>
      <c r="H134" s="233">
        <f>F134*AM134</f>
        <v>0</v>
      </c>
      <c r="I134" s="233">
        <f>F134*AN134</f>
        <v>0</v>
      </c>
      <c r="J134" s="233">
        <f>F134*G134</f>
        <v>0</v>
      </c>
      <c r="K134" s="233">
        <v>6.9999999999999999E-4</v>
      </c>
      <c r="L134" s="233">
        <f>F134*K134</f>
        <v>5.9499999999999996E-3</v>
      </c>
      <c r="M134" s="240" t="s">
        <v>472</v>
      </c>
      <c r="X134" s="233">
        <f>IF(AO134="5",BH134,0)</f>
        <v>0</v>
      </c>
      <c r="Z134" s="233">
        <f>IF(AO134="1",BF134,0)</f>
        <v>0</v>
      </c>
      <c r="AA134" s="233">
        <f>IF(AO134="1",BG134,0)</f>
        <v>0</v>
      </c>
      <c r="AB134" s="233">
        <f>IF(AO134="7",BF134,0)</f>
        <v>0</v>
      </c>
      <c r="AC134" s="233">
        <f>IF(AO134="7",BG134,0)</f>
        <v>0</v>
      </c>
      <c r="AD134" s="233">
        <f>IF(AO134="2",BF134,0)</f>
        <v>0</v>
      </c>
      <c r="AE134" s="233">
        <f>IF(AO134="2",BG134,0)</f>
        <v>0</v>
      </c>
      <c r="AF134" s="233">
        <f>IF(AO134="0",BH134,0)</f>
        <v>0</v>
      </c>
      <c r="AG134" s="229" t="s">
        <v>154</v>
      </c>
      <c r="AH134" s="233">
        <f>IF(AL134=0,J134,0)</f>
        <v>0</v>
      </c>
      <c r="AI134" s="233">
        <f>IF(AL134=15,J134,0)</f>
        <v>0</v>
      </c>
      <c r="AJ134" s="233">
        <f>IF(AL134=21,J134,0)</f>
        <v>0</v>
      </c>
      <c r="AL134" s="233">
        <v>15</v>
      </c>
      <c r="AM134" s="233">
        <f>G134*0.071213259</f>
        <v>0</v>
      </c>
      <c r="AN134" s="233">
        <f>G134*(1-0.071213259)</f>
        <v>0</v>
      </c>
      <c r="AO134" s="234" t="s">
        <v>157</v>
      </c>
      <c r="AT134" s="233">
        <f>AU134+AV134</f>
        <v>0</v>
      </c>
      <c r="AU134" s="233">
        <f>F134*AM134</f>
        <v>0</v>
      </c>
      <c r="AV134" s="233">
        <f>F134*AN134</f>
        <v>0</v>
      </c>
      <c r="AW134" s="234" t="s">
        <v>374</v>
      </c>
      <c r="AX134" s="234" t="s">
        <v>375</v>
      </c>
      <c r="AY134" s="229" t="s">
        <v>164</v>
      </c>
      <c r="BA134" s="233">
        <f>AU134+AV134</f>
        <v>0</v>
      </c>
      <c r="BB134" s="233">
        <f>G134/(100-BC134)*100</f>
        <v>0</v>
      </c>
      <c r="BC134" s="233">
        <v>0</v>
      </c>
      <c r="BD134" s="233">
        <f>L134</f>
        <v>5.9499999999999996E-3</v>
      </c>
      <c r="BF134" s="233">
        <f>F134*AM134</f>
        <v>0</v>
      </c>
      <c r="BG134" s="233">
        <f>F134*AN134</f>
        <v>0</v>
      </c>
      <c r="BH134" s="233">
        <f>F134*G134</f>
        <v>0</v>
      </c>
      <c r="BI134" s="233"/>
      <c r="BJ134" s="233">
        <v>93</v>
      </c>
      <c r="BU134" s="233" t="e">
        <f>#REF!</f>
        <v>#REF!</v>
      </c>
      <c r="BV134" s="225" t="s">
        <v>373</v>
      </c>
    </row>
    <row r="135" spans="1:74" ht="40.5" customHeight="1" x14ac:dyDescent="0.3">
      <c r="A135" s="241"/>
      <c r="B135" s="242" t="s">
        <v>165</v>
      </c>
      <c r="C135" s="530" t="s">
        <v>1818</v>
      </c>
      <c r="D135" s="531"/>
      <c r="E135" s="531"/>
      <c r="F135" s="531"/>
      <c r="G135" s="531"/>
      <c r="H135" s="531"/>
      <c r="I135" s="531"/>
      <c r="J135" s="531"/>
      <c r="K135" s="531"/>
      <c r="L135" s="531"/>
      <c r="M135" s="532"/>
    </row>
    <row r="136" spans="1:74" ht="14.4" x14ac:dyDescent="0.3">
      <c r="A136" s="239" t="s">
        <v>154</v>
      </c>
      <c r="B136" s="224" t="s">
        <v>376</v>
      </c>
      <c r="C136" s="526" t="s">
        <v>377</v>
      </c>
      <c r="D136" s="527"/>
      <c r="E136" s="223" t="s">
        <v>114</v>
      </c>
      <c r="F136" s="223" t="s">
        <v>114</v>
      </c>
      <c r="G136" s="223" t="s">
        <v>114</v>
      </c>
      <c r="H136" s="235">
        <f>SUM(H137:H137)</f>
        <v>0</v>
      </c>
      <c r="I136" s="235">
        <f>SUM(I137:I137)</f>
        <v>0</v>
      </c>
      <c r="J136" s="235">
        <f>SUM(J137:J137)</f>
        <v>0</v>
      </c>
      <c r="K136" s="230" t="s">
        <v>154</v>
      </c>
      <c r="L136" s="235">
        <f>SUM(L137:L137)</f>
        <v>0</v>
      </c>
      <c r="M136" s="243" t="s">
        <v>154</v>
      </c>
      <c r="AG136" s="229" t="s">
        <v>154</v>
      </c>
      <c r="AQ136" s="222">
        <f>SUM(AH137:AH137)</f>
        <v>0</v>
      </c>
      <c r="AR136" s="222">
        <f>SUM(AI137:AI137)</f>
        <v>0</v>
      </c>
      <c r="AS136" s="222">
        <f>SUM(AJ137:AJ137)</f>
        <v>0</v>
      </c>
    </row>
    <row r="137" spans="1:74" ht="14.4" x14ac:dyDescent="0.3">
      <c r="A137" s="239" t="s">
        <v>305</v>
      </c>
      <c r="B137" s="223" t="s">
        <v>378</v>
      </c>
      <c r="C137" s="521" t="s">
        <v>379</v>
      </c>
      <c r="D137" s="519"/>
      <c r="E137" s="223" t="s">
        <v>380</v>
      </c>
      <c r="F137" s="233">
        <v>8.23</v>
      </c>
      <c r="G137" s="311">
        <v>0</v>
      </c>
      <c r="H137" s="233">
        <f>F137*AM137</f>
        <v>0</v>
      </c>
      <c r="I137" s="233">
        <f>F137*AN137</f>
        <v>0</v>
      </c>
      <c r="J137" s="233">
        <f>F137*G137</f>
        <v>0</v>
      </c>
      <c r="K137" s="233">
        <v>0</v>
      </c>
      <c r="L137" s="233">
        <f>F137*K137</f>
        <v>0</v>
      </c>
      <c r="M137" s="240" t="s">
        <v>472</v>
      </c>
      <c r="X137" s="233">
        <f>IF(AO137="5",BH137,0)</f>
        <v>0</v>
      </c>
      <c r="Z137" s="233">
        <f>IF(AO137="1",BF137,0)</f>
        <v>0</v>
      </c>
      <c r="AA137" s="233">
        <f>IF(AO137="1",BG137,0)</f>
        <v>0</v>
      </c>
      <c r="AB137" s="233">
        <f>IF(AO137="7",BF137,0)</f>
        <v>0</v>
      </c>
      <c r="AC137" s="233">
        <f>IF(AO137="7",BG137,0)</f>
        <v>0</v>
      </c>
      <c r="AD137" s="233">
        <f>IF(AO137="2",BF137,0)</f>
        <v>0</v>
      </c>
      <c r="AE137" s="233">
        <f>IF(AO137="2",BG137,0)</f>
        <v>0</v>
      </c>
      <c r="AF137" s="233">
        <f>IF(AO137="0",BH137,0)</f>
        <v>0</v>
      </c>
      <c r="AG137" s="229" t="s">
        <v>154</v>
      </c>
      <c r="AH137" s="233">
        <f>IF(AL137=0,J137,0)</f>
        <v>0</v>
      </c>
      <c r="AI137" s="233">
        <f>IF(AL137=15,J137,0)</f>
        <v>0</v>
      </c>
      <c r="AJ137" s="233">
        <f>IF(AL137=21,J137,0)</f>
        <v>0</v>
      </c>
      <c r="AL137" s="233">
        <v>15</v>
      </c>
      <c r="AM137" s="233">
        <f>G137*0</f>
        <v>0</v>
      </c>
      <c r="AN137" s="233">
        <f>G137*(1-0)</f>
        <v>0</v>
      </c>
      <c r="AO137" s="234" t="s">
        <v>157</v>
      </c>
      <c r="AT137" s="233">
        <f>AU137+AV137</f>
        <v>0</v>
      </c>
      <c r="AU137" s="233">
        <f>F137*AM137</f>
        <v>0</v>
      </c>
      <c r="AV137" s="233">
        <f>F137*AN137</f>
        <v>0</v>
      </c>
      <c r="AW137" s="234" t="s">
        <v>381</v>
      </c>
      <c r="AX137" s="234" t="s">
        <v>375</v>
      </c>
      <c r="AY137" s="229" t="s">
        <v>164</v>
      </c>
      <c r="BA137" s="233">
        <f>AU137+AV137</f>
        <v>0</v>
      </c>
      <c r="BB137" s="233">
        <f>G137/(100-BC137)*100</f>
        <v>0</v>
      </c>
      <c r="BC137" s="233">
        <v>0</v>
      </c>
      <c r="BD137" s="233">
        <f>L137</f>
        <v>0</v>
      </c>
      <c r="BF137" s="233">
        <f>F137*AM137</f>
        <v>0</v>
      </c>
      <c r="BG137" s="233">
        <f>F137*AN137</f>
        <v>0</v>
      </c>
      <c r="BH137" s="233">
        <f>F137*G137</f>
        <v>0</v>
      </c>
      <c r="BI137" s="233"/>
      <c r="BJ137" s="233">
        <v>97</v>
      </c>
      <c r="BU137" s="233" t="e">
        <f>#REF!</f>
        <v>#REF!</v>
      </c>
      <c r="BV137" s="225" t="s">
        <v>379</v>
      </c>
    </row>
    <row r="138" spans="1:74" ht="27" customHeight="1" x14ac:dyDescent="0.3">
      <c r="A138" s="241"/>
      <c r="B138" s="242" t="s">
        <v>165</v>
      </c>
      <c r="C138" s="530" t="s">
        <v>1819</v>
      </c>
      <c r="D138" s="531"/>
      <c r="E138" s="531"/>
      <c r="F138" s="531"/>
      <c r="G138" s="531"/>
      <c r="H138" s="531"/>
      <c r="I138" s="531"/>
      <c r="J138" s="531"/>
      <c r="K138" s="531"/>
      <c r="L138" s="531"/>
      <c r="M138" s="532"/>
    </row>
    <row r="139" spans="1:74" ht="14.4" x14ac:dyDescent="0.3">
      <c r="A139" s="239" t="s">
        <v>154</v>
      </c>
      <c r="B139" s="224" t="s">
        <v>382</v>
      </c>
      <c r="C139" s="526" t="s">
        <v>383</v>
      </c>
      <c r="D139" s="527"/>
      <c r="E139" s="223" t="s">
        <v>114</v>
      </c>
      <c r="F139" s="223" t="s">
        <v>114</v>
      </c>
      <c r="G139" s="223" t="s">
        <v>114</v>
      </c>
      <c r="H139" s="235">
        <f>SUM(H140:H145)</f>
        <v>0</v>
      </c>
      <c r="I139" s="235">
        <f>SUM(I140:I145)</f>
        <v>0</v>
      </c>
      <c r="J139" s="235">
        <f>SUM(J140:J145)</f>
        <v>0</v>
      </c>
      <c r="K139" s="230" t="s">
        <v>154</v>
      </c>
      <c r="L139" s="235">
        <f>SUM(L140:L145)</f>
        <v>0</v>
      </c>
      <c r="M139" s="243" t="s">
        <v>154</v>
      </c>
      <c r="AG139" s="229" t="s">
        <v>154</v>
      </c>
      <c r="AQ139" s="222">
        <f>SUM(AH140:AH145)</f>
        <v>0</v>
      </c>
      <c r="AR139" s="222">
        <f>SUM(AI140:AI145)</f>
        <v>0</v>
      </c>
      <c r="AS139" s="222">
        <f>SUM(AJ140:AJ145)</f>
        <v>0</v>
      </c>
    </row>
    <row r="140" spans="1:74" ht="14.4" x14ac:dyDescent="0.3">
      <c r="A140" s="264" t="s">
        <v>335</v>
      </c>
      <c r="B140" s="265" t="s">
        <v>385</v>
      </c>
      <c r="C140" s="547" t="s">
        <v>386</v>
      </c>
      <c r="D140" s="548"/>
      <c r="E140" s="265" t="s">
        <v>380</v>
      </c>
      <c r="F140" s="266">
        <v>10.98</v>
      </c>
      <c r="G140" s="311">
        <v>0</v>
      </c>
      <c r="H140" s="266">
        <f>F140*AM140</f>
        <v>0</v>
      </c>
      <c r="I140" s="266">
        <f>F140*AN140</f>
        <v>0</v>
      </c>
      <c r="J140" s="266">
        <f>F140*G140</f>
        <v>0</v>
      </c>
      <c r="K140" s="266">
        <v>0</v>
      </c>
      <c r="L140" s="266">
        <f>F140*K140</f>
        <v>0</v>
      </c>
      <c r="M140" s="267" t="s">
        <v>472</v>
      </c>
      <c r="X140" s="233">
        <f>IF(AO140="5",BH140,0)</f>
        <v>0</v>
      </c>
      <c r="Z140" s="233">
        <f>IF(AO140="1",BF140,0)</f>
        <v>0</v>
      </c>
      <c r="AA140" s="233">
        <f>IF(AO140="1",BG140,0)</f>
        <v>0</v>
      </c>
      <c r="AB140" s="233">
        <f>IF(AO140="7",BF140,0)</f>
        <v>0</v>
      </c>
      <c r="AC140" s="233">
        <f>IF(AO140="7",BG140,0)</f>
        <v>0</v>
      </c>
      <c r="AD140" s="233">
        <f>IF(AO140="2",BF140,0)</f>
        <v>0</v>
      </c>
      <c r="AE140" s="233">
        <f>IF(AO140="2",BG140,0)</f>
        <v>0</v>
      </c>
      <c r="AF140" s="233">
        <f>IF(AO140="0",BH140,0)</f>
        <v>0</v>
      </c>
      <c r="AG140" s="229" t="s">
        <v>154</v>
      </c>
      <c r="AH140" s="233">
        <f>IF(AL140=0,J140,0)</f>
        <v>0</v>
      </c>
      <c r="AI140" s="233">
        <f>IF(AL140=15,J140,0)</f>
        <v>0</v>
      </c>
      <c r="AJ140" s="233">
        <f>IF(AL140=21,J140,0)</f>
        <v>0</v>
      </c>
      <c r="AL140" s="233">
        <v>15</v>
      </c>
      <c r="AM140" s="233">
        <f>G140*0</f>
        <v>0</v>
      </c>
      <c r="AN140" s="233">
        <f>G140*(1-0)</f>
        <v>0</v>
      </c>
      <c r="AO140" s="234" t="s">
        <v>177</v>
      </c>
      <c r="AT140" s="233">
        <f>AU140+AV140</f>
        <v>0</v>
      </c>
      <c r="AU140" s="233">
        <f>F140*AM140</f>
        <v>0</v>
      </c>
      <c r="AV140" s="233">
        <f>F140*AN140</f>
        <v>0</v>
      </c>
      <c r="AW140" s="234" t="s">
        <v>387</v>
      </c>
      <c r="AX140" s="234" t="s">
        <v>375</v>
      </c>
      <c r="AY140" s="229" t="s">
        <v>164</v>
      </c>
      <c r="BA140" s="233">
        <f>AU140+AV140</f>
        <v>0</v>
      </c>
      <c r="BB140" s="233">
        <f>G140/(100-BC140)*100</f>
        <v>0</v>
      </c>
      <c r="BC140" s="233">
        <v>0</v>
      </c>
      <c r="BD140" s="233">
        <f>L140</f>
        <v>0</v>
      </c>
      <c r="BF140" s="233">
        <f>F140*AM140</f>
        <v>0</v>
      </c>
      <c r="BG140" s="233">
        <f>F140*AN140</f>
        <v>0</v>
      </c>
      <c r="BH140" s="233">
        <f>F140*G140</f>
        <v>0</v>
      </c>
      <c r="BI140" s="233"/>
      <c r="BJ140" s="233"/>
      <c r="BU140" s="233" t="e">
        <f>#REF!</f>
        <v>#REF!</v>
      </c>
      <c r="BV140" s="225" t="s">
        <v>386</v>
      </c>
    </row>
    <row r="141" spans="1:74" ht="14.4" x14ac:dyDescent="0.3">
      <c r="A141" s="237" t="s">
        <v>384</v>
      </c>
      <c r="B141" s="238" t="s">
        <v>388</v>
      </c>
      <c r="C141" s="543" t="s">
        <v>389</v>
      </c>
      <c r="D141" s="544"/>
      <c r="E141" s="238" t="s">
        <v>380</v>
      </c>
      <c r="F141" s="258">
        <v>189.41</v>
      </c>
      <c r="G141" s="311">
        <v>0</v>
      </c>
      <c r="H141" s="258">
        <f>F141*AM141</f>
        <v>0</v>
      </c>
      <c r="I141" s="258">
        <f>F141*AN141</f>
        <v>0</v>
      </c>
      <c r="J141" s="258">
        <f>F141*G141</f>
        <v>0</v>
      </c>
      <c r="K141" s="258">
        <v>0</v>
      </c>
      <c r="L141" s="258">
        <f>F141*K141</f>
        <v>0</v>
      </c>
      <c r="M141" s="259" t="s">
        <v>472</v>
      </c>
      <c r="X141" s="233">
        <f>IF(AO141="5",BH141,0)</f>
        <v>0</v>
      </c>
      <c r="Z141" s="233">
        <f>IF(AO141="1",BF141,0)</f>
        <v>0</v>
      </c>
      <c r="AA141" s="233">
        <f>IF(AO141="1",BG141,0)</f>
        <v>0</v>
      </c>
      <c r="AB141" s="233">
        <f>IF(AO141="7",BF141,0)</f>
        <v>0</v>
      </c>
      <c r="AC141" s="233">
        <f>IF(AO141="7",BG141,0)</f>
        <v>0</v>
      </c>
      <c r="AD141" s="233">
        <f>IF(AO141="2",BF141,0)</f>
        <v>0</v>
      </c>
      <c r="AE141" s="233">
        <f>IF(AO141="2",BG141,0)</f>
        <v>0</v>
      </c>
      <c r="AF141" s="233">
        <f>IF(AO141="0",BH141,0)</f>
        <v>0</v>
      </c>
      <c r="AG141" s="229" t="s">
        <v>154</v>
      </c>
      <c r="AH141" s="233">
        <f>IF(AL141=0,J141,0)</f>
        <v>0</v>
      </c>
      <c r="AI141" s="233">
        <f>IF(AL141=15,J141,0)</f>
        <v>0</v>
      </c>
      <c r="AJ141" s="233">
        <f>IF(AL141=21,J141,0)</f>
        <v>0</v>
      </c>
      <c r="AL141" s="233">
        <v>15</v>
      </c>
      <c r="AM141" s="233">
        <f>G141*0</f>
        <v>0</v>
      </c>
      <c r="AN141" s="233">
        <f>G141*(1-0)</f>
        <v>0</v>
      </c>
      <c r="AO141" s="234" t="s">
        <v>177</v>
      </c>
      <c r="AT141" s="233">
        <f>AU141+AV141</f>
        <v>0</v>
      </c>
      <c r="AU141" s="233">
        <f>F141*AM141</f>
        <v>0</v>
      </c>
      <c r="AV141" s="233">
        <f>F141*AN141</f>
        <v>0</v>
      </c>
      <c r="AW141" s="234" t="s">
        <v>387</v>
      </c>
      <c r="AX141" s="234" t="s">
        <v>375</v>
      </c>
      <c r="AY141" s="229" t="s">
        <v>164</v>
      </c>
      <c r="BA141" s="233">
        <f>AU141+AV141</f>
        <v>0</v>
      </c>
      <c r="BB141" s="233">
        <f>G141/(100-BC141)*100</f>
        <v>0</v>
      </c>
      <c r="BC141" s="233">
        <v>0</v>
      </c>
      <c r="BD141" s="233">
        <f>L141</f>
        <v>0</v>
      </c>
      <c r="BF141" s="233">
        <f>F141*AM141</f>
        <v>0</v>
      </c>
      <c r="BG141" s="233">
        <f>F141*AN141</f>
        <v>0</v>
      </c>
      <c r="BH141" s="233">
        <f>F141*G141</f>
        <v>0</v>
      </c>
      <c r="BI141" s="233"/>
      <c r="BJ141" s="233"/>
      <c r="BU141" s="233" t="e">
        <f>#REF!</f>
        <v>#REF!</v>
      </c>
      <c r="BV141" s="225" t="s">
        <v>389</v>
      </c>
    </row>
    <row r="142" spans="1:74" ht="40.5" customHeight="1" x14ac:dyDescent="0.3">
      <c r="A142" s="241"/>
      <c r="B142" s="242" t="s">
        <v>165</v>
      </c>
      <c r="C142" s="530" t="s">
        <v>1820</v>
      </c>
      <c r="D142" s="531"/>
      <c r="E142" s="531"/>
      <c r="F142" s="531"/>
      <c r="G142" s="531"/>
      <c r="H142" s="531"/>
      <c r="I142" s="531"/>
      <c r="J142" s="531"/>
      <c r="K142" s="531"/>
      <c r="L142" s="531"/>
      <c r="M142" s="532"/>
    </row>
    <row r="143" spans="1:74" ht="14.4" x14ac:dyDescent="0.3">
      <c r="A143" s="239" t="s">
        <v>344</v>
      </c>
      <c r="B143" s="223" t="s">
        <v>391</v>
      </c>
      <c r="C143" s="521" t="s">
        <v>392</v>
      </c>
      <c r="D143" s="519"/>
      <c r="E143" s="223" t="s">
        <v>380</v>
      </c>
      <c r="F143" s="233">
        <v>2.75</v>
      </c>
      <c r="G143" s="311">
        <v>0</v>
      </c>
      <c r="H143" s="233">
        <f>F143*AM143</f>
        <v>0</v>
      </c>
      <c r="I143" s="233">
        <f>F143*AN143</f>
        <v>0</v>
      </c>
      <c r="J143" s="233">
        <f>F143*G143</f>
        <v>0</v>
      </c>
      <c r="K143" s="233">
        <v>0</v>
      </c>
      <c r="L143" s="233">
        <f>F143*K143</f>
        <v>0</v>
      </c>
      <c r="M143" s="240" t="s">
        <v>472</v>
      </c>
      <c r="X143" s="233">
        <f>IF(AO143="5",BH143,0)</f>
        <v>0</v>
      </c>
      <c r="Z143" s="233">
        <f>IF(AO143="1",BF143,0)</f>
        <v>0</v>
      </c>
      <c r="AA143" s="233">
        <f>IF(AO143="1",BG143,0)</f>
        <v>0</v>
      </c>
      <c r="AB143" s="233">
        <f>IF(AO143="7",BF143,0)</f>
        <v>0</v>
      </c>
      <c r="AC143" s="233">
        <f>IF(AO143="7",BG143,0)</f>
        <v>0</v>
      </c>
      <c r="AD143" s="233">
        <f>IF(AO143="2",BF143,0)</f>
        <v>0</v>
      </c>
      <c r="AE143" s="233">
        <f>IF(AO143="2",BG143,0)</f>
        <v>0</v>
      </c>
      <c r="AF143" s="233">
        <f>IF(AO143="0",BH143,0)</f>
        <v>0</v>
      </c>
      <c r="AG143" s="229" t="s">
        <v>154</v>
      </c>
      <c r="AH143" s="233">
        <f>IF(AL143=0,J143,0)</f>
        <v>0</v>
      </c>
      <c r="AI143" s="233">
        <f>IF(AL143=15,J143,0)</f>
        <v>0</v>
      </c>
      <c r="AJ143" s="233">
        <f>IF(AL143=21,J143,0)</f>
        <v>0</v>
      </c>
      <c r="AL143" s="233">
        <v>15</v>
      </c>
      <c r="AM143" s="233">
        <f>G143*0</f>
        <v>0</v>
      </c>
      <c r="AN143" s="233">
        <f>G143*(1-0)</f>
        <v>0</v>
      </c>
      <c r="AO143" s="234" t="s">
        <v>177</v>
      </c>
      <c r="AT143" s="233">
        <f>AU143+AV143</f>
        <v>0</v>
      </c>
      <c r="AU143" s="233">
        <f>F143*AM143</f>
        <v>0</v>
      </c>
      <c r="AV143" s="233">
        <f>F143*AN143</f>
        <v>0</v>
      </c>
      <c r="AW143" s="234" t="s">
        <v>387</v>
      </c>
      <c r="AX143" s="234" t="s">
        <v>375</v>
      </c>
      <c r="AY143" s="229" t="s">
        <v>164</v>
      </c>
      <c r="BA143" s="233">
        <f>AU143+AV143</f>
        <v>0</v>
      </c>
      <c r="BB143" s="233">
        <f>G143/(100-BC143)*100</f>
        <v>0</v>
      </c>
      <c r="BC143" s="233">
        <v>0</v>
      </c>
      <c r="BD143" s="233">
        <f>L143</f>
        <v>0</v>
      </c>
      <c r="BF143" s="233">
        <f>F143*AM143</f>
        <v>0</v>
      </c>
      <c r="BG143" s="233">
        <f>F143*AN143</f>
        <v>0</v>
      </c>
      <c r="BH143" s="233">
        <f>F143*G143</f>
        <v>0</v>
      </c>
      <c r="BI143" s="233"/>
      <c r="BJ143" s="233"/>
      <c r="BU143" s="233" t="e">
        <f>#REF!</f>
        <v>#REF!</v>
      </c>
      <c r="BV143" s="225" t="s">
        <v>392</v>
      </c>
    </row>
    <row r="144" spans="1:74" ht="40.5" customHeight="1" x14ac:dyDescent="0.3">
      <c r="A144" s="241"/>
      <c r="B144" s="242" t="s">
        <v>165</v>
      </c>
      <c r="C144" s="530" t="s">
        <v>1821</v>
      </c>
      <c r="D144" s="531"/>
      <c r="E144" s="531"/>
      <c r="F144" s="531"/>
      <c r="G144" s="531"/>
      <c r="H144" s="531"/>
      <c r="I144" s="531"/>
      <c r="J144" s="531"/>
      <c r="K144" s="531"/>
      <c r="L144" s="531"/>
      <c r="M144" s="532"/>
    </row>
    <row r="145" spans="1:74" ht="26.4" x14ac:dyDescent="0.3">
      <c r="A145" s="239" t="s">
        <v>390</v>
      </c>
      <c r="B145" s="223" t="s">
        <v>385</v>
      </c>
      <c r="C145" s="521" t="s">
        <v>443</v>
      </c>
      <c r="D145" s="519"/>
      <c r="E145" s="223" t="s">
        <v>380</v>
      </c>
      <c r="F145" s="233">
        <v>20.93</v>
      </c>
      <c r="G145" s="311">
        <v>0</v>
      </c>
      <c r="H145" s="233">
        <f>F145*AM145</f>
        <v>0</v>
      </c>
      <c r="I145" s="233">
        <f>F145*AN145</f>
        <v>0</v>
      </c>
      <c r="J145" s="233">
        <f>F145*G145</f>
        <v>0</v>
      </c>
      <c r="K145" s="233">
        <v>0</v>
      </c>
      <c r="L145" s="233">
        <f>F145*K145</f>
        <v>0</v>
      </c>
      <c r="M145" s="240" t="s">
        <v>472</v>
      </c>
      <c r="X145" s="233">
        <f>IF(AO145="5",BH145,0)</f>
        <v>0</v>
      </c>
      <c r="Z145" s="233">
        <f>IF(AO145="1",BF145,0)</f>
        <v>0</v>
      </c>
      <c r="AA145" s="233">
        <f>IF(AO145="1",BG145,0)</f>
        <v>0</v>
      </c>
      <c r="AB145" s="233">
        <f>IF(AO145="7",BF145,0)</f>
        <v>0</v>
      </c>
      <c r="AC145" s="233">
        <f>IF(AO145="7",BG145,0)</f>
        <v>0</v>
      </c>
      <c r="AD145" s="233">
        <f>IF(AO145="2",BF145,0)</f>
        <v>0</v>
      </c>
      <c r="AE145" s="233">
        <f>IF(AO145="2",BG145,0)</f>
        <v>0</v>
      </c>
      <c r="AF145" s="233">
        <f>IF(AO145="0",BH145,0)</f>
        <v>0</v>
      </c>
      <c r="AG145" s="229" t="s">
        <v>154</v>
      </c>
      <c r="AH145" s="233">
        <f>IF(AL145=0,J145,0)</f>
        <v>0</v>
      </c>
      <c r="AI145" s="233">
        <f>IF(AL145=15,J145,0)</f>
        <v>0</v>
      </c>
      <c r="AJ145" s="233">
        <f>IF(AL145=21,J145,0)</f>
        <v>0</v>
      </c>
      <c r="AL145" s="233">
        <v>15</v>
      </c>
      <c r="AM145" s="233">
        <f>G145*0</f>
        <v>0</v>
      </c>
      <c r="AN145" s="233">
        <f>G145*(1-0)</f>
        <v>0</v>
      </c>
      <c r="AO145" s="234" t="s">
        <v>177</v>
      </c>
      <c r="AT145" s="233">
        <f>AU145+AV145</f>
        <v>0</v>
      </c>
      <c r="AU145" s="233">
        <f>F145*AM145</f>
        <v>0</v>
      </c>
      <c r="AV145" s="233">
        <f>F145*AN145</f>
        <v>0</v>
      </c>
      <c r="AW145" s="234" t="s">
        <v>387</v>
      </c>
      <c r="AX145" s="234" t="s">
        <v>375</v>
      </c>
      <c r="AY145" s="229" t="s">
        <v>164</v>
      </c>
      <c r="BA145" s="233">
        <f>AU145+AV145</f>
        <v>0</v>
      </c>
      <c r="BB145" s="233">
        <f>G145/(100-BC145)*100</f>
        <v>0</v>
      </c>
      <c r="BC145" s="233">
        <v>0</v>
      </c>
      <c r="BD145" s="233">
        <f>L145</f>
        <v>0</v>
      </c>
      <c r="BF145" s="233">
        <f>F145*AM145</f>
        <v>0</v>
      </c>
      <c r="BG145" s="233">
        <f>F145*AN145</f>
        <v>0</v>
      </c>
      <c r="BH145" s="233">
        <f>F145*G145</f>
        <v>0</v>
      </c>
      <c r="BI145" s="233"/>
      <c r="BJ145" s="233"/>
      <c r="BU145" s="233" t="e">
        <f>#REF!</f>
        <v>#REF!</v>
      </c>
      <c r="BV145" s="225" t="s">
        <v>443</v>
      </c>
    </row>
    <row r="146" spans="1:74" ht="14.4" x14ac:dyDescent="0.3">
      <c r="A146" s="239" t="s">
        <v>154</v>
      </c>
      <c r="B146" s="224" t="s">
        <v>399</v>
      </c>
      <c r="C146" s="526" t="s">
        <v>400</v>
      </c>
      <c r="D146" s="527"/>
      <c r="E146" s="223" t="s">
        <v>114</v>
      </c>
      <c r="F146" s="223" t="s">
        <v>114</v>
      </c>
      <c r="G146" s="223" t="s">
        <v>114</v>
      </c>
      <c r="H146" s="235">
        <f>SUM(H147:H149)</f>
        <v>0</v>
      </c>
      <c r="I146" s="235">
        <f>SUM(I147:I149)</f>
        <v>0</v>
      </c>
      <c r="J146" s="235">
        <f>SUM(J147:J149)</f>
        <v>0</v>
      </c>
      <c r="K146" s="230" t="s">
        <v>154</v>
      </c>
      <c r="L146" s="235">
        <f>SUM(L147:L149)</f>
        <v>0</v>
      </c>
      <c r="M146" s="243" t="s">
        <v>154</v>
      </c>
      <c r="AG146" s="229" t="s">
        <v>154</v>
      </c>
      <c r="AQ146" s="222">
        <f>SUM(AH147:AH149)</f>
        <v>0</v>
      </c>
      <c r="AR146" s="222">
        <f>SUM(AI147:AI149)</f>
        <v>0</v>
      </c>
      <c r="AS146" s="222">
        <f>SUM(AJ147:AJ149)</f>
        <v>0</v>
      </c>
    </row>
    <row r="147" spans="1:74" ht="14.4" x14ac:dyDescent="0.3">
      <c r="A147" s="239" t="s">
        <v>393</v>
      </c>
      <c r="B147" s="223" t="s">
        <v>402</v>
      </c>
      <c r="C147" s="521" t="s">
        <v>403</v>
      </c>
      <c r="D147" s="519"/>
      <c r="E147" s="223" t="s">
        <v>380</v>
      </c>
      <c r="F147" s="233">
        <v>0.12</v>
      </c>
      <c r="G147" s="311">
        <v>0</v>
      </c>
      <c r="H147" s="233">
        <f>F147*AM147</f>
        <v>0</v>
      </c>
      <c r="I147" s="233">
        <f>F147*AN147</f>
        <v>0</v>
      </c>
      <c r="J147" s="233">
        <f>F147*G147</f>
        <v>0</v>
      </c>
      <c r="K147" s="233">
        <v>0</v>
      </c>
      <c r="L147" s="233">
        <f>F147*K147</f>
        <v>0</v>
      </c>
      <c r="M147" s="240" t="s">
        <v>472</v>
      </c>
      <c r="X147" s="233">
        <f>IF(AO147="5",BH147,0)</f>
        <v>0</v>
      </c>
      <c r="Z147" s="233">
        <f>IF(AO147="1",BF147,0)</f>
        <v>0</v>
      </c>
      <c r="AA147" s="233">
        <f>IF(AO147="1",BG147,0)</f>
        <v>0</v>
      </c>
      <c r="AB147" s="233">
        <f>IF(AO147="7",BF147,0)</f>
        <v>0</v>
      </c>
      <c r="AC147" s="233">
        <f>IF(AO147="7",BG147,0)</f>
        <v>0</v>
      </c>
      <c r="AD147" s="233">
        <f>IF(AO147="2",BF147,0)</f>
        <v>0</v>
      </c>
      <c r="AE147" s="233">
        <f>IF(AO147="2",BG147,0)</f>
        <v>0</v>
      </c>
      <c r="AF147" s="233">
        <f>IF(AO147="0",BH147,0)</f>
        <v>0</v>
      </c>
      <c r="AG147" s="229" t="s">
        <v>154</v>
      </c>
      <c r="AH147" s="233">
        <f>IF(AL147=0,J147,0)</f>
        <v>0</v>
      </c>
      <c r="AI147" s="233">
        <f>IF(AL147=15,J147,0)</f>
        <v>0</v>
      </c>
      <c r="AJ147" s="233">
        <f>IF(AL147=21,J147,0)</f>
        <v>0</v>
      </c>
      <c r="AL147" s="233">
        <v>15</v>
      </c>
      <c r="AM147" s="233">
        <f>G147*0</f>
        <v>0</v>
      </c>
      <c r="AN147" s="233">
        <f>G147*(1-0)</f>
        <v>0</v>
      </c>
      <c r="AO147" s="234" t="s">
        <v>177</v>
      </c>
      <c r="AT147" s="233">
        <f>AU147+AV147</f>
        <v>0</v>
      </c>
      <c r="AU147" s="233">
        <f>F147*AM147</f>
        <v>0</v>
      </c>
      <c r="AV147" s="233">
        <f>F147*AN147</f>
        <v>0</v>
      </c>
      <c r="AW147" s="234" t="s">
        <v>404</v>
      </c>
      <c r="AX147" s="234" t="s">
        <v>375</v>
      </c>
      <c r="AY147" s="229" t="s">
        <v>164</v>
      </c>
      <c r="BA147" s="233">
        <f>AU147+AV147</f>
        <v>0</v>
      </c>
      <c r="BB147" s="233">
        <f>G147/(100-BC147)*100</f>
        <v>0</v>
      </c>
      <c r="BC147" s="233">
        <v>0</v>
      </c>
      <c r="BD147" s="233">
        <f>L147</f>
        <v>0</v>
      </c>
      <c r="BF147" s="233">
        <f>F147*AM147</f>
        <v>0</v>
      </c>
      <c r="BG147" s="233">
        <f>F147*AN147</f>
        <v>0</v>
      </c>
      <c r="BH147" s="233">
        <f>F147*G147</f>
        <v>0</v>
      </c>
      <c r="BI147" s="233"/>
      <c r="BJ147" s="233"/>
      <c r="BU147" s="233" t="e">
        <f>#REF!</f>
        <v>#REF!</v>
      </c>
      <c r="BV147" s="225" t="s">
        <v>403</v>
      </c>
    </row>
    <row r="148" spans="1:74" ht="14.4" x14ac:dyDescent="0.3">
      <c r="A148" s="239" t="s">
        <v>396</v>
      </c>
      <c r="B148" s="223" t="s">
        <v>406</v>
      </c>
      <c r="C148" s="521" t="s">
        <v>407</v>
      </c>
      <c r="D148" s="519"/>
      <c r="E148" s="223" t="s">
        <v>380</v>
      </c>
      <c r="F148" s="233">
        <v>11.9</v>
      </c>
      <c r="G148" s="311">
        <v>0</v>
      </c>
      <c r="H148" s="233">
        <f>F148*AM148</f>
        <v>0</v>
      </c>
      <c r="I148" s="233">
        <f>F148*AN148</f>
        <v>0</v>
      </c>
      <c r="J148" s="233">
        <f>F148*G148</f>
        <v>0</v>
      </c>
      <c r="K148" s="233">
        <v>0</v>
      </c>
      <c r="L148" s="233">
        <f>F148*K148</f>
        <v>0</v>
      </c>
      <c r="M148" s="240" t="s">
        <v>472</v>
      </c>
      <c r="X148" s="233">
        <f>IF(AO148="5",BH148,0)</f>
        <v>0</v>
      </c>
      <c r="Z148" s="233">
        <f>IF(AO148="1",BF148,0)</f>
        <v>0</v>
      </c>
      <c r="AA148" s="233">
        <f>IF(AO148="1",BG148,0)</f>
        <v>0</v>
      </c>
      <c r="AB148" s="233">
        <f>IF(AO148="7",BF148,0)</f>
        <v>0</v>
      </c>
      <c r="AC148" s="233">
        <f>IF(AO148="7",BG148,0)</f>
        <v>0</v>
      </c>
      <c r="AD148" s="233">
        <f>IF(AO148="2",BF148,0)</f>
        <v>0</v>
      </c>
      <c r="AE148" s="233">
        <f>IF(AO148="2",BG148,0)</f>
        <v>0</v>
      </c>
      <c r="AF148" s="233">
        <f>IF(AO148="0",BH148,0)</f>
        <v>0</v>
      </c>
      <c r="AG148" s="229" t="s">
        <v>154</v>
      </c>
      <c r="AH148" s="233">
        <f>IF(AL148=0,J148,0)</f>
        <v>0</v>
      </c>
      <c r="AI148" s="233">
        <f>IF(AL148=15,J148,0)</f>
        <v>0</v>
      </c>
      <c r="AJ148" s="233">
        <f>IF(AL148=21,J148,0)</f>
        <v>0</v>
      </c>
      <c r="AL148" s="233">
        <v>15</v>
      </c>
      <c r="AM148" s="233">
        <f>G148*0</f>
        <v>0</v>
      </c>
      <c r="AN148" s="233">
        <f>G148*(1-0)</f>
        <v>0</v>
      </c>
      <c r="AO148" s="234" t="s">
        <v>177</v>
      </c>
      <c r="AT148" s="233">
        <f>AU148+AV148</f>
        <v>0</v>
      </c>
      <c r="AU148" s="233">
        <f>F148*AM148</f>
        <v>0</v>
      </c>
      <c r="AV148" s="233">
        <f>F148*AN148</f>
        <v>0</v>
      </c>
      <c r="AW148" s="234" t="s">
        <v>404</v>
      </c>
      <c r="AX148" s="234" t="s">
        <v>375</v>
      </c>
      <c r="AY148" s="229" t="s">
        <v>164</v>
      </c>
      <c r="BA148" s="233">
        <f>AU148+AV148</f>
        <v>0</v>
      </c>
      <c r="BB148" s="233">
        <f>G148/(100-BC148)*100</f>
        <v>0</v>
      </c>
      <c r="BC148" s="233">
        <v>0</v>
      </c>
      <c r="BD148" s="233">
        <f>L148</f>
        <v>0</v>
      </c>
      <c r="BF148" s="233">
        <f>F148*AM148</f>
        <v>0</v>
      </c>
      <c r="BG148" s="233">
        <f>F148*AN148</f>
        <v>0</v>
      </c>
      <c r="BH148" s="233">
        <f>F148*G148</f>
        <v>0</v>
      </c>
      <c r="BI148" s="233"/>
      <c r="BJ148" s="233"/>
      <c r="BU148" s="233" t="e">
        <f>#REF!</f>
        <v>#REF!</v>
      </c>
      <c r="BV148" s="225" t="s">
        <v>407</v>
      </c>
    </row>
    <row r="149" spans="1:74" ht="14.4" x14ac:dyDescent="0.3">
      <c r="A149" s="239" t="s">
        <v>401</v>
      </c>
      <c r="B149" s="223" t="s">
        <v>409</v>
      </c>
      <c r="C149" s="521" t="s">
        <v>410</v>
      </c>
      <c r="D149" s="519"/>
      <c r="E149" s="223" t="s">
        <v>380</v>
      </c>
      <c r="F149" s="233">
        <v>0.49</v>
      </c>
      <c r="G149" s="311">
        <v>0</v>
      </c>
      <c r="H149" s="233">
        <f>F149*AM149</f>
        <v>0</v>
      </c>
      <c r="I149" s="233">
        <f>F149*AN149</f>
        <v>0</v>
      </c>
      <c r="J149" s="233">
        <f>F149*G149</f>
        <v>0</v>
      </c>
      <c r="K149" s="233">
        <v>0</v>
      </c>
      <c r="L149" s="233">
        <f>F149*K149</f>
        <v>0</v>
      </c>
      <c r="M149" s="240" t="s">
        <v>472</v>
      </c>
      <c r="X149" s="233">
        <f>IF(AO149="5",BH149,0)</f>
        <v>0</v>
      </c>
      <c r="Z149" s="233">
        <f>IF(AO149="1",BF149,0)</f>
        <v>0</v>
      </c>
      <c r="AA149" s="233">
        <f>IF(AO149="1",BG149,0)</f>
        <v>0</v>
      </c>
      <c r="AB149" s="233">
        <f>IF(AO149="7",BF149,0)</f>
        <v>0</v>
      </c>
      <c r="AC149" s="233">
        <f>IF(AO149="7",BG149,0)</f>
        <v>0</v>
      </c>
      <c r="AD149" s="233">
        <f>IF(AO149="2",BF149,0)</f>
        <v>0</v>
      </c>
      <c r="AE149" s="233">
        <f>IF(AO149="2",BG149,0)</f>
        <v>0</v>
      </c>
      <c r="AF149" s="233">
        <f>IF(AO149="0",BH149,0)</f>
        <v>0</v>
      </c>
      <c r="AG149" s="229" t="s">
        <v>154</v>
      </c>
      <c r="AH149" s="233">
        <f>IF(AL149=0,J149,0)</f>
        <v>0</v>
      </c>
      <c r="AI149" s="233">
        <f>IF(AL149=15,J149,0)</f>
        <v>0</v>
      </c>
      <c r="AJ149" s="233">
        <f>IF(AL149=21,J149,0)</f>
        <v>0</v>
      </c>
      <c r="AL149" s="233">
        <v>15</v>
      </c>
      <c r="AM149" s="233">
        <f>G149*0</f>
        <v>0</v>
      </c>
      <c r="AN149" s="233">
        <f>G149*(1-0)</f>
        <v>0</v>
      </c>
      <c r="AO149" s="234" t="s">
        <v>177</v>
      </c>
      <c r="AT149" s="233">
        <f>AU149+AV149</f>
        <v>0</v>
      </c>
      <c r="AU149" s="233">
        <f>F149*AM149</f>
        <v>0</v>
      </c>
      <c r="AV149" s="233">
        <f>F149*AN149</f>
        <v>0</v>
      </c>
      <c r="AW149" s="234" t="s">
        <v>404</v>
      </c>
      <c r="AX149" s="234" t="s">
        <v>375</v>
      </c>
      <c r="AY149" s="229" t="s">
        <v>164</v>
      </c>
      <c r="BA149" s="233">
        <f>AU149+AV149</f>
        <v>0</v>
      </c>
      <c r="BB149" s="233">
        <f>G149/(100-BC149)*100</f>
        <v>0</v>
      </c>
      <c r="BC149" s="233">
        <v>0</v>
      </c>
      <c r="BD149" s="233">
        <f>L149</f>
        <v>0</v>
      </c>
      <c r="BF149" s="233">
        <f>F149*AM149</f>
        <v>0</v>
      </c>
      <c r="BG149" s="233">
        <f>F149*AN149</f>
        <v>0</v>
      </c>
      <c r="BH149" s="233">
        <f>F149*G149</f>
        <v>0</v>
      </c>
      <c r="BI149" s="233"/>
      <c r="BJ149" s="233"/>
      <c r="BU149" s="233" t="e">
        <f>#REF!</f>
        <v>#REF!</v>
      </c>
      <c r="BV149" s="225" t="s">
        <v>410</v>
      </c>
    </row>
    <row r="150" spans="1:74" ht="14.4" x14ac:dyDescent="0.3">
      <c r="A150" s="239" t="s">
        <v>154</v>
      </c>
      <c r="B150" s="224" t="s">
        <v>1383</v>
      </c>
      <c r="C150" s="526" t="s">
        <v>449</v>
      </c>
      <c r="D150" s="527"/>
      <c r="E150" s="223" t="s">
        <v>114</v>
      </c>
      <c r="F150" s="223" t="s">
        <v>114</v>
      </c>
      <c r="G150" s="223" t="s">
        <v>114</v>
      </c>
      <c r="H150" s="235">
        <f>SUM(H151:H167)</f>
        <v>0</v>
      </c>
      <c r="I150" s="235">
        <f>SUM(I151:I167)</f>
        <v>0</v>
      </c>
      <c r="J150" s="235">
        <f>SUM(J151:J167)</f>
        <v>0</v>
      </c>
      <c r="K150" s="230" t="s">
        <v>154</v>
      </c>
      <c r="L150" s="235">
        <f>SUM(L151:L167)</f>
        <v>0.33475919999999998</v>
      </c>
      <c r="M150" s="243" t="s">
        <v>154</v>
      </c>
      <c r="AG150" s="229" t="s">
        <v>154</v>
      </c>
      <c r="AQ150" s="222">
        <f>SUM(AH151:AH167)</f>
        <v>0</v>
      </c>
      <c r="AR150" s="222">
        <f>SUM(AI151:AI167)</f>
        <v>0</v>
      </c>
      <c r="AS150" s="222">
        <f>SUM(AJ151:AJ167)</f>
        <v>0</v>
      </c>
    </row>
    <row r="151" spans="1:74" ht="14.4" x14ac:dyDescent="0.3">
      <c r="A151" s="239" t="s">
        <v>405</v>
      </c>
      <c r="B151" s="223" t="s">
        <v>929</v>
      </c>
      <c r="C151" s="521" t="s">
        <v>930</v>
      </c>
      <c r="D151" s="519"/>
      <c r="E151" s="223" t="s">
        <v>365</v>
      </c>
      <c r="F151" s="233">
        <v>1.17</v>
      </c>
      <c r="G151" s="311">
        <v>0</v>
      </c>
      <c r="H151" s="233">
        <f>F151*AM151</f>
        <v>0</v>
      </c>
      <c r="I151" s="233">
        <f>F151*AN151</f>
        <v>0</v>
      </c>
      <c r="J151" s="233">
        <f>F151*G151</f>
        <v>0</v>
      </c>
      <c r="K151" s="233">
        <v>5.8200000000000002E-2</v>
      </c>
      <c r="L151" s="233">
        <f>F151*K151</f>
        <v>6.8094000000000002E-2</v>
      </c>
      <c r="M151" s="240" t="s">
        <v>472</v>
      </c>
      <c r="X151" s="233">
        <f>IF(AO151="5",BH151,0)</f>
        <v>0</v>
      </c>
      <c r="Z151" s="233">
        <f>IF(AO151="1",BF151,0)</f>
        <v>0</v>
      </c>
      <c r="AA151" s="233">
        <f>IF(AO151="1",BG151,0)</f>
        <v>0</v>
      </c>
      <c r="AB151" s="233">
        <f>IF(AO151="7",BF151,0)</f>
        <v>0</v>
      </c>
      <c r="AC151" s="233">
        <f>IF(AO151="7",BG151,0)</f>
        <v>0</v>
      </c>
      <c r="AD151" s="233">
        <f>IF(AO151="2",BF151,0)</f>
        <v>0</v>
      </c>
      <c r="AE151" s="233">
        <f>IF(AO151="2",BG151,0)</f>
        <v>0</v>
      </c>
      <c r="AF151" s="233">
        <f>IF(AO151="0",BH151,0)</f>
        <v>0</v>
      </c>
      <c r="AG151" s="229" t="s">
        <v>154</v>
      </c>
      <c r="AH151" s="233">
        <f>IF(AL151=0,J151,0)</f>
        <v>0</v>
      </c>
      <c r="AI151" s="233">
        <f>IF(AL151=15,J151,0)</f>
        <v>0</v>
      </c>
      <c r="AJ151" s="233">
        <f>IF(AL151=21,J151,0)</f>
        <v>0</v>
      </c>
      <c r="AL151" s="233">
        <v>15</v>
      </c>
      <c r="AM151" s="233">
        <f>G151*1</f>
        <v>0</v>
      </c>
      <c r="AN151" s="233">
        <f>G151*(1-1)</f>
        <v>0</v>
      </c>
      <c r="AO151" s="234" t="s">
        <v>453</v>
      </c>
      <c r="AT151" s="233">
        <f>AU151+AV151</f>
        <v>0</v>
      </c>
      <c r="AU151" s="233">
        <f>F151*AM151</f>
        <v>0</v>
      </c>
      <c r="AV151" s="233">
        <f>F151*AN151</f>
        <v>0</v>
      </c>
      <c r="AW151" s="234" t="s">
        <v>454</v>
      </c>
      <c r="AX151" s="234" t="s">
        <v>455</v>
      </c>
      <c r="AY151" s="229" t="s">
        <v>164</v>
      </c>
      <c r="BA151" s="233">
        <f>AU151+AV151</f>
        <v>0</v>
      </c>
      <c r="BB151" s="233">
        <f>G151/(100-BC151)*100</f>
        <v>0</v>
      </c>
      <c r="BC151" s="233">
        <v>0</v>
      </c>
      <c r="BD151" s="233">
        <f>L151</f>
        <v>6.8094000000000002E-2</v>
      </c>
      <c r="BF151" s="233">
        <f>F151*AM151</f>
        <v>0</v>
      </c>
      <c r="BG151" s="233">
        <f>F151*AN151</f>
        <v>0</v>
      </c>
      <c r="BH151" s="233">
        <f>F151*G151</f>
        <v>0</v>
      </c>
      <c r="BI151" s="233"/>
      <c r="BJ151" s="233"/>
      <c r="BU151" s="233" t="e">
        <f>#REF!</f>
        <v>#REF!</v>
      </c>
      <c r="BV151" s="225" t="s">
        <v>930</v>
      </c>
    </row>
    <row r="152" spans="1:74" ht="67.5" customHeight="1" x14ac:dyDescent="0.3">
      <c r="A152" s="241"/>
      <c r="B152" s="242" t="s">
        <v>165</v>
      </c>
      <c r="C152" s="530" t="s">
        <v>1822</v>
      </c>
      <c r="D152" s="531"/>
      <c r="E152" s="531"/>
      <c r="F152" s="531"/>
      <c r="G152" s="531"/>
      <c r="H152" s="531"/>
      <c r="I152" s="531"/>
      <c r="J152" s="531"/>
      <c r="K152" s="531"/>
      <c r="L152" s="531"/>
      <c r="M152" s="532"/>
    </row>
    <row r="153" spans="1:74" ht="14.4" x14ac:dyDescent="0.3">
      <c r="A153" s="239" t="s">
        <v>408</v>
      </c>
      <c r="B153" s="223" t="s">
        <v>931</v>
      </c>
      <c r="C153" s="521" t="s">
        <v>932</v>
      </c>
      <c r="D153" s="519"/>
      <c r="E153" s="223" t="s">
        <v>365</v>
      </c>
      <c r="F153" s="233">
        <v>1.03</v>
      </c>
      <c r="G153" s="311">
        <v>0</v>
      </c>
      <c r="H153" s="233">
        <f>F153*AM153</f>
        <v>0</v>
      </c>
      <c r="I153" s="233">
        <f>F153*AN153</f>
        <v>0</v>
      </c>
      <c r="J153" s="233">
        <f>F153*G153</f>
        <v>0</v>
      </c>
      <c r="K153" s="233">
        <v>2.9100000000000001E-2</v>
      </c>
      <c r="L153" s="233">
        <f>F153*K153</f>
        <v>2.9973000000000003E-2</v>
      </c>
      <c r="M153" s="240" t="s">
        <v>472</v>
      </c>
      <c r="X153" s="233">
        <f>IF(AO153="5",BH153,0)</f>
        <v>0</v>
      </c>
      <c r="Z153" s="233">
        <f>IF(AO153="1",BF153,0)</f>
        <v>0</v>
      </c>
      <c r="AA153" s="233">
        <f>IF(AO153="1",BG153,0)</f>
        <v>0</v>
      </c>
      <c r="AB153" s="233">
        <f>IF(AO153="7",BF153,0)</f>
        <v>0</v>
      </c>
      <c r="AC153" s="233">
        <f>IF(AO153="7",BG153,0)</f>
        <v>0</v>
      </c>
      <c r="AD153" s="233">
        <f>IF(AO153="2",BF153,0)</f>
        <v>0</v>
      </c>
      <c r="AE153" s="233">
        <f>IF(AO153="2",BG153,0)</f>
        <v>0</v>
      </c>
      <c r="AF153" s="233">
        <f>IF(AO153="0",BH153,0)</f>
        <v>0</v>
      </c>
      <c r="AG153" s="229" t="s">
        <v>154</v>
      </c>
      <c r="AH153" s="233">
        <f>IF(AL153=0,J153,0)</f>
        <v>0</v>
      </c>
      <c r="AI153" s="233">
        <f>IF(AL153=15,J153,0)</f>
        <v>0</v>
      </c>
      <c r="AJ153" s="233">
        <f>IF(AL153=21,J153,0)</f>
        <v>0</v>
      </c>
      <c r="AL153" s="233">
        <v>15</v>
      </c>
      <c r="AM153" s="233">
        <f>G153*1</f>
        <v>0</v>
      </c>
      <c r="AN153" s="233">
        <f>G153*(1-1)</f>
        <v>0</v>
      </c>
      <c r="AO153" s="234" t="s">
        <v>453</v>
      </c>
      <c r="AT153" s="233">
        <f>AU153+AV153</f>
        <v>0</v>
      </c>
      <c r="AU153" s="233">
        <f>F153*AM153</f>
        <v>0</v>
      </c>
      <c r="AV153" s="233">
        <f>F153*AN153</f>
        <v>0</v>
      </c>
      <c r="AW153" s="234" t="s">
        <v>454</v>
      </c>
      <c r="AX153" s="234" t="s">
        <v>455</v>
      </c>
      <c r="AY153" s="229" t="s">
        <v>164</v>
      </c>
      <c r="BA153" s="233">
        <f>AU153+AV153</f>
        <v>0</v>
      </c>
      <c r="BB153" s="233">
        <f>G153/(100-BC153)*100</f>
        <v>0</v>
      </c>
      <c r="BC153" s="233">
        <v>0</v>
      </c>
      <c r="BD153" s="233">
        <f>L153</f>
        <v>2.9973000000000003E-2</v>
      </c>
      <c r="BF153" s="233">
        <f>F153*AM153</f>
        <v>0</v>
      </c>
      <c r="BG153" s="233">
        <f>F153*AN153</f>
        <v>0</v>
      </c>
      <c r="BH153" s="233">
        <f>F153*G153</f>
        <v>0</v>
      </c>
      <c r="BI153" s="233"/>
      <c r="BJ153" s="233"/>
      <c r="BU153" s="233" t="e">
        <f>#REF!</f>
        <v>#REF!</v>
      </c>
      <c r="BV153" s="225" t="s">
        <v>932</v>
      </c>
    </row>
    <row r="154" spans="1:74" ht="67.5" customHeight="1" x14ac:dyDescent="0.3">
      <c r="A154" s="241"/>
      <c r="B154" s="242" t="s">
        <v>165</v>
      </c>
      <c r="C154" s="530" t="s">
        <v>1823</v>
      </c>
      <c r="D154" s="531"/>
      <c r="E154" s="531"/>
      <c r="F154" s="531"/>
      <c r="G154" s="531"/>
      <c r="H154" s="531"/>
      <c r="I154" s="531"/>
      <c r="J154" s="531"/>
      <c r="K154" s="531"/>
      <c r="L154" s="531"/>
      <c r="M154" s="532"/>
    </row>
    <row r="155" spans="1:74" ht="14.4" x14ac:dyDescent="0.3">
      <c r="A155" s="239" t="s">
        <v>413</v>
      </c>
      <c r="B155" s="223" t="s">
        <v>935</v>
      </c>
      <c r="C155" s="521" t="s">
        <v>936</v>
      </c>
      <c r="D155" s="519"/>
      <c r="E155" s="223" t="s">
        <v>365</v>
      </c>
      <c r="F155" s="233">
        <v>1.01</v>
      </c>
      <c r="G155" s="311">
        <v>0</v>
      </c>
      <c r="H155" s="233">
        <f>F155*AM155</f>
        <v>0</v>
      </c>
      <c r="I155" s="233">
        <f>F155*AN155</f>
        <v>0</v>
      </c>
      <c r="J155" s="233">
        <f>F155*G155</f>
        <v>0</v>
      </c>
      <c r="K155" s="233">
        <v>2.65E-3</v>
      </c>
      <c r="L155" s="233">
        <f>F155*K155</f>
        <v>2.6765000000000001E-3</v>
      </c>
      <c r="M155" s="240" t="s">
        <v>472</v>
      </c>
      <c r="X155" s="233">
        <f>IF(AO155="5",BH155,0)</f>
        <v>0</v>
      </c>
      <c r="Z155" s="233">
        <f>IF(AO155="1",BF155,0)</f>
        <v>0</v>
      </c>
      <c r="AA155" s="233">
        <f>IF(AO155="1",BG155,0)</f>
        <v>0</v>
      </c>
      <c r="AB155" s="233">
        <f>IF(AO155="7",BF155,0)</f>
        <v>0</v>
      </c>
      <c r="AC155" s="233">
        <f>IF(AO155="7",BG155,0)</f>
        <v>0</v>
      </c>
      <c r="AD155" s="233">
        <f>IF(AO155="2",BF155,0)</f>
        <v>0</v>
      </c>
      <c r="AE155" s="233">
        <f>IF(AO155="2",BG155,0)</f>
        <v>0</v>
      </c>
      <c r="AF155" s="233">
        <f>IF(AO155="0",BH155,0)</f>
        <v>0</v>
      </c>
      <c r="AG155" s="229" t="s">
        <v>154</v>
      </c>
      <c r="AH155" s="233">
        <f>IF(AL155=0,J155,0)</f>
        <v>0</v>
      </c>
      <c r="AI155" s="233">
        <f>IF(AL155=15,J155,0)</f>
        <v>0</v>
      </c>
      <c r="AJ155" s="233">
        <f>IF(AL155=21,J155,0)</f>
        <v>0</v>
      </c>
      <c r="AL155" s="233">
        <v>15</v>
      </c>
      <c r="AM155" s="233">
        <f>G155*1</f>
        <v>0</v>
      </c>
      <c r="AN155" s="233">
        <f>G155*(1-1)</f>
        <v>0</v>
      </c>
      <c r="AO155" s="234" t="s">
        <v>453</v>
      </c>
      <c r="AT155" s="233">
        <f>AU155+AV155</f>
        <v>0</v>
      </c>
      <c r="AU155" s="233">
        <f>F155*AM155</f>
        <v>0</v>
      </c>
      <c r="AV155" s="233">
        <f>F155*AN155</f>
        <v>0</v>
      </c>
      <c r="AW155" s="234" t="s">
        <v>454</v>
      </c>
      <c r="AX155" s="234" t="s">
        <v>455</v>
      </c>
      <c r="AY155" s="229" t="s">
        <v>164</v>
      </c>
      <c r="BA155" s="233">
        <f>AU155+AV155</f>
        <v>0</v>
      </c>
      <c r="BB155" s="233">
        <f>G155/(100-BC155)*100</f>
        <v>0</v>
      </c>
      <c r="BC155" s="233">
        <v>0</v>
      </c>
      <c r="BD155" s="233">
        <f>L155</f>
        <v>2.6765000000000001E-3</v>
      </c>
      <c r="BF155" s="233">
        <f>F155*AM155</f>
        <v>0</v>
      </c>
      <c r="BG155" s="233">
        <f>F155*AN155</f>
        <v>0</v>
      </c>
      <c r="BH155" s="233">
        <f>F155*G155</f>
        <v>0</v>
      </c>
      <c r="BI155" s="233"/>
      <c r="BJ155" s="233"/>
      <c r="BU155" s="233" t="e">
        <f>#REF!</f>
        <v>#REF!</v>
      </c>
      <c r="BV155" s="225" t="s">
        <v>936</v>
      </c>
    </row>
    <row r="156" spans="1:74" ht="54" customHeight="1" x14ac:dyDescent="0.3">
      <c r="A156" s="241"/>
      <c r="B156" s="242" t="s">
        <v>165</v>
      </c>
      <c r="C156" s="530" t="s">
        <v>1769</v>
      </c>
      <c r="D156" s="531"/>
      <c r="E156" s="531"/>
      <c r="F156" s="531"/>
      <c r="G156" s="531"/>
      <c r="H156" s="531"/>
      <c r="I156" s="531"/>
      <c r="J156" s="531"/>
      <c r="K156" s="531"/>
      <c r="L156" s="531"/>
      <c r="M156" s="532"/>
    </row>
    <row r="157" spans="1:74" ht="14.4" x14ac:dyDescent="0.3">
      <c r="A157" s="239" t="s">
        <v>419</v>
      </c>
      <c r="B157" s="223" t="s">
        <v>937</v>
      </c>
      <c r="C157" s="521" t="s">
        <v>938</v>
      </c>
      <c r="D157" s="519"/>
      <c r="E157" s="223" t="s">
        <v>365</v>
      </c>
      <c r="F157" s="233">
        <v>1.01</v>
      </c>
      <c r="G157" s="311">
        <v>0</v>
      </c>
      <c r="H157" s="233">
        <f>F157*AM157</f>
        <v>0</v>
      </c>
      <c r="I157" s="233">
        <f>F157*AN157</f>
        <v>0</v>
      </c>
      <c r="J157" s="233">
        <f>F157*G157</f>
        <v>0</v>
      </c>
      <c r="K157" s="233">
        <v>2.2499999999999998E-3</v>
      </c>
      <c r="L157" s="233">
        <f>F157*K157</f>
        <v>2.2724999999999998E-3</v>
      </c>
      <c r="M157" s="240" t="s">
        <v>472</v>
      </c>
      <c r="X157" s="233">
        <f>IF(AO157="5",BH157,0)</f>
        <v>0</v>
      </c>
      <c r="Z157" s="233">
        <f>IF(AO157="1",BF157,0)</f>
        <v>0</v>
      </c>
      <c r="AA157" s="233">
        <f>IF(AO157="1",BG157,0)</f>
        <v>0</v>
      </c>
      <c r="AB157" s="233">
        <f>IF(AO157="7",BF157,0)</f>
        <v>0</v>
      </c>
      <c r="AC157" s="233">
        <f>IF(AO157="7",BG157,0)</f>
        <v>0</v>
      </c>
      <c r="AD157" s="233">
        <f>IF(AO157="2",BF157,0)</f>
        <v>0</v>
      </c>
      <c r="AE157" s="233">
        <f>IF(AO157="2",BG157,0)</f>
        <v>0</v>
      </c>
      <c r="AF157" s="233">
        <f>IF(AO157="0",BH157,0)</f>
        <v>0</v>
      </c>
      <c r="AG157" s="229" t="s">
        <v>154</v>
      </c>
      <c r="AH157" s="233">
        <f>IF(AL157=0,J157,0)</f>
        <v>0</v>
      </c>
      <c r="AI157" s="233">
        <f>IF(AL157=15,J157,0)</f>
        <v>0</v>
      </c>
      <c r="AJ157" s="233">
        <f>IF(AL157=21,J157,0)</f>
        <v>0</v>
      </c>
      <c r="AL157" s="233">
        <v>15</v>
      </c>
      <c r="AM157" s="233">
        <f>G157*1</f>
        <v>0</v>
      </c>
      <c r="AN157" s="233">
        <f>G157*(1-1)</f>
        <v>0</v>
      </c>
      <c r="AO157" s="234" t="s">
        <v>453</v>
      </c>
      <c r="AT157" s="233">
        <f>AU157+AV157</f>
        <v>0</v>
      </c>
      <c r="AU157" s="233">
        <f>F157*AM157</f>
        <v>0</v>
      </c>
      <c r="AV157" s="233">
        <f>F157*AN157</f>
        <v>0</v>
      </c>
      <c r="AW157" s="234" t="s">
        <v>454</v>
      </c>
      <c r="AX157" s="234" t="s">
        <v>455</v>
      </c>
      <c r="AY157" s="229" t="s">
        <v>164</v>
      </c>
      <c r="BA157" s="233">
        <f>AU157+AV157</f>
        <v>0</v>
      </c>
      <c r="BB157" s="233">
        <f>G157/(100-BC157)*100</f>
        <v>0</v>
      </c>
      <c r="BC157" s="233">
        <v>0</v>
      </c>
      <c r="BD157" s="233">
        <f>L157</f>
        <v>2.2724999999999998E-3</v>
      </c>
      <c r="BF157" s="233">
        <f>F157*AM157</f>
        <v>0</v>
      </c>
      <c r="BG157" s="233">
        <f>F157*AN157</f>
        <v>0</v>
      </c>
      <c r="BH157" s="233">
        <f>F157*G157</f>
        <v>0</v>
      </c>
      <c r="BI157" s="233"/>
      <c r="BJ157" s="233"/>
      <c r="BU157" s="233" t="e">
        <f>#REF!</f>
        <v>#REF!</v>
      </c>
      <c r="BV157" s="225" t="s">
        <v>938</v>
      </c>
    </row>
    <row r="158" spans="1:74" ht="54" customHeight="1" x14ac:dyDescent="0.3">
      <c r="A158" s="241"/>
      <c r="B158" s="242" t="s">
        <v>165</v>
      </c>
      <c r="C158" s="530" t="s">
        <v>1824</v>
      </c>
      <c r="D158" s="531"/>
      <c r="E158" s="531"/>
      <c r="F158" s="531"/>
      <c r="G158" s="531"/>
      <c r="H158" s="531"/>
      <c r="I158" s="531"/>
      <c r="J158" s="531"/>
      <c r="K158" s="531"/>
      <c r="L158" s="531"/>
      <c r="M158" s="532"/>
    </row>
    <row r="159" spans="1:74" ht="14.4" x14ac:dyDescent="0.3">
      <c r="A159" s="239" t="s">
        <v>548</v>
      </c>
      <c r="B159" s="223" t="s">
        <v>939</v>
      </c>
      <c r="C159" s="521" t="s">
        <v>940</v>
      </c>
      <c r="D159" s="519"/>
      <c r="E159" s="223" t="s">
        <v>365</v>
      </c>
      <c r="F159" s="233">
        <v>2.0299999999999998</v>
      </c>
      <c r="G159" s="311">
        <v>0</v>
      </c>
      <c r="H159" s="233">
        <f>F159*AM159</f>
        <v>0</v>
      </c>
      <c r="I159" s="233">
        <f>F159*AN159</f>
        <v>0</v>
      </c>
      <c r="J159" s="233">
        <f>F159*G159</f>
        <v>0</v>
      </c>
      <c r="K159" s="233">
        <v>2E-3</v>
      </c>
      <c r="L159" s="233">
        <f>F159*K159</f>
        <v>4.0599999999999994E-3</v>
      </c>
      <c r="M159" s="240" t="s">
        <v>472</v>
      </c>
      <c r="X159" s="233">
        <f>IF(AO159="5",BH159,0)</f>
        <v>0</v>
      </c>
      <c r="Z159" s="233">
        <f>IF(AO159="1",BF159,0)</f>
        <v>0</v>
      </c>
      <c r="AA159" s="233">
        <f>IF(AO159="1",BG159,0)</f>
        <v>0</v>
      </c>
      <c r="AB159" s="233">
        <f>IF(AO159="7",BF159,0)</f>
        <v>0</v>
      </c>
      <c r="AC159" s="233">
        <f>IF(AO159="7",BG159,0)</f>
        <v>0</v>
      </c>
      <c r="AD159" s="233">
        <f>IF(AO159="2",BF159,0)</f>
        <v>0</v>
      </c>
      <c r="AE159" s="233">
        <f>IF(AO159="2",BG159,0)</f>
        <v>0</v>
      </c>
      <c r="AF159" s="233">
        <f>IF(AO159="0",BH159,0)</f>
        <v>0</v>
      </c>
      <c r="AG159" s="229" t="s">
        <v>154</v>
      </c>
      <c r="AH159" s="233">
        <f>IF(AL159=0,J159,0)</f>
        <v>0</v>
      </c>
      <c r="AI159" s="233">
        <f>IF(AL159=15,J159,0)</f>
        <v>0</v>
      </c>
      <c r="AJ159" s="233">
        <f>IF(AL159=21,J159,0)</f>
        <v>0</v>
      </c>
      <c r="AL159" s="233">
        <v>15</v>
      </c>
      <c r="AM159" s="233">
        <f>G159*1</f>
        <v>0</v>
      </c>
      <c r="AN159" s="233">
        <f>G159*(1-1)</f>
        <v>0</v>
      </c>
      <c r="AO159" s="234" t="s">
        <v>453</v>
      </c>
      <c r="AT159" s="233">
        <f>AU159+AV159</f>
        <v>0</v>
      </c>
      <c r="AU159" s="233">
        <f>F159*AM159</f>
        <v>0</v>
      </c>
      <c r="AV159" s="233">
        <f>F159*AN159</f>
        <v>0</v>
      </c>
      <c r="AW159" s="234" t="s">
        <v>454</v>
      </c>
      <c r="AX159" s="234" t="s">
        <v>455</v>
      </c>
      <c r="AY159" s="229" t="s">
        <v>164</v>
      </c>
      <c r="BA159" s="233">
        <f>AU159+AV159</f>
        <v>0</v>
      </c>
      <c r="BB159" s="233">
        <f>G159/(100-BC159)*100</f>
        <v>0</v>
      </c>
      <c r="BC159" s="233">
        <v>0</v>
      </c>
      <c r="BD159" s="233">
        <f>L159</f>
        <v>4.0599999999999994E-3</v>
      </c>
      <c r="BF159" s="233">
        <f>F159*AM159</f>
        <v>0</v>
      </c>
      <c r="BG159" s="233">
        <f>F159*AN159</f>
        <v>0</v>
      </c>
      <c r="BH159" s="233">
        <f>F159*G159</f>
        <v>0</v>
      </c>
      <c r="BI159" s="233"/>
      <c r="BJ159" s="233"/>
      <c r="BU159" s="233" t="e">
        <f>#REF!</f>
        <v>#REF!</v>
      </c>
      <c r="BV159" s="225" t="s">
        <v>940</v>
      </c>
    </row>
    <row r="160" spans="1:74" ht="54" customHeight="1" x14ac:dyDescent="0.3">
      <c r="A160" s="241"/>
      <c r="B160" s="242" t="s">
        <v>165</v>
      </c>
      <c r="C160" s="530" t="s">
        <v>1770</v>
      </c>
      <c r="D160" s="531"/>
      <c r="E160" s="531"/>
      <c r="F160" s="531"/>
      <c r="G160" s="531"/>
      <c r="H160" s="531"/>
      <c r="I160" s="531"/>
      <c r="J160" s="531"/>
      <c r="K160" s="531"/>
      <c r="L160" s="531"/>
      <c r="M160" s="532"/>
    </row>
    <row r="161" spans="1:74" ht="14.4" x14ac:dyDescent="0.3">
      <c r="A161" s="239" t="s">
        <v>551</v>
      </c>
      <c r="B161" s="223" t="s">
        <v>941</v>
      </c>
      <c r="C161" s="521" t="s">
        <v>942</v>
      </c>
      <c r="D161" s="519"/>
      <c r="E161" s="223" t="s">
        <v>365</v>
      </c>
      <c r="F161" s="233">
        <v>3.04</v>
      </c>
      <c r="G161" s="311">
        <v>0</v>
      </c>
      <c r="H161" s="233">
        <f>F161*AM161</f>
        <v>0</v>
      </c>
      <c r="I161" s="233">
        <f>F161*AN161</f>
        <v>0</v>
      </c>
      <c r="J161" s="233">
        <f>F161*G161</f>
        <v>0</v>
      </c>
      <c r="K161" s="233">
        <v>2.33E-3</v>
      </c>
      <c r="L161" s="233">
        <f>F161*K161</f>
        <v>7.0832000000000004E-3</v>
      </c>
      <c r="M161" s="240" t="s">
        <v>472</v>
      </c>
      <c r="X161" s="233">
        <f>IF(AO161="5",BH161,0)</f>
        <v>0</v>
      </c>
      <c r="Z161" s="233">
        <f>IF(AO161="1",BF161,0)</f>
        <v>0</v>
      </c>
      <c r="AA161" s="233">
        <f>IF(AO161="1",BG161,0)</f>
        <v>0</v>
      </c>
      <c r="AB161" s="233">
        <f>IF(AO161="7",BF161,0)</f>
        <v>0</v>
      </c>
      <c r="AC161" s="233">
        <f>IF(AO161="7",BG161,0)</f>
        <v>0</v>
      </c>
      <c r="AD161" s="233">
        <f>IF(AO161="2",BF161,0)</f>
        <v>0</v>
      </c>
      <c r="AE161" s="233">
        <f>IF(AO161="2",BG161,0)</f>
        <v>0</v>
      </c>
      <c r="AF161" s="233">
        <f>IF(AO161="0",BH161,0)</f>
        <v>0</v>
      </c>
      <c r="AG161" s="229" t="s">
        <v>154</v>
      </c>
      <c r="AH161" s="233">
        <f>IF(AL161=0,J161,0)</f>
        <v>0</v>
      </c>
      <c r="AI161" s="233">
        <f>IF(AL161=15,J161,0)</f>
        <v>0</v>
      </c>
      <c r="AJ161" s="233">
        <f>IF(AL161=21,J161,0)</f>
        <v>0</v>
      </c>
      <c r="AL161" s="233">
        <v>15</v>
      </c>
      <c r="AM161" s="233">
        <f>G161*1</f>
        <v>0</v>
      </c>
      <c r="AN161" s="233">
        <f>G161*(1-1)</f>
        <v>0</v>
      </c>
      <c r="AO161" s="234" t="s">
        <v>453</v>
      </c>
      <c r="AT161" s="233">
        <f>AU161+AV161</f>
        <v>0</v>
      </c>
      <c r="AU161" s="233">
        <f>F161*AM161</f>
        <v>0</v>
      </c>
      <c r="AV161" s="233">
        <f>F161*AN161</f>
        <v>0</v>
      </c>
      <c r="AW161" s="234" t="s">
        <v>454</v>
      </c>
      <c r="AX161" s="234" t="s">
        <v>455</v>
      </c>
      <c r="AY161" s="229" t="s">
        <v>164</v>
      </c>
      <c r="BA161" s="233">
        <f>AU161+AV161</f>
        <v>0</v>
      </c>
      <c r="BB161" s="233">
        <f>G161/(100-BC161)*100</f>
        <v>0</v>
      </c>
      <c r="BC161" s="233">
        <v>0</v>
      </c>
      <c r="BD161" s="233">
        <f>L161</f>
        <v>7.0832000000000004E-3</v>
      </c>
      <c r="BF161" s="233">
        <f>F161*AM161</f>
        <v>0</v>
      </c>
      <c r="BG161" s="233">
        <f>F161*AN161</f>
        <v>0</v>
      </c>
      <c r="BH161" s="233">
        <f>F161*G161</f>
        <v>0</v>
      </c>
      <c r="BI161" s="233"/>
      <c r="BJ161" s="233"/>
      <c r="BU161" s="233" t="e">
        <f>#REF!</f>
        <v>#REF!</v>
      </c>
      <c r="BV161" s="225" t="s">
        <v>942</v>
      </c>
    </row>
    <row r="162" spans="1:74" ht="54" customHeight="1" x14ac:dyDescent="0.3">
      <c r="A162" s="241"/>
      <c r="B162" s="242" t="s">
        <v>165</v>
      </c>
      <c r="C162" s="530" t="s">
        <v>1771</v>
      </c>
      <c r="D162" s="531"/>
      <c r="E162" s="531"/>
      <c r="F162" s="531"/>
      <c r="G162" s="531"/>
      <c r="H162" s="531"/>
      <c r="I162" s="531"/>
      <c r="J162" s="531"/>
      <c r="K162" s="531"/>
      <c r="L162" s="531"/>
      <c r="M162" s="532"/>
    </row>
    <row r="163" spans="1:74" ht="14.4" x14ac:dyDescent="0.3">
      <c r="A163" s="239" t="s">
        <v>555</v>
      </c>
      <c r="B163" s="223" t="s">
        <v>988</v>
      </c>
      <c r="C163" s="521" t="s">
        <v>989</v>
      </c>
      <c r="D163" s="519"/>
      <c r="E163" s="223" t="s">
        <v>365</v>
      </c>
      <c r="F163" s="233">
        <v>2</v>
      </c>
      <c r="G163" s="311">
        <v>0</v>
      </c>
      <c r="H163" s="233">
        <f>F163*AM163</f>
        <v>0</v>
      </c>
      <c r="I163" s="233">
        <f>F163*AN163</f>
        <v>0</v>
      </c>
      <c r="J163" s="233">
        <f>F163*G163</f>
        <v>0</v>
      </c>
      <c r="K163" s="233">
        <v>1.2999999999999999E-3</v>
      </c>
      <c r="L163" s="233">
        <f>F163*K163</f>
        <v>2.5999999999999999E-3</v>
      </c>
      <c r="M163" s="240" t="s">
        <v>472</v>
      </c>
      <c r="X163" s="233">
        <f>IF(AO163="5",BH163,0)</f>
        <v>0</v>
      </c>
      <c r="Z163" s="233">
        <f>IF(AO163="1",BF163,0)</f>
        <v>0</v>
      </c>
      <c r="AA163" s="233">
        <f>IF(AO163="1",BG163,0)</f>
        <v>0</v>
      </c>
      <c r="AB163" s="233">
        <f>IF(AO163="7",BF163,0)</f>
        <v>0</v>
      </c>
      <c r="AC163" s="233">
        <f>IF(AO163="7",BG163,0)</f>
        <v>0</v>
      </c>
      <c r="AD163" s="233">
        <f>IF(AO163="2",BF163,0)</f>
        <v>0</v>
      </c>
      <c r="AE163" s="233">
        <f>IF(AO163="2",BG163,0)</f>
        <v>0</v>
      </c>
      <c r="AF163" s="233">
        <f>IF(AO163="0",BH163,0)</f>
        <v>0</v>
      </c>
      <c r="AG163" s="229" t="s">
        <v>154</v>
      </c>
      <c r="AH163" s="233">
        <f>IF(AL163=0,J163,0)</f>
        <v>0</v>
      </c>
      <c r="AI163" s="233">
        <f>IF(AL163=15,J163,0)</f>
        <v>0</v>
      </c>
      <c r="AJ163" s="233">
        <f>IF(AL163=21,J163,0)</f>
        <v>0</v>
      </c>
      <c r="AL163" s="233">
        <v>15</v>
      </c>
      <c r="AM163" s="233">
        <f>G163*1</f>
        <v>0</v>
      </c>
      <c r="AN163" s="233">
        <f>G163*(1-1)</f>
        <v>0</v>
      </c>
      <c r="AO163" s="234" t="s">
        <v>453</v>
      </c>
      <c r="AT163" s="233">
        <f>AU163+AV163</f>
        <v>0</v>
      </c>
      <c r="AU163" s="233">
        <f>F163*AM163</f>
        <v>0</v>
      </c>
      <c r="AV163" s="233">
        <f>F163*AN163</f>
        <v>0</v>
      </c>
      <c r="AW163" s="234" t="s">
        <v>454</v>
      </c>
      <c r="AX163" s="234" t="s">
        <v>455</v>
      </c>
      <c r="AY163" s="229" t="s">
        <v>164</v>
      </c>
      <c r="BA163" s="233">
        <f>AU163+AV163</f>
        <v>0</v>
      </c>
      <c r="BB163" s="233">
        <f>G163/(100-BC163)*100</f>
        <v>0</v>
      </c>
      <c r="BC163" s="233">
        <v>0</v>
      </c>
      <c r="BD163" s="233">
        <f>L163</f>
        <v>2.5999999999999999E-3</v>
      </c>
      <c r="BF163" s="233">
        <f>F163*AM163</f>
        <v>0</v>
      </c>
      <c r="BG163" s="233">
        <f>F163*AN163</f>
        <v>0</v>
      </c>
      <c r="BH163" s="233">
        <f>F163*G163</f>
        <v>0</v>
      </c>
      <c r="BI163" s="233"/>
      <c r="BJ163" s="233"/>
      <c r="BU163" s="233" t="e">
        <f>#REF!</f>
        <v>#REF!</v>
      </c>
      <c r="BV163" s="225" t="s">
        <v>989</v>
      </c>
    </row>
    <row r="164" spans="1:74" ht="54" customHeight="1" x14ac:dyDescent="0.3">
      <c r="A164" s="241"/>
      <c r="B164" s="242" t="s">
        <v>165</v>
      </c>
      <c r="C164" s="530" t="s">
        <v>1825</v>
      </c>
      <c r="D164" s="531"/>
      <c r="E164" s="531"/>
      <c r="F164" s="531"/>
      <c r="G164" s="531"/>
      <c r="H164" s="531"/>
      <c r="I164" s="531"/>
      <c r="J164" s="531"/>
      <c r="K164" s="531"/>
      <c r="L164" s="531"/>
      <c r="M164" s="532"/>
    </row>
    <row r="165" spans="1:74" ht="14.4" x14ac:dyDescent="0.3">
      <c r="A165" s="239" t="s">
        <v>559</v>
      </c>
      <c r="B165" s="223" t="s">
        <v>966</v>
      </c>
      <c r="C165" s="521" t="s">
        <v>990</v>
      </c>
      <c r="D165" s="519"/>
      <c r="E165" s="223" t="s">
        <v>365</v>
      </c>
      <c r="F165" s="233">
        <v>1</v>
      </c>
      <c r="G165" s="311">
        <v>0</v>
      </c>
      <c r="H165" s="233">
        <f>F165*AM165</f>
        <v>0</v>
      </c>
      <c r="I165" s="233">
        <f>F165*AN165</f>
        <v>0</v>
      </c>
      <c r="J165" s="233">
        <f>F165*G165</f>
        <v>0</v>
      </c>
      <c r="K165" s="233">
        <v>0.158</v>
      </c>
      <c r="L165" s="233">
        <f>F165*K165</f>
        <v>0.158</v>
      </c>
      <c r="M165" s="240" t="s">
        <v>472</v>
      </c>
      <c r="X165" s="233">
        <f>IF(AO165="5",BH165,0)</f>
        <v>0</v>
      </c>
      <c r="Z165" s="233">
        <f>IF(AO165="1",BF165,0)</f>
        <v>0</v>
      </c>
      <c r="AA165" s="233">
        <f>IF(AO165="1",BG165,0)</f>
        <v>0</v>
      </c>
      <c r="AB165" s="233">
        <f>IF(AO165="7",BF165,0)</f>
        <v>0</v>
      </c>
      <c r="AC165" s="233">
        <f>IF(AO165="7",BG165,0)</f>
        <v>0</v>
      </c>
      <c r="AD165" s="233">
        <f>IF(AO165="2",BF165,0)</f>
        <v>0</v>
      </c>
      <c r="AE165" s="233">
        <f>IF(AO165="2",BG165,0)</f>
        <v>0</v>
      </c>
      <c r="AF165" s="233">
        <f>IF(AO165="0",BH165,0)</f>
        <v>0</v>
      </c>
      <c r="AG165" s="229" t="s">
        <v>154</v>
      </c>
      <c r="AH165" s="233">
        <f>IF(AL165=0,J165,0)</f>
        <v>0</v>
      </c>
      <c r="AI165" s="233">
        <f>IF(AL165=15,J165,0)</f>
        <v>0</v>
      </c>
      <c r="AJ165" s="233">
        <f>IF(AL165=21,J165,0)</f>
        <v>0</v>
      </c>
      <c r="AL165" s="233">
        <v>15</v>
      </c>
      <c r="AM165" s="233">
        <f>G165*1</f>
        <v>0</v>
      </c>
      <c r="AN165" s="233">
        <f>G165*(1-1)</f>
        <v>0</v>
      </c>
      <c r="AO165" s="234" t="s">
        <v>453</v>
      </c>
      <c r="AT165" s="233">
        <f>AU165+AV165</f>
        <v>0</v>
      </c>
      <c r="AU165" s="233">
        <f>F165*AM165</f>
        <v>0</v>
      </c>
      <c r="AV165" s="233">
        <f>F165*AN165</f>
        <v>0</v>
      </c>
      <c r="AW165" s="234" t="s">
        <v>454</v>
      </c>
      <c r="AX165" s="234" t="s">
        <v>455</v>
      </c>
      <c r="AY165" s="229" t="s">
        <v>164</v>
      </c>
      <c r="BA165" s="233">
        <f>AU165+AV165</f>
        <v>0</v>
      </c>
      <c r="BB165" s="233">
        <f>G165/(100-BC165)*100</f>
        <v>0</v>
      </c>
      <c r="BC165" s="233">
        <v>0</v>
      </c>
      <c r="BD165" s="233">
        <f>L165</f>
        <v>0.158</v>
      </c>
      <c r="BF165" s="233">
        <f>F165*AM165</f>
        <v>0</v>
      </c>
      <c r="BG165" s="233">
        <f>F165*AN165</f>
        <v>0</v>
      </c>
      <c r="BH165" s="233">
        <f>F165*G165</f>
        <v>0</v>
      </c>
      <c r="BI165" s="233"/>
      <c r="BJ165" s="233"/>
      <c r="BU165" s="233" t="e">
        <f>#REF!</f>
        <v>#REF!</v>
      </c>
      <c r="BV165" s="225" t="s">
        <v>990</v>
      </c>
    </row>
    <row r="166" spans="1:74" ht="27" customHeight="1" x14ac:dyDescent="0.3">
      <c r="A166" s="241"/>
      <c r="B166" s="242" t="s">
        <v>165</v>
      </c>
      <c r="C166" s="530" t="s">
        <v>991</v>
      </c>
      <c r="D166" s="531"/>
      <c r="E166" s="531"/>
      <c r="F166" s="531"/>
      <c r="G166" s="531"/>
      <c r="H166" s="531"/>
      <c r="I166" s="531"/>
      <c r="J166" s="531"/>
      <c r="K166" s="531"/>
      <c r="L166" s="531"/>
      <c r="M166" s="532"/>
    </row>
    <row r="167" spans="1:74" ht="14.4" x14ac:dyDescent="0.3">
      <c r="A167" s="239" t="s">
        <v>562</v>
      </c>
      <c r="B167" s="223" t="s">
        <v>992</v>
      </c>
      <c r="C167" s="521" t="s">
        <v>993</v>
      </c>
      <c r="D167" s="519"/>
      <c r="E167" s="223" t="s">
        <v>471</v>
      </c>
      <c r="F167" s="233">
        <v>1</v>
      </c>
      <c r="G167" s="311">
        <v>0</v>
      </c>
      <c r="H167" s="233">
        <f>F167*AM167</f>
        <v>0</v>
      </c>
      <c r="I167" s="233">
        <f>F167*AN167</f>
        <v>0</v>
      </c>
      <c r="J167" s="233">
        <f>F167*G167</f>
        <v>0</v>
      </c>
      <c r="K167" s="233">
        <v>0.06</v>
      </c>
      <c r="L167" s="233">
        <f>F167*K167</f>
        <v>0.06</v>
      </c>
      <c r="M167" s="240" t="s">
        <v>1773</v>
      </c>
      <c r="X167" s="233">
        <f>IF(AO167="5",BH167,0)</f>
        <v>0</v>
      </c>
      <c r="Z167" s="233">
        <f>IF(AO167="1",BF167,0)</f>
        <v>0</v>
      </c>
      <c r="AA167" s="233">
        <f>IF(AO167="1",BG167,0)</f>
        <v>0</v>
      </c>
      <c r="AB167" s="233">
        <f>IF(AO167="7",BF167,0)</f>
        <v>0</v>
      </c>
      <c r="AC167" s="233">
        <f>IF(AO167="7",BG167,0)</f>
        <v>0</v>
      </c>
      <c r="AD167" s="233">
        <f>IF(AO167="2",BF167,0)</f>
        <v>0</v>
      </c>
      <c r="AE167" s="233">
        <f>IF(AO167="2",BG167,0)</f>
        <v>0</v>
      </c>
      <c r="AF167" s="233">
        <f>IF(AO167="0",BH167,0)</f>
        <v>0</v>
      </c>
      <c r="AG167" s="229" t="s">
        <v>154</v>
      </c>
      <c r="AH167" s="233">
        <f>IF(AL167=0,J167,0)</f>
        <v>0</v>
      </c>
      <c r="AI167" s="233">
        <f>IF(AL167=15,J167,0)</f>
        <v>0</v>
      </c>
      <c r="AJ167" s="233">
        <f>IF(AL167=21,J167,0)</f>
        <v>0</v>
      </c>
      <c r="AL167" s="233">
        <v>15</v>
      </c>
      <c r="AM167" s="233">
        <f>G167*1</f>
        <v>0</v>
      </c>
      <c r="AN167" s="233">
        <f>G167*(1-1)</f>
        <v>0</v>
      </c>
      <c r="AO167" s="234" t="s">
        <v>453</v>
      </c>
      <c r="AT167" s="233">
        <f>AU167+AV167</f>
        <v>0</v>
      </c>
      <c r="AU167" s="233">
        <f>F167*AM167</f>
        <v>0</v>
      </c>
      <c r="AV167" s="233">
        <f>F167*AN167</f>
        <v>0</v>
      </c>
      <c r="AW167" s="234" t="s">
        <v>454</v>
      </c>
      <c r="AX167" s="234" t="s">
        <v>455</v>
      </c>
      <c r="AY167" s="229" t="s">
        <v>164</v>
      </c>
      <c r="BA167" s="233">
        <f>AU167+AV167</f>
        <v>0</v>
      </c>
      <c r="BB167" s="233">
        <f>G167/(100-BC167)*100</f>
        <v>0</v>
      </c>
      <c r="BC167" s="233">
        <v>0</v>
      </c>
      <c r="BD167" s="233">
        <f>L167</f>
        <v>0.06</v>
      </c>
      <c r="BF167" s="233">
        <f>F167*AM167</f>
        <v>0</v>
      </c>
      <c r="BG167" s="233">
        <f>F167*AN167</f>
        <v>0</v>
      </c>
      <c r="BH167" s="233">
        <f>F167*G167</f>
        <v>0</v>
      </c>
      <c r="BI167" s="233"/>
      <c r="BJ167" s="233"/>
      <c r="BU167" s="233" t="e">
        <f>#REF!</f>
        <v>#REF!</v>
      </c>
      <c r="BV167" s="225" t="s">
        <v>993</v>
      </c>
    </row>
    <row r="168" spans="1:74" ht="40.5" customHeight="1" x14ac:dyDescent="0.3">
      <c r="A168" s="244"/>
      <c r="B168" s="245" t="s">
        <v>165</v>
      </c>
      <c r="C168" s="540" t="s">
        <v>1774</v>
      </c>
      <c r="D168" s="541"/>
      <c r="E168" s="541"/>
      <c r="F168" s="541"/>
      <c r="G168" s="541"/>
      <c r="H168" s="541"/>
      <c r="I168" s="541"/>
      <c r="J168" s="541"/>
      <c r="K168" s="541"/>
      <c r="L168" s="541"/>
      <c r="M168" s="542"/>
    </row>
    <row r="169" spans="1:74" ht="14.4" x14ac:dyDescent="0.3">
      <c r="H169" s="527" t="s">
        <v>423</v>
      </c>
      <c r="I169" s="527"/>
      <c r="J169" s="235">
        <f>J12+J23+J28+J45+J50+J71+J77+J80+J85+J91+J94+J97+J112+J115+J120+J133+J136+J139+J146+J150</f>
        <v>0</v>
      </c>
    </row>
    <row r="170" spans="1:74" ht="14.4" x14ac:dyDescent="0.3">
      <c r="A170" s="236" t="s">
        <v>165</v>
      </c>
    </row>
    <row r="171" spans="1:74" ht="13.5" customHeight="1" x14ac:dyDescent="0.3">
      <c r="A171" s="521" t="s">
        <v>1387</v>
      </c>
      <c r="B171" s="519"/>
      <c r="C171" s="519"/>
      <c r="D171" s="519"/>
      <c r="E171" s="519"/>
      <c r="F171" s="519"/>
      <c r="G171" s="519"/>
      <c r="H171" s="519"/>
      <c r="I171" s="519"/>
      <c r="J171" s="519"/>
      <c r="K171" s="519"/>
      <c r="L171" s="519"/>
      <c r="M171" s="519"/>
    </row>
    <row r="172" spans="1:74" ht="15" customHeight="1" x14ac:dyDescent="0.3">
      <c r="A172" s="549" t="s">
        <v>1161</v>
      </c>
      <c r="B172" s="550"/>
      <c r="C172" s="550"/>
      <c r="D172" s="550"/>
      <c r="E172" s="550"/>
      <c r="F172" s="550"/>
      <c r="G172" s="550"/>
      <c r="H172" s="550"/>
      <c r="I172" s="550"/>
      <c r="J172" s="550"/>
      <c r="K172" s="550"/>
      <c r="L172" s="550"/>
      <c r="M172" s="550"/>
    </row>
  </sheetData>
  <sheetProtection algorithmName="SHA-512" hashValue="SWr1qH5uYbCjk4VWLCdR6ouApMo3nBGL15ecpcs+v6hzr6op1TEb+nivTLTpCWgU7MzMoA2tAKeIbO9QAu2dug==" saltValue="fxrJAUU40DjsMW2dmXyoNQ==" spinCount="100000" sheet="1" objects="1" scenarios="1" formatCells="0" formatColumns="0" formatRows="0" insertColumns="0" insertRows="0" insertHyperlinks="0"/>
  <mergeCells count="189">
    <mergeCell ref="A4:B5"/>
    <mergeCell ref="C4:D5"/>
    <mergeCell ref="E4:F5"/>
    <mergeCell ref="G4:G5"/>
    <mergeCell ref="H4:H5"/>
    <mergeCell ref="A1:M1"/>
    <mergeCell ref="A2:B3"/>
    <mergeCell ref="C2:D3"/>
    <mergeCell ref="E2:F3"/>
    <mergeCell ref="G2:G3"/>
    <mergeCell ref="H2:H3"/>
    <mergeCell ref="A8:B9"/>
    <mergeCell ref="C8:D9"/>
    <mergeCell ref="E8:F9"/>
    <mergeCell ref="G8:G9"/>
    <mergeCell ref="H8:H9"/>
    <mergeCell ref="A6:B7"/>
    <mergeCell ref="C6:D7"/>
    <mergeCell ref="E6:F7"/>
    <mergeCell ref="G6:G7"/>
    <mergeCell ref="H6:H7"/>
    <mergeCell ref="C14:M14"/>
    <mergeCell ref="C15:D15"/>
    <mergeCell ref="C16:M16"/>
    <mergeCell ref="C17:D17"/>
    <mergeCell ref="C18:M18"/>
    <mergeCell ref="C19:D19"/>
    <mergeCell ref="C10:D10"/>
    <mergeCell ref="H10:J10"/>
    <mergeCell ref="K10:L10"/>
    <mergeCell ref="C11:D11"/>
    <mergeCell ref="C12:D12"/>
    <mergeCell ref="C13:D13"/>
    <mergeCell ref="C26:D26"/>
    <mergeCell ref="C27:M27"/>
    <mergeCell ref="C28:D28"/>
    <mergeCell ref="C29:D29"/>
    <mergeCell ref="C30:M30"/>
    <mergeCell ref="C31:D31"/>
    <mergeCell ref="C20:M20"/>
    <mergeCell ref="C21:D21"/>
    <mergeCell ref="C22:M22"/>
    <mergeCell ref="C23:D23"/>
    <mergeCell ref="C24:D24"/>
    <mergeCell ref="C25:M25"/>
    <mergeCell ref="C38:M38"/>
    <mergeCell ref="C39:D39"/>
    <mergeCell ref="C40:M40"/>
    <mergeCell ref="C41:D41"/>
    <mergeCell ref="C42:M42"/>
    <mergeCell ref="C43:D43"/>
    <mergeCell ref="C32:M32"/>
    <mergeCell ref="C33:D33"/>
    <mergeCell ref="C34:M34"/>
    <mergeCell ref="C35:D35"/>
    <mergeCell ref="C36:M36"/>
    <mergeCell ref="C37:D37"/>
    <mergeCell ref="C50:D50"/>
    <mergeCell ref="C51:D51"/>
    <mergeCell ref="C52:M52"/>
    <mergeCell ref="C53:D53"/>
    <mergeCell ref="C54:M54"/>
    <mergeCell ref="C55:D55"/>
    <mergeCell ref="C44:M44"/>
    <mergeCell ref="C45:D45"/>
    <mergeCell ref="C46:D46"/>
    <mergeCell ref="C47:M47"/>
    <mergeCell ref="C48:D48"/>
    <mergeCell ref="C49:M49"/>
    <mergeCell ref="C62:M62"/>
    <mergeCell ref="C63:D63"/>
    <mergeCell ref="C64:M64"/>
    <mergeCell ref="C65:D65"/>
    <mergeCell ref="C66:M66"/>
    <mergeCell ref="C67:D67"/>
    <mergeCell ref="C56:M56"/>
    <mergeCell ref="C57:D57"/>
    <mergeCell ref="C58:M58"/>
    <mergeCell ref="C59:D59"/>
    <mergeCell ref="C60:M60"/>
    <mergeCell ref="C61:D61"/>
    <mergeCell ref="C74:D74"/>
    <mergeCell ref="C75:D75"/>
    <mergeCell ref="C76:M76"/>
    <mergeCell ref="C77:D77"/>
    <mergeCell ref="C78:D78"/>
    <mergeCell ref="C79:M79"/>
    <mergeCell ref="C68:M68"/>
    <mergeCell ref="C69:D69"/>
    <mergeCell ref="C70:M70"/>
    <mergeCell ref="C71:D71"/>
    <mergeCell ref="C72:D72"/>
    <mergeCell ref="C73:M73"/>
    <mergeCell ref="C86:D86"/>
    <mergeCell ref="C87:M87"/>
    <mergeCell ref="C88:D88"/>
    <mergeCell ref="C89:M89"/>
    <mergeCell ref="C90:D90"/>
    <mergeCell ref="C91:D91"/>
    <mergeCell ref="C80:D80"/>
    <mergeCell ref="C81:D81"/>
    <mergeCell ref="C82:M82"/>
    <mergeCell ref="C83:D83"/>
    <mergeCell ref="C84:M84"/>
    <mergeCell ref="C85:D85"/>
    <mergeCell ref="C98:D98"/>
    <mergeCell ref="C99:M99"/>
    <mergeCell ref="C100:D100"/>
    <mergeCell ref="C101:M101"/>
    <mergeCell ref="C102:D102"/>
    <mergeCell ref="C103:M103"/>
    <mergeCell ref="C92:D92"/>
    <mergeCell ref="C93:M93"/>
    <mergeCell ref="C94:D94"/>
    <mergeCell ref="C95:D95"/>
    <mergeCell ref="C96:M96"/>
    <mergeCell ref="C97:D97"/>
    <mergeCell ref="C110:D110"/>
    <mergeCell ref="C111:M111"/>
    <mergeCell ref="C112:D112"/>
    <mergeCell ref="C113:D113"/>
    <mergeCell ref="C114:M114"/>
    <mergeCell ref="C115:D115"/>
    <mergeCell ref="C104:D104"/>
    <mergeCell ref="C105:M105"/>
    <mergeCell ref="C106:D106"/>
    <mergeCell ref="C107:M107"/>
    <mergeCell ref="C108:D108"/>
    <mergeCell ref="C109:M109"/>
    <mergeCell ref="C122:M122"/>
    <mergeCell ref="C123:D123"/>
    <mergeCell ref="C124:M124"/>
    <mergeCell ref="C125:D125"/>
    <mergeCell ref="C126:M126"/>
    <mergeCell ref="C127:D127"/>
    <mergeCell ref="C116:D116"/>
    <mergeCell ref="C117:M117"/>
    <mergeCell ref="C118:D118"/>
    <mergeCell ref="C119:M119"/>
    <mergeCell ref="C120:D120"/>
    <mergeCell ref="C121:D121"/>
    <mergeCell ref="C134:D134"/>
    <mergeCell ref="C135:M135"/>
    <mergeCell ref="C136:D136"/>
    <mergeCell ref="C137:D137"/>
    <mergeCell ref="C138:M138"/>
    <mergeCell ref="C139:D139"/>
    <mergeCell ref="C128:M128"/>
    <mergeCell ref="C129:D129"/>
    <mergeCell ref="C130:M130"/>
    <mergeCell ref="C131:D131"/>
    <mergeCell ref="C132:M132"/>
    <mergeCell ref="C133:D133"/>
    <mergeCell ref="C146:D146"/>
    <mergeCell ref="C147:D147"/>
    <mergeCell ref="C148:D148"/>
    <mergeCell ref="C149:D149"/>
    <mergeCell ref="C150:D150"/>
    <mergeCell ref="C151:D151"/>
    <mergeCell ref="C140:D140"/>
    <mergeCell ref="C141:D141"/>
    <mergeCell ref="C142:M142"/>
    <mergeCell ref="C143:D143"/>
    <mergeCell ref="C144:M144"/>
    <mergeCell ref="C145:D145"/>
    <mergeCell ref="A171:M171"/>
    <mergeCell ref="I2:M3"/>
    <mergeCell ref="I4:M5"/>
    <mergeCell ref="I6:M7"/>
    <mergeCell ref="I8:M9"/>
    <mergeCell ref="A172:M172"/>
    <mergeCell ref="C164:M164"/>
    <mergeCell ref="C165:D165"/>
    <mergeCell ref="C166:M166"/>
    <mergeCell ref="C167:D167"/>
    <mergeCell ref="C168:M168"/>
    <mergeCell ref="H169:I169"/>
    <mergeCell ref="C158:M158"/>
    <mergeCell ref="C159:D159"/>
    <mergeCell ref="C160:M160"/>
    <mergeCell ref="C161:D161"/>
    <mergeCell ref="C162:M162"/>
    <mergeCell ref="C163:D163"/>
    <mergeCell ref="C152:M152"/>
    <mergeCell ref="C153:D153"/>
    <mergeCell ref="C154:M154"/>
    <mergeCell ref="C155:D155"/>
    <mergeCell ref="C156:M156"/>
    <mergeCell ref="C157:D157"/>
  </mergeCells>
  <pageMargins left="0.78740157480314965" right="0.39370078740157483" top="0.39370078740157483" bottom="0.39370078740157483" header="0" footer="0.39370078740157483"/>
  <pageSetup paperSize="9" scale="63" fitToHeight="0" orientation="landscape" r:id="rId1"/>
  <headerFooter>
    <oddFooter>&amp;L&amp;A&amp;C&amp;F&amp;Rstran &amp;N / strana &amp;P</oddFooter>
  </headerFooter>
  <rowBreaks count="5" manualBreakCount="5">
    <brk id="27" max="12" man="1"/>
    <brk id="52" max="12" man="1"/>
    <brk id="76" max="12" man="1"/>
    <brk id="111" max="12" man="1"/>
    <brk id="140" max="12"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40903-61E6-46A6-81BF-634EF17DF924}">
  <sheetPr codeName="List12">
    <pageSetUpPr fitToPage="1"/>
  </sheetPr>
  <dimension ref="A1:BV168"/>
  <sheetViews>
    <sheetView view="pageBreakPreview" zoomScale="55" zoomScaleNormal="10" zoomScaleSheetLayoutView="55" workbookViewId="0">
      <pane ySplit="11" topLeftCell="A12" activePane="bottomLeft" state="frozen"/>
      <selection pane="bottomLeft" activeCell="C14" sqref="C14:M14"/>
    </sheetView>
  </sheetViews>
  <sheetFormatPr defaultColWidth="12.109375" defaultRowHeight="15" customHeight="1" x14ac:dyDescent="0.3"/>
  <cols>
    <col min="1" max="1" width="4" style="221" customWidth="1"/>
    <col min="2" max="2" width="17.88671875" style="221" customWidth="1"/>
    <col min="3" max="3" width="42.88671875" style="221" customWidth="1"/>
    <col min="4" max="4" width="35.6640625" style="221" customWidth="1"/>
    <col min="5" max="5" width="6.44140625" style="221" customWidth="1"/>
    <col min="6" max="6" width="12.88671875" style="221" customWidth="1"/>
    <col min="7" max="7" width="12" style="221" customWidth="1"/>
    <col min="8" max="10" width="15.6640625" style="221" customWidth="1"/>
    <col min="11" max="12" width="11.6640625" style="221" customWidth="1"/>
    <col min="13" max="13" width="13.44140625" style="221" customWidth="1"/>
    <col min="14" max="73" width="12.109375" style="221"/>
    <col min="74" max="74" width="78.5546875" style="221" hidden="1" customWidth="1"/>
    <col min="75" max="16384" width="12.109375" style="221"/>
  </cols>
  <sheetData>
    <row r="1" spans="1:74" ht="54.75" customHeight="1" thickBot="1" x14ac:dyDescent="0.35">
      <c r="A1" s="523" t="s">
        <v>2303</v>
      </c>
      <c r="B1" s="524"/>
      <c r="C1" s="524"/>
      <c r="D1" s="524"/>
      <c r="E1" s="524"/>
      <c r="F1" s="524"/>
      <c r="G1" s="524"/>
      <c r="H1" s="524"/>
      <c r="I1" s="524"/>
      <c r="J1" s="524"/>
      <c r="K1" s="524"/>
      <c r="L1" s="524"/>
      <c r="M1" s="525"/>
      <c r="AQ1" s="222">
        <f>SUM(AH1:AH2)</f>
        <v>0</v>
      </c>
      <c r="AR1" s="222">
        <f>SUM(AI1:AI2)</f>
        <v>0</v>
      </c>
      <c r="AS1" s="222">
        <f>SUM(AJ1:AJ2)</f>
        <v>0</v>
      </c>
    </row>
    <row r="2" spans="1:74" ht="15" customHeight="1" x14ac:dyDescent="0.3">
      <c r="A2" s="601" t="s">
        <v>112</v>
      </c>
      <c r="B2" s="602"/>
      <c r="C2" s="603" t="s">
        <v>68</v>
      </c>
      <c r="D2" s="555"/>
      <c r="E2" s="612" t="s">
        <v>113</v>
      </c>
      <c r="F2" s="612"/>
      <c r="G2" s="604" t="s">
        <v>1156</v>
      </c>
      <c r="H2" s="605" t="s">
        <v>457</v>
      </c>
      <c r="I2" s="605" t="s">
        <v>69</v>
      </c>
      <c r="J2" s="605"/>
      <c r="K2" s="605"/>
      <c r="L2" s="605"/>
      <c r="M2" s="606"/>
    </row>
    <row r="3" spans="1:74" ht="14.4" x14ac:dyDescent="0.3">
      <c r="A3" s="520"/>
      <c r="B3" s="519"/>
      <c r="C3" s="527"/>
      <c r="D3" s="527"/>
      <c r="E3" s="565"/>
      <c r="F3" s="565"/>
      <c r="G3" s="522"/>
      <c r="H3" s="551"/>
      <c r="I3" s="551"/>
      <c r="J3" s="551"/>
      <c r="K3" s="551"/>
      <c r="L3" s="551"/>
      <c r="M3" s="552"/>
    </row>
    <row r="4" spans="1:74" ht="15" customHeight="1" x14ac:dyDescent="0.3">
      <c r="A4" s="518" t="s">
        <v>115</v>
      </c>
      <c r="B4" s="519"/>
      <c r="C4" s="521" t="s">
        <v>91</v>
      </c>
      <c r="D4" s="519"/>
      <c r="E4" s="565" t="s">
        <v>116</v>
      </c>
      <c r="F4" s="565"/>
      <c r="G4" s="522" t="s">
        <v>1156</v>
      </c>
      <c r="H4" s="551" t="s">
        <v>458</v>
      </c>
      <c r="I4" s="551" t="s">
        <v>1157</v>
      </c>
      <c r="J4" s="551"/>
      <c r="K4" s="551"/>
      <c r="L4" s="551"/>
      <c r="M4" s="552"/>
    </row>
    <row r="5" spans="1:74" ht="14.4" x14ac:dyDescent="0.3">
      <c r="A5" s="520"/>
      <c r="B5" s="519"/>
      <c r="C5" s="519"/>
      <c r="D5" s="519"/>
      <c r="E5" s="565"/>
      <c r="F5" s="565"/>
      <c r="G5" s="522"/>
      <c r="H5" s="551"/>
      <c r="I5" s="551"/>
      <c r="J5" s="551"/>
      <c r="K5" s="551"/>
      <c r="L5" s="551"/>
      <c r="M5" s="552"/>
    </row>
    <row r="6" spans="1:74" ht="15" customHeight="1" x14ac:dyDescent="0.3">
      <c r="A6" s="518" t="s">
        <v>117</v>
      </c>
      <c r="B6" s="519"/>
      <c r="C6" s="521" t="s">
        <v>118</v>
      </c>
      <c r="D6" s="519"/>
      <c r="E6" s="565" t="s">
        <v>119</v>
      </c>
      <c r="F6" s="565"/>
      <c r="G6" s="522" t="s">
        <v>1156</v>
      </c>
      <c r="H6" s="551" t="s">
        <v>460</v>
      </c>
      <c r="I6" s="551" t="s">
        <v>461</v>
      </c>
      <c r="J6" s="551"/>
      <c r="K6" s="551"/>
      <c r="L6" s="551"/>
      <c r="M6" s="552"/>
    </row>
    <row r="7" spans="1:74" ht="14.4" x14ac:dyDescent="0.3">
      <c r="A7" s="520"/>
      <c r="B7" s="519"/>
      <c r="C7" s="519"/>
      <c r="D7" s="519"/>
      <c r="E7" s="565"/>
      <c r="F7" s="565"/>
      <c r="G7" s="522"/>
      <c r="H7" s="551"/>
      <c r="I7" s="551"/>
      <c r="J7" s="551"/>
      <c r="K7" s="551"/>
      <c r="L7" s="551"/>
      <c r="M7" s="552"/>
    </row>
    <row r="8" spans="1:74" ht="14.4" x14ac:dyDescent="0.3">
      <c r="A8" s="518" t="s">
        <v>120</v>
      </c>
      <c r="B8" s="519"/>
      <c r="C8" s="521" t="s">
        <v>121</v>
      </c>
      <c r="D8" s="519"/>
      <c r="E8" s="565" t="s">
        <v>122</v>
      </c>
      <c r="F8" s="565"/>
      <c r="G8" s="522" t="s">
        <v>1155</v>
      </c>
      <c r="H8" s="551" t="s">
        <v>462</v>
      </c>
      <c r="I8" s="551" t="s">
        <v>1158</v>
      </c>
      <c r="J8" s="551"/>
      <c r="K8" s="551"/>
      <c r="L8" s="551"/>
      <c r="M8" s="552"/>
    </row>
    <row r="9" spans="1:74" thickBot="1" x14ac:dyDescent="0.35">
      <c r="A9" s="607"/>
      <c r="B9" s="533"/>
      <c r="C9" s="533"/>
      <c r="D9" s="533"/>
      <c r="E9" s="576"/>
      <c r="F9" s="576"/>
      <c r="G9" s="534"/>
      <c r="H9" s="553"/>
      <c r="I9" s="553"/>
      <c r="J9" s="553"/>
      <c r="K9" s="553"/>
      <c r="L9" s="553"/>
      <c r="M9" s="554"/>
    </row>
    <row r="10" spans="1:74" ht="14.4" x14ac:dyDescent="0.3">
      <c r="A10" s="246" t="s">
        <v>123</v>
      </c>
      <c r="B10" s="247" t="s">
        <v>124</v>
      </c>
      <c r="C10" s="555" t="s">
        <v>125</v>
      </c>
      <c r="D10" s="556"/>
      <c r="E10" s="247" t="s">
        <v>126</v>
      </c>
      <c r="F10" s="248" t="s">
        <v>127</v>
      </c>
      <c r="G10" s="249" t="s">
        <v>128</v>
      </c>
      <c r="H10" s="557" t="s">
        <v>129</v>
      </c>
      <c r="I10" s="558"/>
      <c r="J10" s="559"/>
      <c r="K10" s="558" t="s">
        <v>130</v>
      </c>
      <c r="L10" s="558"/>
      <c r="M10" s="250" t="s">
        <v>131</v>
      </c>
      <c r="BI10" s="229" t="s">
        <v>132</v>
      </c>
      <c r="BJ10" s="230" t="s">
        <v>133</v>
      </c>
      <c r="BU10" s="230" t="s">
        <v>134</v>
      </c>
    </row>
    <row r="11" spans="1:74" thickBot="1" x14ac:dyDescent="0.35">
      <c r="A11" s="251" t="s">
        <v>114</v>
      </c>
      <c r="B11" s="252" t="s">
        <v>114</v>
      </c>
      <c r="C11" s="528" t="s">
        <v>135</v>
      </c>
      <c r="D11" s="529"/>
      <c r="E11" s="252" t="s">
        <v>114</v>
      </c>
      <c r="F11" s="252" t="s">
        <v>114</v>
      </c>
      <c r="G11" s="253" t="s">
        <v>136</v>
      </c>
      <c r="H11" s="254" t="s">
        <v>137</v>
      </c>
      <c r="I11" s="255" t="s">
        <v>138</v>
      </c>
      <c r="J11" s="256" t="s">
        <v>139</v>
      </c>
      <c r="K11" s="255" t="s">
        <v>140</v>
      </c>
      <c r="L11" s="253" t="s">
        <v>139</v>
      </c>
      <c r="M11" s="257" t="s">
        <v>141</v>
      </c>
      <c r="X11" s="229" t="s">
        <v>142</v>
      </c>
      <c r="Y11" s="229" t="s">
        <v>143</v>
      </c>
      <c r="Z11" s="229" t="s">
        <v>144</v>
      </c>
      <c r="AA11" s="229" t="s">
        <v>145</v>
      </c>
      <c r="AB11" s="229" t="s">
        <v>146</v>
      </c>
      <c r="AC11" s="229" t="s">
        <v>147</v>
      </c>
      <c r="AD11" s="229" t="s">
        <v>148</v>
      </c>
      <c r="AE11" s="229" t="s">
        <v>149</v>
      </c>
      <c r="AF11" s="229" t="s">
        <v>150</v>
      </c>
      <c r="BF11" s="229" t="s">
        <v>151</v>
      </c>
      <c r="BG11" s="229" t="s">
        <v>152</v>
      </c>
      <c r="BH11" s="229" t="s">
        <v>153</v>
      </c>
    </row>
    <row r="12" spans="1:74" ht="14.4" x14ac:dyDescent="0.3">
      <c r="A12" s="239" t="s">
        <v>154</v>
      </c>
      <c r="B12" s="224" t="s">
        <v>155</v>
      </c>
      <c r="C12" s="526" t="s">
        <v>156</v>
      </c>
      <c r="D12" s="527"/>
      <c r="E12" s="223" t="s">
        <v>114</v>
      </c>
      <c r="F12" s="223" t="s">
        <v>114</v>
      </c>
      <c r="G12" s="223" t="s">
        <v>114</v>
      </c>
      <c r="H12" s="235">
        <f>SUM(H13:H27)</f>
        <v>0</v>
      </c>
      <c r="I12" s="235">
        <f>SUM(I13:I27)</f>
        <v>0</v>
      </c>
      <c r="J12" s="235">
        <f>SUM(J13:J27)</f>
        <v>0</v>
      </c>
      <c r="K12" s="230" t="s">
        <v>154</v>
      </c>
      <c r="L12" s="235">
        <f>SUM(L13:L27)</f>
        <v>94.244647900000004</v>
      </c>
      <c r="M12" s="243" t="s">
        <v>154</v>
      </c>
      <c r="AG12" s="229" t="s">
        <v>154</v>
      </c>
      <c r="AQ12" s="222">
        <f>SUM(AH13:AH27)</f>
        <v>0</v>
      </c>
      <c r="AR12" s="222">
        <f>SUM(AI13:AI27)</f>
        <v>0</v>
      </c>
      <c r="AS12" s="222">
        <f>SUM(AJ13:AJ27)</f>
        <v>0</v>
      </c>
    </row>
    <row r="13" spans="1:74" ht="14.4" x14ac:dyDescent="0.3">
      <c r="A13" s="239" t="s">
        <v>157</v>
      </c>
      <c r="B13" s="223" t="s">
        <v>158</v>
      </c>
      <c r="C13" s="521" t="s">
        <v>159</v>
      </c>
      <c r="D13" s="519"/>
      <c r="E13" s="223" t="s">
        <v>160</v>
      </c>
      <c r="F13" s="233">
        <v>24.79</v>
      </c>
      <c r="G13" s="311">
        <v>0</v>
      </c>
      <c r="H13" s="233">
        <f>F13*AM13</f>
        <v>0</v>
      </c>
      <c r="I13" s="233">
        <f>F13*AN13</f>
        <v>0</v>
      </c>
      <c r="J13" s="233">
        <f>F13*G13</f>
        <v>0</v>
      </c>
      <c r="K13" s="233">
        <v>2.478E-2</v>
      </c>
      <c r="L13" s="233">
        <f>F13*K13</f>
        <v>0.61429619999999996</v>
      </c>
      <c r="M13" s="240" t="s">
        <v>472</v>
      </c>
      <c r="X13" s="233">
        <f>IF(AO13="5",BH13,0)</f>
        <v>0</v>
      </c>
      <c r="Z13" s="233">
        <f>IF(AO13="1",BF13,0)</f>
        <v>0</v>
      </c>
      <c r="AA13" s="233">
        <f>IF(AO13="1",BG13,0)</f>
        <v>0</v>
      </c>
      <c r="AB13" s="233">
        <f>IF(AO13="7",BF13,0)</f>
        <v>0</v>
      </c>
      <c r="AC13" s="233">
        <f>IF(AO13="7",BG13,0)</f>
        <v>0</v>
      </c>
      <c r="AD13" s="233">
        <f>IF(AO13="2",BF13,0)</f>
        <v>0</v>
      </c>
      <c r="AE13" s="233">
        <f>IF(AO13="2",BG13,0)</f>
        <v>0</v>
      </c>
      <c r="AF13" s="233">
        <f>IF(AO13="0",BH13,0)</f>
        <v>0</v>
      </c>
      <c r="AG13" s="229" t="s">
        <v>154</v>
      </c>
      <c r="AH13" s="233">
        <f>IF(AL13=0,J13,0)</f>
        <v>0</v>
      </c>
      <c r="AI13" s="233">
        <f>IF(AL13=15,J13,0)</f>
        <v>0</v>
      </c>
      <c r="AJ13" s="233">
        <f>IF(AL13=21,J13,0)</f>
        <v>0</v>
      </c>
      <c r="AL13" s="233">
        <v>15</v>
      </c>
      <c r="AM13" s="233">
        <f>G13*0.0714105</f>
        <v>0</v>
      </c>
      <c r="AN13" s="233">
        <f>G13*(1-0.0714105)</f>
        <v>0</v>
      </c>
      <c r="AO13" s="234" t="s">
        <v>157</v>
      </c>
      <c r="AT13" s="233">
        <f>AU13+AV13</f>
        <v>0</v>
      </c>
      <c r="AU13" s="233">
        <f>F13*AM13</f>
        <v>0</v>
      </c>
      <c r="AV13" s="233">
        <f>F13*AN13</f>
        <v>0</v>
      </c>
      <c r="AW13" s="234" t="s">
        <v>162</v>
      </c>
      <c r="AX13" s="234" t="s">
        <v>163</v>
      </c>
      <c r="AY13" s="229" t="s">
        <v>164</v>
      </c>
      <c r="BA13" s="233">
        <f>AU13+AV13</f>
        <v>0</v>
      </c>
      <c r="BB13" s="233">
        <f>G13/(100-BC13)*100</f>
        <v>0</v>
      </c>
      <c r="BC13" s="233">
        <v>0</v>
      </c>
      <c r="BD13" s="233">
        <f>L13</f>
        <v>0.61429619999999996</v>
      </c>
      <c r="BF13" s="233">
        <f>F13*AM13</f>
        <v>0</v>
      </c>
      <c r="BG13" s="233">
        <f>F13*AN13</f>
        <v>0</v>
      </c>
      <c r="BH13" s="233">
        <f>F13*G13</f>
        <v>0</v>
      </c>
      <c r="BI13" s="233"/>
      <c r="BJ13" s="233">
        <v>11</v>
      </c>
      <c r="BU13" s="233" t="e">
        <f>#REF!</f>
        <v>#REF!</v>
      </c>
      <c r="BV13" s="225" t="s">
        <v>159</v>
      </c>
    </row>
    <row r="14" spans="1:74" ht="40.5" customHeight="1" x14ac:dyDescent="0.3">
      <c r="A14" s="241"/>
      <c r="B14" s="242" t="s">
        <v>165</v>
      </c>
      <c r="C14" s="530" t="s">
        <v>1826</v>
      </c>
      <c r="D14" s="531"/>
      <c r="E14" s="531"/>
      <c r="F14" s="531"/>
      <c r="G14" s="531"/>
      <c r="H14" s="531"/>
      <c r="I14" s="531"/>
      <c r="J14" s="531"/>
      <c r="K14" s="531"/>
      <c r="L14" s="531"/>
      <c r="M14" s="532"/>
    </row>
    <row r="15" spans="1:74" ht="14.4" x14ac:dyDescent="0.3">
      <c r="A15" s="239" t="s">
        <v>166</v>
      </c>
      <c r="B15" s="223" t="s">
        <v>167</v>
      </c>
      <c r="C15" s="521" t="s">
        <v>168</v>
      </c>
      <c r="D15" s="519"/>
      <c r="E15" s="223" t="s">
        <v>160</v>
      </c>
      <c r="F15" s="233">
        <v>13.77</v>
      </c>
      <c r="G15" s="311">
        <v>0</v>
      </c>
      <c r="H15" s="233">
        <f>F15*AM15</f>
        <v>0</v>
      </c>
      <c r="I15" s="233">
        <f>F15*AN15</f>
        <v>0</v>
      </c>
      <c r="J15" s="233">
        <f>F15*G15</f>
        <v>0</v>
      </c>
      <c r="K15" s="233">
        <v>8.6899999999999998E-3</v>
      </c>
      <c r="L15" s="233">
        <f>F15*K15</f>
        <v>0.1196613</v>
      </c>
      <c r="M15" s="240" t="s">
        <v>472</v>
      </c>
      <c r="X15" s="233">
        <f>IF(AO15="5",BH15,0)</f>
        <v>0</v>
      </c>
      <c r="Z15" s="233">
        <f>IF(AO15="1",BF15,0)</f>
        <v>0</v>
      </c>
      <c r="AA15" s="233">
        <f>IF(AO15="1",BG15,0)</f>
        <v>0</v>
      </c>
      <c r="AB15" s="233">
        <f>IF(AO15="7",BF15,0)</f>
        <v>0</v>
      </c>
      <c r="AC15" s="233">
        <f>IF(AO15="7",BG15,0)</f>
        <v>0</v>
      </c>
      <c r="AD15" s="233">
        <f>IF(AO15="2",BF15,0)</f>
        <v>0</v>
      </c>
      <c r="AE15" s="233">
        <f>IF(AO15="2",BG15,0)</f>
        <v>0</v>
      </c>
      <c r="AF15" s="233">
        <f>IF(AO15="0",BH15,0)</f>
        <v>0</v>
      </c>
      <c r="AG15" s="229" t="s">
        <v>154</v>
      </c>
      <c r="AH15" s="233">
        <f>IF(AL15=0,J15,0)</f>
        <v>0</v>
      </c>
      <c r="AI15" s="233">
        <f>IF(AL15=15,J15,0)</f>
        <v>0</v>
      </c>
      <c r="AJ15" s="233">
        <f>IF(AL15=21,J15,0)</f>
        <v>0</v>
      </c>
      <c r="AL15" s="233">
        <v>15</v>
      </c>
      <c r="AM15" s="233">
        <f>G15*0.06387431</f>
        <v>0</v>
      </c>
      <c r="AN15" s="233">
        <f>G15*(1-0.06387431)</f>
        <v>0</v>
      </c>
      <c r="AO15" s="234" t="s">
        <v>157</v>
      </c>
      <c r="AT15" s="233">
        <f>AU15+AV15</f>
        <v>0</v>
      </c>
      <c r="AU15" s="233">
        <f>F15*AM15</f>
        <v>0</v>
      </c>
      <c r="AV15" s="233">
        <f>F15*AN15</f>
        <v>0</v>
      </c>
      <c r="AW15" s="234" t="s">
        <v>162</v>
      </c>
      <c r="AX15" s="234" t="s">
        <v>163</v>
      </c>
      <c r="AY15" s="229" t="s">
        <v>164</v>
      </c>
      <c r="BA15" s="233">
        <f>AU15+AV15</f>
        <v>0</v>
      </c>
      <c r="BB15" s="233">
        <f>G15/(100-BC15)*100</f>
        <v>0</v>
      </c>
      <c r="BC15" s="233">
        <v>0</v>
      </c>
      <c r="BD15" s="233">
        <f>L15</f>
        <v>0.1196613</v>
      </c>
      <c r="BF15" s="233">
        <f>F15*AM15</f>
        <v>0</v>
      </c>
      <c r="BG15" s="233">
        <f>F15*AN15</f>
        <v>0</v>
      </c>
      <c r="BH15" s="233">
        <f>F15*G15</f>
        <v>0</v>
      </c>
      <c r="BI15" s="233"/>
      <c r="BJ15" s="233">
        <v>11</v>
      </c>
      <c r="BU15" s="233" t="e">
        <f>#REF!</f>
        <v>#REF!</v>
      </c>
      <c r="BV15" s="225" t="s">
        <v>168</v>
      </c>
    </row>
    <row r="16" spans="1:74" ht="40.5" customHeight="1" x14ac:dyDescent="0.3">
      <c r="A16" s="241"/>
      <c r="B16" s="242" t="s">
        <v>165</v>
      </c>
      <c r="C16" s="530" t="s">
        <v>1827</v>
      </c>
      <c r="D16" s="531"/>
      <c r="E16" s="531"/>
      <c r="F16" s="531"/>
      <c r="G16" s="531"/>
      <c r="H16" s="531"/>
      <c r="I16" s="531"/>
      <c r="J16" s="531"/>
      <c r="K16" s="531"/>
      <c r="L16" s="531"/>
      <c r="M16" s="532"/>
    </row>
    <row r="17" spans="1:74" ht="14.4" x14ac:dyDescent="0.3">
      <c r="A17" s="239" t="s">
        <v>169</v>
      </c>
      <c r="B17" s="223" t="s">
        <v>170</v>
      </c>
      <c r="C17" s="521" t="s">
        <v>171</v>
      </c>
      <c r="D17" s="519"/>
      <c r="E17" s="223" t="s">
        <v>172</v>
      </c>
      <c r="F17" s="233">
        <v>80</v>
      </c>
      <c r="G17" s="311">
        <v>0</v>
      </c>
      <c r="H17" s="233">
        <f>F17*AM17</f>
        <v>0</v>
      </c>
      <c r="I17" s="233">
        <f>F17*AN17</f>
        <v>0</v>
      </c>
      <c r="J17" s="233">
        <f>F17*G17</f>
        <v>0</v>
      </c>
      <c r="K17" s="233">
        <v>0</v>
      </c>
      <c r="L17" s="233">
        <f>F17*K17</f>
        <v>0</v>
      </c>
      <c r="M17" s="240" t="s">
        <v>472</v>
      </c>
      <c r="X17" s="233">
        <f>IF(AO17="5",BH17,0)</f>
        <v>0</v>
      </c>
      <c r="Z17" s="233">
        <f>IF(AO17="1",BF17,0)</f>
        <v>0</v>
      </c>
      <c r="AA17" s="233">
        <f>IF(AO17="1",BG17,0)</f>
        <v>0</v>
      </c>
      <c r="AB17" s="233">
        <f>IF(AO17="7",BF17,0)</f>
        <v>0</v>
      </c>
      <c r="AC17" s="233">
        <f>IF(AO17="7",BG17,0)</f>
        <v>0</v>
      </c>
      <c r="AD17" s="233">
        <f>IF(AO17="2",BF17,0)</f>
        <v>0</v>
      </c>
      <c r="AE17" s="233">
        <f>IF(AO17="2",BG17,0)</f>
        <v>0</v>
      </c>
      <c r="AF17" s="233">
        <f>IF(AO17="0",BH17,0)</f>
        <v>0</v>
      </c>
      <c r="AG17" s="229" t="s">
        <v>154</v>
      </c>
      <c r="AH17" s="233">
        <f>IF(AL17=0,J17,0)</f>
        <v>0</v>
      </c>
      <c r="AI17" s="233">
        <f>IF(AL17=15,J17,0)</f>
        <v>0</v>
      </c>
      <c r="AJ17" s="233">
        <f>IF(AL17=21,J17,0)</f>
        <v>0</v>
      </c>
      <c r="AL17" s="233">
        <v>15</v>
      </c>
      <c r="AM17" s="233">
        <f>G17*0</f>
        <v>0</v>
      </c>
      <c r="AN17" s="233">
        <f>G17*(1-0)</f>
        <v>0</v>
      </c>
      <c r="AO17" s="234" t="s">
        <v>157</v>
      </c>
      <c r="AT17" s="233">
        <f>AU17+AV17</f>
        <v>0</v>
      </c>
      <c r="AU17" s="233">
        <f>F17*AM17</f>
        <v>0</v>
      </c>
      <c r="AV17" s="233">
        <f>F17*AN17</f>
        <v>0</v>
      </c>
      <c r="AW17" s="234" t="s">
        <v>162</v>
      </c>
      <c r="AX17" s="234" t="s">
        <v>163</v>
      </c>
      <c r="AY17" s="229" t="s">
        <v>164</v>
      </c>
      <c r="BA17" s="233">
        <f>AU17+AV17</f>
        <v>0</v>
      </c>
      <c r="BB17" s="233">
        <f>G17/(100-BC17)*100</f>
        <v>0</v>
      </c>
      <c r="BC17" s="233">
        <v>0</v>
      </c>
      <c r="BD17" s="233">
        <f>L17</f>
        <v>0</v>
      </c>
      <c r="BF17" s="233">
        <f>F17*AM17</f>
        <v>0</v>
      </c>
      <c r="BG17" s="233">
        <f>F17*AN17</f>
        <v>0</v>
      </c>
      <c r="BH17" s="233">
        <f>F17*G17</f>
        <v>0</v>
      </c>
      <c r="BI17" s="233"/>
      <c r="BJ17" s="233">
        <v>11</v>
      </c>
      <c r="BU17" s="233" t="e">
        <f>#REF!</f>
        <v>#REF!</v>
      </c>
      <c r="BV17" s="225" t="s">
        <v>171</v>
      </c>
    </row>
    <row r="18" spans="1:74" ht="40.5" customHeight="1" x14ac:dyDescent="0.3">
      <c r="A18" s="241"/>
      <c r="B18" s="242" t="s">
        <v>165</v>
      </c>
      <c r="C18" s="530" t="s">
        <v>1828</v>
      </c>
      <c r="D18" s="531"/>
      <c r="E18" s="531"/>
      <c r="F18" s="531"/>
      <c r="G18" s="531"/>
      <c r="H18" s="531"/>
      <c r="I18" s="531"/>
      <c r="J18" s="531"/>
      <c r="K18" s="531"/>
      <c r="L18" s="531"/>
      <c r="M18" s="532"/>
    </row>
    <row r="19" spans="1:74" ht="14.4" x14ac:dyDescent="0.3">
      <c r="A19" s="239" t="s">
        <v>173</v>
      </c>
      <c r="B19" s="223" t="s">
        <v>174</v>
      </c>
      <c r="C19" s="521" t="s">
        <v>175</v>
      </c>
      <c r="D19" s="519"/>
      <c r="E19" s="223" t="s">
        <v>176</v>
      </c>
      <c r="F19" s="233">
        <v>10</v>
      </c>
      <c r="G19" s="311">
        <v>0</v>
      </c>
      <c r="H19" s="233">
        <f>F19*AM19</f>
        <v>0</v>
      </c>
      <c r="I19" s="233">
        <f>F19*AN19</f>
        <v>0</v>
      </c>
      <c r="J19" s="233">
        <f>F19*G19</f>
        <v>0</v>
      </c>
      <c r="K19" s="233">
        <v>0</v>
      </c>
      <c r="L19" s="233">
        <f>F19*K19</f>
        <v>0</v>
      </c>
      <c r="M19" s="240" t="s">
        <v>472</v>
      </c>
      <c r="X19" s="233">
        <f>IF(AO19="5",BH19,0)</f>
        <v>0</v>
      </c>
      <c r="Z19" s="233">
        <f>IF(AO19="1",BF19,0)</f>
        <v>0</v>
      </c>
      <c r="AA19" s="233">
        <f>IF(AO19="1",BG19,0)</f>
        <v>0</v>
      </c>
      <c r="AB19" s="233">
        <f>IF(AO19="7",BF19,0)</f>
        <v>0</v>
      </c>
      <c r="AC19" s="233">
        <f>IF(AO19="7",BG19,0)</f>
        <v>0</v>
      </c>
      <c r="AD19" s="233">
        <f>IF(AO19="2",BF19,0)</f>
        <v>0</v>
      </c>
      <c r="AE19" s="233">
        <f>IF(AO19="2",BG19,0)</f>
        <v>0</v>
      </c>
      <c r="AF19" s="233">
        <f>IF(AO19="0",BH19,0)</f>
        <v>0</v>
      </c>
      <c r="AG19" s="229" t="s">
        <v>154</v>
      </c>
      <c r="AH19" s="233">
        <f>IF(AL19=0,J19,0)</f>
        <v>0</v>
      </c>
      <c r="AI19" s="233">
        <f>IF(AL19=15,J19,0)</f>
        <v>0</v>
      </c>
      <c r="AJ19" s="233">
        <f>IF(AL19=21,J19,0)</f>
        <v>0</v>
      </c>
      <c r="AL19" s="233">
        <v>15</v>
      </c>
      <c r="AM19" s="233">
        <f>G19*0</f>
        <v>0</v>
      </c>
      <c r="AN19" s="233">
        <f>G19*(1-0)</f>
        <v>0</v>
      </c>
      <c r="AO19" s="234" t="s">
        <v>157</v>
      </c>
      <c r="AT19" s="233">
        <f>AU19+AV19</f>
        <v>0</v>
      </c>
      <c r="AU19" s="233">
        <f>F19*AM19</f>
        <v>0</v>
      </c>
      <c r="AV19" s="233">
        <f>F19*AN19</f>
        <v>0</v>
      </c>
      <c r="AW19" s="234" t="s">
        <v>162</v>
      </c>
      <c r="AX19" s="234" t="s">
        <v>163</v>
      </c>
      <c r="AY19" s="229" t="s">
        <v>164</v>
      </c>
      <c r="BA19" s="233">
        <f>AU19+AV19</f>
        <v>0</v>
      </c>
      <c r="BB19" s="233">
        <f>G19/(100-BC19)*100</f>
        <v>0</v>
      </c>
      <c r="BC19" s="233">
        <v>0</v>
      </c>
      <c r="BD19" s="233">
        <f>L19</f>
        <v>0</v>
      </c>
      <c r="BF19" s="233">
        <f>F19*AM19</f>
        <v>0</v>
      </c>
      <c r="BG19" s="233">
        <f>F19*AN19</f>
        <v>0</v>
      </c>
      <c r="BH19" s="233">
        <f>F19*G19</f>
        <v>0</v>
      </c>
      <c r="BI19" s="233"/>
      <c r="BJ19" s="233">
        <v>11</v>
      </c>
      <c r="BU19" s="233" t="e">
        <f>#REF!</f>
        <v>#REF!</v>
      </c>
      <c r="BV19" s="225" t="s">
        <v>175</v>
      </c>
    </row>
    <row r="20" spans="1:74" ht="40.5" customHeight="1" x14ac:dyDescent="0.3">
      <c r="A20" s="241"/>
      <c r="B20" s="242" t="s">
        <v>165</v>
      </c>
      <c r="C20" s="530" t="s">
        <v>1539</v>
      </c>
      <c r="D20" s="531"/>
      <c r="E20" s="531"/>
      <c r="F20" s="531"/>
      <c r="G20" s="531"/>
      <c r="H20" s="531"/>
      <c r="I20" s="531"/>
      <c r="J20" s="531"/>
      <c r="K20" s="531"/>
      <c r="L20" s="531"/>
      <c r="M20" s="532"/>
    </row>
    <row r="21" spans="1:74" ht="14.4" x14ac:dyDescent="0.3">
      <c r="A21" s="239" t="s">
        <v>177</v>
      </c>
      <c r="B21" s="223" t="s">
        <v>178</v>
      </c>
      <c r="C21" s="521" t="s">
        <v>179</v>
      </c>
      <c r="D21" s="519"/>
      <c r="E21" s="223" t="s">
        <v>180</v>
      </c>
      <c r="F21" s="233">
        <v>63.14</v>
      </c>
      <c r="G21" s="311">
        <v>0</v>
      </c>
      <c r="H21" s="233">
        <f>F21*AM21</f>
        <v>0</v>
      </c>
      <c r="I21" s="233">
        <f>F21*AN21</f>
        <v>0</v>
      </c>
      <c r="J21" s="233">
        <f>F21*G21</f>
        <v>0</v>
      </c>
      <c r="K21" s="233">
        <v>0.90051000000000003</v>
      </c>
      <c r="L21" s="233">
        <f>F21*K21</f>
        <v>56.858201400000006</v>
      </c>
      <c r="M21" s="240" t="s">
        <v>472</v>
      </c>
      <c r="X21" s="233">
        <f>IF(AO21="5",BH21,0)</f>
        <v>0</v>
      </c>
      <c r="Z21" s="233">
        <f>IF(AO21="1",BF21,0)</f>
        <v>0</v>
      </c>
      <c r="AA21" s="233">
        <f>IF(AO21="1",BG21,0)</f>
        <v>0</v>
      </c>
      <c r="AB21" s="233">
        <f>IF(AO21="7",BF21,0)</f>
        <v>0</v>
      </c>
      <c r="AC21" s="233">
        <f>IF(AO21="7",BG21,0)</f>
        <v>0</v>
      </c>
      <c r="AD21" s="233">
        <f>IF(AO21="2",BF21,0)</f>
        <v>0</v>
      </c>
      <c r="AE21" s="233">
        <f>IF(AO21="2",BG21,0)</f>
        <v>0</v>
      </c>
      <c r="AF21" s="233">
        <f>IF(AO21="0",BH21,0)</f>
        <v>0</v>
      </c>
      <c r="AG21" s="229" t="s">
        <v>154</v>
      </c>
      <c r="AH21" s="233">
        <f>IF(AL21=0,J21,0)</f>
        <v>0</v>
      </c>
      <c r="AI21" s="233">
        <f>IF(AL21=15,J21,0)</f>
        <v>0</v>
      </c>
      <c r="AJ21" s="233">
        <f>IF(AL21=21,J21,0)</f>
        <v>0</v>
      </c>
      <c r="AL21" s="233">
        <v>15</v>
      </c>
      <c r="AM21" s="233">
        <f>G21*0.022141</f>
        <v>0</v>
      </c>
      <c r="AN21" s="233">
        <f>G21*(1-0.022141)</f>
        <v>0</v>
      </c>
      <c r="AO21" s="234" t="s">
        <v>157</v>
      </c>
      <c r="AT21" s="233">
        <f>AU21+AV21</f>
        <v>0</v>
      </c>
      <c r="AU21" s="233">
        <f>F21*AM21</f>
        <v>0</v>
      </c>
      <c r="AV21" s="233">
        <f>F21*AN21</f>
        <v>0</v>
      </c>
      <c r="AW21" s="234" t="s">
        <v>162</v>
      </c>
      <c r="AX21" s="234" t="s">
        <v>163</v>
      </c>
      <c r="AY21" s="229" t="s">
        <v>164</v>
      </c>
      <c r="BA21" s="233">
        <f>AU21+AV21</f>
        <v>0</v>
      </c>
      <c r="BB21" s="233">
        <f>G21/(100-BC21)*100</f>
        <v>0</v>
      </c>
      <c r="BC21" s="233">
        <v>0</v>
      </c>
      <c r="BD21" s="233">
        <f>L21</f>
        <v>56.858201400000006</v>
      </c>
      <c r="BF21" s="233">
        <f>F21*AM21</f>
        <v>0</v>
      </c>
      <c r="BG21" s="233">
        <f>F21*AN21</f>
        <v>0</v>
      </c>
      <c r="BH21" s="233">
        <f>F21*G21</f>
        <v>0</v>
      </c>
      <c r="BI21" s="233"/>
      <c r="BJ21" s="233">
        <v>11</v>
      </c>
      <c r="BU21" s="233" t="e">
        <f>#REF!</f>
        <v>#REF!</v>
      </c>
      <c r="BV21" s="225" t="s">
        <v>179</v>
      </c>
    </row>
    <row r="22" spans="1:74" ht="162" customHeight="1" x14ac:dyDescent="0.3">
      <c r="A22" s="241"/>
      <c r="B22" s="242" t="s">
        <v>165</v>
      </c>
      <c r="C22" s="530" t="s">
        <v>1829</v>
      </c>
      <c r="D22" s="531"/>
      <c r="E22" s="531"/>
      <c r="F22" s="531"/>
      <c r="G22" s="531"/>
      <c r="H22" s="531"/>
      <c r="I22" s="531"/>
      <c r="J22" s="531"/>
      <c r="K22" s="531"/>
      <c r="L22" s="531"/>
      <c r="M22" s="532"/>
    </row>
    <row r="23" spans="1:74" ht="14.4" x14ac:dyDescent="0.3">
      <c r="A23" s="239" t="s">
        <v>181</v>
      </c>
      <c r="B23" s="223" t="s">
        <v>182</v>
      </c>
      <c r="C23" s="521" t="s">
        <v>183</v>
      </c>
      <c r="D23" s="519"/>
      <c r="E23" s="223" t="s">
        <v>180</v>
      </c>
      <c r="F23" s="233">
        <v>7.39</v>
      </c>
      <c r="G23" s="311">
        <v>0</v>
      </c>
      <c r="H23" s="233">
        <f>F23*AM23</f>
        <v>0</v>
      </c>
      <c r="I23" s="233">
        <f>F23*AN23</f>
        <v>0</v>
      </c>
      <c r="J23" s="233">
        <f>F23*G23</f>
        <v>0</v>
      </c>
      <c r="K23" s="233">
        <v>0.90010000000000001</v>
      </c>
      <c r="L23" s="233">
        <f>F23*K23</f>
        <v>6.6517390000000001</v>
      </c>
      <c r="M23" s="240" t="s">
        <v>472</v>
      </c>
      <c r="X23" s="233">
        <f>IF(AO23="5",BH23,0)</f>
        <v>0</v>
      </c>
      <c r="Z23" s="233">
        <f>IF(AO23="1",BF23,0)</f>
        <v>0</v>
      </c>
      <c r="AA23" s="233">
        <f>IF(AO23="1",BG23,0)</f>
        <v>0</v>
      </c>
      <c r="AB23" s="233">
        <f>IF(AO23="7",BF23,0)</f>
        <v>0</v>
      </c>
      <c r="AC23" s="233">
        <f>IF(AO23="7",BG23,0)</f>
        <v>0</v>
      </c>
      <c r="AD23" s="233">
        <f>IF(AO23="2",BF23,0)</f>
        <v>0</v>
      </c>
      <c r="AE23" s="233">
        <f>IF(AO23="2",BG23,0)</f>
        <v>0</v>
      </c>
      <c r="AF23" s="233">
        <f>IF(AO23="0",BH23,0)</f>
        <v>0</v>
      </c>
      <c r="AG23" s="229" t="s">
        <v>154</v>
      </c>
      <c r="AH23" s="233">
        <f>IF(AL23=0,J23,0)</f>
        <v>0</v>
      </c>
      <c r="AI23" s="233">
        <f>IF(AL23=15,J23,0)</f>
        <v>0</v>
      </c>
      <c r="AJ23" s="233">
        <f>IF(AL23=21,J23,0)</f>
        <v>0</v>
      </c>
      <c r="AL23" s="233">
        <v>15</v>
      </c>
      <c r="AM23" s="233">
        <f>G23*0.006693278</f>
        <v>0</v>
      </c>
      <c r="AN23" s="233">
        <f>G23*(1-0.006693278)</f>
        <v>0</v>
      </c>
      <c r="AO23" s="234" t="s">
        <v>157</v>
      </c>
      <c r="AT23" s="233">
        <f>AU23+AV23</f>
        <v>0</v>
      </c>
      <c r="AU23" s="233">
        <f>F23*AM23</f>
        <v>0</v>
      </c>
      <c r="AV23" s="233">
        <f>F23*AN23</f>
        <v>0</v>
      </c>
      <c r="AW23" s="234" t="s">
        <v>162</v>
      </c>
      <c r="AX23" s="234" t="s">
        <v>163</v>
      </c>
      <c r="AY23" s="229" t="s">
        <v>164</v>
      </c>
      <c r="BA23" s="233">
        <f>AU23+AV23</f>
        <v>0</v>
      </c>
      <c r="BB23" s="233">
        <f>G23/(100-BC23)*100</f>
        <v>0</v>
      </c>
      <c r="BC23" s="233">
        <v>0</v>
      </c>
      <c r="BD23" s="233">
        <f>L23</f>
        <v>6.6517390000000001</v>
      </c>
      <c r="BF23" s="233">
        <f>F23*AM23</f>
        <v>0</v>
      </c>
      <c r="BG23" s="233">
        <f>F23*AN23</f>
        <v>0</v>
      </c>
      <c r="BH23" s="233">
        <f>F23*G23</f>
        <v>0</v>
      </c>
      <c r="BI23" s="233"/>
      <c r="BJ23" s="233">
        <v>11</v>
      </c>
      <c r="BU23" s="233" t="e">
        <f>#REF!</f>
        <v>#REF!</v>
      </c>
      <c r="BV23" s="225" t="s">
        <v>183</v>
      </c>
    </row>
    <row r="24" spans="1:74" ht="162" customHeight="1" x14ac:dyDescent="0.3">
      <c r="A24" s="244"/>
      <c r="B24" s="245" t="s">
        <v>165</v>
      </c>
      <c r="C24" s="540" t="s">
        <v>1830</v>
      </c>
      <c r="D24" s="541"/>
      <c r="E24" s="541"/>
      <c r="F24" s="541"/>
      <c r="G24" s="541"/>
      <c r="H24" s="541"/>
      <c r="I24" s="541"/>
      <c r="J24" s="541"/>
      <c r="K24" s="541"/>
      <c r="L24" s="541"/>
      <c r="M24" s="542"/>
    </row>
    <row r="25" spans="1:74" ht="26.4" x14ac:dyDescent="0.3">
      <c r="A25" s="237" t="s">
        <v>184</v>
      </c>
      <c r="B25" s="238" t="s">
        <v>185</v>
      </c>
      <c r="C25" s="543" t="s">
        <v>186</v>
      </c>
      <c r="D25" s="544"/>
      <c r="E25" s="238" t="s">
        <v>180</v>
      </c>
      <c r="F25" s="258">
        <v>27.15</v>
      </c>
      <c r="G25" s="311">
        <v>0</v>
      </c>
      <c r="H25" s="258">
        <f>F25*AM25</f>
        <v>0</v>
      </c>
      <c r="I25" s="258">
        <f>F25*AN25</f>
        <v>0</v>
      </c>
      <c r="J25" s="258">
        <f>F25*G25</f>
        <v>0</v>
      </c>
      <c r="K25" s="258">
        <v>1.105</v>
      </c>
      <c r="L25" s="258">
        <f>F25*K25</f>
        <v>30.000749999999996</v>
      </c>
      <c r="M25" s="259" t="s">
        <v>472</v>
      </c>
      <c r="X25" s="233">
        <f>IF(AO25="5",BH25,0)</f>
        <v>0</v>
      </c>
      <c r="Z25" s="233">
        <f>IF(AO25="1",BF25,0)</f>
        <v>0</v>
      </c>
      <c r="AA25" s="233">
        <f>IF(AO25="1",BG25,0)</f>
        <v>0</v>
      </c>
      <c r="AB25" s="233">
        <f>IF(AO25="7",BF25,0)</f>
        <v>0</v>
      </c>
      <c r="AC25" s="233">
        <f>IF(AO25="7",BG25,0)</f>
        <v>0</v>
      </c>
      <c r="AD25" s="233">
        <f>IF(AO25="2",BF25,0)</f>
        <v>0</v>
      </c>
      <c r="AE25" s="233">
        <f>IF(AO25="2",BG25,0)</f>
        <v>0</v>
      </c>
      <c r="AF25" s="233">
        <f>IF(AO25="0",BH25,0)</f>
        <v>0</v>
      </c>
      <c r="AG25" s="229" t="s">
        <v>154</v>
      </c>
      <c r="AH25" s="233">
        <f>IF(AL25=0,J25,0)</f>
        <v>0</v>
      </c>
      <c r="AI25" s="233">
        <f>IF(AL25=15,J25,0)</f>
        <v>0</v>
      </c>
      <c r="AJ25" s="233">
        <f>IF(AL25=21,J25,0)</f>
        <v>0</v>
      </c>
      <c r="AL25" s="233">
        <v>15</v>
      </c>
      <c r="AM25" s="233">
        <f>G25*0</f>
        <v>0</v>
      </c>
      <c r="AN25" s="233">
        <f>G25*(1-0)</f>
        <v>0</v>
      </c>
      <c r="AO25" s="234" t="s">
        <v>157</v>
      </c>
      <c r="AT25" s="233">
        <f>AU25+AV25</f>
        <v>0</v>
      </c>
      <c r="AU25" s="233">
        <f>F25*AM25</f>
        <v>0</v>
      </c>
      <c r="AV25" s="233">
        <f>F25*AN25</f>
        <v>0</v>
      </c>
      <c r="AW25" s="234" t="s">
        <v>162</v>
      </c>
      <c r="AX25" s="234" t="s">
        <v>163</v>
      </c>
      <c r="AY25" s="229" t="s">
        <v>164</v>
      </c>
      <c r="BA25" s="233">
        <f>AU25+AV25</f>
        <v>0</v>
      </c>
      <c r="BB25" s="233">
        <f>G25/(100-BC25)*100</f>
        <v>0</v>
      </c>
      <c r="BC25" s="233">
        <v>0</v>
      </c>
      <c r="BD25" s="233">
        <f>L25</f>
        <v>30.000749999999996</v>
      </c>
      <c r="BF25" s="233">
        <f>F25*AM25</f>
        <v>0</v>
      </c>
      <c r="BG25" s="233">
        <f>F25*AN25</f>
        <v>0</v>
      </c>
      <c r="BH25" s="233">
        <f>F25*G25</f>
        <v>0</v>
      </c>
      <c r="BI25" s="233"/>
      <c r="BJ25" s="233">
        <v>11</v>
      </c>
      <c r="BU25" s="233" t="e">
        <f>#REF!</f>
        <v>#REF!</v>
      </c>
      <c r="BV25" s="225" t="s">
        <v>186</v>
      </c>
    </row>
    <row r="26" spans="1:74" ht="121.5" customHeight="1" x14ac:dyDescent="0.3">
      <c r="A26" s="241"/>
      <c r="B26" s="242" t="s">
        <v>165</v>
      </c>
      <c r="C26" s="530" t="s">
        <v>1831</v>
      </c>
      <c r="D26" s="531"/>
      <c r="E26" s="531"/>
      <c r="F26" s="531"/>
      <c r="G26" s="531"/>
      <c r="H26" s="531"/>
      <c r="I26" s="531"/>
      <c r="J26" s="531"/>
      <c r="K26" s="531"/>
      <c r="L26" s="531"/>
      <c r="M26" s="532"/>
    </row>
    <row r="27" spans="1:74" ht="14.4" x14ac:dyDescent="0.3">
      <c r="A27" s="239" t="s">
        <v>187</v>
      </c>
      <c r="B27" s="223" t="s">
        <v>188</v>
      </c>
      <c r="C27" s="521" t="s">
        <v>189</v>
      </c>
      <c r="D27" s="519"/>
      <c r="E27" s="223" t="s">
        <v>190</v>
      </c>
      <c r="F27" s="233">
        <v>5</v>
      </c>
      <c r="G27" s="311">
        <v>0</v>
      </c>
      <c r="H27" s="233">
        <f>F27*AM27</f>
        <v>0</v>
      </c>
      <c r="I27" s="233">
        <f>F27*AN27</f>
        <v>0</v>
      </c>
      <c r="J27" s="233">
        <f>F27*G27</f>
        <v>0</v>
      </c>
      <c r="K27" s="233">
        <v>0</v>
      </c>
      <c r="L27" s="233">
        <f>F27*K27</f>
        <v>0</v>
      </c>
      <c r="M27" s="240" t="s">
        <v>472</v>
      </c>
      <c r="X27" s="233">
        <f>IF(AO27="5",BH27,0)</f>
        <v>0</v>
      </c>
      <c r="Z27" s="233">
        <f>IF(AO27="1",BF27,0)</f>
        <v>0</v>
      </c>
      <c r="AA27" s="233">
        <f>IF(AO27="1",BG27,0)</f>
        <v>0</v>
      </c>
      <c r="AB27" s="233">
        <f>IF(AO27="7",BF27,0)</f>
        <v>0</v>
      </c>
      <c r="AC27" s="233">
        <f>IF(AO27="7",BG27,0)</f>
        <v>0</v>
      </c>
      <c r="AD27" s="233">
        <f>IF(AO27="2",BF27,0)</f>
        <v>0</v>
      </c>
      <c r="AE27" s="233">
        <f>IF(AO27="2",BG27,0)</f>
        <v>0</v>
      </c>
      <c r="AF27" s="233">
        <f>IF(AO27="0",BH27,0)</f>
        <v>0</v>
      </c>
      <c r="AG27" s="229" t="s">
        <v>154</v>
      </c>
      <c r="AH27" s="233">
        <f>IF(AL27=0,J27,0)</f>
        <v>0</v>
      </c>
      <c r="AI27" s="233">
        <f>IF(AL27=15,J27,0)</f>
        <v>0</v>
      </c>
      <c r="AJ27" s="233">
        <f>IF(AL27=21,J27,0)</f>
        <v>0</v>
      </c>
      <c r="AL27" s="233">
        <v>15</v>
      </c>
      <c r="AM27" s="233">
        <f>G27*0.13699785</f>
        <v>0</v>
      </c>
      <c r="AN27" s="233">
        <f>G27*(1-0.13699785)</f>
        <v>0</v>
      </c>
      <c r="AO27" s="234" t="s">
        <v>157</v>
      </c>
      <c r="AT27" s="233">
        <f>AU27+AV27</f>
        <v>0</v>
      </c>
      <c r="AU27" s="233">
        <f>F27*AM27</f>
        <v>0</v>
      </c>
      <c r="AV27" s="233">
        <f>F27*AN27</f>
        <v>0</v>
      </c>
      <c r="AW27" s="234" t="s">
        <v>162</v>
      </c>
      <c r="AX27" s="234" t="s">
        <v>163</v>
      </c>
      <c r="AY27" s="229" t="s">
        <v>164</v>
      </c>
      <c r="BA27" s="233">
        <f>AU27+AV27</f>
        <v>0</v>
      </c>
      <c r="BB27" s="233">
        <f>G27/(100-BC27)*100</f>
        <v>0</v>
      </c>
      <c r="BC27" s="233">
        <v>0</v>
      </c>
      <c r="BD27" s="233">
        <f>L27</f>
        <v>0</v>
      </c>
      <c r="BF27" s="233">
        <f>F27*AM27</f>
        <v>0</v>
      </c>
      <c r="BG27" s="233">
        <f>F27*AN27</f>
        <v>0</v>
      </c>
      <c r="BH27" s="233">
        <f>F27*G27</f>
        <v>0</v>
      </c>
      <c r="BI27" s="233"/>
      <c r="BJ27" s="233">
        <v>11</v>
      </c>
      <c r="BU27" s="233" t="e">
        <f>#REF!</f>
        <v>#REF!</v>
      </c>
      <c r="BV27" s="225" t="s">
        <v>189</v>
      </c>
    </row>
    <row r="28" spans="1:74" ht="67.5" customHeight="1" x14ac:dyDescent="0.3">
      <c r="A28" s="241"/>
      <c r="B28" s="242" t="s">
        <v>165</v>
      </c>
      <c r="C28" s="530" t="s">
        <v>1543</v>
      </c>
      <c r="D28" s="531"/>
      <c r="E28" s="531"/>
      <c r="F28" s="531"/>
      <c r="G28" s="531"/>
      <c r="H28" s="531"/>
      <c r="I28" s="531"/>
      <c r="J28" s="531"/>
      <c r="K28" s="531"/>
      <c r="L28" s="531"/>
      <c r="M28" s="532"/>
    </row>
    <row r="29" spans="1:74" ht="14.4" x14ac:dyDescent="0.3">
      <c r="A29" s="239" t="s">
        <v>154</v>
      </c>
      <c r="B29" s="224" t="s">
        <v>191</v>
      </c>
      <c r="C29" s="526" t="s">
        <v>192</v>
      </c>
      <c r="D29" s="527"/>
      <c r="E29" s="223" t="s">
        <v>114</v>
      </c>
      <c r="F29" s="223" t="s">
        <v>114</v>
      </c>
      <c r="G29" s="223" t="s">
        <v>114</v>
      </c>
      <c r="H29" s="235">
        <f>SUM(H30:H32)</f>
        <v>0</v>
      </c>
      <c r="I29" s="235">
        <f>SUM(I30:I32)</f>
        <v>0</v>
      </c>
      <c r="J29" s="235">
        <f>SUM(J30:J32)</f>
        <v>0</v>
      </c>
      <c r="K29" s="230" t="s">
        <v>154</v>
      </c>
      <c r="L29" s="235">
        <f>SUM(L30:L32)</f>
        <v>0</v>
      </c>
      <c r="M29" s="243" t="s">
        <v>154</v>
      </c>
      <c r="AG29" s="229" t="s">
        <v>154</v>
      </c>
      <c r="AQ29" s="222">
        <f>SUM(AH30:AH32)</f>
        <v>0</v>
      </c>
      <c r="AR29" s="222">
        <f>SUM(AI30:AI32)</f>
        <v>0</v>
      </c>
      <c r="AS29" s="222">
        <f>SUM(AJ30:AJ32)</f>
        <v>0</v>
      </c>
    </row>
    <row r="30" spans="1:74" ht="14.4" x14ac:dyDescent="0.3">
      <c r="A30" s="239" t="s">
        <v>193</v>
      </c>
      <c r="B30" s="223" t="s">
        <v>194</v>
      </c>
      <c r="C30" s="521" t="s">
        <v>195</v>
      </c>
      <c r="D30" s="519"/>
      <c r="E30" s="223" t="s">
        <v>196</v>
      </c>
      <c r="F30" s="233">
        <v>14.52</v>
      </c>
      <c r="G30" s="311">
        <v>0</v>
      </c>
      <c r="H30" s="233">
        <f>F30*AM30</f>
        <v>0</v>
      </c>
      <c r="I30" s="233">
        <f>F30*AN30</f>
        <v>0</v>
      </c>
      <c r="J30" s="233">
        <f>F30*G30</f>
        <v>0</v>
      </c>
      <c r="K30" s="233">
        <v>0</v>
      </c>
      <c r="L30" s="233">
        <f>F30*K30</f>
        <v>0</v>
      </c>
      <c r="M30" s="240" t="s">
        <v>472</v>
      </c>
      <c r="X30" s="233">
        <f>IF(AO30="5",BH30,0)</f>
        <v>0</v>
      </c>
      <c r="Z30" s="233">
        <f>IF(AO30="1",BF30,0)</f>
        <v>0</v>
      </c>
      <c r="AA30" s="233">
        <f>IF(AO30="1",BG30,0)</f>
        <v>0</v>
      </c>
      <c r="AB30" s="233">
        <f>IF(AO30="7",BF30,0)</f>
        <v>0</v>
      </c>
      <c r="AC30" s="233">
        <f>IF(AO30="7",BG30,0)</f>
        <v>0</v>
      </c>
      <c r="AD30" s="233">
        <f>IF(AO30="2",BF30,0)</f>
        <v>0</v>
      </c>
      <c r="AE30" s="233">
        <f>IF(AO30="2",BG30,0)</f>
        <v>0</v>
      </c>
      <c r="AF30" s="233">
        <f>IF(AO30="0",BH30,0)</f>
        <v>0</v>
      </c>
      <c r="AG30" s="229" t="s">
        <v>154</v>
      </c>
      <c r="AH30" s="233">
        <f>IF(AL30=0,J30,0)</f>
        <v>0</v>
      </c>
      <c r="AI30" s="233">
        <f>IF(AL30=15,J30,0)</f>
        <v>0</v>
      </c>
      <c r="AJ30" s="233">
        <f>IF(AL30=21,J30,0)</f>
        <v>0</v>
      </c>
      <c r="AL30" s="233">
        <v>15</v>
      </c>
      <c r="AM30" s="233">
        <f>G30*0</f>
        <v>0</v>
      </c>
      <c r="AN30" s="233">
        <f>G30*(1-0)</f>
        <v>0</v>
      </c>
      <c r="AO30" s="234" t="s">
        <v>157</v>
      </c>
      <c r="AT30" s="233">
        <f>AU30+AV30</f>
        <v>0</v>
      </c>
      <c r="AU30" s="233">
        <f>F30*AM30</f>
        <v>0</v>
      </c>
      <c r="AV30" s="233">
        <f>F30*AN30</f>
        <v>0</v>
      </c>
      <c r="AW30" s="234" t="s">
        <v>197</v>
      </c>
      <c r="AX30" s="234" t="s">
        <v>163</v>
      </c>
      <c r="AY30" s="229" t="s">
        <v>164</v>
      </c>
      <c r="BA30" s="233">
        <f>AU30+AV30</f>
        <v>0</v>
      </c>
      <c r="BB30" s="233">
        <f>G30/(100-BC30)*100</f>
        <v>0</v>
      </c>
      <c r="BC30" s="233">
        <v>0</v>
      </c>
      <c r="BD30" s="233">
        <f>L30</f>
        <v>0</v>
      </c>
      <c r="BF30" s="233">
        <f>F30*AM30</f>
        <v>0</v>
      </c>
      <c r="BG30" s="233">
        <f>F30*AN30</f>
        <v>0</v>
      </c>
      <c r="BH30" s="233">
        <f>F30*G30</f>
        <v>0</v>
      </c>
      <c r="BI30" s="233"/>
      <c r="BJ30" s="233">
        <v>12</v>
      </c>
      <c r="BU30" s="233" t="e">
        <f>#REF!</f>
        <v>#REF!</v>
      </c>
      <c r="BV30" s="225" t="s">
        <v>195</v>
      </c>
    </row>
    <row r="31" spans="1:74" ht="40.5" customHeight="1" x14ac:dyDescent="0.3">
      <c r="A31" s="241"/>
      <c r="B31" s="242" t="s">
        <v>165</v>
      </c>
      <c r="C31" s="530" t="s">
        <v>1832</v>
      </c>
      <c r="D31" s="531"/>
      <c r="E31" s="531"/>
      <c r="F31" s="531"/>
      <c r="G31" s="531"/>
      <c r="H31" s="531"/>
      <c r="I31" s="531"/>
      <c r="J31" s="531"/>
      <c r="K31" s="531"/>
      <c r="L31" s="531"/>
      <c r="M31" s="532"/>
    </row>
    <row r="32" spans="1:74" ht="14.4" x14ac:dyDescent="0.3">
      <c r="A32" s="239" t="s">
        <v>198</v>
      </c>
      <c r="B32" s="223" t="s">
        <v>199</v>
      </c>
      <c r="C32" s="521" t="s">
        <v>200</v>
      </c>
      <c r="D32" s="519"/>
      <c r="E32" s="223" t="s">
        <v>196</v>
      </c>
      <c r="F32" s="233">
        <v>18</v>
      </c>
      <c r="G32" s="311">
        <v>0</v>
      </c>
      <c r="H32" s="233">
        <f>F32*AM32</f>
        <v>0</v>
      </c>
      <c r="I32" s="233">
        <f>F32*AN32</f>
        <v>0</v>
      </c>
      <c r="J32" s="233">
        <f>F32*G32</f>
        <v>0</v>
      </c>
      <c r="K32" s="233">
        <v>0</v>
      </c>
      <c r="L32" s="233">
        <f>F32*K32</f>
        <v>0</v>
      </c>
      <c r="M32" s="240" t="s">
        <v>472</v>
      </c>
      <c r="X32" s="233">
        <f>IF(AO32="5",BH32,0)</f>
        <v>0</v>
      </c>
      <c r="Z32" s="233">
        <f>IF(AO32="1",BF32,0)</f>
        <v>0</v>
      </c>
      <c r="AA32" s="233">
        <f>IF(AO32="1",BG32,0)</f>
        <v>0</v>
      </c>
      <c r="AB32" s="233">
        <f>IF(AO32="7",BF32,0)</f>
        <v>0</v>
      </c>
      <c r="AC32" s="233">
        <f>IF(AO32="7",BG32,0)</f>
        <v>0</v>
      </c>
      <c r="AD32" s="233">
        <f>IF(AO32="2",BF32,0)</f>
        <v>0</v>
      </c>
      <c r="AE32" s="233">
        <f>IF(AO32="2",BG32,0)</f>
        <v>0</v>
      </c>
      <c r="AF32" s="233">
        <f>IF(AO32="0",BH32,0)</f>
        <v>0</v>
      </c>
      <c r="AG32" s="229" t="s">
        <v>154</v>
      </c>
      <c r="AH32" s="233">
        <f>IF(AL32=0,J32,0)</f>
        <v>0</v>
      </c>
      <c r="AI32" s="233">
        <f>IF(AL32=15,J32,0)</f>
        <v>0</v>
      </c>
      <c r="AJ32" s="233">
        <f>IF(AL32=21,J32,0)</f>
        <v>0</v>
      </c>
      <c r="AL32" s="233">
        <v>15</v>
      </c>
      <c r="AM32" s="233">
        <f>G32*0</f>
        <v>0</v>
      </c>
      <c r="AN32" s="233">
        <f>G32*(1-0)</f>
        <v>0</v>
      </c>
      <c r="AO32" s="234" t="s">
        <v>157</v>
      </c>
      <c r="AT32" s="233">
        <f>AU32+AV32</f>
        <v>0</v>
      </c>
      <c r="AU32" s="233">
        <f>F32*AM32</f>
        <v>0</v>
      </c>
      <c r="AV32" s="233">
        <f>F32*AN32</f>
        <v>0</v>
      </c>
      <c r="AW32" s="234" t="s">
        <v>197</v>
      </c>
      <c r="AX32" s="234" t="s">
        <v>163</v>
      </c>
      <c r="AY32" s="229" t="s">
        <v>164</v>
      </c>
      <c r="BA32" s="233">
        <f>AU32+AV32</f>
        <v>0</v>
      </c>
      <c r="BB32" s="233">
        <f>G32/(100-BC32)*100</f>
        <v>0</v>
      </c>
      <c r="BC32" s="233">
        <v>0</v>
      </c>
      <c r="BD32" s="233">
        <f>L32</f>
        <v>0</v>
      </c>
      <c r="BF32" s="233">
        <f>F32*AM32</f>
        <v>0</v>
      </c>
      <c r="BG32" s="233">
        <f>F32*AN32</f>
        <v>0</v>
      </c>
      <c r="BH32" s="233">
        <f>F32*G32</f>
        <v>0</v>
      </c>
      <c r="BI32" s="233"/>
      <c r="BJ32" s="233">
        <v>12</v>
      </c>
      <c r="BU32" s="233" t="e">
        <f>#REF!</f>
        <v>#REF!</v>
      </c>
      <c r="BV32" s="225" t="s">
        <v>200</v>
      </c>
    </row>
    <row r="33" spans="1:74" ht="40.5" customHeight="1" x14ac:dyDescent="0.3">
      <c r="A33" s="241"/>
      <c r="B33" s="242" t="s">
        <v>165</v>
      </c>
      <c r="C33" s="530" t="s">
        <v>1833</v>
      </c>
      <c r="D33" s="531"/>
      <c r="E33" s="531"/>
      <c r="F33" s="531"/>
      <c r="G33" s="531"/>
      <c r="H33" s="531"/>
      <c r="I33" s="531"/>
      <c r="J33" s="531"/>
      <c r="K33" s="531"/>
      <c r="L33" s="531"/>
      <c r="M33" s="532"/>
    </row>
    <row r="34" spans="1:74" ht="14.4" x14ac:dyDescent="0.3">
      <c r="A34" s="239" t="s">
        <v>154</v>
      </c>
      <c r="B34" s="224" t="s">
        <v>201</v>
      </c>
      <c r="C34" s="526" t="s">
        <v>202</v>
      </c>
      <c r="D34" s="527"/>
      <c r="E34" s="223" t="s">
        <v>114</v>
      </c>
      <c r="F34" s="223" t="s">
        <v>114</v>
      </c>
      <c r="G34" s="223" t="s">
        <v>114</v>
      </c>
      <c r="H34" s="235">
        <f>SUM(H35:H45)</f>
        <v>0</v>
      </c>
      <c r="I34" s="235">
        <f>SUM(I35:I45)</f>
        <v>0</v>
      </c>
      <c r="J34" s="235">
        <f>SUM(J35:J45)</f>
        <v>0</v>
      </c>
      <c r="K34" s="230" t="s">
        <v>154</v>
      </c>
      <c r="L34" s="235">
        <f>SUM(L35:L45)</f>
        <v>0</v>
      </c>
      <c r="M34" s="243" t="s">
        <v>154</v>
      </c>
      <c r="AG34" s="229" t="s">
        <v>154</v>
      </c>
      <c r="AQ34" s="222">
        <f>SUM(AH35:AH45)</f>
        <v>0</v>
      </c>
      <c r="AR34" s="222">
        <f>SUM(AI35:AI45)</f>
        <v>0</v>
      </c>
      <c r="AS34" s="222">
        <f>SUM(AJ35:AJ45)</f>
        <v>0</v>
      </c>
    </row>
    <row r="35" spans="1:74" ht="14.4" x14ac:dyDescent="0.3">
      <c r="A35" s="239" t="s">
        <v>155</v>
      </c>
      <c r="B35" s="223" t="s">
        <v>203</v>
      </c>
      <c r="C35" s="521" t="s">
        <v>204</v>
      </c>
      <c r="D35" s="519"/>
      <c r="E35" s="223" t="s">
        <v>196</v>
      </c>
      <c r="F35" s="233">
        <v>98.63</v>
      </c>
      <c r="G35" s="311">
        <v>0</v>
      </c>
      <c r="H35" s="233">
        <f>F35*AM35</f>
        <v>0</v>
      </c>
      <c r="I35" s="233">
        <f>F35*AN35</f>
        <v>0</v>
      </c>
      <c r="J35" s="233">
        <f>F35*G35</f>
        <v>0</v>
      </c>
      <c r="K35" s="233">
        <v>0</v>
      </c>
      <c r="L35" s="233">
        <f>F35*K35</f>
        <v>0</v>
      </c>
      <c r="M35" s="240" t="s">
        <v>472</v>
      </c>
      <c r="X35" s="233">
        <f>IF(AO35="5",BH35,0)</f>
        <v>0</v>
      </c>
      <c r="Z35" s="233">
        <f>IF(AO35="1",BF35,0)</f>
        <v>0</v>
      </c>
      <c r="AA35" s="233">
        <f>IF(AO35="1",BG35,0)</f>
        <v>0</v>
      </c>
      <c r="AB35" s="233">
        <f>IF(AO35="7",BF35,0)</f>
        <v>0</v>
      </c>
      <c r="AC35" s="233">
        <f>IF(AO35="7",BG35,0)</f>
        <v>0</v>
      </c>
      <c r="AD35" s="233">
        <f>IF(AO35="2",BF35,0)</f>
        <v>0</v>
      </c>
      <c r="AE35" s="233">
        <f>IF(AO35="2",BG35,0)</f>
        <v>0</v>
      </c>
      <c r="AF35" s="233">
        <f>IF(AO35="0",BH35,0)</f>
        <v>0</v>
      </c>
      <c r="AG35" s="229" t="s">
        <v>154</v>
      </c>
      <c r="AH35" s="233">
        <f>IF(AL35=0,J35,0)</f>
        <v>0</v>
      </c>
      <c r="AI35" s="233">
        <f>IF(AL35=15,J35,0)</f>
        <v>0</v>
      </c>
      <c r="AJ35" s="233">
        <f>IF(AL35=21,J35,0)</f>
        <v>0</v>
      </c>
      <c r="AL35" s="233">
        <v>15</v>
      </c>
      <c r="AM35" s="233">
        <f>G35*0</f>
        <v>0</v>
      </c>
      <c r="AN35" s="233">
        <f>G35*(1-0)</f>
        <v>0</v>
      </c>
      <c r="AO35" s="234" t="s">
        <v>157</v>
      </c>
      <c r="AT35" s="233">
        <f>AU35+AV35</f>
        <v>0</v>
      </c>
      <c r="AU35" s="233">
        <f>F35*AM35</f>
        <v>0</v>
      </c>
      <c r="AV35" s="233">
        <f>F35*AN35</f>
        <v>0</v>
      </c>
      <c r="AW35" s="234" t="s">
        <v>205</v>
      </c>
      <c r="AX35" s="234" t="s">
        <v>163</v>
      </c>
      <c r="AY35" s="229" t="s">
        <v>164</v>
      </c>
      <c r="BA35" s="233">
        <f>AU35+AV35</f>
        <v>0</v>
      </c>
      <c r="BB35" s="233">
        <f>G35/(100-BC35)*100</f>
        <v>0</v>
      </c>
      <c r="BC35" s="233">
        <v>0</v>
      </c>
      <c r="BD35" s="233">
        <f>L35</f>
        <v>0</v>
      </c>
      <c r="BF35" s="233">
        <f>F35*AM35</f>
        <v>0</v>
      </c>
      <c r="BG35" s="233">
        <f>F35*AN35</f>
        <v>0</v>
      </c>
      <c r="BH35" s="233">
        <f>F35*G35</f>
        <v>0</v>
      </c>
      <c r="BI35" s="233"/>
      <c r="BJ35" s="233">
        <v>13</v>
      </c>
      <c r="BU35" s="233" t="e">
        <f>#REF!</f>
        <v>#REF!</v>
      </c>
      <c r="BV35" s="225" t="s">
        <v>204</v>
      </c>
    </row>
    <row r="36" spans="1:74" ht="121.5" customHeight="1" x14ac:dyDescent="0.3">
      <c r="A36" s="241"/>
      <c r="B36" s="242" t="s">
        <v>165</v>
      </c>
      <c r="C36" s="530" t="s">
        <v>1834</v>
      </c>
      <c r="D36" s="531"/>
      <c r="E36" s="531"/>
      <c r="F36" s="531"/>
      <c r="G36" s="531"/>
      <c r="H36" s="531"/>
      <c r="I36" s="531"/>
      <c r="J36" s="531"/>
      <c r="K36" s="531"/>
      <c r="L36" s="531"/>
      <c r="M36" s="532"/>
    </row>
    <row r="37" spans="1:74" ht="14.4" x14ac:dyDescent="0.3">
      <c r="A37" s="239" t="s">
        <v>191</v>
      </c>
      <c r="B37" s="223" t="s">
        <v>206</v>
      </c>
      <c r="C37" s="521" t="s">
        <v>207</v>
      </c>
      <c r="D37" s="519"/>
      <c r="E37" s="223" t="s">
        <v>196</v>
      </c>
      <c r="F37" s="233">
        <v>49.31</v>
      </c>
      <c r="G37" s="311">
        <v>0</v>
      </c>
      <c r="H37" s="233">
        <f>F37*AM37</f>
        <v>0</v>
      </c>
      <c r="I37" s="233">
        <f>F37*AN37</f>
        <v>0</v>
      </c>
      <c r="J37" s="233">
        <f>F37*G37</f>
        <v>0</v>
      </c>
      <c r="K37" s="233">
        <v>0</v>
      </c>
      <c r="L37" s="233">
        <f>F37*K37</f>
        <v>0</v>
      </c>
      <c r="M37" s="240" t="s">
        <v>472</v>
      </c>
      <c r="X37" s="233">
        <f>IF(AO37="5",BH37,0)</f>
        <v>0</v>
      </c>
      <c r="Z37" s="233">
        <f>IF(AO37="1",BF37,0)</f>
        <v>0</v>
      </c>
      <c r="AA37" s="233">
        <f>IF(AO37="1",BG37,0)</f>
        <v>0</v>
      </c>
      <c r="AB37" s="233">
        <f>IF(AO37="7",BF37,0)</f>
        <v>0</v>
      </c>
      <c r="AC37" s="233">
        <f>IF(AO37="7",BG37,0)</f>
        <v>0</v>
      </c>
      <c r="AD37" s="233">
        <f>IF(AO37="2",BF37,0)</f>
        <v>0</v>
      </c>
      <c r="AE37" s="233">
        <f>IF(AO37="2",BG37,0)</f>
        <v>0</v>
      </c>
      <c r="AF37" s="233">
        <f>IF(AO37="0",BH37,0)</f>
        <v>0</v>
      </c>
      <c r="AG37" s="229" t="s">
        <v>154</v>
      </c>
      <c r="AH37" s="233">
        <f>IF(AL37=0,J37,0)</f>
        <v>0</v>
      </c>
      <c r="AI37" s="233">
        <f>IF(AL37=15,J37,0)</f>
        <v>0</v>
      </c>
      <c r="AJ37" s="233">
        <f>IF(AL37=21,J37,0)</f>
        <v>0</v>
      </c>
      <c r="AL37" s="233">
        <v>15</v>
      </c>
      <c r="AM37" s="233">
        <f>G37*0</f>
        <v>0</v>
      </c>
      <c r="AN37" s="233">
        <f>G37*(1-0)</f>
        <v>0</v>
      </c>
      <c r="AO37" s="234" t="s">
        <v>157</v>
      </c>
      <c r="AT37" s="233">
        <f>AU37+AV37</f>
        <v>0</v>
      </c>
      <c r="AU37" s="233">
        <f>F37*AM37</f>
        <v>0</v>
      </c>
      <c r="AV37" s="233">
        <f>F37*AN37</f>
        <v>0</v>
      </c>
      <c r="AW37" s="234" t="s">
        <v>205</v>
      </c>
      <c r="AX37" s="234" t="s">
        <v>163</v>
      </c>
      <c r="AY37" s="229" t="s">
        <v>164</v>
      </c>
      <c r="BA37" s="233">
        <f>AU37+AV37</f>
        <v>0</v>
      </c>
      <c r="BB37" s="233">
        <f>G37/(100-BC37)*100</f>
        <v>0</v>
      </c>
      <c r="BC37" s="233">
        <v>0</v>
      </c>
      <c r="BD37" s="233">
        <f>L37</f>
        <v>0</v>
      </c>
      <c r="BF37" s="233">
        <f>F37*AM37</f>
        <v>0</v>
      </c>
      <c r="BG37" s="233">
        <f>F37*AN37</f>
        <v>0</v>
      </c>
      <c r="BH37" s="233">
        <f>F37*G37</f>
        <v>0</v>
      </c>
      <c r="BI37" s="233"/>
      <c r="BJ37" s="233">
        <v>13</v>
      </c>
      <c r="BU37" s="233" t="e">
        <f>#REF!</f>
        <v>#REF!</v>
      </c>
      <c r="BV37" s="225" t="s">
        <v>207</v>
      </c>
    </row>
    <row r="38" spans="1:74" ht="40.5" customHeight="1" x14ac:dyDescent="0.3">
      <c r="A38" s="241"/>
      <c r="B38" s="242" t="s">
        <v>165</v>
      </c>
      <c r="C38" s="530" t="s">
        <v>1835</v>
      </c>
      <c r="D38" s="531"/>
      <c r="E38" s="531"/>
      <c r="F38" s="531"/>
      <c r="G38" s="531"/>
      <c r="H38" s="531"/>
      <c r="I38" s="531"/>
      <c r="J38" s="531"/>
      <c r="K38" s="531"/>
      <c r="L38" s="531"/>
      <c r="M38" s="532"/>
    </row>
    <row r="39" spans="1:74" ht="14.4" x14ac:dyDescent="0.3">
      <c r="A39" s="239" t="s">
        <v>201</v>
      </c>
      <c r="B39" s="223" t="s">
        <v>208</v>
      </c>
      <c r="C39" s="521" t="s">
        <v>209</v>
      </c>
      <c r="D39" s="519"/>
      <c r="E39" s="223" t="s">
        <v>196</v>
      </c>
      <c r="F39" s="233">
        <v>88.77</v>
      </c>
      <c r="G39" s="311">
        <v>0</v>
      </c>
      <c r="H39" s="233">
        <f>F39*AM39</f>
        <v>0</v>
      </c>
      <c r="I39" s="233">
        <f>F39*AN39</f>
        <v>0</v>
      </c>
      <c r="J39" s="233">
        <f>F39*G39</f>
        <v>0</v>
      </c>
      <c r="K39" s="233">
        <v>0</v>
      </c>
      <c r="L39" s="233">
        <f>F39*K39</f>
        <v>0</v>
      </c>
      <c r="M39" s="240" t="s">
        <v>472</v>
      </c>
      <c r="X39" s="233">
        <f>IF(AO39="5",BH39,0)</f>
        <v>0</v>
      </c>
      <c r="Z39" s="233">
        <f>IF(AO39="1",BF39,0)</f>
        <v>0</v>
      </c>
      <c r="AA39" s="233">
        <f>IF(AO39="1",BG39,0)</f>
        <v>0</v>
      </c>
      <c r="AB39" s="233">
        <f>IF(AO39="7",BF39,0)</f>
        <v>0</v>
      </c>
      <c r="AC39" s="233">
        <f>IF(AO39="7",BG39,0)</f>
        <v>0</v>
      </c>
      <c r="AD39" s="233">
        <f>IF(AO39="2",BF39,0)</f>
        <v>0</v>
      </c>
      <c r="AE39" s="233">
        <f>IF(AO39="2",BG39,0)</f>
        <v>0</v>
      </c>
      <c r="AF39" s="233">
        <f>IF(AO39="0",BH39,0)</f>
        <v>0</v>
      </c>
      <c r="AG39" s="229" t="s">
        <v>154</v>
      </c>
      <c r="AH39" s="233">
        <f>IF(AL39=0,J39,0)</f>
        <v>0</v>
      </c>
      <c r="AI39" s="233">
        <f>IF(AL39=15,J39,0)</f>
        <v>0</v>
      </c>
      <c r="AJ39" s="233">
        <f>IF(AL39=21,J39,0)</f>
        <v>0</v>
      </c>
      <c r="AL39" s="233">
        <v>15</v>
      </c>
      <c r="AM39" s="233">
        <f>G39*0</f>
        <v>0</v>
      </c>
      <c r="AN39" s="233">
        <f>G39*(1-0)</f>
        <v>0</v>
      </c>
      <c r="AO39" s="234" t="s">
        <v>157</v>
      </c>
      <c r="AT39" s="233">
        <f>AU39+AV39</f>
        <v>0</v>
      </c>
      <c r="AU39" s="233">
        <f>F39*AM39</f>
        <v>0</v>
      </c>
      <c r="AV39" s="233">
        <f>F39*AN39</f>
        <v>0</v>
      </c>
      <c r="AW39" s="234" t="s">
        <v>205</v>
      </c>
      <c r="AX39" s="234" t="s">
        <v>163</v>
      </c>
      <c r="AY39" s="229" t="s">
        <v>164</v>
      </c>
      <c r="BA39" s="233">
        <f>AU39+AV39</f>
        <v>0</v>
      </c>
      <c r="BB39" s="233">
        <f>G39/(100-BC39)*100</f>
        <v>0</v>
      </c>
      <c r="BC39" s="233">
        <v>0</v>
      </c>
      <c r="BD39" s="233">
        <f>L39</f>
        <v>0</v>
      </c>
      <c r="BF39" s="233">
        <f>F39*AM39</f>
        <v>0</v>
      </c>
      <c r="BG39" s="233">
        <f>F39*AN39</f>
        <v>0</v>
      </c>
      <c r="BH39" s="233">
        <f>F39*G39</f>
        <v>0</v>
      </c>
      <c r="BI39" s="233"/>
      <c r="BJ39" s="233">
        <v>13</v>
      </c>
      <c r="BU39" s="233" t="e">
        <f>#REF!</f>
        <v>#REF!</v>
      </c>
      <c r="BV39" s="225" t="s">
        <v>209</v>
      </c>
    </row>
    <row r="40" spans="1:74" ht="121.5" customHeight="1" x14ac:dyDescent="0.3">
      <c r="A40" s="241"/>
      <c r="B40" s="242" t="s">
        <v>165</v>
      </c>
      <c r="C40" s="530" t="s">
        <v>1836</v>
      </c>
      <c r="D40" s="531"/>
      <c r="E40" s="531"/>
      <c r="F40" s="531"/>
      <c r="G40" s="531"/>
      <c r="H40" s="531"/>
      <c r="I40" s="531"/>
      <c r="J40" s="531"/>
      <c r="K40" s="531"/>
      <c r="L40" s="531"/>
      <c r="M40" s="532"/>
    </row>
    <row r="41" spans="1:74" ht="14.4" x14ac:dyDescent="0.3">
      <c r="A41" s="239" t="s">
        <v>210</v>
      </c>
      <c r="B41" s="223" t="s">
        <v>211</v>
      </c>
      <c r="C41" s="521" t="s">
        <v>212</v>
      </c>
      <c r="D41" s="519"/>
      <c r="E41" s="223" t="s">
        <v>196</v>
      </c>
      <c r="F41" s="233">
        <v>22.19</v>
      </c>
      <c r="G41" s="311">
        <v>0</v>
      </c>
      <c r="H41" s="233">
        <f>F41*AM41</f>
        <v>0</v>
      </c>
      <c r="I41" s="233">
        <f>F41*AN41</f>
        <v>0</v>
      </c>
      <c r="J41" s="233">
        <f>F41*G41</f>
        <v>0</v>
      </c>
      <c r="K41" s="233">
        <v>0</v>
      </c>
      <c r="L41" s="233">
        <f>F41*K41</f>
        <v>0</v>
      </c>
      <c r="M41" s="240" t="s">
        <v>472</v>
      </c>
      <c r="X41" s="233">
        <f>IF(AO41="5",BH41,0)</f>
        <v>0</v>
      </c>
      <c r="Z41" s="233">
        <f>IF(AO41="1",BF41,0)</f>
        <v>0</v>
      </c>
      <c r="AA41" s="233">
        <f>IF(AO41="1",BG41,0)</f>
        <v>0</v>
      </c>
      <c r="AB41" s="233">
        <f>IF(AO41="7",BF41,0)</f>
        <v>0</v>
      </c>
      <c r="AC41" s="233">
        <f>IF(AO41="7",BG41,0)</f>
        <v>0</v>
      </c>
      <c r="AD41" s="233">
        <f>IF(AO41="2",BF41,0)</f>
        <v>0</v>
      </c>
      <c r="AE41" s="233">
        <f>IF(AO41="2",BG41,0)</f>
        <v>0</v>
      </c>
      <c r="AF41" s="233">
        <f>IF(AO41="0",BH41,0)</f>
        <v>0</v>
      </c>
      <c r="AG41" s="229" t="s">
        <v>154</v>
      </c>
      <c r="AH41" s="233">
        <f>IF(AL41=0,J41,0)</f>
        <v>0</v>
      </c>
      <c r="AI41" s="233">
        <f>IF(AL41=15,J41,0)</f>
        <v>0</v>
      </c>
      <c r="AJ41" s="233">
        <f>IF(AL41=21,J41,0)</f>
        <v>0</v>
      </c>
      <c r="AL41" s="233">
        <v>15</v>
      </c>
      <c r="AM41" s="233">
        <f>G41*0</f>
        <v>0</v>
      </c>
      <c r="AN41" s="233">
        <f>G41*(1-0)</f>
        <v>0</v>
      </c>
      <c r="AO41" s="234" t="s">
        <v>157</v>
      </c>
      <c r="AT41" s="233">
        <f>AU41+AV41</f>
        <v>0</v>
      </c>
      <c r="AU41" s="233">
        <f>F41*AM41</f>
        <v>0</v>
      </c>
      <c r="AV41" s="233">
        <f>F41*AN41</f>
        <v>0</v>
      </c>
      <c r="AW41" s="234" t="s">
        <v>205</v>
      </c>
      <c r="AX41" s="234" t="s">
        <v>163</v>
      </c>
      <c r="AY41" s="229" t="s">
        <v>164</v>
      </c>
      <c r="BA41" s="233">
        <f>AU41+AV41</f>
        <v>0</v>
      </c>
      <c r="BB41" s="233">
        <f>G41/(100-BC41)*100</f>
        <v>0</v>
      </c>
      <c r="BC41" s="233">
        <v>0</v>
      </c>
      <c r="BD41" s="233">
        <f>L41</f>
        <v>0</v>
      </c>
      <c r="BF41" s="233">
        <f>F41*AM41</f>
        <v>0</v>
      </c>
      <c r="BG41" s="233">
        <f>F41*AN41</f>
        <v>0</v>
      </c>
      <c r="BH41" s="233">
        <f>F41*G41</f>
        <v>0</v>
      </c>
      <c r="BI41" s="233"/>
      <c r="BJ41" s="233">
        <v>13</v>
      </c>
      <c r="BU41" s="233" t="e">
        <f>#REF!</f>
        <v>#REF!</v>
      </c>
      <c r="BV41" s="225" t="s">
        <v>212</v>
      </c>
    </row>
    <row r="42" spans="1:74" ht="40.5" customHeight="1" x14ac:dyDescent="0.3">
      <c r="A42" s="244"/>
      <c r="B42" s="245" t="s">
        <v>165</v>
      </c>
      <c r="C42" s="540" t="s">
        <v>1837</v>
      </c>
      <c r="D42" s="541"/>
      <c r="E42" s="541"/>
      <c r="F42" s="541"/>
      <c r="G42" s="541"/>
      <c r="H42" s="541"/>
      <c r="I42" s="541"/>
      <c r="J42" s="541"/>
      <c r="K42" s="541"/>
      <c r="L42" s="541"/>
      <c r="M42" s="542"/>
    </row>
    <row r="43" spans="1:74" ht="14.4" x14ac:dyDescent="0.3">
      <c r="A43" s="237" t="s">
        <v>161</v>
      </c>
      <c r="B43" s="238" t="s">
        <v>213</v>
      </c>
      <c r="C43" s="543" t="s">
        <v>214</v>
      </c>
      <c r="D43" s="544"/>
      <c r="E43" s="238" t="s">
        <v>196</v>
      </c>
      <c r="F43" s="258">
        <v>9.86</v>
      </c>
      <c r="G43" s="311">
        <v>0</v>
      </c>
      <c r="H43" s="258">
        <f>F43*AM43</f>
        <v>0</v>
      </c>
      <c r="I43" s="258">
        <f>F43*AN43</f>
        <v>0</v>
      </c>
      <c r="J43" s="258">
        <f>F43*G43</f>
        <v>0</v>
      </c>
      <c r="K43" s="258">
        <v>0</v>
      </c>
      <c r="L43" s="258">
        <f>F43*K43</f>
        <v>0</v>
      </c>
      <c r="M43" s="259" t="s">
        <v>472</v>
      </c>
      <c r="X43" s="233">
        <f>IF(AO43="5",BH43,0)</f>
        <v>0</v>
      </c>
      <c r="Z43" s="233">
        <f>IF(AO43="1",BF43,0)</f>
        <v>0</v>
      </c>
      <c r="AA43" s="233">
        <f>IF(AO43="1",BG43,0)</f>
        <v>0</v>
      </c>
      <c r="AB43" s="233">
        <f>IF(AO43="7",BF43,0)</f>
        <v>0</v>
      </c>
      <c r="AC43" s="233">
        <f>IF(AO43="7",BG43,0)</f>
        <v>0</v>
      </c>
      <c r="AD43" s="233">
        <f>IF(AO43="2",BF43,0)</f>
        <v>0</v>
      </c>
      <c r="AE43" s="233">
        <f>IF(AO43="2",BG43,0)</f>
        <v>0</v>
      </c>
      <c r="AF43" s="233">
        <f>IF(AO43="0",BH43,0)</f>
        <v>0</v>
      </c>
      <c r="AG43" s="229" t="s">
        <v>154</v>
      </c>
      <c r="AH43" s="233">
        <f>IF(AL43=0,J43,0)</f>
        <v>0</v>
      </c>
      <c r="AI43" s="233">
        <f>IF(AL43=15,J43,0)</f>
        <v>0</v>
      </c>
      <c r="AJ43" s="233">
        <f>IF(AL43=21,J43,0)</f>
        <v>0</v>
      </c>
      <c r="AL43" s="233">
        <v>15</v>
      </c>
      <c r="AM43" s="233">
        <f>G43*0</f>
        <v>0</v>
      </c>
      <c r="AN43" s="233">
        <f>G43*(1-0)</f>
        <v>0</v>
      </c>
      <c r="AO43" s="234" t="s">
        <v>157</v>
      </c>
      <c r="AT43" s="233">
        <f>AU43+AV43</f>
        <v>0</v>
      </c>
      <c r="AU43" s="233">
        <f>F43*AM43</f>
        <v>0</v>
      </c>
      <c r="AV43" s="233">
        <f>F43*AN43</f>
        <v>0</v>
      </c>
      <c r="AW43" s="234" t="s">
        <v>205</v>
      </c>
      <c r="AX43" s="234" t="s">
        <v>163</v>
      </c>
      <c r="AY43" s="229" t="s">
        <v>164</v>
      </c>
      <c r="BA43" s="233">
        <f>AU43+AV43</f>
        <v>0</v>
      </c>
      <c r="BB43" s="233">
        <f>G43/(100-BC43)*100</f>
        <v>0</v>
      </c>
      <c r="BC43" s="233">
        <v>0</v>
      </c>
      <c r="BD43" s="233">
        <f>L43</f>
        <v>0</v>
      </c>
      <c r="BF43" s="233">
        <f>F43*AM43</f>
        <v>0</v>
      </c>
      <c r="BG43" s="233">
        <f>F43*AN43</f>
        <v>0</v>
      </c>
      <c r="BH43" s="233">
        <f>F43*G43</f>
        <v>0</v>
      </c>
      <c r="BI43" s="233"/>
      <c r="BJ43" s="233">
        <v>13</v>
      </c>
      <c r="BU43" s="233" t="e">
        <f>#REF!</f>
        <v>#REF!</v>
      </c>
      <c r="BV43" s="225" t="s">
        <v>214</v>
      </c>
    </row>
    <row r="44" spans="1:74" ht="135" customHeight="1" x14ac:dyDescent="0.3">
      <c r="A44" s="241"/>
      <c r="B44" s="242" t="s">
        <v>165</v>
      </c>
      <c r="C44" s="530" t="s">
        <v>1838</v>
      </c>
      <c r="D44" s="531"/>
      <c r="E44" s="531"/>
      <c r="F44" s="531"/>
      <c r="G44" s="531"/>
      <c r="H44" s="531"/>
      <c r="I44" s="531"/>
      <c r="J44" s="531"/>
      <c r="K44" s="531"/>
      <c r="L44" s="531"/>
      <c r="M44" s="532"/>
    </row>
    <row r="45" spans="1:74" ht="14.4" x14ac:dyDescent="0.3">
      <c r="A45" s="239" t="s">
        <v>215</v>
      </c>
      <c r="B45" s="223" t="s">
        <v>216</v>
      </c>
      <c r="C45" s="521" t="s">
        <v>217</v>
      </c>
      <c r="D45" s="519"/>
      <c r="E45" s="223" t="s">
        <v>196</v>
      </c>
      <c r="F45" s="233">
        <v>2</v>
      </c>
      <c r="G45" s="311">
        <v>0</v>
      </c>
      <c r="H45" s="233">
        <f>F45*AM45</f>
        <v>0</v>
      </c>
      <c r="I45" s="233">
        <f>F45*AN45</f>
        <v>0</v>
      </c>
      <c r="J45" s="233">
        <f>F45*G45</f>
        <v>0</v>
      </c>
      <c r="K45" s="233">
        <v>0</v>
      </c>
      <c r="L45" s="233">
        <f>F45*K45</f>
        <v>0</v>
      </c>
      <c r="M45" s="240" t="s">
        <v>472</v>
      </c>
      <c r="X45" s="233">
        <f>IF(AO45="5",BH45,0)</f>
        <v>0</v>
      </c>
      <c r="Z45" s="233">
        <f>IF(AO45="1",BF45,0)</f>
        <v>0</v>
      </c>
      <c r="AA45" s="233">
        <f>IF(AO45="1",BG45,0)</f>
        <v>0</v>
      </c>
      <c r="AB45" s="233">
        <f>IF(AO45="7",BF45,0)</f>
        <v>0</v>
      </c>
      <c r="AC45" s="233">
        <f>IF(AO45="7",BG45,0)</f>
        <v>0</v>
      </c>
      <c r="AD45" s="233">
        <f>IF(AO45="2",BF45,0)</f>
        <v>0</v>
      </c>
      <c r="AE45" s="233">
        <f>IF(AO45="2",BG45,0)</f>
        <v>0</v>
      </c>
      <c r="AF45" s="233">
        <f>IF(AO45="0",BH45,0)</f>
        <v>0</v>
      </c>
      <c r="AG45" s="229" t="s">
        <v>154</v>
      </c>
      <c r="AH45" s="233">
        <f>IF(AL45=0,J45,0)</f>
        <v>0</v>
      </c>
      <c r="AI45" s="233">
        <f>IF(AL45=15,J45,0)</f>
        <v>0</v>
      </c>
      <c r="AJ45" s="233">
        <f>IF(AL45=21,J45,0)</f>
        <v>0</v>
      </c>
      <c r="AL45" s="233">
        <v>15</v>
      </c>
      <c r="AM45" s="233">
        <f>G45*0</f>
        <v>0</v>
      </c>
      <c r="AN45" s="233">
        <f>G45*(1-0)</f>
        <v>0</v>
      </c>
      <c r="AO45" s="234" t="s">
        <v>157</v>
      </c>
      <c r="AT45" s="233">
        <f>AU45+AV45</f>
        <v>0</v>
      </c>
      <c r="AU45" s="233">
        <f>F45*AM45</f>
        <v>0</v>
      </c>
      <c r="AV45" s="233">
        <f>F45*AN45</f>
        <v>0</v>
      </c>
      <c r="AW45" s="234" t="s">
        <v>205</v>
      </c>
      <c r="AX45" s="234" t="s">
        <v>163</v>
      </c>
      <c r="AY45" s="229" t="s">
        <v>164</v>
      </c>
      <c r="BA45" s="233">
        <f>AU45+AV45</f>
        <v>0</v>
      </c>
      <c r="BB45" s="233">
        <f>G45/(100-BC45)*100</f>
        <v>0</v>
      </c>
      <c r="BC45" s="233">
        <v>0</v>
      </c>
      <c r="BD45" s="233">
        <f>L45</f>
        <v>0</v>
      </c>
      <c r="BF45" s="233">
        <f>F45*AM45</f>
        <v>0</v>
      </c>
      <c r="BG45" s="233">
        <f>F45*AN45</f>
        <v>0</v>
      </c>
      <c r="BH45" s="233">
        <f>F45*G45</f>
        <v>0</v>
      </c>
      <c r="BI45" s="233"/>
      <c r="BJ45" s="233">
        <v>13</v>
      </c>
      <c r="BU45" s="233" t="e">
        <f>#REF!</f>
        <v>#REF!</v>
      </c>
      <c r="BV45" s="225" t="s">
        <v>217</v>
      </c>
    </row>
    <row r="46" spans="1:74" ht="13.5" customHeight="1" x14ac:dyDescent="0.3">
      <c r="A46" s="241"/>
      <c r="B46" s="242" t="s">
        <v>165</v>
      </c>
      <c r="C46" s="530" t="s">
        <v>218</v>
      </c>
      <c r="D46" s="531"/>
      <c r="E46" s="531"/>
      <c r="F46" s="531"/>
      <c r="G46" s="531"/>
      <c r="H46" s="531"/>
      <c r="I46" s="531"/>
      <c r="J46" s="531"/>
      <c r="K46" s="531"/>
      <c r="L46" s="531"/>
      <c r="M46" s="532"/>
    </row>
    <row r="47" spans="1:74" ht="14.4" x14ac:dyDescent="0.3">
      <c r="A47" s="239" t="s">
        <v>154</v>
      </c>
      <c r="B47" s="224" t="s">
        <v>161</v>
      </c>
      <c r="C47" s="526" t="s">
        <v>219</v>
      </c>
      <c r="D47" s="527"/>
      <c r="E47" s="223" t="s">
        <v>114</v>
      </c>
      <c r="F47" s="223" t="s">
        <v>114</v>
      </c>
      <c r="G47" s="223" t="s">
        <v>114</v>
      </c>
      <c r="H47" s="235">
        <f>SUM(H48:H50)</f>
        <v>0</v>
      </c>
      <c r="I47" s="235">
        <f>SUM(I48:I50)</f>
        <v>0</v>
      </c>
      <c r="J47" s="235">
        <f>SUM(J48:J50)</f>
        <v>0</v>
      </c>
      <c r="K47" s="230" t="s">
        <v>154</v>
      </c>
      <c r="L47" s="235">
        <f>SUM(L48:L50)</f>
        <v>9.2020000000000005E-2</v>
      </c>
      <c r="M47" s="243" t="s">
        <v>154</v>
      </c>
      <c r="AG47" s="229" t="s">
        <v>154</v>
      </c>
      <c r="AQ47" s="222">
        <f>SUM(AH48:AH50)</f>
        <v>0</v>
      </c>
      <c r="AR47" s="222">
        <f>SUM(AI48:AI50)</f>
        <v>0</v>
      </c>
      <c r="AS47" s="222">
        <f>SUM(AJ48:AJ50)</f>
        <v>0</v>
      </c>
    </row>
    <row r="48" spans="1:74" ht="14.4" x14ac:dyDescent="0.3">
      <c r="A48" s="239" t="s">
        <v>220</v>
      </c>
      <c r="B48" s="223" t="s">
        <v>221</v>
      </c>
      <c r="C48" s="521" t="s">
        <v>222</v>
      </c>
      <c r="D48" s="519"/>
      <c r="E48" s="223" t="s">
        <v>180</v>
      </c>
      <c r="F48" s="233">
        <v>107</v>
      </c>
      <c r="G48" s="311">
        <v>0</v>
      </c>
      <c r="H48" s="233">
        <f>F48*AM48</f>
        <v>0</v>
      </c>
      <c r="I48" s="233">
        <f>F48*AN48</f>
        <v>0</v>
      </c>
      <c r="J48" s="233">
        <f>F48*G48</f>
        <v>0</v>
      </c>
      <c r="K48" s="233">
        <v>8.5999999999999998E-4</v>
      </c>
      <c r="L48" s="233">
        <f>F48*K48</f>
        <v>9.2020000000000005E-2</v>
      </c>
      <c r="M48" s="240" t="s">
        <v>472</v>
      </c>
      <c r="X48" s="233">
        <f>IF(AO48="5",BH48,0)</f>
        <v>0</v>
      </c>
      <c r="Z48" s="233">
        <f>IF(AO48="1",BF48,0)</f>
        <v>0</v>
      </c>
      <c r="AA48" s="233">
        <f>IF(AO48="1",BG48,0)</f>
        <v>0</v>
      </c>
      <c r="AB48" s="233">
        <f>IF(AO48="7",BF48,0)</f>
        <v>0</v>
      </c>
      <c r="AC48" s="233">
        <f>IF(AO48="7",BG48,0)</f>
        <v>0</v>
      </c>
      <c r="AD48" s="233">
        <f>IF(AO48="2",BF48,0)</f>
        <v>0</v>
      </c>
      <c r="AE48" s="233">
        <f>IF(AO48="2",BG48,0)</f>
        <v>0</v>
      </c>
      <c r="AF48" s="233">
        <f>IF(AO48="0",BH48,0)</f>
        <v>0</v>
      </c>
      <c r="AG48" s="229" t="s">
        <v>154</v>
      </c>
      <c r="AH48" s="233">
        <f>IF(AL48=0,J48,0)</f>
        <v>0</v>
      </c>
      <c r="AI48" s="233">
        <f>IF(AL48=15,J48,0)</f>
        <v>0</v>
      </c>
      <c r="AJ48" s="233">
        <f>IF(AL48=21,J48,0)</f>
        <v>0</v>
      </c>
      <c r="AL48" s="233">
        <v>15</v>
      </c>
      <c r="AM48" s="233">
        <f>G48*0.083527397</f>
        <v>0</v>
      </c>
      <c r="AN48" s="233">
        <f>G48*(1-0.083527397)</f>
        <v>0</v>
      </c>
      <c r="AO48" s="234" t="s">
        <v>157</v>
      </c>
      <c r="AT48" s="233">
        <f>AU48+AV48</f>
        <v>0</v>
      </c>
      <c r="AU48" s="233">
        <f>F48*AM48</f>
        <v>0</v>
      </c>
      <c r="AV48" s="233">
        <f>F48*AN48</f>
        <v>0</v>
      </c>
      <c r="AW48" s="234" t="s">
        <v>223</v>
      </c>
      <c r="AX48" s="234" t="s">
        <v>163</v>
      </c>
      <c r="AY48" s="229" t="s">
        <v>164</v>
      </c>
      <c r="BA48" s="233">
        <f>AU48+AV48</f>
        <v>0</v>
      </c>
      <c r="BB48" s="233">
        <f>G48/(100-BC48)*100</f>
        <v>0</v>
      </c>
      <c r="BC48" s="233">
        <v>0</v>
      </c>
      <c r="BD48" s="233">
        <f>L48</f>
        <v>9.2020000000000005E-2</v>
      </c>
      <c r="BF48" s="233">
        <f>F48*AM48</f>
        <v>0</v>
      </c>
      <c r="BG48" s="233">
        <f>F48*AN48</f>
        <v>0</v>
      </c>
      <c r="BH48" s="233">
        <f>F48*G48</f>
        <v>0</v>
      </c>
      <c r="BI48" s="233"/>
      <c r="BJ48" s="233">
        <v>15</v>
      </c>
      <c r="BU48" s="233" t="e">
        <f>#REF!</f>
        <v>#REF!</v>
      </c>
      <c r="BV48" s="225" t="s">
        <v>222</v>
      </c>
    </row>
    <row r="49" spans="1:74" ht="40.5" customHeight="1" x14ac:dyDescent="0.3">
      <c r="A49" s="241"/>
      <c r="B49" s="242" t="s">
        <v>165</v>
      </c>
      <c r="C49" s="530" t="s">
        <v>1839</v>
      </c>
      <c r="D49" s="531"/>
      <c r="E49" s="531"/>
      <c r="F49" s="531"/>
      <c r="G49" s="531"/>
      <c r="H49" s="531"/>
      <c r="I49" s="531"/>
      <c r="J49" s="531"/>
      <c r="K49" s="531"/>
      <c r="L49" s="531"/>
      <c r="M49" s="532"/>
    </row>
    <row r="50" spans="1:74" ht="14.4" x14ac:dyDescent="0.3">
      <c r="A50" s="239" t="s">
        <v>224</v>
      </c>
      <c r="B50" s="223" t="s">
        <v>225</v>
      </c>
      <c r="C50" s="521" t="s">
        <v>226</v>
      </c>
      <c r="D50" s="519"/>
      <c r="E50" s="223" t="s">
        <v>180</v>
      </c>
      <c r="F50" s="233">
        <v>107</v>
      </c>
      <c r="G50" s="311">
        <v>0</v>
      </c>
      <c r="H50" s="233">
        <f>F50*AM50</f>
        <v>0</v>
      </c>
      <c r="I50" s="233">
        <f>F50*AN50</f>
        <v>0</v>
      </c>
      <c r="J50" s="233">
        <f>F50*G50</f>
        <v>0</v>
      </c>
      <c r="K50" s="233">
        <v>0</v>
      </c>
      <c r="L50" s="233">
        <f>F50*K50</f>
        <v>0</v>
      </c>
      <c r="M50" s="240" t="s">
        <v>472</v>
      </c>
      <c r="X50" s="233">
        <f>IF(AO50="5",BH50,0)</f>
        <v>0</v>
      </c>
      <c r="Z50" s="233">
        <f>IF(AO50="1",BF50,0)</f>
        <v>0</v>
      </c>
      <c r="AA50" s="233">
        <f>IF(AO50="1",BG50,0)</f>
        <v>0</v>
      </c>
      <c r="AB50" s="233">
        <f>IF(AO50="7",BF50,0)</f>
        <v>0</v>
      </c>
      <c r="AC50" s="233">
        <f>IF(AO50="7",BG50,0)</f>
        <v>0</v>
      </c>
      <c r="AD50" s="233">
        <f>IF(AO50="2",BF50,0)</f>
        <v>0</v>
      </c>
      <c r="AE50" s="233">
        <f>IF(AO50="2",BG50,0)</f>
        <v>0</v>
      </c>
      <c r="AF50" s="233">
        <f>IF(AO50="0",BH50,0)</f>
        <v>0</v>
      </c>
      <c r="AG50" s="229" t="s">
        <v>154</v>
      </c>
      <c r="AH50" s="233">
        <f>IF(AL50=0,J50,0)</f>
        <v>0</v>
      </c>
      <c r="AI50" s="233">
        <f>IF(AL50=15,J50,0)</f>
        <v>0</v>
      </c>
      <c r="AJ50" s="233">
        <f>IF(AL50=21,J50,0)</f>
        <v>0</v>
      </c>
      <c r="AL50" s="233">
        <v>15</v>
      </c>
      <c r="AM50" s="233">
        <f>G50*0</f>
        <v>0</v>
      </c>
      <c r="AN50" s="233">
        <f>G50*(1-0)</f>
        <v>0</v>
      </c>
      <c r="AO50" s="234" t="s">
        <v>157</v>
      </c>
      <c r="AT50" s="233">
        <f>AU50+AV50</f>
        <v>0</v>
      </c>
      <c r="AU50" s="233">
        <f>F50*AM50</f>
        <v>0</v>
      </c>
      <c r="AV50" s="233">
        <f>F50*AN50</f>
        <v>0</v>
      </c>
      <c r="AW50" s="234" t="s">
        <v>223</v>
      </c>
      <c r="AX50" s="234" t="s">
        <v>163</v>
      </c>
      <c r="AY50" s="229" t="s">
        <v>164</v>
      </c>
      <c r="BA50" s="233">
        <f>AU50+AV50</f>
        <v>0</v>
      </c>
      <c r="BB50" s="233">
        <f>G50/(100-BC50)*100</f>
        <v>0</v>
      </c>
      <c r="BC50" s="233">
        <v>0</v>
      </c>
      <c r="BD50" s="233">
        <f>L50</f>
        <v>0</v>
      </c>
      <c r="BF50" s="233">
        <f>F50*AM50</f>
        <v>0</v>
      </c>
      <c r="BG50" s="233">
        <f>F50*AN50</f>
        <v>0</v>
      </c>
      <c r="BH50" s="233">
        <f>F50*G50</f>
        <v>0</v>
      </c>
      <c r="BI50" s="233"/>
      <c r="BJ50" s="233">
        <v>15</v>
      </c>
      <c r="BU50" s="233" t="e">
        <f>#REF!</f>
        <v>#REF!</v>
      </c>
      <c r="BV50" s="225" t="s">
        <v>226</v>
      </c>
    </row>
    <row r="51" spans="1:74" ht="40.5" customHeight="1" x14ac:dyDescent="0.3">
      <c r="A51" s="241"/>
      <c r="B51" s="242" t="s">
        <v>165</v>
      </c>
      <c r="C51" s="530" t="s">
        <v>1840</v>
      </c>
      <c r="D51" s="531"/>
      <c r="E51" s="531"/>
      <c r="F51" s="531"/>
      <c r="G51" s="531"/>
      <c r="H51" s="531"/>
      <c r="I51" s="531"/>
      <c r="J51" s="531"/>
      <c r="K51" s="531"/>
      <c r="L51" s="531"/>
      <c r="M51" s="532"/>
    </row>
    <row r="52" spans="1:74" ht="14.4" x14ac:dyDescent="0.3">
      <c r="A52" s="239" t="s">
        <v>154</v>
      </c>
      <c r="B52" s="224" t="s">
        <v>215</v>
      </c>
      <c r="C52" s="526" t="s">
        <v>227</v>
      </c>
      <c r="D52" s="527"/>
      <c r="E52" s="223" t="s">
        <v>114</v>
      </c>
      <c r="F52" s="223" t="s">
        <v>114</v>
      </c>
      <c r="G52" s="223" t="s">
        <v>114</v>
      </c>
      <c r="H52" s="235">
        <f>SUM(H53:H71)</f>
        <v>0</v>
      </c>
      <c r="I52" s="235">
        <f>SUM(I53:I71)</f>
        <v>0</v>
      </c>
      <c r="J52" s="235">
        <f>SUM(J53:J71)</f>
        <v>0</v>
      </c>
      <c r="K52" s="230" t="s">
        <v>154</v>
      </c>
      <c r="L52" s="235">
        <f>SUM(L53:L71)</f>
        <v>0</v>
      </c>
      <c r="M52" s="243" t="s">
        <v>154</v>
      </c>
      <c r="AG52" s="229" t="s">
        <v>154</v>
      </c>
      <c r="AQ52" s="222">
        <f>SUM(AH53:AH71)</f>
        <v>0</v>
      </c>
      <c r="AR52" s="222">
        <f>SUM(AI53:AI71)</f>
        <v>0</v>
      </c>
      <c r="AS52" s="222">
        <f>SUM(AJ53:AJ71)</f>
        <v>0</v>
      </c>
    </row>
    <row r="53" spans="1:74" ht="14.4" x14ac:dyDescent="0.3">
      <c r="A53" s="239" t="s">
        <v>228</v>
      </c>
      <c r="B53" s="223" t="s">
        <v>229</v>
      </c>
      <c r="C53" s="521" t="s">
        <v>230</v>
      </c>
      <c r="D53" s="519"/>
      <c r="E53" s="223" t="s">
        <v>196</v>
      </c>
      <c r="F53" s="233">
        <v>5.62</v>
      </c>
      <c r="G53" s="311">
        <v>0</v>
      </c>
      <c r="H53" s="233">
        <f>F53*AM53</f>
        <v>0</v>
      </c>
      <c r="I53" s="233">
        <f>F53*AN53</f>
        <v>0</v>
      </c>
      <c r="J53" s="233">
        <f>F53*G53</f>
        <v>0</v>
      </c>
      <c r="K53" s="233">
        <v>0</v>
      </c>
      <c r="L53" s="233">
        <f>F53*K53</f>
        <v>0</v>
      </c>
      <c r="M53" s="240" t="s">
        <v>472</v>
      </c>
      <c r="X53" s="233">
        <f>IF(AO53="5",BH53,0)</f>
        <v>0</v>
      </c>
      <c r="Z53" s="233">
        <f>IF(AO53="1",BF53,0)</f>
        <v>0</v>
      </c>
      <c r="AA53" s="233">
        <f>IF(AO53="1",BG53,0)</f>
        <v>0</v>
      </c>
      <c r="AB53" s="233">
        <f>IF(AO53="7",BF53,0)</f>
        <v>0</v>
      </c>
      <c r="AC53" s="233">
        <f>IF(AO53="7",BG53,0)</f>
        <v>0</v>
      </c>
      <c r="AD53" s="233">
        <f>IF(AO53="2",BF53,0)</f>
        <v>0</v>
      </c>
      <c r="AE53" s="233">
        <f>IF(AO53="2",BG53,0)</f>
        <v>0</v>
      </c>
      <c r="AF53" s="233">
        <f>IF(AO53="0",BH53,0)</f>
        <v>0</v>
      </c>
      <c r="AG53" s="229" t="s">
        <v>154</v>
      </c>
      <c r="AH53" s="233">
        <f>IF(AL53=0,J53,0)</f>
        <v>0</v>
      </c>
      <c r="AI53" s="233">
        <f>IF(AL53=15,J53,0)</f>
        <v>0</v>
      </c>
      <c r="AJ53" s="233">
        <f>IF(AL53=21,J53,0)</f>
        <v>0</v>
      </c>
      <c r="AL53" s="233">
        <v>15</v>
      </c>
      <c r="AM53" s="233">
        <f>G53*0</f>
        <v>0</v>
      </c>
      <c r="AN53" s="233">
        <f>G53*(1-0)</f>
        <v>0</v>
      </c>
      <c r="AO53" s="234" t="s">
        <v>157</v>
      </c>
      <c r="AT53" s="233">
        <f>AU53+AV53</f>
        <v>0</v>
      </c>
      <c r="AU53" s="233">
        <f>F53*AM53</f>
        <v>0</v>
      </c>
      <c r="AV53" s="233">
        <f>F53*AN53</f>
        <v>0</v>
      </c>
      <c r="AW53" s="234" t="s">
        <v>231</v>
      </c>
      <c r="AX53" s="234" t="s">
        <v>163</v>
      </c>
      <c r="AY53" s="229" t="s">
        <v>164</v>
      </c>
      <c r="BA53" s="233">
        <f>AU53+AV53</f>
        <v>0</v>
      </c>
      <c r="BB53" s="233">
        <f>G53/(100-BC53)*100</f>
        <v>0</v>
      </c>
      <c r="BC53" s="233">
        <v>0</v>
      </c>
      <c r="BD53" s="233">
        <f>L53</f>
        <v>0</v>
      </c>
      <c r="BF53" s="233">
        <f>F53*AM53</f>
        <v>0</v>
      </c>
      <c r="BG53" s="233">
        <f>F53*AN53</f>
        <v>0</v>
      </c>
      <c r="BH53" s="233">
        <f>F53*G53</f>
        <v>0</v>
      </c>
      <c r="BI53" s="233"/>
      <c r="BJ53" s="233">
        <v>16</v>
      </c>
      <c r="BU53" s="233" t="e">
        <f>#REF!</f>
        <v>#REF!</v>
      </c>
      <c r="BV53" s="225" t="s">
        <v>230</v>
      </c>
    </row>
    <row r="54" spans="1:74" ht="67.5" customHeight="1" x14ac:dyDescent="0.3">
      <c r="A54" s="241"/>
      <c r="B54" s="242" t="s">
        <v>165</v>
      </c>
      <c r="C54" s="530" t="s">
        <v>1841</v>
      </c>
      <c r="D54" s="531"/>
      <c r="E54" s="531"/>
      <c r="F54" s="531"/>
      <c r="G54" s="531"/>
      <c r="H54" s="531"/>
      <c r="I54" s="531"/>
      <c r="J54" s="531"/>
      <c r="K54" s="531"/>
      <c r="L54" s="531"/>
      <c r="M54" s="532"/>
    </row>
    <row r="55" spans="1:74" ht="14.4" x14ac:dyDescent="0.3">
      <c r="A55" s="239" t="s">
        <v>232</v>
      </c>
      <c r="B55" s="223" t="s">
        <v>233</v>
      </c>
      <c r="C55" s="521" t="s">
        <v>234</v>
      </c>
      <c r="D55" s="519"/>
      <c r="E55" s="223" t="s">
        <v>196</v>
      </c>
      <c r="F55" s="233">
        <v>0.36</v>
      </c>
      <c r="G55" s="311">
        <v>0</v>
      </c>
      <c r="H55" s="233">
        <f>F55*AM55</f>
        <v>0</v>
      </c>
      <c r="I55" s="233">
        <f>F55*AN55</f>
        <v>0</v>
      </c>
      <c r="J55" s="233">
        <f>F55*G55</f>
        <v>0</v>
      </c>
      <c r="K55" s="233">
        <v>0</v>
      </c>
      <c r="L55" s="233">
        <f>F55*K55</f>
        <v>0</v>
      </c>
      <c r="M55" s="240" t="s">
        <v>472</v>
      </c>
      <c r="X55" s="233">
        <f>IF(AO55="5",BH55,0)</f>
        <v>0</v>
      </c>
      <c r="Z55" s="233">
        <f>IF(AO55="1",BF55,0)</f>
        <v>0</v>
      </c>
      <c r="AA55" s="233">
        <f>IF(AO55="1",BG55,0)</f>
        <v>0</v>
      </c>
      <c r="AB55" s="233">
        <f>IF(AO55="7",BF55,0)</f>
        <v>0</v>
      </c>
      <c r="AC55" s="233">
        <f>IF(AO55="7",BG55,0)</f>
        <v>0</v>
      </c>
      <c r="AD55" s="233">
        <f>IF(AO55="2",BF55,0)</f>
        <v>0</v>
      </c>
      <c r="AE55" s="233">
        <f>IF(AO55="2",BG55,0)</f>
        <v>0</v>
      </c>
      <c r="AF55" s="233">
        <f>IF(AO55="0",BH55,0)</f>
        <v>0</v>
      </c>
      <c r="AG55" s="229" t="s">
        <v>154</v>
      </c>
      <c r="AH55" s="233">
        <f>IF(AL55=0,J55,0)</f>
        <v>0</v>
      </c>
      <c r="AI55" s="233">
        <f>IF(AL55=15,J55,0)</f>
        <v>0</v>
      </c>
      <c r="AJ55" s="233">
        <f>IF(AL55=21,J55,0)</f>
        <v>0</v>
      </c>
      <c r="AL55" s="233">
        <v>15</v>
      </c>
      <c r="AM55" s="233">
        <f>G55*0</f>
        <v>0</v>
      </c>
      <c r="AN55" s="233">
        <f>G55*(1-0)</f>
        <v>0</v>
      </c>
      <c r="AO55" s="234" t="s">
        <v>157</v>
      </c>
      <c r="AT55" s="233">
        <f>AU55+AV55</f>
        <v>0</v>
      </c>
      <c r="AU55" s="233">
        <f>F55*AM55</f>
        <v>0</v>
      </c>
      <c r="AV55" s="233">
        <f>F55*AN55</f>
        <v>0</v>
      </c>
      <c r="AW55" s="234" t="s">
        <v>231</v>
      </c>
      <c r="AX55" s="234" t="s">
        <v>163</v>
      </c>
      <c r="AY55" s="229" t="s">
        <v>164</v>
      </c>
      <c r="BA55" s="233">
        <f>AU55+AV55</f>
        <v>0</v>
      </c>
      <c r="BB55" s="233">
        <f>G55/(100-BC55)*100</f>
        <v>0</v>
      </c>
      <c r="BC55" s="233">
        <v>0</v>
      </c>
      <c r="BD55" s="233">
        <f>L55</f>
        <v>0</v>
      </c>
      <c r="BF55" s="233">
        <f>F55*AM55</f>
        <v>0</v>
      </c>
      <c r="BG55" s="233">
        <f>F55*AN55</f>
        <v>0</v>
      </c>
      <c r="BH55" s="233">
        <f>F55*G55</f>
        <v>0</v>
      </c>
      <c r="BI55" s="233"/>
      <c r="BJ55" s="233">
        <v>16</v>
      </c>
      <c r="BU55" s="233" t="e">
        <f>#REF!</f>
        <v>#REF!</v>
      </c>
      <c r="BV55" s="225" t="s">
        <v>234</v>
      </c>
    </row>
    <row r="56" spans="1:74" ht="67.5" customHeight="1" x14ac:dyDescent="0.3">
      <c r="A56" s="241"/>
      <c r="B56" s="242" t="s">
        <v>165</v>
      </c>
      <c r="C56" s="530" t="s">
        <v>1842</v>
      </c>
      <c r="D56" s="531"/>
      <c r="E56" s="531"/>
      <c r="F56" s="531"/>
      <c r="G56" s="531"/>
      <c r="H56" s="531"/>
      <c r="I56" s="531"/>
      <c r="J56" s="531"/>
      <c r="K56" s="531"/>
      <c r="L56" s="531"/>
      <c r="M56" s="532"/>
    </row>
    <row r="57" spans="1:74" ht="14.4" x14ac:dyDescent="0.3">
      <c r="A57" s="239" t="s">
        <v>235</v>
      </c>
      <c r="B57" s="223" t="s">
        <v>236</v>
      </c>
      <c r="C57" s="521" t="s">
        <v>237</v>
      </c>
      <c r="D57" s="519"/>
      <c r="E57" s="223" t="s">
        <v>196</v>
      </c>
      <c r="F57" s="233">
        <v>70.88</v>
      </c>
      <c r="G57" s="311">
        <v>0</v>
      </c>
      <c r="H57" s="233">
        <f>F57*AM57</f>
        <v>0</v>
      </c>
      <c r="I57" s="233">
        <f>F57*AN57</f>
        <v>0</v>
      </c>
      <c r="J57" s="233">
        <f>F57*G57</f>
        <v>0</v>
      </c>
      <c r="K57" s="233">
        <v>0</v>
      </c>
      <c r="L57" s="233">
        <f>F57*K57</f>
        <v>0</v>
      </c>
      <c r="M57" s="240" t="s">
        <v>472</v>
      </c>
      <c r="X57" s="233">
        <f>IF(AO57="5",BH57,0)</f>
        <v>0</v>
      </c>
      <c r="Z57" s="233">
        <f>IF(AO57="1",BF57,0)</f>
        <v>0</v>
      </c>
      <c r="AA57" s="233">
        <f>IF(AO57="1",BG57,0)</f>
        <v>0</v>
      </c>
      <c r="AB57" s="233">
        <f>IF(AO57="7",BF57,0)</f>
        <v>0</v>
      </c>
      <c r="AC57" s="233">
        <f>IF(AO57="7",BG57,0)</f>
        <v>0</v>
      </c>
      <c r="AD57" s="233">
        <f>IF(AO57="2",BF57,0)</f>
        <v>0</v>
      </c>
      <c r="AE57" s="233">
        <f>IF(AO57="2",BG57,0)</f>
        <v>0</v>
      </c>
      <c r="AF57" s="233">
        <f>IF(AO57="0",BH57,0)</f>
        <v>0</v>
      </c>
      <c r="AG57" s="229" t="s">
        <v>154</v>
      </c>
      <c r="AH57" s="233">
        <f>IF(AL57=0,J57,0)</f>
        <v>0</v>
      </c>
      <c r="AI57" s="233">
        <f>IF(AL57=15,J57,0)</f>
        <v>0</v>
      </c>
      <c r="AJ57" s="233">
        <f>IF(AL57=21,J57,0)</f>
        <v>0</v>
      </c>
      <c r="AL57" s="233">
        <v>15</v>
      </c>
      <c r="AM57" s="233">
        <f>G57*0</f>
        <v>0</v>
      </c>
      <c r="AN57" s="233">
        <f>G57*(1-0)</f>
        <v>0</v>
      </c>
      <c r="AO57" s="234" t="s">
        <v>157</v>
      </c>
      <c r="AT57" s="233">
        <f>AU57+AV57</f>
        <v>0</v>
      </c>
      <c r="AU57" s="233">
        <f>F57*AM57</f>
        <v>0</v>
      </c>
      <c r="AV57" s="233">
        <f>F57*AN57</f>
        <v>0</v>
      </c>
      <c r="AW57" s="234" t="s">
        <v>231</v>
      </c>
      <c r="AX57" s="234" t="s">
        <v>163</v>
      </c>
      <c r="AY57" s="229" t="s">
        <v>164</v>
      </c>
      <c r="BA57" s="233">
        <f>AU57+AV57</f>
        <v>0</v>
      </c>
      <c r="BB57" s="233">
        <f>G57/(100-BC57)*100</f>
        <v>0</v>
      </c>
      <c r="BC57" s="233">
        <v>0</v>
      </c>
      <c r="BD57" s="233">
        <f>L57</f>
        <v>0</v>
      </c>
      <c r="BF57" s="233">
        <f>F57*AM57</f>
        <v>0</v>
      </c>
      <c r="BG57" s="233">
        <f>F57*AN57</f>
        <v>0</v>
      </c>
      <c r="BH57" s="233">
        <f>F57*G57</f>
        <v>0</v>
      </c>
      <c r="BI57" s="233"/>
      <c r="BJ57" s="233">
        <v>16</v>
      </c>
      <c r="BU57" s="233" t="e">
        <f>#REF!</f>
        <v>#REF!</v>
      </c>
      <c r="BV57" s="225" t="s">
        <v>237</v>
      </c>
    </row>
    <row r="58" spans="1:74" ht="67.5" customHeight="1" x14ac:dyDescent="0.3">
      <c r="A58" s="241"/>
      <c r="B58" s="242" t="s">
        <v>165</v>
      </c>
      <c r="C58" s="530" t="s">
        <v>1843</v>
      </c>
      <c r="D58" s="531"/>
      <c r="E58" s="531"/>
      <c r="F58" s="531"/>
      <c r="G58" s="531"/>
      <c r="H58" s="531"/>
      <c r="I58" s="531"/>
      <c r="J58" s="531"/>
      <c r="K58" s="531"/>
      <c r="L58" s="531"/>
      <c r="M58" s="532"/>
    </row>
    <row r="59" spans="1:74" ht="14.4" x14ac:dyDescent="0.3">
      <c r="A59" s="239" t="s">
        <v>238</v>
      </c>
      <c r="B59" s="223" t="s">
        <v>239</v>
      </c>
      <c r="C59" s="521" t="s">
        <v>240</v>
      </c>
      <c r="D59" s="519"/>
      <c r="E59" s="223" t="s">
        <v>196</v>
      </c>
      <c r="F59" s="233">
        <v>992.32</v>
      </c>
      <c r="G59" s="311">
        <v>0</v>
      </c>
      <c r="H59" s="233">
        <f>F59*AM59</f>
        <v>0</v>
      </c>
      <c r="I59" s="233">
        <f>F59*AN59</f>
        <v>0</v>
      </c>
      <c r="J59" s="233">
        <f>F59*G59</f>
        <v>0</v>
      </c>
      <c r="K59" s="233">
        <v>0</v>
      </c>
      <c r="L59" s="233">
        <f>F59*K59</f>
        <v>0</v>
      </c>
      <c r="M59" s="240" t="s">
        <v>472</v>
      </c>
      <c r="X59" s="233">
        <f>IF(AO59="5",BH59,0)</f>
        <v>0</v>
      </c>
      <c r="Z59" s="233">
        <f>IF(AO59="1",BF59,0)</f>
        <v>0</v>
      </c>
      <c r="AA59" s="233">
        <f>IF(AO59="1",BG59,0)</f>
        <v>0</v>
      </c>
      <c r="AB59" s="233">
        <f>IF(AO59="7",BF59,0)</f>
        <v>0</v>
      </c>
      <c r="AC59" s="233">
        <f>IF(AO59="7",BG59,0)</f>
        <v>0</v>
      </c>
      <c r="AD59" s="233">
        <f>IF(AO59="2",BF59,0)</f>
        <v>0</v>
      </c>
      <c r="AE59" s="233">
        <f>IF(AO59="2",BG59,0)</f>
        <v>0</v>
      </c>
      <c r="AF59" s="233">
        <f>IF(AO59="0",BH59,0)</f>
        <v>0</v>
      </c>
      <c r="AG59" s="229" t="s">
        <v>154</v>
      </c>
      <c r="AH59" s="233">
        <f>IF(AL59=0,J59,0)</f>
        <v>0</v>
      </c>
      <c r="AI59" s="233">
        <f>IF(AL59=15,J59,0)</f>
        <v>0</v>
      </c>
      <c r="AJ59" s="233">
        <f>IF(AL59=21,J59,0)</f>
        <v>0</v>
      </c>
      <c r="AL59" s="233">
        <v>15</v>
      </c>
      <c r="AM59" s="233">
        <f>G59*0</f>
        <v>0</v>
      </c>
      <c r="AN59" s="233">
        <f>G59*(1-0)</f>
        <v>0</v>
      </c>
      <c r="AO59" s="234" t="s">
        <v>157</v>
      </c>
      <c r="AT59" s="233">
        <f>AU59+AV59</f>
        <v>0</v>
      </c>
      <c r="AU59" s="233">
        <f>F59*AM59</f>
        <v>0</v>
      </c>
      <c r="AV59" s="233">
        <f>F59*AN59</f>
        <v>0</v>
      </c>
      <c r="AW59" s="234" t="s">
        <v>231</v>
      </c>
      <c r="AX59" s="234" t="s">
        <v>163</v>
      </c>
      <c r="AY59" s="229" t="s">
        <v>164</v>
      </c>
      <c r="BA59" s="233">
        <f>AU59+AV59</f>
        <v>0</v>
      </c>
      <c r="BB59" s="233">
        <f>G59/(100-BC59)*100</f>
        <v>0</v>
      </c>
      <c r="BC59" s="233">
        <v>0</v>
      </c>
      <c r="BD59" s="233">
        <f>L59</f>
        <v>0</v>
      </c>
      <c r="BF59" s="233">
        <f>F59*AM59</f>
        <v>0</v>
      </c>
      <c r="BG59" s="233">
        <f>F59*AN59</f>
        <v>0</v>
      </c>
      <c r="BH59" s="233">
        <f>F59*G59</f>
        <v>0</v>
      </c>
      <c r="BI59" s="233"/>
      <c r="BJ59" s="233">
        <v>16</v>
      </c>
      <c r="BU59" s="233" t="e">
        <f>#REF!</f>
        <v>#REF!</v>
      </c>
      <c r="BV59" s="225" t="s">
        <v>240</v>
      </c>
    </row>
    <row r="60" spans="1:74" ht="54" customHeight="1" x14ac:dyDescent="0.3">
      <c r="A60" s="241"/>
      <c r="B60" s="242" t="s">
        <v>165</v>
      </c>
      <c r="C60" s="530" t="s">
        <v>1844</v>
      </c>
      <c r="D60" s="531"/>
      <c r="E60" s="531"/>
      <c r="F60" s="531"/>
      <c r="G60" s="531"/>
      <c r="H60" s="531"/>
      <c r="I60" s="531"/>
      <c r="J60" s="531"/>
      <c r="K60" s="531"/>
      <c r="L60" s="531"/>
      <c r="M60" s="532"/>
    </row>
    <row r="61" spans="1:74" ht="14.4" x14ac:dyDescent="0.3">
      <c r="A61" s="239" t="s">
        <v>241</v>
      </c>
      <c r="B61" s="223" t="s">
        <v>242</v>
      </c>
      <c r="C61" s="521" t="s">
        <v>243</v>
      </c>
      <c r="D61" s="519"/>
      <c r="E61" s="223" t="s">
        <v>196</v>
      </c>
      <c r="F61" s="233">
        <v>11.86</v>
      </c>
      <c r="G61" s="311">
        <v>0</v>
      </c>
      <c r="H61" s="233">
        <f>F61*AM61</f>
        <v>0</v>
      </c>
      <c r="I61" s="233">
        <f>F61*AN61</f>
        <v>0</v>
      </c>
      <c r="J61" s="233">
        <f>F61*G61</f>
        <v>0</v>
      </c>
      <c r="K61" s="233">
        <v>0</v>
      </c>
      <c r="L61" s="233">
        <f>F61*K61</f>
        <v>0</v>
      </c>
      <c r="M61" s="240" t="s">
        <v>472</v>
      </c>
      <c r="X61" s="233">
        <f>IF(AO61="5",BH61,0)</f>
        <v>0</v>
      </c>
      <c r="Z61" s="233">
        <f>IF(AO61="1",BF61,0)</f>
        <v>0</v>
      </c>
      <c r="AA61" s="233">
        <f>IF(AO61="1",BG61,0)</f>
        <v>0</v>
      </c>
      <c r="AB61" s="233">
        <f>IF(AO61="7",BF61,0)</f>
        <v>0</v>
      </c>
      <c r="AC61" s="233">
        <f>IF(AO61="7",BG61,0)</f>
        <v>0</v>
      </c>
      <c r="AD61" s="233">
        <f>IF(AO61="2",BF61,0)</f>
        <v>0</v>
      </c>
      <c r="AE61" s="233">
        <f>IF(AO61="2",BG61,0)</f>
        <v>0</v>
      </c>
      <c r="AF61" s="233">
        <f>IF(AO61="0",BH61,0)</f>
        <v>0</v>
      </c>
      <c r="AG61" s="229" t="s">
        <v>154</v>
      </c>
      <c r="AH61" s="233">
        <f>IF(AL61=0,J61,0)</f>
        <v>0</v>
      </c>
      <c r="AI61" s="233">
        <f>IF(AL61=15,J61,0)</f>
        <v>0</v>
      </c>
      <c r="AJ61" s="233">
        <f>IF(AL61=21,J61,0)</f>
        <v>0</v>
      </c>
      <c r="AL61" s="233">
        <v>15</v>
      </c>
      <c r="AM61" s="233">
        <f>G61*0</f>
        <v>0</v>
      </c>
      <c r="AN61" s="233">
        <f>G61*(1-0)</f>
        <v>0</v>
      </c>
      <c r="AO61" s="234" t="s">
        <v>157</v>
      </c>
      <c r="AT61" s="233">
        <f>AU61+AV61</f>
        <v>0</v>
      </c>
      <c r="AU61" s="233">
        <f>F61*AM61</f>
        <v>0</v>
      </c>
      <c r="AV61" s="233">
        <f>F61*AN61</f>
        <v>0</v>
      </c>
      <c r="AW61" s="234" t="s">
        <v>231</v>
      </c>
      <c r="AX61" s="234" t="s">
        <v>163</v>
      </c>
      <c r="AY61" s="229" t="s">
        <v>164</v>
      </c>
      <c r="BA61" s="233">
        <f>AU61+AV61</f>
        <v>0</v>
      </c>
      <c r="BB61" s="233">
        <f>G61/(100-BC61)*100</f>
        <v>0</v>
      </c>
      <c r="BC61" s="233">
        <v>0</v>
      </c>
      <c r="BD61" s="233">
        <f>L61</f>
        <v>0</v>
      </c>
      <c r="BF61" s="233">
        <f>F61*AM61</f>
        <v>0</v>
      </c>
      <c r="BG61" s="233">
        <f>F61*AN61</f>
        <v>0</v>
      </c>
      <c r="BH61" s="233">
        <f>F61*G61</f>
        <v>0</v>
      </c>
      <c r="BI61" s="233"/>
      <c r="BJ61" s="233">
        <v>16</v>
      </c>
      <c r="BU61" s="233" t="e">
        <f>#REF!</f>
        <v>#REF!</v>
      </c>
      <c r="BV61" s="225" t="s">
        <v>243</v>
      </c>
    </row>
    <row r="62" spans="1:74" ht="54" customHeight="1" x14ac:dyDescent="0.3">
      <c r="A62" s="241"/>
      <c r="B62" s="242" t="s">
        <v>165</v>
      </c>
      <c r="C62" s="530" t="s">
        <v>1845</v>
      </c>
      <c r="D62" s="531"/>
      <c r="E62" s="531"/>
      <c r="F62" s="531"/>
      <c r="G62" s="531"/>
      <c r="H62" s="531"/>
      <c r="I62" s="531"/>
      <c r="J62" s="531"/>
      <c r="K62" s="531"/>
      <c r="L62" s="531"/>
      <c r="M62" s="532"/>
    </row>
    <row r="63" spans="1:74" ht="14.4" x14ac:dyDescent="0.3">
      <c r="A63" s="239" t="s">
        <v>244</v>
      </c>
      <c r="B63" s="223" t="s">
        <v>245</v>
      </c>
      <c r="C63" s="521" t="s">
        <v>246</v>
      </c>
      <c r="D63" s="519"/>
      <c r="E63" s="223" t="s">
        <v>196</v>
      </c>
      <c r="F63" s="233">
        <v>166.04</v>
      </c>
      <c r="G63" s="311">
        <v>0</v>
      </c>
      <c r="H63" s="233">
        <f>F63*AM63</f>
        <v>0</v>
      </c>
      <c r="I63" s="233">
        <f>F63*AN63</f>
        <v>0</v>
      </c>
      <c r="J63" s="233">
        <f>F63*G63</f>
        <v>0</v>
      </c>
      <c r="K63" s="233">
        <v>0</v>
      </c>
      <c r="L63" s="233">
        <f>F63*K63</f>
        <v>0</v>
      </c>
      <c r="M63" s="240" t="s">
        <v>472</v>
      </c>
      <c r="X63" s="233">
        <f>IF(AO63="5",BH63,0)</f>
        <v>0</v>
      </c>
      <c r="Z63" s="233">
        <f>IF(AO63="1",BF63,0)</f>
        <v>0</v>
      </c>
      <c r="AA63" s="233">
        <f>IF(AO63="1",BG63,0)</f>
        <v>0</v>
      </c>
      <c r="AB63" s="233">
        <f>IF(AO63="7",BF63,0)</f>
        <v>0</v>
      </c>
      <c r="AC63" s="233">
        <f>IF(AO63="7",BG63,0)</f>
        <v>0</v>
      </c>
      <c r="AD63" s="233">
        <f>IF(AO63="2",BF63,0)</f>
        <v>0</v>
      </c>
      <c r="AE63" s="233">
        <f>IF(AO63="2",BG63,0)</f>
        <v>0</v>
      </c>
      <c r="AF63" s="233">
        <f>IF(AO63="0",BH63,0)</f>
        <v>0</v>
      </c>
      <c r="AG63" s="229" t="s">
        <v>154</v>
      </c>
      <c r="AH63" s="233">
        <f>IF(AL63=0,J63,0)</f>
        <v>0</v>
      </c>
      <c r="AI63" s="233">
        <f>IF(AL63=15,J63,0)</f>
        <v>0</v>
      </c>
      <c r="AJ63" s="233">
        <f>IF(AL63=21,J63,0)</f>
        <v>0</v>
      </c>
      <c r="AL63" s="233">
        <v>15</v>
      </c>
      <c r="AM63" s="233">
        <f>G63*0</f>
        <v>0</v>
      </c>
      <c r="AN63" s="233">
        <f>G63*(1-0)</f>
        <v>0</v>
      </c>
      <c r="AO63" s="234" t="s">
        <v>157</v>
      </c>
      <c r="AT63" s="233">
        <f>AU63+AV63</f>
        <v>0</v>
      </c>
      <c r="AU63" s="233">
        <f>F63*AM63</f>
        <v>0</v>
      </c>
      <c r="AV63" s="233">
        <f>F63*AN63</f>
        <v>0</v>
      </c>
      <c r="AW63" s="234" t="s">
        <v>231</v>
      </c>
      <c r="AX63" s="234" t="s">
        <v>163</v>
      </c>
      <c r="AY63" s="229" t="s">
        <v>164</v>
      </c>
      <c r="BA63" s="233">
        <f>AU63+AV63</f>
        <v>0</v>
      </c>
      <c r="BB63" s="233">
        <f>G63/(100-BC63)*100</f>
        <v>0</v>
      </c>
      <c r="BC63" s="233">
        <v>0</v>
      </c>
      <c r="BD63" s="233">
        <f>L63</f>
        <v>0</v>
      </c>
      <c r="BF63" s="233">
        <f>F63*AM63</f>
        <v>0</v>
      </c>
      <c r="BG63" s="233">
        <f>F63*AN63</f>
        <v>0</v>
      </c>
      <c r="BH63" s="233">
        <f>F63*G63</f>
        <v>0</v>
      </c>
      <c r="BI63" s="233"/>
      <c r="BJ63" s="233">
        <v>16</v>
      </c>
      <c r="BU63" s="233" t="e">
        <f>#REF!</f>
        <v>#REF!</v>
      </c>
      <c r="BV63" s="225" t="s">
        <v>246</v>
      </c>
    </row>
    <row r="64" spans="1:74" ht="54" customHeight="1" x14ac:dyDescent="0.3">
      <c r="A64" s="244"/>
      <c r="B64" s="245" t="s">
        <v>165</v>
      </c>
      <c r="C64" s="540" t="s">
        <v>1846</v>
      </c>
      <c r="D64" s="541"/>
      <c r="E64" s="541"/>
      <c r="F64" s="541"/>
      <c r="G64" s="541"/>
      <c r="H64" s="541"/>
      <c r="I64" s="541"/>
      <c r="J64" s="541"/>
      <c r="K64" s="541"/>
      <c r="L64" s="541"/>
      <c r="M64" s="542"/>
    </row>
    <row r="65" spans="1:74" ht="14.4" x14ac:dyDescent="0.3">
      <c r="A65" s="237" t="s">
        <v>247</v>
      </c>
      <c r="B65" s="238" t="s">
        <v>248</v>
      </c>
      <c r="C65" s="543" t="s">
        <v>249</v>
      </c>
      <c r="D65" s="544"/>
      <c r="E65" s="238" t="s">
        <v>196</v>
      </c>
      <c r="F65" s="258">
        <v>233.04</v>
      </c>
      <c r="G65" s="311">
        <v>0</v>
      </c>
      <c r="H65" s="258">
        <f>F65*AM65</f>
        <v>0</v>
      </c>
      <c r="I65" s="258">
        <f>F65*AN65</f>
        <v>0</v>
      </c>
      <c r="J65" s="258">
        <f>F65*G65</f>
        <v>0</v>
      </c>
      <c r="K65" s="258">
        <v>0</v>
      </c>
      <c r="L65" s="258">
        <f>F65*K65</f>
        <v>0</v>
      </c>
      <c r="M65" s="259" t="s">
        <v>472</v>
      </c>
      <c r="X65" s="233">
        <f>IF(AO65="5",BH65,0)</f>
        <v>0</v>
      </c>
      <c r="Z65" s="233">
        <f>IF(AO65="1",BF65,0)</f>
        <v>0</v>
      </c>
      <c r="AA65" s="233">
        <f>IF(AO65="1",BG65,0)</f>
        <v>0</v>
      </c>
      <c r="AB65" s="233">
        <f>IF(AO65="7",BF65,0)</f>
        <v>0</v>
      </c>
      <c r="AC65" s="233">
        <f>IF(AO65="7",BG65,0)</f>
        <v>0</v>
      </c>
      <c r="AD65" s="233">
        <f>IF(AO65="2",BF65,0)</f>
        <v>0</v>
      </c>
      <c r="AE65" s="233">
        <f>IF(AO65="2",BG65,0)</f>
        <v>0</v>
      </c>
      <c r="AF65" s="233">
        <f>IF(AO65="0",BH65,0)</f>
        <v>0</v>
      </c>
      <c r="AG65" s="229" t="s">
        <v>154</v>
      </c>
      <c r="AH65" s="233">
        <f>IF(AL65=0,J65,0)</f>
        <v>0</v>
      </c>
      <c r="AI65" s="233">
        <f>IF(AL65=15,J65,0)</f>
        <v>0</v>
      </c>
      <c r="AJ65" s="233">
        <f>IF(AL65=21,J65,0)</f>
        <v>0</v>
      </c>
      <c r="AL65" s="233">
        <v>15</v>
      </c>
      <c r="AM65" s="233">
        <f>G65*0</f>
        <v>0</v>
      </c>
      <c r="AN65" s="233">
        <f>G65*(1-0)</f>
        <v>0</v>
      </c>
      <c r="AO65" s="234" t="s">
        <v>157</v>
      </c>
      <c r="AT65" s="233">
        <f>AU65+AV65</f>
        <v>0</v>
      </c>
      <c r="AU65" s="233">
        <f>F65*AM65</f>
        <v>0</v>
      </c>
      <c r="AV65" s="233">
        <f>F65*AN65</f>
        <v>0</v>
      </c>
      <c r="AW65" s="234" t="s">
        <v>231</v>
      </c>
      <c r="AX65" s="234" t="s">
        <v>163</v>
      </c>
      <c r="AY65" s="229" t="s">
        <v>164</v>
      </c>
      <c r="BA65" s="233">
        <f>AU65+AV65</f>
        <v>0</v>
      </c>
      <c r="BB65" s="233">
        <f>G65/(100-BC65)*100</f>
        <v>0</v>
      </c>
      <c r="BC65" s="233">
        <v>0</v>
      </c>
      <c r="BD65" s="233">
        <f>L65</f>
        <v>0</v>
      </c>
      <c r="BF65" s="233">
        <f>F65*AM65</f>
        <v>0</v>
      </c>
      <c r="BG65" s="233">
        <f>F65*AN65</f>
        <v>0</v>
      </c>
      <c r="BH65" s="233">
        <f>F65*G65</f>
        <v>0</v>
      </c>
      <c r="BI65" s="233"/>
      <c r="BJ65" s="233">
        <v>16</v>
      </c>
      <c r="BU65" s="233" t="e">
        <f>#REF!</f>
        <v>#REF!</v>
      </c>
      <c r="BV65" s="225" t="s">
        <v>249</v>
      </c>
    </row>
    <row r="66" spans="1:74" ht="40.5" customHeight="1" x14ac:dyDescent="0.3">
      <c r="A66" s="241"/>
      <c r="B66" s="242" t="s">
        <v>165</v>
      </c>
      <c r="C66" s="530" t="s">
        <v>1847</v>
      </c>
      <c r="D66" s="531"/>
      <c r="E66" s="531"/>
      <c r="F66" s="531"/>
      <c r="G66" s="531"/>
      <c r="H66" s="531"/>
      <c r="I66" s="531"/>
      <c r="J66" s="531"/>
      <c r="K66" s="531"/>
      <c r="L66" s="531"/>
      <c r="M66" s="532"/>
    </row>
    <row r="67" spans="1:74" ht="14.4" x14ac:dyDescent="0.3">
      <c r="A67" s="239" t="s">
        <v>250</v>
      </c>
      <c r="B67" s="223" t="s">
        <v>251</v>
      </c>
      <c r="C67" s="521" t="s">
        <v>252</v>
      </c>
      <c r="D67" s="519"/>
      <c r="E67" s="223" t="s">
        <v>196</v>
      </c>
      <c r="F67" s="233">
        <v>233.04</v>
      </c>
      <c r="G67" s="311">
        <v>0</v>
      </c>
      <c r="H67" s="233">
        <f>F67*AM67</f>
        <v>0</v>
      </c>
      <c r="I67" s="233">
        <f>F67*AN67</f>
        <v>0</v>
      </c>
      <c r="J67" s="233">
        <f>F67*G67</f>
        <v>0</v>
      </c>
      <c r="K67" s="233">
        <v>0</v>
      </c>
      <c r="L67" s="233">
        <f>F67*K67</f>
        <v>0</v>
      </c>
      <c r="M67" s="240" t="s">
        <v>472</v>
      </c>
      <c r="X67" s="233">
        <f>IF(AO67="5",BH67,0)</f>
        <v>0</v>
      </c>
      <c r="Z67" s="233">
        <f>IF(AO67="1",BF67,0)</f>
        <v>0</v>
      </c>
      <c r="AA67" s="233">
        <f>IF(AO67="1",BG67,0)</f>
        <v>0</v>
      </c>
      <c r="AB67" s="233">
        <f>IF(AO67="7",BF67,0)</f>
        <v>0</v>
      </c>
      <c r="AC67" s="233">
        <f>IF(AO67="7",BG67,0)</f>
        <v>0</v>
      </c>
      <c r="AD67" s="233">
        <f>IF(AO67="2",BF67,0)</f>
        <v>0</v>
      </c>
      <c r="AE67" s="233">
        <f>IF(AO67="2",BG67,0)</f>
        <v>0</v>
      </c>
      <c r="AF67" s="233">
        <f>IF(AO67="0",BH67,0)</f>
        <v>0</v>
      </c>
      <c r="AG67" s="229" t="s">
        <v>154</v>
      </c>
      <c r="AH67" s="233">
        <f>IF(AL67=0,J67,0)</f>
        <v>0</v>
      </c>
      <c r="AI67" s="233">
        <f>IF(AL67=15,J67,0)</f>
        <v>0</v>
      </c>
      <c r="AJ67" s="233">
        <f>IF(AL67=21,J67,0)</f>
        <v>0</v>
      </c>
      <c r="AL67" s="233">
        <v>15</v>
      </c>
      <c r="AM67" s="233">
        <f>G67*0</f>
        <v>0</v>
      </c>
      <c r="AN67" s="233">
        <f>G67*(1-0)</f>
        <v>0</v>
      </c>
      <c r="AO67" s="234" t="s">
        <v>157</v>
      </c>
      <c r="AT67" s="233">
        <f>AU67+AV67</f>
        <v>0</v>
      </c>
      <c r="AU67" s="233">
        <f>F67*AM67</f>
        <v>0</v>
      </c>
      <c r="AV67" s="233">
        <f>F67*AN67</f>
        <v>0</v>
      </c>
      <c r="AW67" s="234" t="s">
        <v>231</v>
      </c>
      <c r="AX67" s="234" t="s">
        <v>163</v>
      </c>
      <c r="AY67" s="229" t="s">
        <v>164</v>
      </c>
      <c r="BA67" s="233">
        <f>AU67+AV67</f>
        <v>0</v>
      </c>
      <c r="BB67" s="233">
        <f>G67/(100-BC67)*100</f>
        <v>0</v>
      </c>
      <c r="BC67" s="233">
        <v>0</v>
      </c>
      <c r="BD67" s="233">
        <f>L67</f>
        <v>0</v>
      </c>
      <c r="BF67" s="233">
        <f>F67*AM67</f>
        <v>0</v>
      </c>
      <c r="BG67" s="233">
        <f>F67*AN67</f>
        <v>0</v>
      </c>
      <c r="BH67" s="233">
        <f>F67*G67</f>
        <v>0</v>
      </c>
      <c r="BI67" s="233"/>
      <c r="BJ67" s="233">
        <v>16</v>
      </c>
      <c r="BU67" s="233" t="e">
        <f>#REF!</f>
        <v>#REF!</v>
      </c>
      <c r="BV67" s="225" t="s">
        <v>252</v>
      </c>
    </row>
    <row r="68" spans="1:74" ht="40.5" customHeight="1" x14ac:dyDescent="0.3">
      <c r="A68" s="241"/>
      <c r="B68" s="242" t="s">
        <v>165</v>
      </c>
      <c r="C68" s="530" t="s">
        <v>1848</v>
      </c>
      <c r="D68" s="531"/>
      <c r="E68" s="531"/>
      <c r="F68" s="531"/>
      <c r="G68" s="531"/>
      <c r="H68" s="531"/>
      <c r="I68" s="531"/>
      <c r="J68" s="531"/>
      <c r="K68" s="531"/>
      <c r="L68" s="531"/>
      <c r="M68" s="532"/>
    </row>
    <row r="69" spans="1:74" ht="14.4" x14ac:dyDescent="0.3">
      <c r="A69" s="239" t="s">
        <v>253</v>
      </c>
      <c r="B69" s="223" t="s">
        <v>254</v>
      </c>
      <c r="C69" s="521" t="s">
        <v>255</v>
      </c>
      <c r="D69" s="519"/>
      <c r="E69" s="223" t="s">
        <v>196</v>
      </c>
      <c r="F69" s="233">
        <v>29.04</v>
      </c>
      <c r="G69" s="311">
        <v>0</v>
      </c>
      <c r="H69" s="233">
        <f>F69*AM69</f>
        <v>0</v>
      </c>
      <c r="I69" s="233">
        <f>F69*AN69</f>
        <v>0</v>
      </c>
      <c r="J69" s="233">
        <f>F69*G69</f>
        <v>0</v>
      </c>
      <c r="K69" s="233">
        <v>0</v>
      </c>
      <c r="L69" s="233">
        <f>F69*K69</f>
        <v>0</v>
      </c>
      <c r="M69" s="240" t="s">
        <v>472</v>
      </c>
      <c r="X69" s="233">
        <f>IF(AO69="5",BH69,0)</f>
        <v>0</v>
      </c>
      <c r="Z69" s="233">
        <f>IF(AO69="1",BF69,0)</f>
        <v>0</v>
      </c>
      <c r="AA69" s="233">
        <f>IF(AO69="1",BG69,0)</f>
        <v>0</v>
      </c>
      <c r="AB69" s="233">
        <f>IF(AO69="7",BF69,0)</f>
        <v>0</v>
      </c>
      <c r="AC69" s="233">
        <f>IF(AO69="7",BG69,0)</f>
        <v>0</v>
      </c>
      <c r="AD69" s="233">
        <f>IF(AO69="2",BF69,0)</f>
        <v>0</v>
      </c>
      <c r="AE69" s="233">
        <f>IF(AO69="2",BG69,0)</f>
        <v>0</v>
      </c>
      <c r="AF69" s="233">
        <f>IF(AO69="0",BH69,0)</f>
        <v>0</v>
      </c>
      <c r="AG69" s="229" t="s">
        <v>154</v>
      </c>
      <c r="AH69" s="233">
        <f>IF(AL69=0,J69,0)</f>
        <v>0</v>
      </c>
      <c r="AI69" s="233">
        <f>IF(AL69=15,J69,0)</f>
        <v>0</v>
      </c>
      <c r="AJ69" s="233">
        <f>IF(AL69=21,J69,0)</f>
        <v>0</v>
      </c>
      <c r="AL69" s="233">
        <v>15</v>
      </c>
      <c r="AM69" s="233">
        <f>G69*0</f>
        <v>0</v>
      </c>
      <c r="AN69" s="233">
        <f>G69*(1-0)</f>
        <v>0</v>
      </c>
      <c r="AO69" s="234" t="s">
        <v>157</v>
      </c>
      <c r="AT69" s="233">
        <f>AU69+AV69</f>
        <v>0</v>
      </c>
      <c r="AU69" s="233">
        <f>F69*AM69</f>
        <v>0</v>
      </c>
      <c r="AV69" s="233">
        <f>F69*AN69</f>
        <v>0</v>
      </c>
      <c r="AW69" s="234" t="s">
        <v>231</v>
      </c>
      <c r="AX69" s="234" t="s">
        <v>163</v>
      </c>
      <c r="AY69" s="229" t="s">
        <v>164</v>
      </c>
      <c r="BA69" s="233">
        <f>AU69+AV69</f>
        <v>0</v>
      </c>
      <c r="BB69" s="233">
        <f>G69/(100-BC69)*100</f>
        <v>0</v>
      </c>
      <c r="BC69" s="233">
        <v>0</v>
      </c>
      <c r="BD69" s="233">
        <f>L69</f>
        <v>0</v>
      </c>
      <c r="BF69" s="233">
        <f>F69*AM69</f>
        <v>0</v>
      </c>
      <c r="BG69" s="233">
        <f>F69*AN69</f>
        <v>0</v>
      </c>
      <c r="BH69" s="233">
        <f>F69*G69</f>
        <v>0</v>
      </c>
      <c r="BI69" s="233"/>
      <c r="BJ69" s="233">
        <v>16</v>
      </c>
      <c r="BU69" s="233" t="e">
        <f>#REF!</f>
        <v>#REF!</v>
      </c>
      <c r="BV69" s="225" t="s">
        <v>255</v>
      </c>
    </row>
    <row r="70" spans="1:74" ht="40.5" customHeight="1" x14ac:dyDescent="0.3">
      <c r="A70" s="241"/>
      <c r="B70" s="242" t="s">
        <v>165</v>
      </c>
      <c r="C70" s="530" t="s">
        <v>1849</v>
      </c>
      <c r="D70" s="531"/>
      <c r="E70" s="531"/>
      <c r="F70" s="531"/>
      <c r="G70" s="531"/>
      <c r="H70" s="531"/>
      <c r="I70" s="531"/>
      <c r="J70" s="531"/>
      <c r="K70" s="531"/>
      <c r="L70" s="531"/>
      <c r="M70" s="532"/>
    </row>
    <row r="71" spans="1:74" ht="14.4" x14ac:dyDescent="0.3">
      <c r="A71" s="239" t="s">
        <v>256</v>
      </c>
      <c r="B71" s="223" t="s">
        <v>257</v>
      </c>
      <c r="C71" s="521" t="s">
        <v>258</v>
      </c>
      <c r="D71" s="519"/>
      <c r="E71" s="223" t="s">
        <v>196</v>
      </c>
      <c r="F71" s="233">
        <v>29.04</v>
      </c>
      <c r="G71" s="311">
        <v>0</v>
      </c>
      <c r="H71" s="233">
        <f>F71*AM71</f>
        <v>0</v>
      </c>
      <c r="I71" s="233">
        <f>F71*AN71</f>
        <v>0</v>
      </c>
      <c r="J71" s="233">
        <f>F71*G71</f>
        <v>0</v>
      </c>
      <c r="K71" s="233">
        <v>0</v>
      </c>
      <c r="L71" s="233">
        <f>F71*K71</f>
        <v>0</v>
      </c>
      <c r="M71" s="240" t="s">
        <v>472</v>
      </c>
      <c r="X71" s="233">
        <f>IF(AO71="5",BH71,0)</f>
        <v>0</v>
      </c>
      <c r="Z71" s="233">
        <f>IF(AO71="1",BF71,0)</f>
        <v>0</v>
      </c>
      <c r="AA71" s="233">
        <f>IF(AO71="1",BG71,0)</f>
        <v>0</v>
      </c>
      <c r="AB71" s="233">
        <f>IF(AO71="7",BF71,0)</f>
        <v>0</v>
      </c>
      <c r="AC71" s="233">
        <f>IF(AO71="7",BG71,0)</f>
        <v>0</v>
      </c>
      <c r="AD71" s="233">
        <f>IF(AO71="2",BF71,0)</f>
        <v>0</v>
      </c>
      <c r="AE71" s="233">
        <f>IF(AO71="2",BG71,0)</f>
        <v>0</v>
      </c>
      <c r="AF71" s="233">
        <f>IF(AO71="0",BH71,0)</f>
        <v>0</v>
      </c>
      <c r="AG71" s="229" t="s">
        <v>154</v>
      </c>
      <c r="AH71" s="233">
        <f>IF(AL71=0,J71,0)</f>
        <v>0</v>
      </c>
      <c r="AI71" s="233">
        <f>IF(AL71=15,J71,0)</f>
        <v>0</v>
      </c>
      <c r="AJ71" s="233">
        <f>IF(AL71=21,J71,0)</f>
        <v>0</v>
      </c>
      <c r="AL71" s="233">
        <v>15</v>
      </c>
      <c r="AM71" s="233">
        <f>G71*0</f>
        <v>0</v>
      </c>
      <c r="AN71" s="233">
        <f>G71*(1-0)</f>
        <v>0</v>
      </c>
      <c r="AO71" s="234" t="s">
        <v>157</v>
      </c>
      <c r="AT71" s="233">
        <f>AU71+AV71</f>
        <v>0</v>
      </c>
      <c r="AU71" s="233">
        <f>F71*AM71</f>
        <v>0</v>
      </c>
      <c r="AV71" s="233">
        <f>F71*AN71</f>
        <v>0</v>
      </c>
      <c r="AW71" s="234" t="s">
        <v>231</v>
      </c>
      <c r="AX71" s="234" t="s">
        <v>163</v>
      </c>
      <c r="AY71" s="229" t="s">
        <v>164</v>
      </c>
      <c r="BA71" s="233">
        <f>AU71+AV71</f>
        <v>0</v>
      </c>
      <c r="BB71" s="233">
        <f>G71/(100-BC71)*100</f>
        <v>0</v>
      </c>
      <c r="BC71" s="233">
        <v>0</v>
      </c>
      <c r="BD71" s="233">
        <f>L71</f>
        <v>0</v>
      </c>
      <c r="BF71" s="233">
        <f>F71*AM71</f>
        <v>0</v>
      </c>
      <c r="BG71" s="233">
        <f>F71*AN71</f>
        <v>0</v>
      </c>
      <c r="BH71" s="233">
        <f>F71*G71</f>
        <v>0</v>
      </c>
      <c r="BI71" s="233"/>
      <c r="BJ71" s="233">
        <v>16</v>
      </c>
      <c r="BU71" s="233" t="e">
        <f>#REF!</f>
        <v>#REF!</v>
      </c>
      <c r="BV71" s="225" t="s">
        <v>258</v>
      </c>
    </row>
    <row r="72" spans="1:74" ht="40.5" customHeight="1" x14ac:dyDescent="0.3">
      <c r="A72" s="241"/>
      <c r="B72" s="242" t="s">
        <v>165</v>
      </c>
      <c r="C72" s="530" t="s">
        <v>1850</v>
      </c>
      <c r="D72" s="531"/>
      <c r="E72" s="531"/>
      <c r="F72" s="531"/>
      <c r="G72" s="531"/>
      <c r="H72" s="531"/>
      <c r="I72" s="531"/>
      <c r="J72" s="531"/>
      <c r="K72" s="531"/>
      <c r="L72" s="531"/>
      <c r="M72" s="532"/>
    </row>
    <row r="73" spans="1:74" ht="14.4" x14ac:dyDescent="0.3">
      <c r="A73" s="239" t="s">
        <v>154</v>
      </c>
      <c r="B73" s="224" t="s">
        <v>220</v>
      </c>
      <c r="C73" s="526" t="s">
        <v>259</v>
      </c>
      <c r="D73" s="527"/>
      <c r="E73" s="223" t="s">
        <v>114</v>
      </c>
      <c r="F73" s="223" t="s">
        <v>114</v>
      </c>
      <c r="G73" s="223" t="s">
        <v>114</v>
      </c>
      <c r="H73" s="235">
        <f>SUM(H74:H78)</f>
        <v>0</v>
      </c>
      <c r="I73" s="235">
        <f>SUM(I74:I78)</f>
        <v>0</v>
      </c>
      <c r="J73" s="235">
        <f>SUM(J74:J78)</f>
        <v>0</v>
      </c>
      <c r="K73" s="230" t="s">
        <v>154</v>
      </c>
      <c r="L73" s="235">
        <f>SUM(L74:L78)</f>
        <v>98.515000000000001</v>
      </c>
      <c r="M73" s="243" t="s">
        <v>154</v>
      </c>
      <c r="AG73" s="229" t="s">
        <v>154</v>
      </c>
      <c r="AQ73" s="222">
        <f>SUM(AH74:AH78)</f>
        <v>0</v>
      </c>
      <c r="AR73" s="222">
        <f>SUM(AI74:AI78)</f>
        <v>0</v>
      </c>
      <c r="AS73" s="222">
        <f>SUM(AJ74:AJ78)</f>
        <v>0</v>
      </c>
    </row>
    <row r="74" spans="1:74" ht="14.4" x14ac:dyDescent="0.3">
      <c r="A74" s="239" t="s">
        <v>260</v>
      </c>
      <c r="B74" s="223" t="s">
        <v>261</v>
      </c>
      <c r="C74" s="521" t="s">
        <v>262</v>
      </c>
      <c r="D74" s="519"/>
      <c r="E74" s="223" t="s">
        <v>196</v>
      </c>
      <c r="F74" s="233">
        <v>57.95</v>
      </c>
      <c r="G74" s="311">
        <v>0</v>
      </c>
      <c r="H74" s="233">
        <f>F74*AM74</f>
        <v>0</v>
      </c>
      <c r="I74" s="233">
        <f>F74*AN74</f>
        <v>0</v>
      </c>
      <c r="J74" s="233">
        <f>F74*G74</f>
        <v>0</v>
      </c>
      <c r="K74" s="233">
        <v>1.7</v>
      </c>
      <c r="L74" s="233">
        <f>F74*K74</f>
        <v>98.515000000000001</v>
      </c>
      <c r="M74" s="240" t="s">
        <v>472</v>
      </c>
      <c r="X74" s="233">
        <f>IF(AO74="5",BH74,0)</f>
        <v>0</v>
      </c>
      <c r="Z74" s="233">
        <f>IF(AO74="1",BF74,0)</f>
        <v>0</v>
      </c>
      <c r="AA74" s="233">
        <f>IF(AO74="1",BG74,0)</f>
        <v>0</v>
      </c>
      <c r="AB74" s="233">
        <f>IF(AO74="7",BF74,0)</f>
        <v>0</v>
      </c>
      <c r="AC74" s="233">
        <f>IF(AO74="7",BG74,0)</f>
        <v>0</v>
      </c>
      <c r="AD74" s="233">
        <f>IF(AO74="2",BF74,0)</f>
        <v>0</v>
      </c>
      <c r="AE74" s="233">
        <f>IF(AO74="2",BG74,0)</f>
        <v>0</v>
      </c>
      <c r="AF74" s="233">
        <f>IF(AO74="0",BH74,0)</f>
        <v>0</v>
      </c>
      <c r="AG74" s="229" t="s">
        <v>154</v>
      </c>
      <c r="AH74" s="233">
        <f>IF(AL74=0,J74,0)</f>
        <v>0</v>
      </c>
      <c r="AI74" s="233">
        <f>IF(AL74=15,J74,0)</f>
        <v>0</v>
      </c>
      <c r="AJ74" s="233">
        <f>IF(AL74=21,J74,0)</f>
        <v>0</v>
      </c>
      <c r="AL74" s="233">
        <v>15</v>
      </c>
      <c r="AM74" s="233">
        <f>G74*0.517504821</f>
        <v>0</v>
      </c>
      <c r="AN74" s="233">
        <f>G74*(1-0.517504821)</f>
        <v>0</v>
      </c>
      <c r="AO74" s="234" t="s">
        <v>157</v>
      </c>
      <c r="AT74" s="233">
        <f>AU74+AV74</f>
        <v>0</v>
      </c>
      <c r="AU74" s="233">
        <f>F74*AM74</f>
        <v>0</v>
      </c>
      <c r="AV74" s="233">
        <f>F74*AN74</f>
        <v>0</v>
      </c>
      <c r="AW74" s="234" t="s">
        <v>263</v>
      </c>
      <c r="AX74" s="234" t="s">
        <v>163</v>
      </c>
      <c r="AY74" s="229" t="s">
        <v>164</v>
      </c>
      <c r="BA74" s="233">
        <f>AU74+AV74</f>
        <v>0</v>
      </c>
      <c r="BB74" s="233">
        <f>G74/(100-BC74)*100</f>
        <v>0</v>
      </c>
      <c r="BC74" s="233">
        <v>0</v>
      </c>
      <c r="BD74" s="233">
        <f>L74</f>
        <v>98.515000000000001</v>
      </c>
      <c r="BF74" s="233">
        <f>F74*AM74</f>
        <v>0</v>
      </c>
      <c r="BG74" s="233">
        <f>F74*AN74</f>
        <v>0</v>
      </c>
      <c r="BH74" s="233">
        <f>F74*G74</f>
        <v>0</v>
      </c>
      <c r="BI74" s="233"/>
      <c r="BJ74" s="233">
        <v>17</v>
      </c>
      <c r="BU74" s="233" t="e">
        <f>#REF!</f>
        <v>#REF!</v>
      </c>
      <c r="BV74" s="225" t="s">
        <v>262</v>
      </c>
    </row>
    <row r="75" spans="1:74" ht="67.5" customHeight="1" x14ac:dyDescent="0.3">
      <c r="A75" s="241"/>
      <c r="B75" s="242" t="s">
        <v>165</v>
      </c>
      <c r="C75" s="530" t="s">
        <v>1851</v>
      </c>
      <c r="D75" s="531"/>
      <c r="E75" s="531"/>
      <c r="F75" s="531"/>
      <c r="G75" s="531"/>
      <c r="H75" s="531"/>
      <c r="I75" s="531"/>
      <c r="J75" s="531"/>
      <c r="K75" s="531"/>
      <c r="L75" s="531"/>
      <c r="M75" s="532"/>
    </row>
    <row r="76" spans="1:74" ht="14.4" x14ac:dyDescent="0.3">
      <c r="A76" s="239" t="s">
        <v>264</v>
      </c>
      <c r="B76" s="223" t="s">
        <v>265</v>
      </c>
      <c r="C76" s="521" t="s">
        <v>266</v>
      </c>
      <c r="D76" s="519"/>
      <c r="E76" s="223" t="s">
        <v>196</v>
      </c>
      <c r="F76" s="233">
        <v>57.95</v>
      </c>
      <c r="G76" s="311">
        <v>0</v>
      </c>
      <c r="H76" s="233">
        <f>F76*AM76</f>
        <v>0</v>
      </c>
      <c r="I76" s="233">
        <f>F76*AN76</f>
        <v>0</v>
      </c>
      <c r="J76" s="233">
        <f>F76*G76</f>
        <v>0</v>
      </c>
      <c r="K76" s="233">
        <v>0</v>
      </c>
      <c r="L76" s="233">
        <f>F76*K76</f>
        <v>0</v>
      </c>
      <c r="M76" s="240" t="s">
        <v>472</v>
      </c>
      <c r="X76" s="233">
        <f>IF(AO76="5",BH76,0)</f>
        <v>0</v>
      </c>
      <c r="Z76" s="233">
        <f>IF(AO76="1",BF76,0)</f>
        <v>0</v>
      </c>
      <c r="AA76" s="233">
        <f>IF(AO76="1",BG76,0)</f>
        <v>0</v>
      </c>
      <c r="AB76" s="233">
        <f>IF(AO76="7",BF76,0)</f>
        <v>0</v>
      </c>
      <c r="AC76" s="233">
        <f>IF(AO76="7",BG76,0)</f>
        <v>0</v>
      </c>
      <c r="AD76" s="233">
        <f>IF(AO76="2",BF76,0)</f>
        <v>0</v>
      </c>
      <c r="AE76" s="233">
        <f>IF(AO76="2",BG76,0)</f>
        <v>0</v>
      </c>
      <c r="AF76" s="233">
        <f>IF(AO76="0",BH76,0)</f>
        <v>0</v>
      </c>
      <c r="AG76" s="229" t="s">
        <v>154</v>
      </c>
      <c r="AH76" s="233">
        <f>IF(AL76=0,J76,0)</f>
        <v>0</v>
      </c>
      <c r="AI76" s="233">
        <f>IF(AL76=15,J76,0)</f>
        <v>0</v>
      </c>
      <c r="AJ76" s="233">
        <f>IF(AL76=21,J76,0)</f>
        <v>0</v>
      </c>
      <c r="AL76" s="233">
        <v>15</v>
      </c>
      <c r="AM76" s="233">
        <f>G76*0</f>
        <v>0</v>
      </c>
      <c r="AN76" s="233">
        <f>G76*(1-0)</f>
        <v>0</v>
      </c>
      <c r="AO76" s="234" t="s">
        <v>157</v>
      </c>
      <c r="AT76" s="233">
        <f>AU76+AV76</f>
        <v>0</v>
      </c>
      <c r="AU76" s="233">
        <f>F76*AM76</f>
        <v>0</v>
      </c>
      <c r="AV76" s="233">
        <f>F76*AN76</f>
        <v>0</v>
      </c>
      <c r="AW76" s="234" t="s">
        <v>263</v>
      </c>
      <c r="AX76" s="234" t="s">
        <v>163</v>
      </c>
      <c r="AY76" s="229" t="s">
        <v>164</v>
      </c>
      <c r="BA76" s="233">
        <f>AU76+AV76</f>
        <v>0</v>
      </c>
      <c r="BB76" s="233">
        <f>G76/(100-BC76)*100</f>
        <v>0</v>
      </c>
      <c r="BC76" s="233">
        <v>0</v>
      </c>
      <c r="BD76" s="233">
        <f>L76</f>
        <v>0</v>
      </c>
      <c r="BF76" s="233">
        <f>F76*AM76</f>
        <v>0</v>
      </c>
      <c r="BG76" s="233">
        <f>F76*AN76</f>
        <v>0</v>
      </c>
      <c r="BH76" s="233">
        <f>F76*G76</f>
        <v>0</v>
      </c>
      <c r="BI76" s="233"/>
      <c r="BJ76" s="233">
        <v>17</v>
      </c>
      <c r="BU76" s="233" t="e">
        <f>#REF!</f>
        <v>#REF!</v>
      </c>
      <c r="BV76" s="225" t="s">
        <v>266</v>
      </c>
    </row>
    <row r="77" spans="1:74" ht="40.5" customHeight="1" x14ac:dyDescent="0.3">
      <c r="A77" s="241"/>
      <c r="B77" s="242" t="s">
        <v>165</v>
      </c>
      <c r="C77" s="530" t="s">
        <v>1852</v>
      </c>
      <c r="D77" s="531"/>
      <c r="E77" s="531"/>
      <c r="F77" s="531"/>
      <c r="G77" s="531"/>
      <c r="H77" s="531"/>
      <c r="I77" s="531"/>
      <c r="J77" s="531"/>
      <c r="K77" s="531"/>
      <c r="L77" s="531"/>
      <c r="M77" s="532"/>
    </row>
    <row r="78" spans="1:74" ht="14.4" x14ac:dyDescent="0.3">
      <c r="A78" s="239" t="s">
        <v>267</v>
      </c>
      <c r="B78" s="223" t="s">
        <v>268</v>
      </c>
      <c r="C78" s="521" t="s">
        <v>269</v>
      </c>
      <c r="D78" s="519"/>
      <c r="E78" s="223" t="s">
        <v>196</v>
      </c>
      <c r="F78" s="233">
        <v>116.52</v>
      </c>
      <c r="G78" s="311">
        <v>0</v>
      </c>
      <c r="H78" s="233">
        <f>F78*AM78</f>
        <v>0</v>
      </c>
      <c r="I78" s="233">
        <f>F78*AN78</f>
        <v>0</v>
      </c>
      <c r="J78" s="233">
        <f>F78*G78</f>
        <v>0</v>
      </c>
      <c r="K78" s="233">
        <v>0</v>
      </c>
      <c r="L78" s="233">
        <f>F78*K78</f>
        <v>0</v>
      </c>
      <c r="M78" s="240" t="s">
        <v>472</v>
      </c>
      <c r="X78" s="233">
        <f>IF(AO78="5",BH78,0)</f>
        <v>0</v>
      </c>
      <c r="Z78" s="233">
        <f>IF(AO78="1",BF78,0)</f>
        <v>0</v>
      </c>
      <c r="AA78" s="233">
        <f>IF(AO78="1",BG78,0)</f>
        <v>0</v>
      </c>
      <c r="AB78" s="233">
        <f>IF(AO78="7",BF78,0)</f>
        <v>0</v>
      </c>
      <c r="AC78" s="233">
        <f>IF(AO78="7",BG78,0)</f>
        <v>0</v>
      </c>
      <c r="AD78" s="233">
        <f>IF(AO78="2",BF78,0)</f>
        <v>0</v>
      </c>
      <c r="AE78" s="233">
        <f>IF(AO78="2",BG78,0)</f>
        <v>0</v>
      </c>
      <c r="AF78" s="233">
        <f>IF(AO78="0",BH78,0)</f>
        <v>0</v>
      </c>
      <c r="AG78" s="229" t="s">
        <v>154</v>
      </c>
      <c r="AH78" s="233">
        <f>IF(AL78=0,J78,0)</f>
        <v>0</v>
      </c>
      <c r="AI78" s="233">
        <f>IF(AL78=15,J78,0)</f>
        <v>0</v>
      </c>
      <c r="AJ78" s="233">
        <f>IF(AL78=21,J78,0)</f>
        <v>0</v>
      </c>
      <c r="AL78" s="233">
        <v>15</v>
      </c>
      <c r="AM78" s="233">
        <f>G78*0</f>
        <v>0</v>
      </c>
      <c r="AN78" s="233">
        <f>G78*(1-0)</f>
        <v>0</v>
      </c>
      <c r="AO78" s="234" t="s">
        <v>157</v>
      </c>
      <c r="AT78" s="233">
        <f>AU78+AV78</f>
        <v>0</v>
      </c>
      <c r="AU78" s="233">
        <f>F78*AM78</f>
        <v>0</v>
      </c>
      <c r="AV78" s="233">
        <f>F78*AN78</f>
        <v>0</v>
      </c>
      <c r="AW78" s="234" t="s">
        <v>263</v>
      </c>
      <c r="AX78" s="234" t="s">
        <v>163</v>
      </c>
      <c r="AY78" s="229" t="s">
        <v>164</v>
      </c>
      <c r="BA78" s="233">
        <f>AU78+AV78</f>
        <v>0</v>
      </c>
      <c r="BB78" s="233">
        <f>G78/(100-BC78)*100</f>
        <v>0</v>
      </c>
      <c r="BC78" s="233">
        <v>0</v>
      </c>
      <c r="BD78" s="233">
        <f>L78</f>
        <v>0</v>
      </c>
      <c r="BF78" s="233">
        <f>F78*AM78</f>
        <v>0</v>
      </c>
      <c r="BG78" s="233">
        <f>F78*AN78</f>
        <v>0</v>
      </c>
      <c r="BH78" s="233">
        <f>F78*G78</f>
        <v>0</v>
      </c>
      <c r="BI78" s="233"/>
      <c r="BJ78" s="233">
        <v>17</v>
      </c>
      <c r="BU78" s="233" t="e">
        <f>#REF!</f>
        <v>#REF!</v>
      </c>
      <c r="BV78" s="225" t="s">
        <v>269</v>
      </c>
    </row>
    <row r="79" spans="1:74" ht="94.5" customHeight="1" x14ac:dyDescent="0.3">
      <c r="A79" s="241"/>
      <c r="B79" s="242" t="s">
        <v>165</v>
      </c>
      <c r="C79" s="530" t="s">
        <v>1853</v>
      </c>
      <c r="D79" s="531"/>
      <c r="E79" s="531"/>
      <c r="F79" s="531"/>
      <c r="G79" s="531"/>
      <c r="H79" s="531"/>
      <c r="I79" s="531"/>
      <c r="J79" s="531"/>
      <c r="K79" s="531"/>
      <c r="L79" s="531"/>
      <c r="M79" s="532"/>
    </row>
    <row r="80" spans="1:74" ht="14.4" x14ac:dyDescent="0.3">
      <c r="A80" s="239" t="s">
        <v>154</v>
      </c>
      <c r="B80" s="224" t="s">
        <v>224</v>
      </c>
      <c r="C80" s="526" t="s">
        <v>270</v>
      </c>
      <c r="D80" s="527"/>
      <c r="E80" s="223" t="s">
        <v>114</v>
      </c>
      <c r="F80" s="223" t="s">
        <v>114</v>
      </c>
      <c r="G80" s="223" t="s">
        <v>114</v>
      </c>
      <c r="H80" s="235">
        <f>SUM(H81:H81)</f>
        <v>0</v>
      </c>
      <c r="I80" s="235">
        <f>SUM(I81:I81)</f>
        <v>0</v>
      </c>
      <c r="J80" s="235">
        <f>SUM(J81:J81)</f>
        <v>0</v>
      </c>
      <c r="K80" s="230" t="s">
        <v>154</v>
      </c>
      <c r="L80" s="235">
        <f>SUM(L81:L81)</f>
        <v>2.1783000000000002E-3</v>
      </c>
      <c r="M80" s="243" t="s">
        <v>154</v>
      </c>
      <c r="AG80" s="229" t="s">
        <v>154</v>
      </c>
      <c r="AQ80" s="222">
        <f>SUM(AH81:AH81)</f>
        <v>0</v>
      </c>
      <c r="AR80" s="222">
        <f>SUM(AI81:AI81)</f>
        <v>0</v>
      </c>
      <c r="AS80" s="222">
        <f>SUM(AJ81:AJ81)</f>
        <v>0</v>
      </c>
    </row>
    <row r="81" spans="1:74" ht="14.4" x14ac:dyDescent="0.3">
      <c r="A81" s="239" t="s">
        <v>271</v>
      </c>
      <c r="B81" s="223" t="s">
        <v>272</v>
      </c>
      <c r="C81" s="521" t="s">
        <v>273</v>
      </c>
      <c r="D81" s="519"/>
      <c r="E81" s="223" t="s">
        <v>180</v>
      </c>
      <c r="F81" s="233">
        <v>72.61</v>
      </c>
      <c r="G81" s="311">
        <v>0</v>
      </c>
      <c r="H81" s="233">
        <f>F81*AM81</f>
        <v>0</v>
      </c>
      <c r="I81" s="233">
        <f>F81*AN81</f>
        <v>0</v>
      </c>
      <c r="J81" s="233">
        <f>F81*G81</f>
        <v>0</v>
      </c>
      <c r="K81" s="233">
        <v>3.0000000000000001E-5</v>
      </c>
      <c r="L81" s="233">
        <f>F81*K81</f>
        <v>2.1783000000000002E-3</v>
      </c>
      <c r="M81" s="240" t="s">
        <v>472</v>
      </c>
      <c r="X81" s="233">
        <f>IF(AO81="5",BH81,0)</f>
        <v>0</v>
      </c>
      <c r="Z81" s="233">
        <f>IF(AO81="1",BF81,0)</f>
        <v>0</v>
      </c>
      <c r="AA81" s="233">
        <f>IF(AO81="1",BG81,0)</f>
        <v>0</v>
      </c>
      <c r="AB81" s="233">
        <f>IF(AO81="7",BF81,0)</f>
        <v>0</v>
      </c>
      <c r="AC81" s="233">
        <f>IF(AO81="7",BG81,0)</f>
        <v>0</v>
      </c>
      <c r="AD81" s="233">
        <f>IF(AO81="2",BF81,0)</f>
        <v>0</v>
      </c>
      <c r="AE81" s="233">
        <f>IF(AO81="2",BG81,0)</f>
        <v>0</v>
      </c>
      <c r="AF81" s="233">
        <f>IF(AO81="0",BH81,0)</f>
        <v>0</v>
      </c>
      <c r="AG81" s="229" t="s">
        <v>154</v>
      </c>
      <c r="AH81" s="233">
        <f>IF(AL81=0,J81,0)</f>
        <v>0</v>
      </c>
      <c r="AI81" s="233">
        <f>IF(AL81=15,J81,0)</f>
        <v>0</v>
      </c>
      <c r="AJ81" s="233">
        <f>IF(AL81=21,J81,0)</f>
        <v>0</v>
      </c>
      <c r="AL81" s="233">
        <v>15</v>
      </c>
      <c r="AM81" s="233">
        <f>G81*0.041715982</f>
        <v>0</v>
      </c>
      <c r="AN81" s="233">
        <f>G81*(1-0.041715982)</f>
        <v>0</v>
      </c>
      <c r="AO81" s="234" t="s">
        <v>157</v>
      </c>
      <c r="AT81" s="233">
        <f>AU81+AV81</f>
        <v>0</v>
      </c>
      <c r="AU81" s="233">
        <f>F81*AM81</f>
        <v>0</v>
      </c>
      <c r="AV81" s="233">
        <f>F81*AN81</f>
        <v>0</v>
      </c>
      <c r="AW81" s="234" t="s">
        <v>274</v>
      </c>
      <c r="AX81" s="234" t="s">
        <v>163</v>
      </c>
      <c r="AY81" s="229" t="s">
        <v>164</v>
      </c>
      <c r="BA81" s="233">
        <f>AU81+AV81</f>
        <v>0</v>
      </c>
      <c r="BB81" s="233">
        <f>G81/(100-BC81)*100</f>
        <v>0</v>
      </c>
      <c r="BC81" s="233">
        <v>0</v>
      </c>
      <c r="BD81" s="233">
        <f>L81</f>
        <v>2.1783000000000002E-3</v>
      </c>
      <c r="BF81" s="233">
        <f>F81*AM81</f>
        <v>0</v>
      </c>
      <c r="BG81" s="233">
        <f>F81*AN81</f>
        <v>0</v>
      </c>
      <c r="BH81" s="233">
        <f>F81*G81</f>
        <v>0</v>
      </c>
      <c r="BI81" s="233"/>
      <c r="BJ81" s="233">
        <v>18</v>
      </c>
      <c r="BU81" s="233" t="e">
        <f>#REF!</f>
        <v>#REF!</v>
      </c>
      <c r="BV81" s="225" t="s">
        <v>273</v>
      </c>
    </row>
    <row r="82" spans="1:74" ht="40.5" customHeight="1" x14ac:dyDescent="0.3">
      <c r="A82" s="241"/>
      <c r="B82" s="242" t="s">
        <v>165</v>
      </c>
      <c r="C82" s="530" t="s">
        <v>1854</v>
      </c>
      <c r="D82" s="531"/>
      <c r="E82" s="531"/>
      <c r="F82" s="531"/>
      <c r="G82" s="531"/>
      <c r="H82" s="531"/>
      <c r="I82" s="531"/>
      <c r="J82" s="531"/>
      <c r="K82" s="531"/>
      <c r="L82" s="531"/>
      <c r="M82" s="532"/>
    </row>
    <row r="83" spans="1:74" ht="14.4" x14ac:dyDescent="0.3">
      <c r="A83" s="239" t="s">
        <v>154</v>
      </c>
      <c r="B83" s="224" t="s">
        <v>228</v>
      </c>
      <c r="C83" s="526" t="s">
        <v>275</v>
      </c>
      <c r="D83" s="527"/>
      <c r="E83" s="223" t="s">
        <v>114</v>
      </c>
      <c r="F83" s="223" t="s">
        <v>114</v>
      </c>
      <c r="G83" s="223" t="s">
        <v>114</v>
      </c>
      <c r="H83" s="235">
        <f>SUM(H84:H86)</f>
        <v>0</v>
      </c>
      <c r="I83" s="235">
        <f>SUM(I84:I86)</f>
        <v>0</v>
      </c>
      <c r="J83" s="235">
        <f>SUM(J84:J86)</f>
        <v>0</v>
      </c>
      <c r="K83" s="230" t="s">
        <v>154</v>
      </c>
      <c r="L83" s="235">
        <f>SUM(L84:L86)</f>
        <v>0</v>
      </c>
      <c r="M83" s="243" t="s">
        <v>154</v>
      </c>
      <c r="AG83" s="229" t="s">
        <v>154</v>
      </c>
      <c r="AQ83" s="222">
        <f>SUM(AH84:AH86)</f>
        <v>0</v>
      </c>
      <c r="AR83" s="222">
        <f>SUM(AI84:AI86)</f>
        <v>0</v>
      </c>
      <c r="AS83" s="222">
        <f>SUM(AJ84:AJ86)</f>
        <v>0</v>
      </c>
    </row>
    <row r="84" spans="1:74" ht="14.4" x14ac:dyDescent="0.3">
      <c r="A84" s="239" t="s">
        <v>276</v>
      </c>
      <c r="B84" s="223" t="s">
        <v>277</v>
      </c>
      <c r="C84" s="521" t="s">
        <v>278</v>
      </c>
      <c r="D84" s="519"/>
      <c r="E84" s="223" t="s">
        <v>196</v>
      </c>
      <c r="F84" s="233">
        <v>70.88</v>
      </c>
      <c r="G84" s="311">
        <v>0</v>
      </c>
      <c r="H84" s="233">
        <f>F84*AM84</f>
        <v>0</v>
      </c>
      <c r="I84" s="233">
        <f>F84*AN84</f>
        <v>0</v>
      </c>
      <c r="J84" s="233">
        <f>F84*G84</f>
        <v>0</v>
      </c>
      <c r="K84" s="233">
        <v>0</v>
      </c>
      <c r="L84" s="233">
        <f>F84*K84</f>
        <v>0</v>
      </c>
      <c r="M84" s="240" t="s">
        <v>472</v>
      </c>
      <c r="X84" s="233">
        <f>IF(AO84="5",BH84,0)</f>
        <v>0</v>
      </c>
      <c r="Z84" s="233">
        <f>IF(AO84="1",BF84,0)</f>
        <v>0</v>
      </c>
      <c r="AA84" s="233">
        <f>IF(AO84="1",BG84,0)</f>
        <v>0</v>
      </c>
      <c r="AB84" s="233">
        <f>IF(AO84="7",BF84,0)</f>
        <v>0</v>
      </c>
      <c r="AC84" s="233">
        <f>IF(AO84="7",BG84,0)</f>
        <v>0</v>
      </c>
      <c r="AD84" s="233">
        <f>IF(AO84="2",BF84,0)</f>
        <v>0</v>
      </c>
      <c r="AE84" s="233">
        <f>IF(AO84="2",BG84,0)</f>
        <v>0</v>
      </c>
      <c r="AF84" s="233">
        <f>IF(AO84="0",BH84,0)</f>
        <v>0</v>
      </c>
      <c r="AG84" s="229" t="s">
        <v>154</v>
      </c>
      <c r="AH84" s="233">
        <f>IF(AL84=0,J84,0)</f>
        <v>0</v>
      </c>
      <c r="AI84" s="233">
        <f>IF(AL84=15,J84,0)</f>
        <v>0</v>
      </c>
      <c r="AJ84" s="233">
        <f>IF(AL84=21,J84,0)</f>
        <v>0</v>
      </c>
      <c r="AL84" s="233">
        <v>15</v>
      </c>
      <c r="AM84" s="233">
        <f>G84*0</f>
        <v>0</v>
      </c>
      <c r="AN84" s="233">
        <f>G84*(1-0)</f>
        <v>0</v>
      </c>
      <c r="AO84" s="234" t="s">
        <v>157</v>
      </c>
      <c r="AT84" s="233">
        <f>AU84+AV84</f>
        <v>0</v>
      </c>
      <c r="AU84" s="233">
        <f>F84*AM84</f>
        <v>0</v>
      </c>
      <c r="AV84" s="233">
        <f>F84*AN84</f>
        <v>0</v>
      </c>
      <c r="AW84" s="234" t="s">
        <v>279</v>
      </c>
      <c r="AX84" s="234" t="s">
        <v>163</v>
      </c>
      <c r="AY84" s="229" t="s">
        <v>164</v>
      </c>
      <c r="BA84" s="233">
        <f>AU84+AV84</f>
        <v>0</v>
      </c>
      <c r="BB84" s="233">
        <f>G84/(100-BC84)*100</f>
        <v>0</v>
      </c>
      <c r="BC84" s="233">
        <v>0</v>
      </c>
      <c r="BD84" s="233">
        <f>L84</f>
        <v>0</v>
      </c>
      <c r="BF84" s="233">
        <f>F84*AM84</f>
        <v>0</v>
      </c>
      <c r="BG84" s="233">
        <f>F84*AN84</f>
        <v>0</v>
      </c>
      <c r="BH84" s="233">
        <f>F84*G84</f>
        <v>0</v>
      </c>
      <c r="BI84" s="233"/>
      <c r="BJ84" s="233">
        <v>19</v>
      </c>
      <c r="BU84" s="233" t="e">
        <f>#REF!</f>
        <v>#REF!</v>
      </c>
      <c r="BV84" s="225" t="s">
        <v>278</v>
      </c>
    </row>
    <row r="85" spans="1:74" ht="13.5" customHeight="1" x14ac:dyDescent="0.3">
      <c r="A85" s="241"/>
      <c r="B85" s="242" t="s">
        <v>165</v>
      </c>
      <c r="C85" s="530" t="s">
        <v>280</v>
      </c>
      <c r="D85" s="531"/>
      <c r="E85" s="531"/>
      <c r="F85" s="531"/>
      <c r="G85" s="531"/>
      <c r="H85" s="531"/>
      <c r="I85" s="531"/>
      <c r="J85" s="531"/>
      <c r="K85" s="531"/>
      <c r="L85" s="531"/>
      <c r="M85" s="532"/>
    </row>
    <row r="86" spans="1:74" ht="14.4" x14ac:dyDescent="0.3">
      <c r="A86" s="239" t="s">
        <v>281</v>
      </c>
      <c r="B86" s="223" t="s">
        <v>282</v>
      </c>
      <c r="C86" s="521" t="s">
        <v>283</v>
      </c>
      <c r="D86" s="519"/>
      <c r="E86" s="223" t="s">
        <v>196</v>
      </c>
      <c r="F86" s="233">
        <v>11.86</v>
      </c>
      <c r="G86" s="311">
        <v>0</v>
      </c>
      <c r="H86" s="233">
        <f>F86*AM86</f>
        <v>0</v>
      </c>
      <c r="I86" s="233">
        <f>F86*AN86</f>
        <v>0</v>
      </c>
      <c r="J86" s="233">
        <f>F86*G86</f>
        <v>0</v>
      </c>
      <c r="K86" s="233">
        <v>0</v>
      </c>
      <c r="L86" s="233">
        <f>F86*K86</f>
        <v>0</v>
      </c>
      <c r="M86" s="240" t="s">
        <v>472</v>
      </c>
      <c r="X86" s="233">
        <f>IF(AO86="5",BH86,0)</f>
        <v>0</v>
      </c>
      <c r="Z86" s="233">
        <f>IF(AO86="1",BF86,0)</f>
        <v>0</v>
      </c>
      <c r="AA86" s="233">
        <f>IF(AO86="1",BG86,0)</f>
        <v>0</v>
      </c>
      <c r="AB86" s="233">
        <f>IF(AO86="7",BF86,0)</f>
        <v>0</v>
      </c>
      <c r="AC86" s="233">
        <f>IF(AO86="7",BG86,0)</f>
        <v>0</v>
      </c>
      <c r="AD86" s="233">
        <f>IF(AO86="2",BF86,0)</f>
        <v>0</v>
      </c>
      <c r="AE86" s="233">
        <f>IF(AO86="2",BG86,0)</f>
        <v>0</v>
      </c>
      <c r="AF86" s="233">
        <f>IF(AO86="0",BH86,0)</f>
        <v>0</v>
      </c>
      <c r="AG86" s="229" t="s">
        <v>154</v>
      </c>
      <c r="AH86" s="233">
        <f>IF(AL86=0,J86,0)</f>
        <v>0</v>
      </c>
      <c r="AI86" s="233">
        <f>IF(AL86=15,J86,0)</f>
        <v>0</v>
      </c>
      <c r="AJ86" s="233">
        <f>IF(AL86=21,J86,0)</f>
        <v>0</v>
      </c>
      <c r="AL86" s="233">
        <v>15</v>
      </c>
      <c r="AM86" s="233">
        <f>G86*0</f>
        <v>0</v>
      </c>
      <c r="AN86" s="233">
        <f>G86*(1-0)</f>
        <v>0</v>
      </c>
      <c r="AO86" s="234" t="s">
        <v>157</v>
      </c>
      <c r="AT86" s="233">
        <f>AU86+AV86</f>
        <v>0</v>
      </c>
      <c r="AU86" s="233">
        <f>F86*AM86</f>
        <v>0</v>
      </c>
      <c r="AV86" s="233">
        <f>F86*AN86</f>
        <v>0</v>
      </c>
      <c r="AW86" s="234" t="s">
        <v>279</v>
      </c>
      <c r="AX86" s="234" t="s">
        <v>163</v>
      </c>
      <c r="AY86" s="229" t="s">
        <v>164</v>
      </c>
      <c r="BA86" s="233">
        <f>AU86+AV86</f>
        <v>0</v>
      </c>
      <c r="BB86" s="233">
        <f>G86/(100-BC86)*100</f>
        <v>0</v>
      </c>
      <c r="BC86" s="233">
        <v>0</v>
      </c>
      <c r="BD86" s="233">
        <f>L86</f>
        <v>0</v>
      </c>
      <c r="BF86" s="233">
        <f>F86*AM86</f>
        <v>0</v>
      </c>
      <c r="BG86" s="233">
        <f>F86*AN86</f>
        <v>0</v>
      </c>
      <c r="BH86" s="233">
        <f>F86*G86</f>
        <v>0</v>
      </c>
      <c r="BI86" s="233"/>
      <c r="BJ86" s="233">
        <v>19</v>
      </c>
      <c r="BU86" s="233" t="e">
        <f>#REF!</f>
        <v>#REF!</v>
      </c>
      <c r="BV86" s="225" t="s">
        <v>283</v>
      </c>
    </row>
    <row r="87" spans="1:74" ht="13.5" customHeight="1" x14ac:dyDescent="0.3">
      <c r="A87" s="241"/>
      <c r="B87" s="242" t="s">
        <v>165</v>
      </c>
      <c r="C87" s="530" t="s">
        <v>280</v>
      </c>
      <c r="D87" s="531"/>
      <c r="E87" s="531"/>
      <c r="F87" s="531"/>
      <c r="G87" s="531"/>
      <c r="H87" s="531"/>
      <c r="I87" s="531"/>
      <c r="J87" s="531"/>
      <c r="K87" s="531"/>
      <c r="L87" s="531"/>
      <c r="M87" s="532"/>
    </row>
    <row r="88" spans="1:74" ht="14.4" x14ac:dyDescent="0.3">
      <c r="A88" s="239" t="s">
        <v>154</v>
      </c>
      <c r="B88" s="224" t="s">
        <v>235</v>
      </c>
      <c r="C88" s="526" t="s">
        <v>284</v>
      </c>
      <c r="D88" s="527"/>
      <c r="E88" s="223" t="s">
        <v>114</v>
      </c>
      <c r="F88" s="223" t="s">
        <v>114</v>
      </c>
      <c r="G88" s="223" t="s">
        <v>114</v>
      </c>
      <c r="H88" s="235">
        <f>SUM(H89:H91)</f>
        <v>0</v>
      </c>
      <c r="I88" s="235">
        <f>SUM(I89:I91)</f>
        <v>0</v>
      </c>
      <c r="J88" s="235">
        <f>SUM(J89:J91)</f>
        <v>0</v>
      </c>
      <c r="K88" s="230" t="s">
        <v>154</v>
      </c>
      <c r="L88" s="235">
        <f>SUM(L89:L91)</f>
        <v>4.3625000000000007</v>
      </c>
      <c r="M88" s="243" t="s">
        <v>154</v>
      </c>
      <c r="AG88" s="229" t="s">
        <v>154</v>
      </c>
      <c r="AQ88" s="222">
        <f>SUM(AH89:AH91)</f>
        <v>0</v>
      </c>
      <c r="AR88" s="222">
        <f>SUM(AI89:AI91)</f>
        <v>0</v>
      </c>
      <c r="AS88" s="222">
        <f>SUM(AJ89:AJ91)</f>
        <v>0</v>
      </c>
    </row>
    <row r="89" spans="1:74" ht="14.4" x14ac:dyDescent="0.3">
      <c r="A89" s="239" t="s">
        <v>285</v>
      </c>
      <c r="B89" s="223" t="s">
        <v>286</v>
      </c>
      <c r="C89" s="521" t="s">
        <v>287</v>
      </c>
      <c r="D89" s="519"/>
      <c r="E89" s="223" t="s">
        <v>180</v>
      </c>
      <c r="F89" s="233">
        <v>112.99</v>
      </c>
      <c r="G89" s="311">
        <v>0</v>
      </c>
      <c r="H89" s="233">
        <f>F89*AM89</f>
        <v>0</v>
      </c>
      <c r="I89" s="233">
        <f>F89*AN89</f>
        <v>0</v>
      </c>
      <c r="J89" s="233">
        <f>F89*G89</f>
        <v>0</v>
      </c>
      <c r="K89" s="233">
        <v>0</v>
      </c>
      <c r="L89" s="233">
        <f>F89*K89</f>
        <v>0</v>
      </c>
      <c r="M89" s="240" t="s">
        <v>472</v>
      </c>
      <c r="X89" s="233">
        <f>IF(AO89="5",BH89,0)</f>
        <v>0</v>
      </c>
      <c r="Z89" s="233">
        <f>IF(AO89="1",BF89,0)</f>
        <v>0</v>
      </c>
      <c r="AA89" s="233">
        <f>IF(AO89="1",BG89,0)</f>
        <v>0</v>
      </c>
      <c r="AB89" s="233">
        <f>IF(AO89="7",BF89,0)</f>
        <v>0</v>
      </c>
      <c r="AC89" s="233">
        <f>IF(AO89="7",BG89,0)</f>
        <v>0</v>
      </c>
      <c r="AD89" s="233">
        <f>IF(AO89="2",BF89,0)</f>
        <v>0</v>
      </c>
      <c r="AE89" s="233">
        <f>IF(AO89="2",BG89,0)</f>
        <v>0</v>
      </c>
      <c r="AF89" s="233">
        <f>IF(AO89="0",BH89,0)</f>
        <v>0</v>
      </c>
      <c r="AG89" s="229" t="s">
        <v>154</v>
      </c>
      <c r="AH89" s="233">
        <f>IF(AL89=0,J89,0)</f>
        <v>0</v>
      </c>
      <c r="AI89" s="233">
        <f>IF(AL89=15,J89,0)</f>
        <v>0</v>
      </c>
      <c r="AJ89" s="233">
        <f>IF(AL89=21,J89,0)</f>
        <v>0</v>
      </c>
      <c r="AL89" s="233">
        <v>15</v>
      </c>
      <c r="AM89" s="233">
        <f>G89*0</f>
        <v>0</v>
      </c>
      <c r="AN89" s="233">
        <f>G89*(1-0)</f>
        <v>0</v>
      </c>
      <c r="AO89" s="234" t="s">
        <v>157</v>
      </c>
      <c r="AT89" s="233">
        <f>AU89+AV89</f>
        <v>0</v>
      </c>
      <c r="AU89" s="233">
        <f>F89*AM89</f>
        <v>0</v>
      </c>
      <c r="AV89" s="233">
        <f>F89*AN89</f>
        <v>0</v>
      </c>
      <c r="AW89" s="234" t="s">
        <v>288</v>
      </c>
      <c r="AX89" s="234" t="s">
        <v>289</v>
      </c>
      <c r="AY89" s="229" t="s">
        <v>164</v>
      </c>
      <c r="BA89" s="233">
        <f>AU89+AV89</f>
        <v>0</v>
      </c>
      <c r="BB89" s="233">
        <f>G89/(100-BC89)*100</f>
        <v>0</v>
      </c>
      <c r="BC89" s="233">
        <v>0</v>
      </c>
      <c r="BD89" s="233">
        <f>L89</f>
        <v>0</v>
      </c>
      <c r="BF89" s="233">
        <f>F89*AM89</f>
        <v>0</v>
      </c>
      <c r="BG89" s="233">
        <f>F89*AN89</f>
        <v>0</v>
      </c>
      <c r="BH89" s="233">
        <f>F89*G89</f>
        <v>0</v>
      </c>
      <c r="BI89" s="233"/>
      <c r="BJ89" s="233">
        <v>21</v>
      </c>
      <c r="BU89" s="233" t="e">
        <f>#REF!</f>
        <v>#REF!</v>
      </c>
      <c r="BV89" s="225" t="s">
        <v>287</v>
      </c>
    </row>
    <row r="90" spans="1:74" ht="40.5" customHeight="1" x14ac:dyDescent="0.3">
      <c r="A90" s="241"/>
      <c r="B90" s="242" t="s">
        <v>165</v>
      </c>
      <c r="C90" s="530" t="s">
        <v>1855</v>
      </c>
      <c r="D90" s="531"/>
      <c r="E90" s="531"/>
      <c r="F90" s="531"/>
      <c r="G90" s="531"/>
      <c r="H90" s="531"/>
      <c r="I90" s="531"/>
      <c r="J90" s="531"/>
      <c r="K90" s="531"/>
      <c r="L90" s="531"/>
      <c r="M90" s="532"/>
    </row>
    <row r="91" spans="1:74" ht="14.4" x14ac:dyDescent="0.3">
      <c r="A91" s="239" t="s">
        <v>290</v>
      </c>
      <c r="B91" s="223" t="s">
        <v>291</v>
      </c>
      <c r="C91" s="521" t="s">
        <v>292</v>
      </c>
      <c r="D91" s="519"/>
      <c r="E91" s="223" t="s">
        <v>160</v>
      </c>
      <c r="F91" s="233">
        <v>10</v>
      </c>
      <c r="G91" s="311">
        <v>0</v>
      </c>
      <c r="H91" s="233">
        <f>F91*AM91</f>
        <v>0</v>
      </c>
      <c r="I91" s="233">
        <f>F91*AN91</f>
        <v>0</v>
      </c>
      <c r="J91" s="233">
        <f>F91*G91</f>
        <v>0</v>
      </c>
      <c r="K91" s="233">
        <v>0.43625000000000003</v>
      </c>
      <c r="L91" s="233">
        <f>F91*K91</f>
        <v>4.3625000000000007</v>
      </c>
      <c r="M91" s="240" t="s">
        <v>472</v>
      </c>
      <c r="X91" s="233">
        <f>IF(AO91="5",BH91,0)</f>
        <v>0</v>
      </c>
      <c r="Z91" s="233">
        <f>IF(AO91="1",BF91,0)</f>
        <v>0</v>
      </c>
      <c r="AA91" s="233">
        <f>IF(AO91="1",BG91,0)</f>
        <v>0</v>
      </c>
      <c r="AB91" s="233">
        <f>IF(AO91="7",BF91,0)</f>
        <v>0</v>
      </c>
      <c r="AC91" s="233">
        <f>IF(AO91="7",BG91,0)</f>
        <v>0</v>
      </c>
      <c r="AD91" s="233">
        <f>IF(AO91="2",BF91,0)</f>
        <v>0</v>
      </c>
      <c r="AE91" s="233">
        <f>IF(AO91="2",BG91,0)</f>
        <v>0</v>
      </c>
      <c r="AF91" s="233">
        <f>IF(AO91="0",BH91,0)</f>
        <v>0</v>
      </c>
      <c r="AG91" s="229" t="s">
        <v>154</v>
      </c>
      <c r="AH91" s="233">
        <f>IF(AL91=0,J91,0)</f>
        <v>0</v>
      </c>
      <c r="AI91" s="233">
        <f>IF(AL91=15,J91,0)</f>
        <v>0</v>
      </c>
      <c r="AJ91" s="233">
        <f>IF(AL91=21,J91,0)</f>
        <v>0</v>
      </c>
      <c r="AL91" s="233">
        <v>15</v>
      </c>
      <c r="AM91" s="233">
        <f>G91*0.447203746</f>
        <v>0</v>
      </c>
      <c r="AN91" s="233">
        <f>G91*(1-0.447203746)</f>
        <v>0</v>
      </c>
      <c r="AO91" s="234" t="s">
        <v>157</v>
      </c>
      <c r="AT91" s="233">
        <f>AU91+AV91</f>
        <v>0</v>
      </c>
      <c r="AU91" s="233">
        <f>F91*AM91</f>
        <v>0</v>
      </c>
      <c r="AV91" s="233">
        <f>F91*AN91</f>
        <v>0</v>
      </c>
      <c r="AW91" s="234" t="s">
        <v>288</v>
      </c>
      <c r="AX91" s="234" t="s">
        <v>289</v>
      </c>
      <c r="AY91" s="229" t="s">
        <v>164</v>
      </c>
      <c r="BA91" s="233">
        <f>AU91+AV91</f>
        <v>0</v>
      </c>
      <c r="BB91" s="233">
        <f>G91/(100-BC91)*100</f>
        <v>0</v>
      </c>
      <c r="BC91" s="233">
        <v>0</v>
      </c>
      <c r="BD91" s="233">
        <f>L91</f>
        <v>4.3625000000000007</v>
      </c>
      <c r="BF91" s="233">
        <f>F91*AM91</f>
        <v>0</v>
      </c>
      <c r="BG91" s="233">
        <f>F91*AN91</f>
        <v>0</v>
      </c>
      <c r="BH91" s="233">
        <f>F91*G91</f>
        <v>0</v>
      </c>
      <c r="BI91" s="233"/>
      <c r="BJ91" s="233">
        <v>21</v>
      </c>
      <c r="BU91" s="233" t="e">
        <f>#REF!</f>
        <v>#REF!</v>
      </c>
      <c r="BV91" s="225" t="s">
        <v>292</v>
      </c>
    </row>
    <row r="92" spans="1:74" ht="27" customHeight="1" x14ac:dyDescent="0.3">
      <c r="A92" s="241"/>
      <c r="B92" s="242" t="s">
        <v>165</v>
      </c>
      <c r="C92" s="530" t="s">
        <v>1567</v>
      </c>
      <c r="D92" s="531"/>
      <c r="E92" s="531"/>
      <c r="F92" s="531"/>
      <c r="G92" s="531"/>
      <c r="H92" s="531"/>
      <c r="I92" s="531"/>
      <c r="J92" s="531"/>
      <c r="K92" s="531"/>
      <c r="L92" s="531"/>
      <c r="M92" s="532"/>
    </row>
    <row r="93" spans="1:74" ht="14.4" x14ac:dyDescent="0.3">
      <c r="A93" s="239" t="s">
        <v>154</v>
      </c>
      <c r="B93" s="224" t="s">
        <v>253</v>
      </c>
      <c r="C93" s="526" t="s">
        <v>293</v>
      </c>
      <c r="D93" s="527"/>
      <c r="E93" s="223" t="s">
        <v>114</v>
      </c>
      <c r="F93" s="223" t="s">
        <v>114</v>
      </c>
      <c r="G93" s="223" t="s">
        <v>114</v>
      </c>
      <c r="H93" s="235">
        <f>SUM(H94:H94)</f>
        <v>0</v>
      </c>
      <c r="I93" s="235">
        <f>SUM(I94:I94)</f>
        <v>0</v>
      </c>
      <c r="J93" s="235">
        <f>SUM(J94:J94)</f>
        <v>0</v>
      </c>
      <c r="K93" s="230" t="s">
        <v>154</v>
      </c>
      <c r="L93" s="235">
        <f>SUM(L94:L94)</f>
        <v>1.7170952000000002</v>
      </c>
      <c r="M93" s="243" t="s">
        <v>154</v>
      </c>
      <c r="AG93" s="229" t="s">
        <v>154</v>
      </c>
      <c r="AQ93" s="222">
        <f>SUM(AH94:AH94)</f>
        <v>0</v>
      </c>
      <c r="AR93" s="222">
        <f>SUM(AI94:AI94)</f>
        <v>0</v>
      </c>
      <c r="AS93" s="222">
        <f>SUM(AJ94:AJ94)</f>
        <v>0</v>
      </c>
    </row>
    <row r="94" spans="1:74" ht="14.4" x14ac:dyDescent="0.3">
      <c r="A94" s="239" t="s">
        <v>294</v>
      </c>
      <c r="B94" s="223" t="s">
        <v>295</v>
      </c>
      <c r="C94" s="521" t="s">
        <v>296</v>
      </c>
      <c r="D94" s="519"/>
      <c r="E94" s="223" t="s">
        <v>196</v>
      </c>
      <c r="F94" s="233">
        <v>0.68</v>
      </c>
      <c r="G94" s="311">
        <v>0</v>
      </c>
      <c r="H94" s="233">
        <f>F94*AM94</f>
        <v>0</v>
      </c>
      <c r="I94" s="233">
        <f>F94*AN94</f>
        <v>0</v>
      </c>
      <c r="J94" s="233">
        <f>F94*G94</f>
        <v>0</v>
      </c>
      <c r="K94" s="233">
        <v>2.5251399999999999</v>
      </c>
      <c r="L94" s="233">
        <f>F94*K94</f>
        <v>1.7170952000000002</v>
      </c>
      <c r="M94" s="240" t="s">
        <v>472</v>
      </c>
      <c r="X94" s="233">
        <f>IF(AO94="5",BH94,0)</f>
        <v>0</v>
      </c>
      <c r="Z94" s="233">
        <f>IF(AO94="1",BF94,0)</f>
        <v>0</v>
      </c>
      <c r="AA94" s="233">
        <f>IF(AO94="1",BG94,0)</f>
        <v>0</v>
      </c>
      <c r="AB94" s="233">
        <f>IF(AO94="7",BF94,0)</f>
        <v>0</v>
      </c>
      <c r="AC94" s="233">
        <f>IF(AO94="7",BG94,0)</f>
        <v>0</v>
      </c>
      <c r="AD94" s="233">
        <f>IF(AO94="2",BF94,0)</f>
        <v>0</v>
      </c>
      <c r="AE94" s="233">
        <f>IF(AO94="2",BG94,0)</f>
        <v>0</v>
      </c>
      <c r="AF94" s="233">
        <f>IF(AO94="0",BH94,0)</f>
        <v>0</v>
      </c>
      <c r="AG94" s="229" t="s">
        <v>154</v>
      </c>
      <c r="AH94" s="233">
        <f>IF(AL94=0,J94,0)</f>
        <v>0</v>
      </c>
      <c r="AI94" s="233">
        <f>IF(AL94=15,J94,0)</f>
        <v>0</v>
      </c>
      <c r="AJ94" s="233">
        <f>IF(AL94=21,J94,0)</f>
        <v>0</v>
      </c>
      <c r="AL94" s="233">
        <v>15</v>
      </c>
      <c r="AM94" s="233">
        <f>G94*0.848041841</f>
        <v>0</v>
      </c>
      <c r="AN94" s="233">
        <f>G94*(1-0.848041841)</f>
        <v>0</v>
      </c>
      <c r="AO94" s="234" t="s">
        <v>157</v>
      </c>
      <c r="AT94" s="233">
        <f>AU94+AV94</f>
        <v>0</v>
      </c>
      <c r="AU94" s="233">
        <f>F94*AM94</f>
        <v>0</v>
      </c>
      <c r="AV94" s="233">
        <f>F94*AN94</f>
        <v>0</v>
      </c>
      <c r="AW94" s="234" t="s">
        <v>297</v>
      </c>
      <c r="AX94" s="234" t="s">
        <v>289</v>
      </c>
      <c r="AY94" s="229" t="s">
        <v>164</v>
      </c>
      <c r="BA94" s="233">
        <f>AU94+AV94</f>
        <v>0</v>
      </c>
      <c r="BB94" s="233">
        <f>G94/(100-BC94)*100</f>
        <v>0</v>
      </c>
      <c r="BC94" s="233">
        <v>0</v>
      </c>
      <c r="BD94" s="233">
        <f>L94</f>
        <v>1.7170952000000002</v>
      </c>
      <c r="BF94" s="233">
        <f>F94*AM94</f>
        <v>0</v>
      </c>
      <c r="BG94" s="233">
        <f>F94*AN94</f>
        <v>0</v>
      </c>
      <c r="BH94" s="233">
        <f>F94*G94</f>
        <v>0</v>
      </c>
      <c r="BI94" s="233"/>
      <c r="BJ94" s="233">
        <v>27</v>
      </c>
      <c r="BU94" s="233" t="e">
        <f>#REF!</f>
        <v>#REF!</v>
      </c>
      <c r="BV94" s="225" t="s">
        <v>296</v>
      </c>
    </row>
    <row r="95" spans="1:74" ht="40.5" customHeight="1" x14ac:dyDescent="0.3">
      <c r="A95" s="244"/>
      <c r="B95" s="245" t="s">
        <v>165</v>
      </c>
      <c r="C95" s="540" t="s">
        <v>1856</v>
      </c>
      <c r="D95" s="541"/>
      <c r="E95" s="541"/>
      <c r="F95" s="541"/>
      <c r="G95" s="541"/>
      <c r="H95" s="541"/>
      <c r="I95" s="541"/>
      <c r="J95" s="541"/>
      <c r="K95" s="541"/>
      <c r="L95" s="541"/>
      <c r="M95" s="542"/>
    </row>
    <row r="96" spans="1:74" ht="14.4" x14ac:dyDescent="0.3">
      <c r="A96" s="237" t="s">
        <v>154</v>
      </c>
      <c r="B96" s="260" t="s">
        <v>298</v>
      </c>
      <c r="C96" s="545" t="s">
        <v>299</v>
      </c>
      <c r="D96" s="546"/>
      <c r="E96" s="238" t="s">
        <v>114</v>
      </c>
      <c r="F96" s="238" t="s">
        <v>114</v>
      </c>
      <c r="G96" s="238" t="s">
        <v>114</v>
      </c>
      <c r="H96" s="261">
        <f>SUM(H97:H97)</f>
        <v>0</v>
      </c>
      <c r="I96" s="261">
        <f>SUM(I97:I97)</f>
        <v>0</v>
      </c>
      <c r="J96" s="261">
        <f>SUM(J97:J97)</f>
        <v>0</v>
      </c>
      <c r="K96" s="262" t="s">
        <v>154</v>
      </c>
      <c r="L96" s="261">
        <f>SUM(L97:L97)</f>
        <v>32.048551500000002</v>
      </c>
      <c r="M96" s="263" t="s">
        <v>154</v>
      </c>
      <c r="AG96" s="229" t="s">
        <v>154</v>
      </c>
      <c r="AQ96" s="222">
        <f>SUM(AH97:AH97)</f>
        <v>0</v>
      </c>
      <c r="AR96" s="222">
        <f>SUM(AI97:AI97)</f>
        <v>0</v>
      </c>
      <c r="AS96" s="222">
        <f>SUM(AJ97:AJ97)</f>
        <v>0</v>
      </c>
    </row>
    <row r="97" spans="1:74" ht="14.4" x14ac:dyDescent="0.3">
      <c r="A97" s="239" t="s">
        <v>300</v>
      </c>
      <c r="B97" s="223" t="s">
        <v>301</v>
      </c>
      <c r="C97" s="521" t="s">
        <v>302</v>
      </c>
      <c r="D97" s="519"/>
      <c r="E97" s="223" t="s">
        <v>196</v>
      </c>
      <c r="F97" s="233">
        <v>16.95</v>
      </c>
      <c r="G97" s="311">
        <v>0</v>
      </c>
      <c r="H97" s="233">
        <f>F97*AM97</f>
        <v>0</v>
      </c>
      <c r="I97" s="233">
        <f>F97*AN97</f>
        <v>0</v>
      </c>
      <c r="J97" s="233">
        <f>F97*G97</f>
        <v>0</v>
      </c>
      <c r="K97" s="233">
        <v>1.8907700000000001</v>
      </c>
      <c r="L97" s="233">
        <f>F97*K97</f>
        <v>32.048551500000002</v>
      </c>
      <c r="M97" s="240" t="s">
        <v>472</v>
      </c>
      <c r="X97" s="233">
        <f>IF(AO97="5",BH97,0)</f>
        <v>0</v>
      </c>
      <c r="Z97" s="233">
        <f>IF(AO97="1",BF97,0)</f>
        <v>0</v>
      </c>
      <c r="AA97" s="233">
        <f>IF(AO97="1",BG97,0)</f>
        <v>0</v>
      </c>
      <c r="AB97" s="233">
        <f>IF(AO97="7",BF97,0)</f>
        <v>0</v>
      </c>
      <c r="AC97" s="233">
        <f>IF(AO97="7",BG97,0)</f>
        <v>0</v>
      </c>
      <c r="AD97" s="233">
        <f>IF(AO97="2",BF97,0)</f>
        <v>0</v>
      </c>
      <c r="AE97" s="233">
        <f>IF(AO97="2",BG97,0)</f>
        <v>0</v>
      </c>
      <c r="AF97" s="233">
        <f>IF(AO97="0",BH97,0)</f>
        <v>0</v>
      </c>
      <c r="AG97" s="229" t="s">
        <v>154</v>
      </c>
      <c r="AH97" s="233">
        <f>IF(AL97=0,J97,0)</f>
        <v>0</v>
      </c>
      <c r="AI97" s="233">
        <f>IF(AL97=15,J97,0)</f>
        <v>0</v>
      </c>
      <c r="AJ97" s="233">
        <f>IF(AL97=21,J97,0)</f>
        <v>0</v>
      </c>
      <c r="AL97" s="233">
        <v>15</v>
      </c>
      <c r="AM97" s="233">
        <f>G97*0.492383016</f>
        <v>0</v>
      </c>
      <c r="AN97" s="233">
        <f>G97*(1-0.492383016)</f>
        <v>0</v>
      </c>
      <c r="AO97" s="234" t="s">
        <v>157</v>
      </c>
      <c r="AT97" s="233">
        <f>AU97+AV97</f>
        <v>0</v>
      </c>
      <c r="AU97" s="233">
        <f>F97*AM97</f>
        <v>0</v>
      </c>
      <c r="AV97" s="233">
        <f>F97*AN97</f>
        <v>0</v>
      </c>
      <c r="AW97" s="234" t="s">
        <v>303</v>
      </c>
      <c r="AX97" s="234" t="s">
        <v>304</v>
      </c>
      <c r="AY97" s="229" t="s">
        <v>164</v>
      </c>
      <c r="BA97" s="233">
        <f>AU97+AV97</f>
        <v>0</v>
      </c>
      <c r="BB97" s="233">
        <f>G97/(100-BC97)*100</f>
        <v>0</v>
      </c>
      <c r="BC97" s="233">
        <v>0</v>
      </c>
      <c r="BD97" s="233">
        <f>L97</f>
        <v>32.048551500000002</v>
      </c>
      <c r="BF97" s="233">
        <f>F97*AM97</f>
        <v>0</v>
      </c>
      <c r="BG97" s="233">
        <f>F97*AN97</f>
        <v>0</v>
      </c>
      <c r="BH97" s="233">
        <f>F97*G97</f>
        <v>0</v>
      </c>
      <c r="BI97" s="233"/>
      <c r="BJ97" s="233">
        <v>45</v>
      </c>
      <c r="BU97" s="233" t="e">
        <f>#REF!</f>
        <v>#REF!</v>
      </c>
      <c r="BV97" s="225" t="s">
        <v>302</v>
      </c>
    </row>
    <row r="98" spans="1:74" ht="67.5" customHeight="1" x14ac:dyDescent="0.3">
      <c r="A98" s="241"/>
      <c r="B98" s="242" t="s">
        <v>165</v>
      </c>
      <c r="C98" s="530" t="s">
        <v>1857</v>
      </c>
      <c r="D98" s="531"/>
      <c r="E98" s="531"/>
      <c r="F98" s="531"/>
      <c r="G98" s="531"/>
      <c r="H98" s="531"/>
      <c r="I98" s="531"/>
      <c r="J98" s="531"/>
      <c r="K98" s="531"/>
      <c r="L98" s="531"/>
      <c r="M98" s="532"/>
    </row>
    <row r="99" spans="1:74" ht="14.4" x14ac:dyDescent="0.3">
      <c r="A99" s="239" t="s">
        <v>154</v>
      </c>
      <c r="B99" s="224" t="s">
        <v>305</v>
      </c>
      <c r="C99" s="526" t="s">
        <v>306</v>
      </c>
      <c r="D99" s="527"/>
      <c r="E99" s="223" t="s">
        <v>114</v>
      </c>
      <c r="F99" s="223" t="s">
        <v>114</v>
      </c>
      <c r="G99" s="223" t="s">
        <v>114</v>
      </c>
      <c r="H99" s="235">
        <f>SUM(H100:H120)</f>
        <v>0</v>
      </c>
      <c r="I99" s="235">
        <f>SUM(I100:I120)</f>
        <v>0</v>
      </c>
      <c r="J99" s="235">
        <f>SUM(J100:J120)</f>
        <v>0</v>
      </c>
      <c r="K99" s="230" t="s">
        <v>154</v>
      </c>
      <c r="L99" s="235">
        <f>SUM(L100:L120)</f>
        <v>165.81759470000003</v>
      </c>
      <c r="M99" s="243" t="s">
        <v>154</v>
      </c>
      <c r="AG99" s="229" t="s">
        <v>154</v>
      </c>
      <c r="AQ99" s="222">
        <f>SUM(AH100:AH120)</f>
        <v>0</v>
      </c>
      <c r="AR99" s="222">
        <f>SUM(AI100:AI120)</f>
        <v>0</v>
      </c>
      <c r="AS99" s="222">
        <f>SUM(AJ100:AJ120)</f>
        <v>0</v>
      </c>
    </row>
    <row r="100" spans="1:74" ht="14.4" x14ac:dyDescent="0.3">
      <c r="A100" s="239" t="s">
        <v>307</v>
      </c>
      <c r="B100" s="223" t="s">
        <v>308</v>
      </c>
      <c r="C100" s="521" t="s">
        <v>309</v>
      </c>
      <c r="D100" s="519"/>
      <c r="E100" s="223" t="s">
        <v>180</v>
      </c>
      <c r="F100" s="233">
        <v>53.23</v>
      </c>
      <c r="G100" s="311">
        <v>0</v>
      </c>
      <c r="H100" s="233">
        <f>F100*AM100</f>
        <v>0</v>
      </c>
      <c r="I100" s="233">
        <f>F100*AN100</f>
        <v>0</v>
      </c>
      <c r="J100" s="233">
        <f>F100*G100</f>
        <v>0</v>
      </c>
      <c r="K100" s="233">
        <v>0.4284</v>
      </c>
      <c r="L100" s="233">
        <f>F100*K100</f>
        <v>22.803732</v>
      </c>
      <c r="M100" s="240" t="s">
        <v>472</v>
      </c>
      <c r="X100" s="233">
        <f>IF(AO100="5",BH100,0)</f>
        <v>0</v>
      </c>
      <c r="Z100" s="233">
        <f>IF(AO100="1",BF100,0)</f>
        <v>0</v>
      </c>
      <c r="AA100" s="233">
        <f>IF(AO100="1",BG100,0)</f>
        <v>0</v>
      </c>
      <c r="AB100" s="233">
        <f>IF(AO100="7",BF100,0)</f>
        <v>0</v>
      </c>
      <c r="AC100" s="233">
        <f>IF(AO100="7",BG100,0)</f>
        <v>0</v>
      </c>
      <c r="AD100" s="233">
        <f>IF(AO100="2",BF100,0)</f>
        <v>0</v>
      </c>
      <c r="AE100" s="233">
        <f>IF(AO100="2",BG100,0)</f>
        <v>0</v>
      </c>
      <c r="AF100" s="233">
        <f>IF(AO100="0",BH100,0)</f>
        <v>0</v>
      </c>
      <c r="AG100" s="229" t="s">
        <v>154</v>
      </c>
      <c r="AH100" s="233">
        <f>IF(AL100=0,J100,0)</f>
        <v>0</v>
      </c>
      <c r="AI100" s="233">
        <f>IF(AL100=15,J100,0)</f>
        <v>0</v>
      </c>
      <c r="AJ100" s="233">
        <f>IF(AL100=21,J100,0)</f>
        <v>0</v>
      </c>
      <c r="AL100" s="233">
        <v>15</v>
      </c>
      <c r="AM100" s="233">
        <f>G100*0.847973387</f>
        <v>0</v>
      </c>
      <c r="AN100" s="233">
        <f>G100*(1-0.847973387)</f>
        <v>0</v>
      </c>
      <c r="AO100" s="234" t="s">
        <v>157</v>
      </c>
      <c r="AT100" s="233">
        <f>AU100+AV100</f>
        <v>0</v>
      </c>
      <c r="AU100" s="233">
        <f>F100*AM100</f>
        <v>0</v>
      </c>
      <c r="AV100" s="233">
        <f>F100*AN100</f>
        <v>0</v>
      </c>
      <c r="AW100" s="234" t="s">
        <v>310</v>
      </c>
      <c r="AX100" s="234" t="s">
        <v>311</v>
      </c>
      <c r="AY100" s="229" t="s">
        <v>164</v>
      </c>
      <c r="BA100" s="233">
        <f>AU100+AV100</f>
        <v>0</v>
      </c>
      <c r="BB100" s="233">
        <f>G100/(100-BC100)*100</f>
        <v>0</v>
      </c>
      <c r="BC100" s="233">
        <v>0</v>
      </c>
      <c r="BD100" s="233">
        <f>L100</f>
        <v>22.803732</v>
      </c>
      <c r="BF100" s="233">
        <f>F100*AM100</f>
        <v>0</v>
      </c>
      <c r="BG100" s="233">
        <f>F100*AN100</f>
        <v>0</v>
      </c>
      <c r="BH100" s="233">
        <f>F100*G100</f>
        <v>0</v>
      </c>
      <c r="BI100" s="233"/>
      <c r="BJ100" s="233">
        <v>56</v>
      </c>
      <c r="BU100" s="233" t="e">
        <f>#REF!</f>
        <v>#REF!</v>
      </c>
      <c r="BV100" s="225" t="s">
        <v>309</v>
      </c>
    </row>
    <row r="101" spans="1:74" ht="40.5" customHeight="1" x14ac:dyDescent="0.3">
      <c r="A101" s="241"/>
      <c r="B101" s="242" t="s">
        <v>165</v>
      </c>
      <c r="C101" s="530" t="s">
        <v>1858</v>
      </c>
      <c r="D101" s="531"/>
      <c r="E101" s="531"/>
      <c r="F101" s="531"/>
      <c r="G101" s="531"/>
      <c r="H101" s="531"/>
      <c r="I101" s="531"/>
      <c r="J101" s="531"/>
      <c r="K101" s="531"/>
      <c r="L101" s="531"/>
      <c r="M101" s="532"/>
    </row>
    <row r="102" spans="1:74" ht="14.4" x14ac:dyDescent="0.3">
      <c r="A102" s="239" t="s">
        <v>312</v>
      </c>
      <c r="B102" s="223" t="s">
        <v>313</v>
      </c>
      <c r="C102" s="521" t="s">
        <v>314</v>
      </c>
      <c r="D102" s="519"/>
      <c r="E102" s="223" t="s">
        <v>180</v>
      </c>
      <c r="F102" s="233">
        <v>56.53</v>
      </c>
      <c r="G102" s="311">
        <v>0</v>
      </c>
      <c r="H102" s="233">
        <f>F102*AM102</f>
        <v>0</v>
      </c>
      <c r="I102" s="233">
        <f>F102*AN102</f>
        <v>0</v>
      </c>
      <c r="J102" s="233">
        <f>F102*G102</f>
        <v>0</v>
      </c>
      <c r="K102" s="233">
        <v>0.60104000000000002</v>
      </c>
      <c r="L102" s="233">
        <f>F102*K102</f>
        <v>33.976791200000001</v>
      </c>
      <c r="M102" s="240" t="s">
        <v>472</v>
      </c>
      <c r="X102" s="233">
        <f>IF(AO102="5",BH102,0)</f>
        <v>0</v>
      </c>
      <c r="Z102" s="233">
        <f>IF(AO102="1",BF102,0)</f>
        <v>0</v>
      </c>
      <c r="AA102" s="233">
        <f>IF(AO102="1",BG102,0)</f>
        <v>0</v>
      </c>
      <c r="AB102" s="233">
        <f>IF(AO102="7",BF102,0)</f>
        <v>0</v>
      </c>
      <c r="AC102" s="233">
        <f>IF(AO102="7",BG102,0)</f>
        <v>0</v>
      </c>
      <c r="AD102" s="233">
        <f>IF(AO102="2",BF102,0)</f>
        <v>0</v>
      </c>
      <c r="AE102" s="233">
        <f>IF(AO102="2",BG102,0)</f>
        <v>0</v>
      </c>
      <c r="AF102" s="233">
        <f>IF(AO102="0",BH102,0)</f>
        <v>0</v>
      </c>
      <c r="AG102" s="229" t="s">
        <v>154</v>
      </c>
      <c r="AH102" s="233">
        <f>IF(AL102=0,J102,0)</f>
        <v>0</v>
      </c>
      <c r="AI102" s="233">
        <f>IF(AL102=15,J102,0)</f>
        <v>0</v>
      </c>
      <c r="AJ102" s="233">
        <f>IF(AL102=21,J102,0)</f>
        <v>0</v>
      </c>
      <c r="AL102" s="233">
        <v>15</v>
      </c>
      <c r="AM102" s="233">
        <f>G102*0.832419892</f>
        <v>0</v>
      </c>
      <c r="AN102" s="233">
        <f>G102*(1-0.832419892)</f>
        <v>0</v>
      </c>
      <c r="AO102" s="234" t="s">
        <v>157</v>
      </c>
      <c r="AT102" s="233">
        <f>AU102+AV102</f>
        <v>0</v>
      </c>
      <c r="AU102" s="233">
        <f>F102*AM102</f>
        <v>0</v>
      </c>
      <c r="AV102" s="233">
        <f>F102*AN102</f>
        <v>0</v>
      </c>
      <c r="AW102" s="234" t="s">
        <v>310</v>
      </c>
      <c r="AX102" s="234" t="s">
        <v>311</v>
      </c>
      <c r="AY102" s="229" t="s">
        <v>164</v>
      </c>
      <c r="BA102" s="233">
        <f>AU102+AV102</f>
        <v>0</v>
      </c>
      <c r="BB102" s="233">
        <f>G102/(100-BC102)*100</f>
        <v>0</v>
      </c>
      <c r="BC102" s="233">
        <v>0</v>
      </c>
      <c r="BD102" s="233">
        <f>L102</f>
        <v>33.976791200000001</v>
      </c>
      <c r="BF102" s="233">
        <f>F102*AM102</f>
        <v>0</v>
      </c>
      <c r="BG102" s="233">
        <f>F102*AN102</f>
        <v>0</v>
      </c>
      <c r="BH102" s="233">
        <f>F102*G102</f>
        <v>0</v>
      </c>
      <c r="BI102" s="233"/>
      <c r="BJ102" s="233">
        <v>56</v>
      </c>
      <c r="BU102" s="233" t="e">
        <f>#REF!</f>
        <v>#REF!</v>
      </c>
      <c r="BV102" s="225" t="s">
        <v>314</v>
      </c>
    </row>
    <row r="103" spans="1:74" ht="40.5" customHeight="1" x14ac:dyDescent="0.3">
      <c r="A103" s="241"/>
      <c r="B103" s="242" t="s">
        <v>165</v>
      </c>
      <c r="C103" s="530" t="s">
        <v>1859</v>
      </c>
      <c r="D103" s="531"/>
      <c r="E103" s="531"/>
      <c r="F103" s="531"/>
      <c r="G103" s="531"/>
      <c r="H103" s="531"/>
      <c r="I103" s="531"/>
      <c r="J103" s="531"/>
      <c r="K103" s="531"/>
      <c r="L103" s="531"/>
      <c r="M103" s="532"/>
    </row>
    <row r="104" spans="1:74" ht="14.4" x14ac:dyDescent="0.3">
      <c r="A104" s="239" t="s">
        <v>315</v>
      </c>
      <c r="B104" s="223" t="s">
        <v>316</v>
      </c>
      <c r="C104" s="521" t="s">
        <v>317</v>
      </c>
      <c r="D104" s="519"/>
      <c r="E104" s="223" t="s">
        <v>180</v>
      </c>
      <c r="F104" s="233">
        <v>58.6</v>
      </c>
      <c r="G104" s="311">
        <v>0</v>
      </c>
      <c r="H104" s="233">
        <f>F104*AM104</f>
        <v>0</v>
      </c>
      <c r="I104" s="233">
        <f>F104*AN104</f>
        <v>0</v>
      </c>
      <c r="J104" s="233">
        <f>F104*G104</f>
        <v>0</v>
      </c>
      <c r="K104" s="233">
        <v>0.48574000000000001</v>
      </c>
      <c r="L104" s="233">
        <f>F104*K104</f>
        <v>28.464364</v>
      </c>
      <c r="M104" s="240" t="s">
        <v>472</v>
      </c>
      <c r="X104" s="233">
        <f>IF(AO104="5",BH104,0)</f>
        <v>0</v>
      </c>
      <c r="Z104" s="233">
        <f>IF(AO104="1",BF104,0)</f>
        <v>0</v>
      </c>
      <c r="AA104" s="233">
        <f>IF(AO104="1",BG104,0)</f>
        <v>0</v>
      </c>
      <c r="AB104" s="233">
        <f>IF(AO104="7",BF104,0)</f>
        <v>0</v>
      </c>
      <c r="AC104" s="233">
        <f>IF(AO104="7",BG104,0)</f>
        <v>0</v>
      </c>
      <c r="AD104" s="233">
        <f>IF(AO104="2",BF104,0)</f>
        <v>0</v>
      </c>
      <c r="AE104" s="233">
        <f>IF(AO104="2",BG104,0)</f>
        <v>0</v>
      </c>
      <c r="AF104" s="233">
        <f>IF(AO104="0",BH104,0)</f>
        <v>0</v>
      </c>
      <c r="AG104" s="229" t="s">
        <v>154</v>
      </c>
      <c r="AH104" s="233">
        <f>IF(AL104=0,J104,0)</f>
        <v>0</v>
      </c>
      <c r="AI104" s="233">
        <f>IF(AL104=15,J104,0)</f>
        <v>0</v>
      </c>
      <c r="AJ104" s="233">
        <f>IF(AL104=21,J104,0)</f>
        <v>0</v>
      </c>
      <c r="AL104" s="233">
        <v>15</v>
      </c>
      <c r="AM104" s="233">
        <f>G104*0.812876188</f>
        <v>0</v>
      </c>
      <c r="AN104" s="233">
        <f>G104*(1-0.812876188)</f>
        <v>0</v>
      </c>
      <c r="AO104" s="234" t="s">
        <v>157</v>
      </c>
      <c r="AT104" s="233">
        <f>AU104+AV104</f>
        <v>0</v>
      </c>
      <c r="AU104" s="233">
        <f>F104*AM104</f>
        <v>0</v>
      </c>
      <c r="AV104" s="233">
        <f>F104*AN104</f>
        <v>0</v>
      </c>
      <c r="AW104" s="234" t="s">
        <v>310</v>
      </c>
      <c r="AX104" s="234" t="s">
        <v>311</v>
      </c>
      <c r="AY104" s="229" t="s">
        <v>164</v>
      </c>
      <c r="BA104" s="233">
        <f>AU104+AV104</f>
        <v>0</v>
      </c>
      <c r="BB104" s="233">
        <f>G104/(100-BC104)*100</f>
        <v>0</v>
      </c>
      <c r="BC104" s="233">
        <v>0</v>
      </c>
      <c r="BD104" s="233">
        <f>L104</f>
        <v>28.464364</v>
      </c>
      <c r="BF104" s="233">
        <f>F104*AM104</f>
        <v>0</v>
      </c>
      <c r="BG104" s="233">
        <f>F104*AN104</f>
        <v>0</v>
      </c>
      <c r="BH104" s="233">
        <f>F104*G104</f>
        <v>0</v>
      </c>
      <c r="BI104" s="233"/>
      <c r="BJ104" s="233">
        <v>56</v>
      </c>
      <c r="BU104" s="233" t="e">
        <f>#REF!</f>
        <v>#REF!</v>
      </c>
      <c r="BV104" s="225" t="s">
        <v>317</v>
      </c>
    </row>
    <row r="105" spans="1:74" ht="40.5" customHeight="1" x14ac:dyDescent="0.3">
      <c r="A105" s="241"/>
      <c r="B105" s="242" t="s">
        <v>165</v>
      </c>
      <c r="C105" s="530" t="s">
        <v>1860</v>
      </c>
      <c r="D105" s="531"/>
      <c r="E105" s="531"/>
      <c r="F105" s="531"/>
      <c r="G105" s="531"/>
      <c r="H105" s="531"/>
      <c r="I105" s="531"/>
      <c r="J105" s="531"/>
      <c r="K105" s="531"/>
      <c r="L105" s="531"/>
      <c r="M105" s="532"/>
    </row>
    <row r="106" spans="1:74" ht="14.4" x14ac:dyDescent="0.3">
      <c r="A106" s="239" t="s">
        <v>318</v>
      </c>
      <c r="B106" s="223" t="s">
        <v>316</v>
      </c>
      <c r="C106" s="521" t="s">
        <v>317</v>
      </c>
      <c r="D106" s="519"/>
      <c r="E106" s="223" t="s">
        <v>180</v>
      </c>
      <c r="F106" s="233">
        <v>61.07</v>
      </c>
      <c r="G106" s="311">
        <v>0</v>
      </c>
      <c r="H106" s="233">
        <f>F106*AM106</f>
        <v>0</v>
      </c>
      <c r="I106" s="233">
        <f>F106*AN106</f>
        <v>0</v>
      </c>
      <c r="J106" s="233">
        <f>F106*G106</f>
        <v>0</v>
      </c>
      <c r="K106" s="233">
        <v>0.48574000000000001</v>
      </c>
      <c r="L106" s="233">
        <f>F106*K106</f>
        <v>29.664141799999999</v>
      </c>
      <c r="M106" s="240" t="s">
        <v>472</v>
      </c>
      <c r="X106" s="233">
        <f>IF(AO106="5",BH106,0)</f>
        <v>0</v>
      </c>
      <c r="Z106" s="233">
        <f>IF(AO106="1",BF106,0)</f>
        <v>0</v>
      </c>
      <c r="AA106" s="233">
        <f>IF(AO106="1",BG106,0)</f>
        <v>0</v>
      </c>
      <c r="AB106" s="233">
        <f>IF(AO106="7",BF106,0)</f>
        <v>0</v>
      </c>
      <c r="AC106" s="233">
        <f>IF(AO106="7",BG106,0)</f>
        <v>0</v>
      </c>
      <c r="AD106" s="233">
        <f>IF(AO106="2",BF106,0)</f>
        <v>0</v>
      </c>
      <c r="AE106" s="233">
        <f>IF(AO106="2",BG106,0)</f>
        <v>0</v>
      </c>
      <c r="AF106" s="233">
        <f>IF(AO106="0",BH106,0)</f>
        <v>0</v>
      </c>
      <c r="AG106" s="229" t="s">
        <v>154</v>
      </c>
      <c r="AH106" s="233">
        <f>IF(AL106=0,J106,0)</f>
        <v>0</v>
      </c>
      <c r="AI106" s="233">
        <f>IF(AL106=15,J106,0)</f>
        <v>0</v>
      </c>
      <c r="AJ106" s="233">
        <f>IF(AL106=21,J106,0)</f>
        <v>0</v>
      </c>
      <c r="AL106" s="233">
        <v>15</v>
      </c>
      <c r="AM106" s="233">
        <f>G106*0.812875766</f>
        <v>0</v>
      </c>
      <c r="AN106" s="233">
        <f>G106*(1-0.812875766)</f>
        <v>0</v>
      </c>
      <c r="AO106" s="234" t="s">
        <v>157</v>
      </c>
      <c r="AT106" s="233">
        <f>AU106+AV106</f>
        <v>0</v>
      </c>
      <c r="AU106" s="233">
        <f>F106*AM106</f>
        <v>0</v>
      </c>
      <c r="AV106" s="233">
        <f>F106*AN106</f>
        <v>0</v>
      </c>
      <c r="AW106" s="234" t="s">
        <v>310</v>
      </c>
      <c r="AX106" s="234" t="s">
        <v>311</v>
      </c>
      <c r="AY106" s="229" t="s">
        <v>164</v>
      </c>
      <c r="BA106" s="233">
        <f>AU106+AV106</f>
        <v>0</v>
      </c>
      <c r="BB106" s="233">
        <f>G106/(100-BC106)*100</f>
        <v>0</v>
      </c>
      <c r="BC106" s="233">
        <v>0</v>
      </c>
      <c r="BD106" s="233">
        <f>L106</f>
        <v>29.664141799999999</v>
      </c>
      <c r="BF106" s="233">
        <f>F106*AM106</f>
        <v>0</v>
      </c>
      <c r="BG106" s="233">
        <f>F106*AN106</f>
        <v>0</v>
      </c>
      <c r="BH106" s="233">
        <f>F106*G106</f>
        <v>0</v>
      </c>
      <c r="BI106" s="233"/>
      <c r="BJ106" s="233">
        <v>56</v>
      </c>
      <c r="BU106" s="233" t="e">
        <f>#REF!</f>
        <v>#REF!</v>
      </c>
      <c r="BV106" s="225" t="s">
        <v>317</v>
      </c>
    </row>
    <row r="107" spans="1:74" ht="40.5" customHeight="1" x14ac:dyDescent="0.3">
      <c r="A107" s="241"/>
      <c r="B107" s="242" t="s">
        <v>165</v>
      </c>
      <c r="C107" s="530" t="s">
        <v>1861</v>
      </c>
      <c r="D107" s="531"/>
      <c r="E107" s="531"/>
      <c r="F107" s="531"/>
      <c r="G107" s="531"/>
      <c r="H107" s="531"/>
      <c r="I107" s="531"/>
      <c r="J107" s="531"/>
      <c r="K107" s="531"/>
      <c r="L107" s="531"/>
      <c r="M107" s="532"/>
    </row>
    <row r="108" spans="1:74" ht="14.4" x14ac:dyDescent="0.3">
      <c r="A108" s="239" t="s">
        <v>319</v>
      </c>
      <c r="B108" s="223" t="s">
        <v>320</v>
      </c>
      <c r="C108" s="521" t="s">
        <v>321</v>
      </c>
      <c r="D108" s="519"/>
      <c r="E108" s="223" t="s">
        <v>180</v>
      </c>
      <c r="F108" s="233">
        <v>60.13</v>
      </c>
      <c r="G108" s="311">
        <v>0</v>
      </c>
      <c r="H108" s="233">
        <f>F108*AM108</f>
        <v>0</v>
      </c>
      <c r="I108" s="233">
        <f>F108*AN108</f>
        <v>0</v>
      </c>
      <c r="J108" s="233">
        <f>F108*G108</f>
        <v>0</v>
      </c>
      <c r="K108" s="233">
        <v>0.4536</v>
      </c>
      <c r="L108" s="233">
        <f>F108*K108</f>
        <v>27.274968000000001</v>
      </c>
      <c r="M108" s="240" t="s">
        <v>472</v>
      </c>
      <c r="X108" s="233">
        <f>IF(AO108="5",BH108,0)</f>
        <v>0</v>
      </c>
      <c r="Z108" s="233">
        <f>IF(AO108="1",BF108,0)</f>
        <v>0</v>
      </c>
      <c r="AA108" s="233">
        <f>IF(AO108="1",BG108,0)</f>
        <v>0</v>
      </c>
      <c r="AB108" s="233">
        <f>IF(AO108="7",BF108,0)</f>
        <v>0</v>
      </c>
      <c r="AC108" s="233">
        <f>IF(AO108="7",BG108,0)</f>
        <v>0</v>
      </c>
      <c r="AD108" s="233">
        <f>IF(AO108="2",BF108,0)</f>
        <v>0</v>
      </c>
      <c r="AE108" s="233">
        <f>IF(AO108="2",BG108,0)</f>
        <v>0</v>
      </c>
      <c r="AF108" s="233">
        <f>IF(AO108="0",BH108,0)</f>
        <v>0</v>
      </c>
      <c r="AG108" s="229" t="s">
        <v>154</v>
      </c>
      <c r="AH108" s="233">
        <f>IF(AL108=0,J108,0)</f>
        <v>0</v>
      </c>
      <c r="AI108" s="233">
        <f>IF(AL108=15,J108,0)</f>
        <v>0</v>
      </c>
      <c r="AJ108" s="233">
        <f>IF(AL108=21,J108,0)</f>
        <v>0</v>
      </c>
      <c r="AL108" s="233">
        <v>15</v>
      </c>
      <c r="AM108" s="233">
        <f>G108*0.842954974</f>
        <v>0</v>
      </c>
      <c r="AN108" s="233">
        <f>G108*(1-0.842954974)</f>
        <v>0</v>
      </c>
      <c r="AO108" s="234" t="s">
        <v>157</v>
      </c>
      <c r="AT108" s="233">
        <f>AU108+AV108</f>
        <v>0</v>
      </c>
      <c r="AU108" s="233">
        <f>F108*AM108</f>
        <v>0</v>
      </c>
      <c r="AV108" s="233">
        <f>F108*AN108</f>
        <v>0</v>
      </c>
      <c r="AW108" s="234" t="s">
        <v>310</v>
      </c>
      <c r="AX108" s="234" t="s">
        <v>311</v>
      </c>
      <c r="AY108" s="229" t="s">
        <v>164</v>
      </c>
      <c r="BA108" s="233">
        <f>AU108+AV108</f>
        <v>0</v>
      </c>
      <c r="BB108" s="233">
        <f>G108/(100-BC108)*100</f>
        <v>0</v>
      </c>
      <c r="BC108" s="233">
        <v>0</v>
      </c>
      <c r="BD108" s="233">
        <f>L108</f>
        <v>27.274968000000001</v>
      </c>
      <c r="BF108" s="233">
        <f>F108*AM108</f>
        <v>0</v>
      </c>
      <c r="BG108" s="233">
        <f>F108*AN108</f>
        <v>0</v>
      </c>
      <c r="BH108" s="233">
        <f>F108*G108</f>
        <v>0</v>
      </c>
      <c r="BI108" s="233"/>
      <c r="BJ108" s="233">
        <v>56</v>
      </c>
      <c r="BU108" s="233" t="e">
        <f>#REF!</f>
        <v>#REF!</v>
      </c>
      <c r="BV108" s="225" t="s">
        <v>321</v>
      </c>
    </row>
    <row r="109" spans="1:74" ht="40.5" customHeight="1" x14ac:dyDescent="0.3">
      <c r="A109" s="241"/>
      <c r="B109" s="242" t="s">
        <v>165</v>
      </c>
      <c r="C109" s="530" t="s">
        <v>1862</v>
      </c>
      <c r="D109" s="531"/>
      <c r="E109" s="531"/>
      <c r="F109" s="531"/>
      <c r="G109" s="531"/>
      <c r="H109" s="531"/>
      <c r="I109" s="531"/>
      <c r="J109" s="531"/>
      <c r="K109" s="531"/>
      <c r="L109" s="531"/>
      <c r="M109" s="532"/>
    </row>
    <row r="110" spans="1:74" ht="14.4" x14ac:dyDescent="0.3">
      <c r="A110" s="239" t="s">
        <v>322</v>
      </c>
      <c r="B110" s="223" t="s">
        <v>323</v>
      </c>
      <c r="C110" s="521" t="s">
        <v>324</v>
      </c>
      <c r="D110" s="519"/>
      <c r="E110" s="223" t="s">
        <v>180</v>
      </c>
      <c r="F110" s="233">
        <v>59.54</v>
      </c>
      <c r="G110" s="311">
        <v>0</v>
      </c>
      <c r="H110" s="233">
        <f>F110*AM110</f>
        <v>0</v>
      </c>
      <c r="I110" s="233">
        <f>F110*AN110</f>
        <v>0</v>
      </c>
      <c r="J110" s="233">
        <f>F110*G110</f>
        <v>0</v>
      </c>
      <c r="K110" s="233">
        <v>0.21099999999999999</v>
      </c>
      <c r="L110" s="233">
        <f>F110*K110</f>
        <v>12.562939999999999</v>
      </c>
      <c r="M110" s="240" t="s">
        <v>472</v>
      </c>
      <c r="X110" s="233">
        <f>IF(AO110="5",BH110,0)</f>
        <v>0</v>
      </c>
      <c r="Z110" s="233">
        <f>IF(AO110="1",BF110,0)</f>
        <v>0</v>
      </c>
      <c r="AA110" s="233">
        <f>IF(AO110="1",BG110,0)</f>
        <v>0</v>
      </c>
      <c r="AB110" s="233">
        <f>IF(AO110="7",BF110,0)</f>
        <v>0</v>
      </c>
      <c r="AC110" s="233">
        <f>IF(AO110="7",BG110,0)</f>
        <v>0</v>
      </c>
      <c r="AD110" s="233">
        <f>IF(AO110="2",BF110,0)</f>
        <v>0</v>
      </c>
      <c r="AE110" s="233">
        <f>IF(AO110="2",BG110,0)</f>
        <v>0</v>
      </c>
      <c r="AF110" s="233">
        <f>IF(AO110="0",BH110,0)</f>
        <v>0</v>
      </c>
      <c r="AG110" s="229" t="s">
        <v>154</v>
      </c>
      <c r="AH110" s="233">
        <f>IF(AL110=0,J110,0)</f>
        <v>0</v>
      </c>
      <c r="AI110" s="233">
        <f>IF(AL110=15,J110,0)</f>
        <v>0</v>
      </c>
      <c r="AJ110" s="233">
        <f>IF(AL110=21,J110,0)</f>
        <v>0</v>
      </c>
      <c r="AL110" s="233">
        <v>15</v>
      </c>
      <c r="AM110" s="233">
        <f>G110*0.593949941</f>
        <v>0</v>
      </c>
      <c r="AN110" s="233">
        <f>G110*(1-0.593949941)</f>
        <v>0</v>
      </c>
      <c r="AO110" s="234" t="s">
        <v>157</v>
      </c>
      <c r="AT110" s="233">
        <f>AU110+AV110</f>
        <v>0</v>
      </c>
      <c r="AU110" s="233">
        <f>F110*AM110</f>
        <v>0</v>
      </c>
      <c r="AV110" s="233">
        <f>F110*AN110</f>
        <v>0</v>
      </c>
      <c r="AW110" s="234" t="s">
        <v>310</v>
      </c>
      <c r="AX110" s="234" t="s">
        <v>311</v>
      </c>
      <c r="AY110" s="229" t="s">
        <v>164</v>
      </c>
      <c r="BA110" s="233">
        <f>AU110+AV110</f>
        <v>0</v>
      </c>
      <c r="BB110" s="233">
        <f>G110/(100-BC110)*100</f>
        <v>0</v>
      </c>
      <c r="BC110" s="233">
        <v>0</v>
      </c>
      <c r="BD110" s="233">
        <f>L110</f>
        <v>12.562939999999999</v>
      </c>
      <c r="BF110" s="233">
        <f>F110*AM110</f>
        <v>0</v>
      </c>
      <c r="BG110" s="233">
        <f>F110*AN110</f>
        <v>0</v>
      </c>
      <c r="BH110" s="233">
        <f>F110*G110</f>
        <v>0</v>
      </c>
      <c r="BI110" s="233"/>
      <c r="BJ110" s="233">
        <v>56</v>
      </c>
      <c r="BU110" s="233" t="e">
        <f>#REF!</f>
        <v>#REF!</v>
      </c>
      <c r="BV110" s="225" t="s">
        <v>324</v>
      </c>
    </row>
    <row r="111" spans="1:74" ht="40.5" customHeight="1" x14ac:dyDescent="0.3">
      <c r="A111" s="241"/>
      <c r="B111" s="242" t="s">
        <v>165</v>
      </c>
      <c r="C111" s="530" t="s">
        <v>1863</v>
      </c>
      <c r="D111" s="531"/>
      <c r="E111" s="531"/>
      <c r="F111" s="531"/>
      <c r="G111" s="531"/>
      <c r="H111" s="531"/>
      <c r="I111" s="531"/>
      <c r="J111" s="531"/>
      <c r="K111" s="531"/>
      <c r="L111" s="531"/>
      <c r="M111" s="532"/>
    </row>
    <row r="112" spans="1:74" ht="14.4" x14ac:dyDescent="0.3">
      <c r="A112" s="239" t="s">
        <v>298</v>
      </c>
      <c r="B112" s="223" t="s">
        <v>1436</v>
      </c>
      <c r="C112" s="521" t="s">
        <v>1437</v>
      </c>
      <c r="D112" s="519"/>
      <c r="E112" s="223" t="s">
        <v>180</v>
      </c>
      <c r="F112" s="233">
        <v>58.6</v>
      </c>
      <c r="G112" s="311">
        <v>0</v>
      </c>
      <c r="H112" s="233">
        <f>F112*AM112</f>
        <v>0</v>
      </c>
      <c r="I112" s="233">
        <f>F112*AN112</f>
        <v>0</v>
      </c>
      <c r="J112" s="233">
        <f>F112*G112</f>
        <v>0</v>
      </c>
      <c r="K112" s="233">
        <v>0</v>
      </c>
      <c r="L112" s="233">
        <f>F112*K112</f>
        <v>0</v>
      </c>
      <c r="M112" s="240" t="s">
        <v>472</v>
      </c>
      <c r="X112" s="233">
        <f>IF(AO112="5",BH112,0)</f>
        <v>0</v>
      </c>
      <c r="Z112" s="233">
        <f>IF(AO112="1",BF112,0)</f>
        <v>0</v>
      </c>
      <c r="AA112" s="233">
        <f>IF(AO112="1",BG112,0)</f>
        <v>0</v>
      </c>
      <c r="AB112" s="233">
        <f>IF(AO112="7",BF112,0)</f>
        <v>0</v>
      </c>
      <c r="AC112" s="233">
        <f>IF(AO112="7",BG112,0)</f>
        <v>0</v>
      </c>
      <c r="AD112" s="233">
        <f>IF(AO112="2",BF112,0)</f>
        <v>0</v>
      </c>
      <c r="AE112" s="233">
        <f>IF(AO112="2",BG112,0)</f>
        <v>0</v>
      </c>
      <c r="AF112" s="233">
        <f>IF(AO112="0",BH112,0)</f>
        <v>0</v>
      </c>
      <c r="AG112" s="229" t="s">
        <v>154</v>
      </c>
      <c r="AH112" s="233">
        <f>IF(AL112=0,J112,0)</f>
        <v>0</v>
      </c>
      <c r="AI112" s="233">
        <f>IF(AL112=15,J112,0)</f>
        <v>0</v>
      </c>
      <c r="AJ112" s="233">
        <f>IF(AL112=21,J112,0)</f>
        <v>0</v>
      </c>
      <c r="AL112" s="233">
        <v>15</v>
      </c>
      <c r="AM112" s="233">
        <f>G112*0.89898311</f>
        <v>0</v>
      </c>
      <c r="AN112" s="233">
        <f>G112*(1-0.89898311)</f>
        <v>0</v>
      </c>
      <c r="AO112" s="234" t="s">
        <v>157</v>
      </c>
      <c r="AT112" s="233">
        <f>AU112+AV112</f>
        <v>0</v>
      </c>
      <c r="AU112" s="233">
        <f>F112*AM112</f>
        <v>0</v>
      </c>
      <c r="AV112" s="233">
        <f>F112*AN112</f>
        <v>0</v>
      </c>
      <c r="AW112" s="234" t="s">
        <v>310</v>
      </c>
      <c r="AX112" s="234" t="s">
        <v>311</v>
      </c>
      <c r="AY112" s="229" t="s">
        <v>164</v>
      </c>
      <c r="BA112" s="233">
        <f>AU112+AV112</f>
        <v>0</v>
      </c>
      <c r="BB112" s="233">
        <f>G112/(100-BC112)*100</f>
        <v>0</v>
      </c>
      <c r="BC112" s="233">
        <v>0</v>
      </c>
      <c r="BD112" s="233">
        <f>L112</f>
        <v>0</v>
      </c>
      <c r="BF112" s="233">
        <f>F112*AM112</f>
        <v>0</v>
      </c>
      <c r="BG112" s="233">
        <f>F112*AN112</f>
        <v>0</v>
      </c>
      <c r="BH112" s="233">
        <f>F112*G112</f>
        <v>0</v>
      </c>
      <c r="BI112" s="233"/>
      <c r="BJ112" s="233">
        <v>56</v>
      </c>
      <c r="BU112" s="233" t="e">
        <f>#REF!</f>
        <v>#REF!</v>
      </c>
      <c r="BV112" s="225" t="s">
        <v>1437</v>
      </c>
    </row>
    <row r="113" spans="1:74" ht="40.5" customHeight="1" x14ac:dyDescent="0.3">
      <c r="A113" s="241"/>
      <c r="B113" s="242" t="s">
        <v>165</v>
      </c>
      <c r="C113" s="530" t="s">
        <v>1864</v>
      </c>
      <c r="D113" s="531"/>
      <c r="E113" s="531"/>
      <c r="F113" s="531"/>
      <c r="G113" s="531"/>
      <c r="H113" s="531"/>
      <c r="I113" s="531"/>
      <c r="J113" s="531"/>
      <c r="K113" s="531"/>
      <c r="L113" s="531"/>
      <c r="M113" s="532"/>
    </row>
    <row r="114" spans="1:74" ht="14.4" x14ac:dyDescent="0.3">
      <c r="A114" s="239" t="s">
        <v>327</v>
      </c>
      <c r="B114" s="223" t="s">
        <v>325</v>
      </c>
      <c r="C114" s="521" t="s">
        <v>326</v>
      </c>
      <c r="D114" s="519"/>
      <c r="E114" s="223" t="s">
        <v>180</v>
      </c>
      <c r="F114" s="233">
        <v>6.91</v>
      </c>
      <c r="G114" s="311">
        <v>0</v>
      </c>
      <c r="H114" s="233">
        <f>F114*AM114</f>
        <v>0</v>
      </c>
      <c r="I114" s="233">
        <f>F114*AN114</f>
        <v>0</v>
      </c>
      <c r="J114" s="233">
        <f>F114*G114</f>
        <v>0</v>
      </c>
      <c r="K114" s="233">
        <v>0.55125000000000002</v>
      </c>
      <c r="L114" s="233">
        <f>F114*K114</f>
        <v>3.8091375000000003</v>
      </c>
      <c r="M114" s="240" t="s">
        <v>472</v>
      </c>
      <c r="X114" s="233">
        <f>IF(AO114="5",BH114,0)</f>
        <v>0</v>
      </c>
      <c r="Z114" s="233">
        <f>IF(AO114="1",BF114,0)</f>
        <v>0</v>
      </c>
      <c r="AA114" s="233">
        <f>IF(AO114="1",BG114,0)</f>
        <v>0</v>
      </c>
      <c r="AB114" s="233">
        <f>IF(AO114="7",BF114,0)</f>
        <v>0</v>
      </c>
      <c r="AC114" s="233">
        <f>IF(AO114="7",BG114,0)</f>
        <v>0</v>
      </c>
      <c r="AD114" s="233">
        <f>IF(AO114="2",BF114,0)</f>
        <v>0</v>
      </c>
      <c r="AE114" s="233">
        <f>IF(AO114="2",BG114,0)</f>
        <v>0</v>
      </c>
      <c r="AF114" s="233">
        <f>IF(AO114="0",BH114,0)</f>
        <v>0</v>
      </c>
      <c r="AG114" s="229" t="s">
        <v>154</v>
      </c>
      <c r="AH114" s="233">
        <f>IF(AL114=0,J114,0)</f>
        <v>0</v>
      </c>
      <c r="AI114" s="233">
        <f>IF(AL114=15,J114,0)</f>
        <v>0</v>
      </c>
      <c r="AJ114" s="233">
        <f>IF(AL114=21,J114,0)</f>
        <v>0</v>
      </c>
      <c r="AL114" s="233">
        <v>15</v>
      </c>
      <c r="AM114" s="233">
        <f>G114*0.875296449</f>
        <v>0</v>
      </c>
      <c r="AN114" s="233">
        <f>G114*(1-0.875296449)</f>
        <v>0</v>
      </c>
      <c r="AO114" s="234" t="s">
        <v>157</v>
      </c>
      <c r="AT114" s="233">
        <f>AU114+AV114</f>
        <v>0</v>
      </c>
      <c r="AU114" s="233">
        <f>F114*AM114</f>
        <v>0</v>
      </c>
      <c r="AV114" s="233">
        <f>F114*AN114</f>
        <v>0</v>
      </c>
      <c r="AW114" s="234" t="s">
        <v>310</v>
      </c>
      <c r="AX114" s="234" t="s">
        <v>311</v>
      </c>
      <c r="AY114" s="229" t="s">
        <v>164</v>
      </c>
      <c r="BA114" s="233">
        <f>AU114+AV114</f>
        <v>0</v>
      </c>
      <c r="BB114" s="233">
        <f>G114/(100-BC114)*100</f>
        <v>0</v>
      </c>
      <c r="BC114" s="233">
        <v>0</v>
      </c>
      <c r="BD114" s="233">
        <f>L114</f>
        <v>3.8091375000000003</v>
      </c>
      <c r="BF114" s="233">
        <f>F114*AM114</f>
        <v>0</v>
      </c>
      <c r="BG114" s="233">
        <f>F114*AN114</f>
        <v>0</v>
      </c>
      <c r="BH114" s="233">
        <f>F114*G114</f>
        <v>0</v>
      </c>
      <c r="BI114" s="233"/>
      <c r="BJ114" s="233">
        <v>56</v>
      </c>
      <c r="BU114" s="233" t="e">
        <f>#REF!</f>
        <v>#REF!</v>
      </c>
      <c r="BV114" s="225" t="s">
        <v>326</v>
      </c>
    </row>
    <row r="115" spans="1:74" ht="40.5" customHeight="1" x14ac:dyDescent="0.3">
      <c r="A115" s="241"/>
      <c r="B115" s="242" t="s">
        <v>165</v>
      </c>
      <c r="C115" s="530" t="s">
        <v>1865</v>
      </c>
      <c r="D115" s="531"/>
      <c r="E115" s="531"/>
      <c r="F115" s="531"/>
      <c r="G115" s="531"/>
      <c r="H115" s="531"/>
      <c r="I115" s="531"/>
      <c r="J115" s="531"/>
      <c r="K115" s="531"/>
      <c r="L115" s="531"/>
      <c r="M115" s="532"/>
    </row>
    <row r="116" spans="1:74" ht="14.4" x14ac:dyDescent="0.3">
      <c r="A116" s="239" t="s">
        <v>329</v>
      </c>
      <c r="B116" s="223" t="s">
        <v>316</v>
      </c>
      <c r="C116" s="521" t="s">
        <v>328</v>
      </c>
      <c r="D116" s="519"/>
      <c r="E116" s="223" t="s">
        <v>180</v>
      </c>
      <c r="F116" s="233">
        <v>7.2</v>
      </c>
      <c r="G116" s="311">
        <v>0</v>
      </c>
      <c r="H116" s="233">
        <f>F116*AM116</f>
        <v>0</v>
      </c>
      <c r="I116" s="233">
        <f>F116*AN116</f>
        <v>0</v>
      </c>
      <c r="J116" s="233">
        <f>F116*G116</f>
        <v>0</v>
      </c>
      <c r="K116" s="233">
        <v>0.48574000000000001</v>
      </c>
      <c r="L116" s="233">
        <f>F116*K116</f>
        <v>3.497328</v>
      </c>
      <c r="M116" s="240" t="s">
        <v>472</v>
      </c>
      <c r="X116" s="233">
        <f>IF(AO116="5",BH116,0)</f>
        <v>0</v>
      </c>
      <c r="Z116" s="233">
        <f>IF(AO116="1",BF116,0)</f>
        <v>0</v>
      </c>
      <c r="AA116" s="233">
        <f>IF(AO116="1",BG116,0)</f>
        <v>0</v>
      </c>
      <c r="AB116" s="233">
        <f>IF(AO116="7",BF116,0)</f>
        <v>0</v>
      </c>
      <c r="AC116" s="233">
        <f>IF(AO116="7",BG116,0)</f>
        <v>0</v>
      </c>
      <c r="AD116" s="233">
        <f>IF(AO116="2",BF116,0)</f>
        <v>0</v>
      </c>
      <c r="AE116" s="233">
        <f>IF(AO116="2",BG116,0)</f>
        <v>0</v>
      </c>
      <c r="AF116" s="233">
        <f>IF(AO116="0",BH116,0)</f>
        <v>0</v>
      </c>
      <c r="AG116" s="229" t="s">
        <v>154</v>
      </c>
      <c r="AH116" s="233">
        <f>IF(AL116=0,J116,0)</f>
        <v>0</v>
      </c>
      <c r="AI116" s="233">
        <f>IF(AL116=15,J116,0)</f>
        <v>0</v>
      </c>
      <c r="AJ116" s="233">
        <f>IF(AL116=21,J116,0)</f>
        <v>0</v>
      </c>
      <c r="AL116" s="233">
        <v>15</v>
      </c>
      <c r="AM116" s="233">
        <f>G116*0.812885332</f>
        <v>0</v>
      </c>
      <c r="AN116" s="233">
        <f>G116*(1-0.812885332)</f>
        <v>0</v>
      </c>
      <c r="AO116" s="234" t="s">
        <v>157</v>
      </c>
      <c r="AT116" s="233">
        <f>AU116+AV116</f>
        <v>0</v>
      </c>
      <c r="AU116" s="233">
        <f>F116*AM116</f>
        <v>0</v>
      </c>
      <c r="AV116" s="233">
        <f>F116*AN116</f>
        <v>0</v>
      </c>
      <c r="AW116" s="234" t="s">
        <v>310</v>
      </c>
      <c r="AX116" s="234" t="s">
        <v>311</v>
      </c>
      <c r="AY116" s="229" t="s">
        <v>164</v>
      </c>
      <c r="BA116" s="233">
        <f>AU116+AV116</f>
        <v>0</v>
      </c>
      <c r="BB116" s="233">
        <f>G116/(100-BC116)*100</f>
        <v>0</v>
      </c>
      <c r="BC116" s="233">
        <v>0</v>
      </c>
      <c r="BD116" s="233">
        <f>L116</f>
        <v>3.497328</v>
      </c>
      <c r="BF116" s="233">
        <f>F116*AM116</f>
        <v>0</v>
      </c>
      <c r="BG116" s="233">
        <f>F116*AN116</f>
        <v>0</v>
      </c>
      <c r="BH116" s="233">
        <f>F116*G116</f>
        <v>0</v>
      </c>
      <c r="BI116" s="233"/>
      <c r="BJ116" s="233">
        <v>56</v>
      </c>
      <c r="BU116" s="233" t="e">
        <f>#REF!</f>
        <v>#REF!</v>
      </c>
      <c r="BV116" s="225" t="s">
        <v>328</v>
      </c>
    </row>
    <row r="117" spans="1:74" ht="40.5" customHeight="1" x14ac:dyDescent="0.3">
      <c r="A117" s="241"/>
      <c r="B117" s="242" t="s">
        <v>165</v>
      </c>
      <c r="C117" s="530" t="s">
        <v>1866</v>
      </c>
      <c r="D117" s="531"/>
      <c r="E117" s="531"/>
      <c r="F117" s="531"/>
      <c r="G117" s="531"/>
      <c r="H117" s="531"/>
      <c r="I117" s="531"/>
      <c r="J117" s="531"/>
      <c r="K117" s="531"/>
      <c r="L117" s="531"/>
      <c r="M117" s="532"/>
    </row>
    <row r="118" spans="1:74" ht="14.4" x14ac:dyDescent="0.3">
      <c r="A118" s="239" t="s">
        <v>332</v>
      </c>
      <c r="B118" s="223" t="s">
        <v>330</v>
      </c>
      <c r="C118" s="521" t="s">
        <v>331</v>
      </c>
      <c r="D118" s="519"/>
      <c r="E118" s="223" t="s">
        <v>180</v>
      </c>
      <c r="F118" s="233">
        <v>7.04</v>
      </c>
      <c r="G118" s="311">
        <v>0</v>
      </c>
      <c r="H118" s="233">
        <f>F118*AM118</f>
        <v>0</v>
      </c>
      <c r="I118" s="233">
        <f>F118*AN118</f>
        <v>0</v>
      </c>
      <c r="J118" s="233">
        <f>F118*G118</f>
        <v>0</v>
      </c>
      <c r="K118" s="233">
        <v>0.378</v>
      </c>
      <c r="L118" s="233">
        <f>F118*K118</f>
        <v>2.6611199999999999</v>
      </c>
      <c r="M118" s="240" t="s">
        <v>472</v>
      </c>
      <c r="X118" s="233">
        <f>IF(AO118="5",BH118,0)</f>
        <v>0</v>
      </c>
      <c r="Z118" s="233">
        <f>IF(AO118="1",BF118,0)</f>
        <v>0</v>
      </c>
      <c r="AA118" s="233">
        <f>IF(AO118="1",BG118,0)</f>
        <v>0</v>
      </c>
      <c r="AB118" s="233">
        <f>IF(AO118="7",BF118,0)</f>
        <v>0</v>
      </c>
      <c r="AC118" s="233">
        <f>IF(AO118="7",BG118,0)</f>
        <v>0</v>
      </c>
      <c r="AD118" s="233">
        <f>IF(AO118="2",BF118,0)</f>
        <v>0</v>
      </c>
      <c r="AE118" s="233">
        <f>IF(AO118="2",BG118,0)</f>
        <v>0</v>
      </c>
      <c r="AF118" s="233">
        <f>IF(AO118="0",BH118,0)</f>
        <v>0</v>
      </c>
      <c r="AG118" s="229" t="s">
        <v>154</v>
      </c>
      <c r="AH118" s="233">
        <f>IF(AL118=0,J118,0)</f>
        <v>0</v>
      </c>
      <c r="AI118" s="233">
        <f>IF(AL118=15,J118,0)</f>
        <v>0</v>
      </c>
      <c r="AJ118" s="233">
        <f>IF(AL118=21,J118,0)</f>
        <v>0</v>
      </c>
      <c r="AL118" s="233">
        <v>15</v>
      </c>
      <c r="AM118" s="233">
        <f>G118*0.825275362</f>
        <v>0</v>
      </c>
      <c r="AN118" s="233">
        <f>G118*(1-0.825275362)</f>
        <v>0</v>
      </c>
      <c r="AO118" s="234" t="s">
        <v>157</v>
      </c>
      <c r="AT118" s="233">
        <f>AU118+AV118</f>
        <v>0</v>
      </c>
      <c r="AU118" s="233">
        <f>F118*AM118</f>
        <v>0</v>
      </c>
      <c r="AV118" s="233">
        <f>F118*AN118</f>
        <v>0</v>
      </c>
      <c r="AW118" s="234" t="s">
        <v>310</v>
      </c>
      <c r="AX118" s="234" t="s">
        <v>311</v>
      </c>
      <c r="AY118" s="229" t="s">
        <v>164</v>
      </c>
      <c r="BA118" s="233">
        <f>AU118+AV118</f>
        <v>0</v>
      </c>
      <c r="BB118" s="233">
        <f>G118/(100-BC118)*100</f>
        <v>0</v>
      </c>
      <c r="BC118" s="233">
        <v>0</v>
      </c>
      <c r="BD118" s="233">
        <f>L118</f>
        <v>2.6611199999999999</v>
      </c>
      <c r="BF118" s="233">
        <f>F118*AM118</f>
        <v>0</v>
      </c>
      <c r="BG118" s="233">
        <f>F118*AN118</f>
        <v>0</v>
      </c>
      <c r="BH118" s="233">
        <f>F118*G118</f>
        <v>0</v>
      </c>
      <c r="BI118" s="233"/>
      <c r="BJ118" s="233">
        <v>56</v>
      </c>
      <c r="BU118" s="233" t="e">
        <f>#REF!</f>
        <v>#REF!</v>
      </c>
      <c r="BV118" s="225" t="s">
        <v>331</v>
      </c>
    </row>
    <row r="119" spans="1:74" ht="40.5" customHeight="1" x14ac:dyDescent="0.3">
      <c r="A119" s="241"/>
      <c r="B119" s="242" t="s">
        <v>165</v>
      </c>
      <c r="C119" s="530" t="s">
        <v>1867</v>
      </c>
      <c r="D119" s="531"/>
      <c r="E119" s="531"/>
      <c r="F119" s="531"/>
      <c r="G119" s="531"/>
      <c r="H119" s="531"/>
      <c r="I119" s="531"/>
      <c r="J119" s="531"/>
      <c r="K119" s="531"/>
      <c r="L119" s="531"/>
      <c r="M119" s="532"/>
    </row>
    <row r="120" spans="1:74" ht="14.4" x14ac:dyDescent="0.3">
      <c r="A120" s="239" t="s">
        <v>337</v>
      </c>
      <c r="B120" s="223" t="s">
        <v>333</v>
      </c>
      <c r="C120" s="521" t="s">
        <v>334</v>
      </c>
      <c r="D120" s="519"/>
      <c r="E120" s="223" t="s">
        <v>180</v>
      </c>
      <c r="F120" s="233">
        <v>6.97</v>
      </c>
      <c r="G120" s="311">
        <v>0</v>
      </c>
      <c r="H120" s="233">
        <f>F120*AM120</f>
        <v>0</v>
      </c>
      <c r="I120" s="233">
        <f>F120*AN120</f>
        <v>0</v>
      </c>
      <c r="J120" s="233">
        <f>F120*G120</f>
        <v>0</v>
      </c>
      <c r="K120" s="233">
        <v>0.15826000000000001</v>
      </c>
      <c r="L120" s="233">
        <f>F120*K120</f>
        <v>1.1030721999999999</v>
      </c>
      <c r="M120" s="240" t="s">
        <v>472</v>
      </c>
      <c r="X120" s="233">
        <f>IF(AO120="5",BH120,0)</f>
        <v>0</v>
      </c>
      <c r="Z120" s="233">
        <f>IF(AO120="1",BF120,0)</f>
        <v>0</v>
      </c>
      <c r="AA120" s="233">
        <f>IF(AO120="1",BG120,0)</f>
        <v>0</v>
      </c>
      <c r="AB120" s="233">
        <f>IF(AO120="7",BF120,0)</f>
        <v>0</v>
      </c>
      <c r="AC120" s="233">
        <f>IF(AO120="7",BG120,0)</f>
        <v>0</v>
      </c>
      <c r="AD120" s="233">
        <f>IF(AO120="2",BF120,0)</f>
        <v>0</v>
      </c>
      <c r="AE120" s="233">
        <f>IF(AO120="2",BG120,0)</f>
        <v>0</v>
      </c>
      <c r="AF120" s="233">
        <f>IF(AO120="0",BH120,0)</f>
        <v>0</v>
      </c>
      <c r="AG120" s="229" t="s">
        <v>154</v>
      </c>
      <c r="AH120" s="233">
        <f>IF(AL120=0,J120,0)</f>
        <v>0</v>
      </c>
      <c r="AI120" s="233">
        <f>IF(AL120=15,J120,0)</f>
        <v>0</v>
      </c>
      <c r="AJ120" s="233">
        <f>IF(AL120=21,J120,0)</f>
        <v>0</v>
      </c>
      <c r="AL120" s="233">
        <v>15</v>
      </c>
      <c r="AM120" s="233">
        <f>G120*0.800345642</f>
        <v>0</v>
      </c>
      <c r="AN120" s="233">
        <f>G120*(1-0.800345642)</f>
        <v>0</v>
      </c>
      <c r="AO120" s="234" t="s">
        <v>157</v>
      </c>
      <c r="AT120" s="233">
        <f>AU120+AV120</f>
        <v>0</v>
      </c>
      <c r="AU120" s="233">
        <f>F120*AM120</f>
        <v>0</v>
      </c>
      <c r="AV120" s="233">
        <f>F120*AN120</f>
        <v>0</v>
      </c>
      <c r="AW120" s="234" t="s">
        <v>310</v>
      </c>
      <c r="AX120" s="234" t="s">
        <v>311</v>
      </c>
      <c r="AY120" s="229" t="s">
        <v>164</v>
      </c>
      <c r="BA120" s="233">
        <f>AU120+AV120</f>
        <v>0</v>
      </c>
      <c r="BB120" s="233">
        <f>G120/(100-BC120)*100</f>
        <v>0</v>
      </c>
      <c r="BC120" s="233">
        <v>0</v>
      </c>
      <c r="BD120" s="233">
        <f>L120</f>
        <v>1.1030721999999999</v>
      </c>
      <c r="BF120" s="233">
        <f>F120*AM120</f>
        <v>0</v>
      </c>
      <c r="BG120" s="233">
        <f>F120*AN120</f>
        <v>0</v>
      </c>
      <c r="BH120" s="233">
        <f>F120*G120</f>
        <v>0</v>
      </c>
      <c r="BI120" s="233"/>
      <c r="BJ120" s="233">
        <v>56</v>
      </c>
      <c r="BU120" s="233" t="e">
        <f>#REF!</f>
        <v>#REF!</v>
      </c>
      <c r="BV120" s="225" t="s">
        <v>334</v>
      </c>
    </row>
    <row r="121" spans="1:74" ht="40.5" customHeight="1" x14ac:dyDescent="0.3">
      <c r="A121" s="241"/>
      <c r="B121" s="242" t="s">
        <v>165</v>
      </c>
      <c r="C121" s="530" t="s">
        <v>1868</v>
      </c>
      <c r="D121" s="531"/>
      <c r="E121" s="531"/>
      <c r="F121" s="531"/>
      <c r="G121" s="531"/>
      <c r="H121" s="531"/>
      <c r="I121" s="531"/>
      <c r="J121" s="531"/>
      <c r="K121" s="531"/>
      <c r="L121" s="531"/>
      <c r="M121" s="532"/>
    </row>
    <row r="122" spans="1:74" ht="14.4" x14ac:dyDescent="0.3">
      <c r="A122" s="239" t="s">
        <v>154</v>
      </c>
      <c r="B122" s="224" t="s">
        <v>335</v>
      </c>
      <c r="C122" s="526" t="s">
        <v>336</v>
      </c>
      <c r="D122" s="527"/>
      <c r="E122" s="223" t="s">
        <v>114</v>
      </c>
      <c r="F122" s="223" t="s">
        <v>114</v>
      </c>
      <c r="G122" s="223" t="s">
        <v>114</v>
      </c>
      <c r="H122" s="235">
        <f>SUM(H123:H125)</f>
        <v>0</v>
      </c>
      <c r="I122" s="235">
        <f>SUM(I123:I125)</f>
        <v>0</v>
      </c>
      <c r="J122" s="235">
        <f>SUM(J123:J125)</f>
        <v>0</v>
      </c>
      <c r="K122" s="230" t="s">
        <v>154</v>
      </c>
      <c r="L122" s="235">
        <f>SUM(L123:L125)</f>
        <v>5.0063999999999997E-2</v>
      </c>
      <c r="M122" s="243" t="s">
        <v>154</v>
      </c>
      <c r="AG122" s="229" t="s">
        <v>154</v>
      </c>
      <c r="AQ122" s="222">
        <f>SUM(AH123:AH125)</f>
        <v>0</v>
      </c>
      <c r="AR122" s="222">
        <f>SUM(AI123:AI125)</f>
        <v>0</v>
      </c>
      <c r="AS122" s="222">
        <f>SUM(AJ123:AJ125)</f>
        <v>0</v>
      </c>
    </row>
    <row r="123" spans="1:74" ht="14.4" x14ac:dyDescent="0.3">
      <c r="A123" s="239" t="s">
        <v>341</v>
      </c>
      <c r="B123" s="223" t="s">
        <v>338</v>
      </c>
      <c r="C123" s="521" t="s">
        <v>339</v>
      </c>
      <c r="D123" s="519"/>
      <c r="E123" s="223" t="s">
        <v>180</v>
      </c>
      <c r="F123" s="233">
        <v>63.98</v>
      </c>
      <c r="G123" s="311">
        <v>0</v>
      </c>
      <c r="H123" s="233">
        <f>F123*AM123</f>
        <v>0</v>
      </c>
      <c r="I123" s="233">
        <f>F123*AN123</f>
        <v>0</v>
      </c>
      <c r="J123" s="233">
        <f>F123*G123</f>
        <v>0</v>
      </c>
      <c r="K123" s="233">
        <v>6.9999999999999999E-4</v>
      </c>
      <c r="L123" s="233">
        <f>F123*K123</f>
        <v>4.4785999999999999E-2</v>
      </c>
      <c r="M123" s="240" t="s">
        <v>472</v>
      </c>
      <c r="X123" s="233">
        <f>IF(AO123="5",BH123,0)</f>
        <v>0</v>
      </c>
      <c r="Z123" s="233">
        <f>IF(AO123="1",BF123,0)</f>
        <v>0</v>
      </c>
      <c r="AA123" s="233">
        <f>IF(AO123="1",BG123,0)</f>
        <v>0</v>
      </c>
      <c r="AB123" s="233">
        <f>IF(AO123="7",BF123,0)</f>
        <v>0</v>
      </c>
      <c r="AC123" s="233">
        <f>IF(AO123="7",BG123,0)</f>
        <v>0</v>
      </c>
      <c r="AD123" s="233">
        <f>IF(AO123="2",BF123,0)</f>
        <v>0</v>
      </c>
      <c r="AE123" s="233">
        <f>IF(AO123="2",BG123,0)</f>
        <v>0</v>
      </c>
      <c r="AF123" s="233">
        <f>IF(AO123="0",BH123,0)</f>
        <v>0</v>
      </c>
      <c r="AG123" s="229" t="s">
        <v>154</v>
      </c>
      <c r="AH123" s="233">
        <f>IF(AL123=0,J123,0)</f>
        <v>0</v>
      </c>
      <c r="AI123" s="233">
        <f>IF(AL123=15,J123,0)</f>
        <v>0</v>
      </c>
      <c r="AJ123" s="233">
        <f>IF(AL123=21,J123,0)</f>
        <v>0</v>
      </c>
      <c r="AL123" s="233">
        <v>15</v>
      </c>
      <c r="AM123" s="233">
        <f>G123*0.881156559</f>
        <v>0</v>
      </c>
      <c r="AN123" s="233">
        <f>G123*(1-0.881156559)</f>
        <v>0</v>
      </c>
      <c r="AO123" s="234" t="s">
        <v>157</v>
      </c>
      <c r="AT123" s="233">
        <f>AU123+AV123</f>
        <v>0</v>
      </c>
      <c r="AU123" s="233">
        <f>F123*AM123</f>
        <v>0</v>
      </c>
      <c r="AV123" s="233">
        <f>F123*AN123</f>
        <v>0</v>
      </c>
      <c r="AW123" s="234" t="s">
        <v>340</v>
      </c>
      <c r="AX123" s="234" t="s">
        <v>311</v>
      </c>
      <c r="AY123" s="229" t="s">
        <v>164</v>
      </c>
      <c r="BA123" s="233">
        <f>AU123+AV123</f>
        <v>0</v>
      </c>
      <c r="BB123" s="233">
        <f>G123/(100-BC123)*100</f>
        <v>0</v>
      </c>
      <c r="BC123" s="233">
        <v>0</v>
      </c>
      <c r="BD123" s="233">
        <f>L123</f>
        <v>4.4785999999999999E-2</v>
      </c>
      <c r="BF123" s="233">
        <f>F123*AM123</f>
        <v>0</v>
      </c>
      <c r="BG123" s="233">
        <f>F123*AN123</f>
        <v>0</v>
      </c>
      <c r="BH123" s="233">
        <f>F123*G123</f>
        <v>0</v>
      </c>
      <c r="BI123" s="233"/>
      <c r="BJ123" s="233">
        <v>57</v>
      </c>
      <c r="BU123" s="233" t="e">
        <f>#REF!</f>
        <v>#REF!</v>
      </c>
      <c r="BV123" s="225" t="s">
        <v>339</v>
      </c>
    </row>
    <row r="124" spans="1:74" ht="40.5" customHeight="1" x14ac:dyDescent="0.3">
      <c r="A124" s="244"/>
      <c r="B124" s="245" t="s">
        <v>165</v>
      </c>
      <c r="C124" s="540" t="s">
        <v>1869</v>
      </c>
      <c r="D124" s="541"/>
      <c r="E124" s="541"/>
      <c r="F124" s="541"/>
      <c r="G124" s="541"/>
      <c r="H124" s="541"/>
      <c r="I124" s="541"/>
      <c r="J124" s="541"/>
      <c r="K124" s="541"/>
      <c r="L124" s="541"/>
      <c r="M124" s="542"/>
    </row>
    <row r="125" spans="1:74" ht="14.4" x14ac:dyDescent="0.3">
      <c r="A125" s="237" t="s">
        <v>346</v>
      </c>
      <c r="B125" s="238" t="s">
        <v>342</v>
      </c>
      <c r="C125" s="543" t="s">
        <v>343</v>
      </c>
      <c r="D125" s="544"/>
      <c r="E125" s="238" t="s">
        <v>180</v>
      </c>
      <c r="F125" s="258">
        <v>7.54</v>
      </c>
      <c r="G125" s="311">
        <v>0</v>
      </c>
      <c r="H125" s="258">
        <f>F125*AM125</f>
        <v>0</v>
      </c>
      <c r="I125" s="258">
        <f>F125*AN125</f>
        <v>0</v>
      </c>
      <c r="J125" s="258">
        <f>F125*G125</f>
        <v>0</v>
      </c>
      <c r="K125" s="258">
        <v>6.9999999999999999E-4</v>
      </c>
      <c r="L125" s="258">
        <f>F125*K125</f>
        <v>5.2779999999999997E-3</v>
      </c>
      <c r="M125" s="259" t="s">
        <v>472</v>
      </c>
      <c r="X125" s="233">
        <f>IF(AO125="5",BH125,0)</f>
        <v>0</v>
      </c>
      <c r="Z125" s="233">
        <f>IF(AO125="1",BF125,0)</f>
        <v>0</v>
      </c>
      <c r="AA125" s="233">
        <f>IF(AO125="1",BG125,0)</f>
        <v>0</v>
      </c>
      <c r="AB125" s="233">
        <f>IF(AO125="7",BF125,0)</f>
        <v>0</v>
      </c>
      <c r="AC125" s="233">
        <f>IF(AO125="7",BG125,0)</f>
        <v>0</v>
      </c>
      <c r="AD125" s="233">
        <f>IF(AO125="2",BF125,0)</f>
        <v>0</v>
      </c>
      <c r="AE125" s="233">
        <f>IF(AO125="2",BG125,0)</f>
        <v>0</v>
      </c>
      <c r="AF125" s="233">
        <f>IF(AO125="0",BH125,0)</f>
        <v>0</v>
      </c>
      <c r="AG125" s="229" t="s">
        <v>154</v>
      </c>
      <c r="AH125" s="233">
        <f>IF(AL125=0,J125,0)</f>
        <v>0</v>
      </c>
      <c r="AI125" s="233">
        <f>IF(AL125=15,J125,0)</f>
        <v>0</v>
      </c>
      <c r="AJ125" s="233">
        <f>IF(AL125=21,J125,0)</f>
        <v>0</v>
      </c>
      <c r="AL125" s="233">
        <v>15</v>
      </c>
      <c r="AM125" s="233">
        <f>G125*0.931295885</f>
        <v>0</v>
      </c>
      <c r="AN125" s="233">
        <f>G125*(1-0.931295885)</f>
        <v>0</v>
      </c>
      <c r="AO125" s="234" t="s">
        <v>157</v>
      </c>
      <c r="AT125" s="233">
        <f>AU125+AV125</f>
        <v>0</v>
      </c>
      <c r="AU125" s="233">
        <f>F125*AM125</f>
        <v>0</v>
      </c>
      <c r="AV125" s="233">
        <f>F125*AN125</f>
        <v>0</v>
      </c>
      <c r="AW125" s="234" t="s">
        <v>340</v>
      </c>
      <c r="AX125" s="234" t="s">
        <v>311</v>
      </c>
      <c r="AY125" s="229" t="s">
        <v>164</v>
      </c>
      <c r="BA125" s="233">
        <f>AU125+AV125</f>
        <v>0</v>
      </c>
      <c r="BB125" s="233">
        <f>G125/(100-BC125)*100</f>
        <v>0</v>
      </c>
      <c r="BC125" s="233">
        <v>0</v>
      </c>
      <c r="BD125" s="233">
        <f>L125</f>
        <v>5.2779999999999997E-3</v>
      </c>
      <c r="BF125" s="233">
        <f>F125*AM125</f>
        <v>0</v>
      </c>
      <c r="BG125" s="233">
        <f>F125*AN125</f>
        <v>0</v>
      </c>
      <c r="BH125" s="233">
        <f>F125*G125</f>
        <v>0</v>
      </c>
      <c r="BI125" s="233"/>
      <c r="BJ125" s="233">
        <v>57</v>
      </c>
      <c r="BU125" s="233" t="e">
        <f>#REF!</f>
        <v>#REF!</v>
      </c>
      <c r="BV125" s="225" t="s">
        <v>343</v>
      </c>
    </row>
    <row r="126" spans="1:74" ht="40.5" customHeight="1" x14ac:dyDescent="0.3">
      <c r="A126" s="241"/>
      <c r="B126" s="242" t="s">
        <v>165</v>
      </c>
      <c r="C126" s="530" t="s">
        <v>1870</v>
      </c>
      <c r="D126" s="531"/>
      <c r="E126" s="531"/>
      <c r="F126" s="531"/>
      <c r="G126" s="531"/>
      <c r="H126" s="531"/>
      <c r="I126" s="531"/>
      <c r="J126" s="531"/>
      <c r="K126" s="531"/>
      <c r="L126" s="531"/>
      <c r="M126" s="532"/>
    </row>
    <row r="127" spans="1:74" ht="14.4" x14ac:dyDescent="0.3">
      <c r="A127" s="239" t="s">
        <v>154</v>
      </c>
      <c r="B127" s="224" t="s">
        <v>344</v>
      </c>
      <c r="C127" s="526" t="s">
        <v>345</v>
      </c>
      <c r="D127" s="527"/>
      <c r="E127" s="223" t="s">
        <v>114</v>
      </c>
      <c r="F127" s="223" t="s">
        <v>114</v>
      </c>
      <c r="G127" s="223" t="s">
        <v>114</v>
      </c>
      <c r="H127" s="235">
        <f>SUM(H128:H128)</f>
        <v>0</v>
      </c>
      <c r="I127" s="235">
        <f>SUM(I128:I128)</f>
        <v>0</v>
      </c>
      <c r="J127" s="235">
        <f>SUM(J128:J128)</f>
        <v>0</v>
      </c>
      <c r="K127" s="230" t="s">
        <v>154</v>
      </c>
      <c r="L127" s="235">
        <f>SUM(L128:L128)</f>
        <v>32.289495000000002</v>
      </c>
      <c r="M127" s="243" t="s">
        <v>154</v>
      </c>
      <c r="AG127" s="229" t="s">
        <v>154</v>
      </c>
      <c r="AQ127" s="222">
        <f>SUM(AH128:AH128)</f>
        <v>0</v>
      </c>
      <c r="AR127" s="222">
        <f>SUM(AI128:AI128)</f>
        <v>0</v>
      </c>
      <c r="AS127" s="222">
        <f>SUM(AJ128:AJ128)</f>
        <v>0</v>
      </c>
    </row>
    <row r="128" spans="1:74" ht="26.4" x14ac:dyDescent="0.3">
      <c r="A128" s="239" t="s">
        <v>352</v>
      </c>
      <c r="B128" s="223" t="s">
        <v>347</v>
      </c>
      <c r="C128" s="521" t="s">
        <v>348</v>
      </c>
      <c r="D128" s="519"/>
      <c r="E128" s="223" t="s">
        <v>180</v>
      </c>
      <c r="F128" s="233">
        <v>27.15</v>
      </c>
      <c r="G128" s="311">
        <v>0</v>
      </c>
      <c r="H128" s="233">
        <f>F128*AM128</f>
        <v>0</v>
      </c>
      <c r="I128" s="233">
        <f>F128*AN128</f>
        <v>0</v>
      </c>
      <c r="J128" s="233">
        <f>F128*G128</f>
        <v>0</v>
      </c>
      <c r="K128" s="233">
        <v>1.1893</v>
      </c>
      <c r="L128" s="233">
        <f>F128*K128</f>
        <v>32.289495000000002</v>
      </c>
      <c r="M128" s="240" t="s">
        <v>472</v>
      </c>
      <c r="X128" s="233">
        <f>IF(AO128="5",BH128,0)</f>
        <v>0</v>
      </c>
      <c r="Z128" s="233">
        <f>IF(AO128="1",BF128,0)</f>
        <v>0</v>
      </c>
      <c r="AA128" s="233">
        <f>IF(AO128="1",BG128,0)</f>
        <v>0</v>
      </c>
      <c r="AB128" s="233">
        <f>IF(AO128="7",BF128,0)</f>
        <v>0</v>
      </c>
      <c r="AC128" s="233">
        <f>IF(AO128="7",BG128,0)</f>
        <v>0</v>
      </c>
      <c r="AD128" s="233">
        <f>IF(AO128="2",BF128,0)</f>
        <v>0</v>
      </c>
      <c r="AE128" s="233">
        <f>IF(AO128="2",BG128,0)</f>
        <v>0</v>
      </c>
      <c r="AF128" s="233">
        <f>IF(AO128="0",BH128,0)</f>
        <v>0</v>
      </c>
      <c r="AG128" s="229" t="s">
        <v>154</v>
      </c>
      <c r="AH128" s="233">
        <f>IF(AL128=0,J128,0)</f>
        <v>0</v>
      </c>
      <c r="AI128" s="233">
        <f>IF(AL128=15,J128,0)</f>
        <v>0</v>
      </c>
      <c r="AJ128" s="233">
        <f>IF(AL128=21,J128,0)</f>
        <v>0</v>
      </c>
      <c r="AL128" s="233">
        <v>15</v>
      </c>
      <c r="AM128" s="233">
        <f>G128*0.546625154</f>
        <v>0</v>
      </c>
      <c r="AN128" s="233">
        <f>G128*(1-0.546625154)</f>
        <v>0</v>
      </c>
      <c r="AO128" s="234" t="s">
        <v>157</v>
      </c>
      <c r="AT128" s="233">
        <f>AU128+AV128</f>
        <v>0</v>
      </c>
      <c r="AU128" s="233">
        <f>F128*AM128</f>
        <v>0</v>
      </c>
      <c r="AV128" s="233">
        <f>F128*AN128</f>
        <v>0</v>
      </c>
      <c r="AW128" s="234" t="s">
        <v>349</v>
      </c>
      <c r="AX128" s="234" t="s">
        <v>311</v>
      </c>
      <c r="AY128" s="229" t="s">
        <v>164</v>
      </c>
      <c r="BA128" s="233">
        <f>AU128+AV128</f>
        <v>0</v>
      </c>
      <c r="BB128" s="233">
        <f>G128/(100-BC128)*100</f>
        <v>0</v>
      </c>
      <c r="BC128" s="233">
        <v>0</v>
      </c>
      <c r="BD128" s="233">
        <f>L128</f>
        <v>32.289495000000002</v>
      </c>
      <c r="BF128" s="233">
        <f>F128*AM128</f>
        <v>0</v>
      </c>
      <c r="BG128" s="233">
        <f>F128*AN128</f>
        <v>0</v>
      </c>
      <c r="BH128" s="233">
        <f>F128*G128</f>
        <v>0</v>
      </c>
      <c r="BI128" s="233"/>
      <c r="BJ128" s="233">
        <v>59</v>
      </c>
      <c r="BU128" s="233" t="e">
        <f>#REF!</f>
        <v>#REF!</v>
      </c>
      <c r="BV128" s="225" t="s">
        <v>348</v>
      </c>
    </row>
    <row r="129" spans="1:74" ht="108" customHeight="1" x14ac:dyDescent="0.3">
      <c r="A129" s="241"/>
      <c r="B129" s="242" t="s">
        <v>165</v>
      </c>
      <c r="C129" s="530" t="s">
        <v>1871</v>
      </c>
      <c r="D129" s="531"/>
      <c r="E129" s="531"/>
      <c r="F129" s="531"/>
      <c r="G129" s="531"/>
      <c r="H129" s="531"/>
      <c r="I129" s="531"/>
      <c r="J129" s="531"/>
      <c r="K129" s="531"/>
      <c r="L129" s="531"/>
      <c r="M129" s="532"/>
    </row>
    <row r="130" spans="1:74" ht="14.4" x14ac:dyDescent="0.3">
      <c r="A130" s="239" t="s">
        <v>154</v>
      </c>
      <c r="B130" s="224" t="s">
        <v>350</v>
      </c>
      <c r="C130" s="526" t="s">
        <v>351</v>
      </c>
      <c r="D130" s="527"/>
      <c r="E130" s="223" t="s">
        <v>114</v>
      </c>
      <c r="F130" s="223" t="s">
        <v>114</v>
      </c>
      <c r="G130" s="223" t="s">
        <v>114</v>
      </c>
      <c r="H130" s="235">
        <f>SUM(H131:H133)</f>
        <v>0</v>
      </c>
      <c r="I130" s="235">
        <f>SUM(I131:I133)</f>
        <v>0</v>
      </c>
      <c r="J130" s="235">
        <f>SUM(J131:J133)</f>
        <v>0</v>
      </c>
      <c r="K130" s="230" t="s">
        <v>154</v>
      </c>
      <c r="L130" s="235">
        <f>SUM(L131:L133)</f>
        <v>55.875950000000003</v>
      </c>
      <c r="M130" s="243" t="s">
        <v>154</v>
      </c>
      <c r="AG130" s="229" t="s">
        <v>154</v>
      </c>
      <c r="AQ130" s="222">
        <f>SUM(AH131:AH133)</f>
        <v>0</v>
      </c>
      <c r="AR130" s="222">
        <f>SUM(AI131:AI133)</f>
        <v>0</v>
      </c>
      <c r="AS130" s="222">
        <f>SUM(AJ131:AJ133)</f>
        <v>0</v>
      </c>
    </row>
    <row r="131" spans="1:74" ht="14.4" x14ac:dyDescent="0.3">
      <c r="A131" s="239" t="s">
        <v>357</v>
      </c>
      <c r="B131" s="223" t="s">
        <v>353</v>
      </c>
      <c r="C131" s="521" t="s">
        <v>354</v>
      </c>
      <c r="D131" s="519"/>
      <c r="E131" s="223" t="s">
        <v>160</v>
      </c>
      <c r="F131" s="233">
        <v>100.5</v>
      </c>
      <c r="G131" s="311">
        <v>0</v>
      </c>
      <c r="H131" s="233">
        <f>F131*AM131</f>
        <v>0</v>
      </c>
      <c r="I131" s="233">
        <f>F131*AN131</f>
        <v>0</v>
      </c>
      <c r="J131" s="233">
        <f>F131*G131</f>
        <v>0</v>
      </c>
      <c r="K131" s="233">
        <v>0.51870000000000005</v>
      </c>
      <c r="L131" s="233">
        <f>F131*K131</f>
        <v>52.129350000000002</v>
      </c>
      <c r="M131" s="240" t="s">
        <v>472</v>
      </c>
      <c r="X131" s="233">
        <f>IF(AO131="5",BH131,0)</f>
        <v>0</v>
      </c>
      <c r="Z131" s="233">
        <f>IF(AO131="1",BF131,0)</f>
        <v>0</v>
      </c>
      <c r="AA131" s="233">
        <f>IF(AO131="1",BG131,0)</f>
        <v>0</v>
      </c>
      <c r="AB131" s="233">
        <f>IF(AO131="7",BF131,0)</f>
        <v>0</v>
      </c>
      <c r="AC131" s="233">
        <f>IF(AO131="7",BG131,0)</f>
        <v>0</v>
      </c>
      <c r="AD131" s="233">
        <f>IF(AO131="2",BF131,0)</f>
        <v>0</v>
      </c>
      <c r="AE131" s="233">
        <f>IF(AO131="2",BG131,0)</f>
        <v>0</v>
      </c>
      <c r="AF131" s="233">
        <f>IF(AO131="0",BH131,0)</f>
        <v>0</v>
      </c>
      <c r="AG131" s="229" t="s">
        <v>154</v>
      </c>
      <c r="AH131" s="233">
        <f>IF(AL131=0,J131,0)</f>
        <v>0</v>
      </c>
      <c r="AI131" s="233">
        <f>IF(AL131=15,J131,0)</f>
        <v>0</v>
      </c>
      <c r="AJ131" s="233">
        <f>IF(AL131=21,J131,0)</f>
        <v>0</v>
      </c>
      <c r="AL131" s="233">
        <v>15</v>
      </c>
      <c r="AM131" s="233">
        <f>G131*0.366564871</f>
        <v>0</v>
      </c>
      <c r="AN131" s="233">
        <f>G131*(1-0.366564871)</f>
        <v>0</v>
      </c>
      <c r="AO131" s="234" t="s">
        <v>157</v>
      </c>
      <c r="AT131" s="233">
        <f>AU131+AV131</f>
        <v>0</v>
      </c>
      <c r="AU131" s="233">
        <f>F131*AM131</f>
        <v>0</v>
      </c>
      <c r="AV131" s="233">
        <f>F131*AN131</f>
        <v>0</v>
      </c>
      <c r="AW131" s="234" t="s">
        <v>355</v>
      </c>
      <c r="AX131" s="234" t="s">
        <v>356</v>
      </c>
      <c r="AY131" s="229" t="s">
        <v>164</v>
      </c>
      <c r="BA131" s="233">
        <f>AU131+AV131</f>
        <v>0</v>
      </c>
      <c r="BB131" s="233">
        <f>G131/(100-BC131)*100</f>
        <v>0</v>
      </c>
      <c r="BC131" s="233">
        <v>0</v>
      </c>
      <c r="BD131" s="233">
        <f>L131</f>
        <v>52.129350000000002</v>
      </c>
      <c r="BF131" s="233">
        <f>F131*AM131</f>
        <v>0</v>
      </c>
      <c r="BG131" s="233">
        <f>F131*AN131</f>
        <v>0</v>
      </c>
      <c r="BH131" s="233">
        <f>F131*G131</f>
        <v>0</v>
      </c>
      <c r="BI131" s="233"/>
      <c r="BJ131" s="233">
        <v>83</v>
      </c>
      <c r="BU131" s="233" t="e">
        <f>#REF!</f>
        <v>#REF!</v>
      </c>
      <c r="BV131" s="225" t="s">
        <v>354</v>
      </c>
    </row>
    <row r="132" spans="1:74" ht="121.5" customHeight="1" x14ac:dyDescent="0.3">
      <c r="A132" s="241"/>
      <c r="B132" s="242" t="s">
        <v>165</v>
      </c>
      <c r="C132" s="530" t="s">
        <v>1872</v>
      </c>
      <c r="D132" s="531"/>
      <c r="E132" s="531"/>
      <c r="F132" s="531"/>
      <c r="G132" s="531"/>
      <c r="H132" s="531"/>
      <c r="I132" s="531"/>
      <c r="J132" s="531"/>
      <c r="K132" s="531"/>
      <c r="L132" s="531"/>
      <c r="M132" s="532"/>
    </row>
    <row r="133" spans="1:74" ht="14.4" x14ac:dyDescent="0.3">
      <c r="A133" s="239" t="s">
        <v>362</v>
      </c>
      <c r="B133" s="223" t="s">
        <v>358</v>
      </c>
      <c r="C133" s="521" t="s">
        <v>359</v>
      </c>
      <c r="D133" s="519"/>
      <c r="E133" s="223" t="s">
        <v>160</v>
      </c>
      <c r="F133" s="233">
        <v>6.5</v>
      </c>
      <c r="G133" s="311">
        <v>0</v>
      </c>
      <c r="H133" s="233">
        <f>F133*AM133</f>
        <v>0</v>
      </c>
      <c r="I133" s="233">
        <f>F133*AN133</f>
        <v>0</v>
      </c>
      <c r="J133" s="233">
        <f>F133*G133</f>
        <v>0</v>
      </c>
      <c r="K133" s="233">
        <v>0.57640000000000002</v>
      </c>
      <c r="L133" s="233">
        <f>F133*K133</f>
        <v>3.7465999999999999</v>
      </c>
      <c r="M133" s="240" t="s">
        <v>472</v>
      </c>
      <c r="X133" s="233">
        <f>IF(AO133="5",BH133,0)</f>
        <v>0</v>
      </c>
      <c r="Z133" s="233">
        <f>IF(AO133="1",BF133,0)</f>
        <v>0</v>
      </c>
      <c r="AA133" s="233">
        <f>IF(AO133="1",BG133,0)</f>
        <v>0</v>
      </c>
      <c r="AB133" s="233">
        <f>IF(AO133="7",BF133,0)</f>
        <v>0</v>
      </c>
      <c r="AC133" s="233">
        <f>IF(AO133="7",BG133,0)</f>
        <v>0</v>
      </c>
      <c r="AD133" s="233">
        <f>IF(AO133="2",BF133,0)</f>
        <v>0</v>
      </c>
      <c r="AE133" s="233">
        <f>IF(AO133="2",BG133,0)</f>
        <v>0</v>
      </c>
      <c r="AF133" s="233">
        <f>IF(AO133="0",BH133,0)</f>
        <v>0</v>
      </c>
      <c r="AG133" s="229" t="s">
        <v>154</v>
      </c>
      <c r="AH133" s="233">
        <f>IF(AL133=0,J133,0)</f>
        <v>0</v>
      </c>
      <c r="AI133" s="233">
        <f>IF(AL133=15,J133,0)</f>
        <v>0</v>
      </c>
      <c r="AJ133" s="233">
        <f>IF(AL133=21,J133,0)</f>
        <v>0</v>
      </c>
      <c r="AL133" s="233">
        <v>15</v>
      </c>
      <c r="AM133" s="233">
        <f>G133*0.459683149</f>
        <v>0</v>
      </c>
      <c r="AN133" s="233">
        <f>G133*(1-0.459683149)</f>
        <v>0</v>
      </c>
      <c r="AO133" s="234" t="s">
        <v>157</v>
      </c>
      <c r="AT133" s="233">
        <f>AU133+AV133</f>
        <v>0</v>
      </c>
      <c r="AU133" s="233">
        <f>F133*AM133</f>
        <v>0</v>
      </c>
      <c r="AV133" s="233">
        <f>F133*AN133</f>
        <v>0</v>
      </c>
      <c r="AW133" s="234" t="s">
        <v>355</v>
      </c>
      <c r="AX133" s="234" t="s">
        <v>356</v>
      </c>
      <c r="AY133" s="229" t="s">
        <v>164</v>
      </c>
      <c r="BA133" s="233">
        <f>AU133+AV133</f>
        <v>0</v>
      </c>
      <c r="BB133" s="233">
        <f>G133/(100-BC133)*100</f>
        <v>0</v>
      </c>
      <c r="BC133" s="233">
        <v>0</v>
      </c>
      <c r="BD133" s="233">
        <f>L133</f>
        <v>3.7465999999999999</v>
      </c>
      <c r="BF133" s="233">
        <f>F133*AM133</f>
        <v>0</v>
      </c>
      <c r="BG133" s="233">
        <f>F133*AN133</f>
        <v>0</v>
      </c>
      <c r="BH133" s="233">
        <f>F133*G133</f>
        <v>0</v>
      </c>
      <c r="BI133" s="233"/>
      <c r="BJ133" s="233">
        <v>83</v>
      </c>
      <c r="BU133" s="233" t="e">
        <f>#REF!</f>
        <v>#REF!</v>
      </c>
      <c r="BV133" s="225" t="s">
        <v>359</v>
      </c>
    </row>
    <row r="134" spans="1:74" ht="121.5" customHeight="1" x14ac:dyDescent="0.3">
      <c r="A134" s="241"/>
      <c r="B134" s="242" t="s">
        <v>165</v>
      </c>
      <c r="C134" s="530" t="s">
        <v>1873</v>
      </c>
      <c r="D134" s="531"/>
      <c r="E134" s="531"/>
      <c r="F134" s="531"/>
      <c r="G134" s="531"/>
      <c r="H134" s="531"/>
      <c r="I134" s="531"/>
      <c r="J134" s="531"/>
      <c r="K134" s="531"/>
      <c r="L134" s="531"/>
      <c r="M134" s="532"/>
    </row>
    <row r="135" spans="1:74" ht="14.4" x14ac:dyDescent="0.3">
      <c r="A135" s="239" t="s">
        <v>154</v>
      </c>
      <c r="B135" s="224" t="s">
        <v>360</v>
      </c>
      <c r="C135" s="526" t="s">
        <v>361</v>
      </c>
      <c r="D135" s="527"/>
      <c r="E135" s="223" t="s">
        <v>114</v>
      </c>
      <c r="F135" s="223" t="s">
        <v>114</v>
      </c>
      <c r="G135" s="223" t="s">
        <v>114</v>
      </c>
      <c r="H135" s="235">
        <f>SUM(H136:H138)</f>
        <v>0</v>
      </c>
      <c r="I135" s="235">
        <f>SUM(I136:I138)</f>
        <v>0</v>
      </c>
      <c r="J135" s="235">
        <f>SUM(J136:J138)</f>
        <v>0</v>
      </c>
      <c r="K135" s="230" t="s">
        <v>154</v>
      </c>
      <c r="L135" s="235">
        <f>SUM(L136:L138)</f>
        <v>1.00305</v>
      </c>
      <c r="M135" s="243" t="s">
        <v>154</v>
      </c>
      <c r="AG135" s="229" t="s">
        <v>154</v>
      </c>
      <c r="AQ135" s="222">
        <f>SUM(AH136:AH138)</f>
        <v>0</v>
      </c>
      <c r="AR135" s="222">
        <f>SUM(AI136:AI138)</f>
        <v>0</v>
      </c>
      <c r="AS135" s="222">
        <f>SUM(AJ136:AJ138)</f>
        <v>0</v>
      </c>
    </row>
    <row r="136" spans="1:74" ht="14.4" x14ac:dyDescent="0.3">
      <c r="A136" s="239" t="s">
        <v>367</v>
      </c>
      <c r="B136" s="223" t="s">
        <v>363</v>
      </c>
      <c r="C136" s="521" t="s">
        <v>364</v>
      </c>
      <c r="D136" s="519"/>
      <c r="E136" s="223" t="s">
        <v>365</v>
      </c>
      <c r="F136" s="233">
        <v>17</v>
      </c>
      <c r="G136" s="311">
        <v>0</v>
      </c>
      <c r="H136" s="233">
        <f>F136*AM136</f>
        <v>0</v>
      </c>
      <c r="I136" s="233">
        <f>F136*AN136</f>
        <v>0</v>
      </c>
      <c r="J136" s="233">
        <f>F136*G136</f>
        <v>0</v>
      </c>
      <c r="K136" s="233">
        <v>5.5E-2</v>
      </c>
      <c r="L136" s="233">
        <f>F136*K136</f>
        <v>0.93500000000000005</v>
      </c>
      <c r="M136" s="240" t="s">
        <v>472</v>
      </c>
      <c r="X136" s="233">
        <f>IF(AO136="5",BH136,0)</f>
        <v>0</v>
      </c>
      <c r="Z136" s="233">
        <f>IF(AO136="1",BF136,0)</f>
        <v>0</v>
      </c>
      <c r="AA136" s="233">
        <f>IF(AO136="1",BG136,0)</f>
        <v>0</v>
      </c>
      <c r="AB136" s="233">
        <f>IF(AO136="7",BF136,0)</f>
        <v>0</v>
      </c>
      <c r="AC136" s="233">
        <f>IF(AO136="7",BG136,0)</f>
        <v>0</v>
      </c>
      <c r="AD136" s="233">
        <f>IF(AO136="2",BF136,0)</f>
        <v>0</v>
      </c>
      <c r="AE136" s="233">
        <f>IF(AO136="2",BG136,0)</f>
        <v>0</v>
      </c>
      <c r="AF136" s="233">
        <f>IF(AO136="0",BH136,0)</f>
        <v>0</v>
      </c>
      <c r="AG136" s="229" t="s">
        <v>154</v>
      </c>
      <c r="AH136" s="233">
        <f>IF(AL136=0,J136,0)</f>
        <v>0</v>
      </c>
      <c r="AI136" s="233">
        <f>IF(AL136=15,J136,0)</f>
        <v>0</v>
      </c>
      <c r="AJ136" s="233">
        <f>IF(AL136=21,J136,0)</f>
        <v>0</v>
      </c>
      <c r="AL136" s="233">
        <v>15</v>
      </c>
      <c r="AM136" s="233">
        <f>G136*0.865749226</f>
        <v>0</v>
      </c>
      <c r="AN136" s="233">
        <f>G136*(1-0.865749226)</f>
        <v>0</v>
      </c>
      <c r="AO136" s="234" t="s">
        <v>157</v>
      </c>
      <c r="AT136" s="233">
        <f>AU136+AV136</f>
        <v>0</v>
      </c>
      <c r="AU136" s="233">
        <f>F136*AM136</f>
        <v>0</v>
      </c>
      <c r="AV136" s="233">
        <f>F136*AN136</f>
        <v>0</v>
      </c>
      <c r="AW136" s="234" t="s">
        <v>366</v>
      </c>
      <c r="AX136" s="234" t="s">
        <v>356</v>
      </c>
      <c r="AY136" s="229" t="s">
        <v>164</v>
      </c>
      <c r="BA136" s="233">
        <f>AU136+AV136</f>
        <v>0</v>
      </c>
      <c r="BB136" s="233">
        <f>G136/(100-BC136)*100</f>
        <v>0</v>
      </c>
      <c r="BC136" s="233">
        <v>0</v>
      </c>
      <c r="BD136" s="233">
        <f>L136</f>
        <v>0.93500000000000005</v>
      </c>
      <c r="BF136" s="233">
        <f>F136*AM136</f>
        <v>0</v>
      </c>
      <c r="BG136" s="233">
        <f>F136*AN136</f>
        <v>0</v>
      </c>
      <c r="BH136" s="233">
        <f>F136*G136</f>
        <v>0</v>
      </c>
      <c r="BI136" s="233"/>
      <c r="BJ136" s="233">
        <v>89</v>
      </c>
      <c r="BU136" s="233" t="e">
        <f>#REF!</f>
        <v>#REF!</v>
      </c>
      <c r="BV136" s="225" t="s">
        <v>364</v>
      </c>
    </row>
    <row r="137" spans="1:74" ht="54" customHeight="1" x14ac:dyDescent="0.3">
      <c r="A137" s="241"/>
      <c r="B137" s="242" t="s">
        <v>165</v>
      </c>
      <c r="C137" s="530" t="s">
        <v>1874</v>
      </c>
      <c r="D137" s="531"/>
      <c r="E137" s="531"/>
      <c r="F137" s="531"/>
      <c r="G137" s="531"/>
      <c r="H137" s="531"/>
      <c r="I137" s="531"/>
      <c r="J137" s="531"/>
      <c r="K137" s="531"/>
      <c r="L137" s="531"/>
      <c r="M137" s="532"/>
    </row>
    <row r="138" spans="1:74" ht="14.4" x14ac:dyDescent="0.3">
      <c r="A138" s="239" t="s">
        <v>305</v>
      </c>
      <c r="B138" s="223" t="s">
        <v>368</v>
      </c>
      <c r="C138" s="521" t="s">
        <v>369</v>
      </c>
      <c r="D138" s="519"/>
      <c r="E138" s="223" t="s">
        <v>365</v>
      </c>
      <c r="F138" s="233">
        <v>1</v>
      </c>
      <c r="G138" s="311">
        <v>0</v>
      </c>
      <c r="H138" s="233">
        <f>F138*AM138</f>
        <v>0</v>
      </c>
      <c r="I138" s="233">
        <f>F138*AN138</f>
        <v>0</v>
      </c>
      <c r="J138" s="233">
        <f>F138*G138</f>
        <v>0</v>
      </c>
      <c r="K138" s="233">
        <v>6.8049999999999999E-2</v>
      </c>
      <c r="L138" s="233">
        <f>F138*K138</f>
        <v>6.8049999999999999E-2</v>
      </c>
      <c r="M138" s="240" t="s">
        <v>472</v>
      </c>
      <c r="X138" s="233">
        <f>IF(AO138="5",BH138,0)</f>
        <v>0</v>
      </c>
      <c r="Z138" s="233">
        <f>IF(AO138="1",BF138,0)</f>
        <v>0</v>
      </c>
      <c r="AA138" s="233">
        <f>IF(AO138="1",BG138,0)</f>
        <v>0</v>
      </c>
      <c r="AB138" s="233">
        <f>IF(AO138="7",BF138,0)</f>
        <v>0</v>
      </c>
      <c r="AC138" s="233">
        <f>IF(AO138="7",BG138,0)</f>
        <v>0</v>
      </c>
      <c r="AD138" s="233">
        <f>IF(AO138="2",BF138,0)</f>
        <v>0</v>
      </c>
      <c r="AE138" s="233">
        <f>IF(AO138="2",BG138,0)</f>
        <v>0</v>
      </c>
      <c r="AF138" s="233">
        <f>IF(AO138="0",BH138,0)</f>
        <v>0</v>
      </c>
      <c r="AG138" s="229" t="s">
        <v>154</v>
      </c>
      <c r="AH138" s="233">
        <f>IF(AL138=0,J138,0)</f>
        <v>0</v>
      </c>
      <c r="AI138" s="233">
        <f>IF(AL138=15,J138,0)</f>
        <v>0</v>
      </c>
      <c r="AJ138" s="233">
        <f>IF(AL138=21,J138,0)</f>
        <v>0</v>
      </c>
      <c r="AL138" s="233">
        <v>15</v>
      </c>
      <c r="AM138" s="233">
        <f>G138*0.941516905</f>
        <v>0</v>
      </c>
      <c r="AN138" s="233">
        <f>G138*(1-0.941516905)</f>
        <v>0</v>
      </c>
      <c r="AO138" s="234" t="s">
        <v>157</v>
      </c>
      <c r="AT138" s="233">
        <f>AU138+AV138</f>
        <v>0</v>
      </c>
      <c r="AU138" s="233">
        <f>F138*AM138</f>
        <v>0</v>
      </c>
      <c r="AV138" s="233">
        <f>F138*AN138</f>
        <v>0</v>
      </c>
      <c r="AW138" s="234" t="s">
        <v>366</v>
      </c>
      <c r="AX138" s="234" t="s">
        <v>356</v>
      </c>
      <c r="AY138" s="229" t="s">
        <v>164</v>
      </c>
      <c r="BA138" s="233">
        <f>AU138+AV138</f>
        <v>0</v>
      </c>
      <c r="BB138" s="233">
        <f>G138/(100-BC138)*100</f>
        <v>0</v>
      </c>
      <c r="BC138" s="233">
        <v>0</v>
      </c>
      <c r="BD138" s="233">
        <f>L138</f>
        <v>6.8049999999999999E-2</v>
      </c>
      <c r="BF138" s="233">
        <f>F138*AM138</f>
        <v>0</v>
      </c>
      <c r="BG138" s="233">
        <f>F138*AN138</f>
        <v>0</v>
      </c>
      <c r="BH138" s="233">
        <f>F138*G138</f>
        <v>0</v>
      </c>
      <c r="BI138" s="233"/>
      <c r="BJ138" s="233">
        <v>89</v>
      </c>
      <c r="BU138" s="233" t="e">
        <f>#REF!</f>
        <v>#REF!</v>
      </c>
      <c r="BV138" s="225" t="s">
        <v>369</v>
      </c>
    </row>
    <row r="139" spans="1:74" ht="54" customHeight="1" x14ac:dyDescent="0.3">
      <c r="A139" s="241"/>
      <c r="B139" s="242" t="s">
        <v>165</v>
      </c>
      <c r="C139" s="530" t="s">
        <v>1875</v>
      </c>
      <c r="D139" s="531"/>
      <c r="E139" s="531"/>
      <c r="F139" s="531"/>
      <c r="G139" s="531"/>
      <c r="H139" s="531"/>
      <c r="I139" s="531"/>
      <c r="J139" s="531"/>
      <c r="K139" s="531"/>
      <c r="L139" s="531"/>
      <c r="M139" s="532"/>
    </row>
    <row r="140" spans="1:74" ht="14.4" x14ac:dyDescent="0.3">
      <c r="A140" s="239" t="s">
        <v>154</v>
      </c>
      <c r="B140" s="224" t="s">
        <v>370</v>
      </c>
      <c r="C140" s="526" t="s">
        <v>371</v>
      </c>
      <c r="D140" s="527"/>
      <c r="E140" s="223" t="s">
        <v>114</v>
      </c>
      <c r="F140" s="223" t="s">
        <v>114</v>
      </c>
      <c r="G140" s="223" t="s">
        <v>114</v>
      </c>
      <c r="H140" s="235">
        <f>SUM(H141:H141)</f>
        <v>0</v>
      </c>
      <c r="I140" s="235">
        <f>SUM(I141:I141)</f>
        <v>0</v>
      </c>
      <c r="J140" s="235">
        <f>SUM(J141:J141)</f>
        <v>0</v>
      </c>
      <c r="K140" s="230" t="s">
        <v>154</v>
      </c>
      <c r="L140" s="235">
        <f>SUM(L141:L141)</f>
        <v>7.4899999999999994E-2</v>
      </c>
      <c r="M140" s="243" t="s">
        <v>154</v>
      </c>
      <c r="AG140" s="229" t="s">
        <v>154</v>
      </c>
      <c r="AQ140" s="222">
        <f>SUM(AH141:AH141)</f>
        <v>0</v>
      </c>
      <c r="AR140" s="222">
        <f>SUM(AI141:AI141)</f>
        <v>0</v>
      </c>
      <c r="AS140" s="222">
        <f>SUM(AJ141:AJ141)</f>
        <v>0</v>
      </c>
    </row>
    <row r="141" spans="1:74" ht="14.4" x14ac:dyDescent="0.3">
      <c r="A141" s="239" t="s">
        <v>335</v>
      </c>
      <c r="B141" s="223" t="s">
        <v>372</v>
      </c>
      <c r="C141" s="521" t="s">
        <v>373</v>
      </c>
      <c r="D141" s="519"/>
      <c r="E141" s="223" t="s">
        <v>160</v>
      </c>
      <c r="F141" s="233">
        <v>107</v>
      </c>
      <c r="G141" s="311">
        <v>0</v>
      </c>
      <c r="H141" s="233">
        <f>F141*AM141</f>
        <v>0</v>
      </c>
      <c r="I141" s="233">
        <f>F141*AN141</f>
        <v>0</v>
      </c>
      <c r="J141" s="233">
        <f>F141*G141</f>
        <v>0</v>
      </c>
      <c r="K141" s="233">
        <v>6.9999999999999999E-4</v>
      </c>
      <c r="L141" s="233">
        <f>F141*K141</f>
        <v>7.4899999999999994E-2</v>
      </c>
      <c r="M141" s="240" t="s">
        <v>472</v>
      </c>
      <c r="X141" s="233">
        <f>IF(AO141="5",BH141,0)</f>
        <v>0</v>
      </c>
      <c r="Z141" s="233">
        <f>IF(AO141="1",BF141,0)</f>
        <v>0</v>
      </c>
      <c r="AA141" s="233">
        <f>IF(AO141="1",BG141,0)</f>
        <v>0</v>
      </c>
      <c r="AB141" s="233">
        <f>IF(AO141="7",BF141,0)</f>
        <v>0</v>
      </c>
      <c r="AC141" s="233">
        <f>IF(AO141="7",BG141,0)</f>
        <v>0</v>
      </c>
      <c r="AD141" s="233">
        <f>IF(AO141="2",BF141,0)</f>
        <v>0</v>
      </c>
      <c r="AE141" s="233">
        <f>IF(AO141="2",BG141,0)</f>
        <v>0</v>
      </c>
      <c r="AF141" s="233">
        <f>IF(AO141="0",BH141,0)</f>
        <v>0</v>
      </c>
      <c r="AG141" s="229" t="s">
        <v>154</v>
      </c>
      <c r="AH141" s="233">
        <f>IF(AL141=0,J141,0)</f>
        <v>0</v>
      </c>
      <c r="AI141" s="233">
        <f>IF(AL141=15,J141,0)</f>
        <v>0</v>
      </c>
      <c r="AJ141" s="233">
        <f>IF(AL141=21,J141,0)</f>
        <v>0</v>
      </c>
      <c r="AL141" s="233">
        <v>15</v>
      </c>
      <c r="AM141" s="233">
        <f>G141*0.07121358</f>
        <v>0</v>
      </c>
      <c r="AN141" s="233">
        <f>G141*(1-0.07121358)</f>
        <v>0</v>
      </c>
      <c r="AO141" s="234" t="s">
        <v>157</v>
      </c>
      <c r="AT141" s="233">
        <f>AU141+AV141</f>
        <v>0</v>
      </c>
      <c r="AU141" s="233">
        <f>F141*AM141</f>
        <v>0</v>
      </c>
      <c r="AV141" s="233">
        <f>F141*AN141</f>
        <v>0</v>
      </c>
      <c r="AW141" s="234" t="s">
        <v>374</v>
      </c>
      <c r="AX141" s="234" t="s">
        <v>375</v>
      </c>
      <c r="AY141" s="229" t="s">
        <v>164</v>
      </c>
      <c r="BA141" s="233">
        <f>AU141+AV141</f>
        <v>0</v>
      </c>
      <c r="BB141" s="233">
        <f>G141/(100-BC141)*100</f>
        <v>0</v>
      </c>
      <c r="BC141" s="233">
        <v>0</v>
      </c>
      <c r="BD141" s="233">
        <f>L141</f>
        <v>7.4899999999999994E-2</v>
      </c>
      <c r="BF141" s="233">
        <f>F141*AM141</f>
        <v>0</v>
      </c>
      <c r="BG141" s="233">
        <f>F141*AN141</f>
        <v>0</v>
      </c>
      <c r="BH141" s="233">
        <f>F141*G141</f>
        <v>0</v>
      </c>
      <c r="BI141" s="233"/>
      <c r="BJ141" s="233">
        <v>93</v>
      </c>
      <c r="BU141" s="233" t="e">
        <f>#REF!</f>
        <v>#REF!</v>
      </c>
      <c r="BV141" s="225" t="s">
        <v>373</v>
      </c>
    </row>
    <row r="142" spans="1:74" ht="40.5" customHeight="1" x14ac:dyDescent="0.3">
      <c r="A142" s="241"/>
      <c r="B142" s="242" t="s">
        <v>165</v>
      </c>
      <c r="C142" s="530" t="s">
        <v>1876</v>
      </c>
      <c r="D142" s="531"/>
      <c r="E142" s="531"/>
      <c r="F142" s="531"/>
      <c r="G142" s="531"/>
      <c r="H142" s="531"/>
      <c r="I142" s="531"/>
      <c r="J142" s="531"/>
      <c r="K142" s="531"/>
      <c r="L142" s="531"/>
      <c r="M142" s="532"/>
    </row>
    <row r="143" spans="1:74" ht="14.4" x14ac:dyDescent="0.3">
      <c r="A143" s="239" t="s">
        <v>154</v>
      </c>
      <c r="B143" s="224" t="s">
        <v>376</v>
      </c>
      <c r="C143" s="526" t="s">
        <v>377</v>
      </c>
      <c r="D143" s="527"/>
      <c r="E143" s="223" t="s">
        <v>114</v>
      </c>
      <c r="F143" s="223" t="s">
        <v>114</v>
      </c>
      <c r="G143" s="223" t="s">
        <v>114</v>
      </c>
      <c r="H143" s="235">
        <f>SUM(H144:H144)</f>
        <v>0</v>
      </c>
      <c r="I143" s="235">
        <f>SUM(I144:I144)</f>
        <v>0</v>
      </c>
      <c r="J143" s="235">
        <f>SUM(J144:J144)</f>
        <v>0</v>
      </c>
      <c r="K143" s="230" t="s">
        <v>154</v>
      </c>
      <c r="L143" s="235">
        <f>SUM(L144:L144)</f>
        <v>0</v>
      </c>
      <c r="M143" s="243" t="s">
        <v>154</v>
      </c>
      <c r="AG143" s="229" t="s">
        <v>154</v>
      </c>
      <c r="AQ143" s="222">
        <f>SUM(AH144:AH144)</f>
        <v>0</v>
      </c>
      <c r="AR143" s="222">
        <f>SUM(AI144:AI144)</f>
        <v>0</v>
      </c>
      <c r="AS143" s="222">
        <f>SUM(AJ144:AJ144)</f>
        <v>0</v>
      </c>
    </row>
    <row r="144" spans="1:74" ht="14.4" x14ac:dyDescent="0.3">
      <c r="A144" s="239" t="s">
        <v>384</v>
      </c>
      <c r="B144" s="223" t="s">
        <v>378</v>
      </c>
      <c r="C144" s="521" t="s">
        <v>379</v>
      </c>
      <c r="D144" s="519"/>
      <c r="E144" s="223" t="s">
        <v>380</v>
      </c>
      <c r="F144" s="233">
        <v>77.63</v>
      </c>
      <c r="G144" s="311">
        <v>0</v>
      </c>
      <c r="H144" s="233">
        <f>F144*AM144</f>
        <v>0</v>
      </c>
      <c r="I144" s="233">
        <f>F144*AN144</f>
        <v>0</v>
      </c>
      <c r="J144" s="233">
        <f>F144*G144</f>
        <v>0</v>
      </c>
      <c r="K144" s="233">
        <v>0</v>
      </c>
      <c r="L144" s="233">
        <f>F144*K144</f>
        <v>0</v>
      </c>
      <c r="M144" s="240" t="s">
        <v>472</v>
      </c>
      <c r="X144" s="233">
        <f>IF(AO144="5",BH144,0)</f>
        <v>0</v>
      </c>
      <c r="Z144" s="233">
        <f>IF(AO144="1",BF144,0)</f>
        <v>0</v>
      </c>
      <c r="AA144" s="233">
        <f>IF(AO144="1",BG144,0)</f>
        <v>0</v>
      </c>
      <c r="AB144" s="233">
        <f>IF(AO144="7",BF144,0)</f>
        <v>0</v>
      </c>
      <c r="AC144" s="233">
        <f>IF(AO144="7",BG144,0)</f>
        <v>0</v>
      </c>
      <c r="AD144" s="233">
        <f>IF(AO144="2",BF144,0)</f>
        <v>0</v>
      </c>
      <c r="AE144" s="233">
        <f>IF(AO144="2",BG144,0)</f>
        <v>0</v>
      </c>
      <c r="AF144" s="233">
        <f>IF(AO144="0",BH144,0)</f>
        <v>0</v>
      </c>
      <c r="AG144" s="229" t="s">
        <v>154</v>
      </c>
      <c r="AH144" s="233">
        <f>IF(AL144=0,J144,0)</f>
        <v>0</v>
      </c>
      <c r="AI144" s="233">
        <f>IF(AL144=15,J144,0)</f>
        <v>0</v>
      </c>
      <c r="AJ144" s="233">
        <f>IF(AL144=21,J144,0)</f>
        <v>0</v>
      </c>
      <c r="AL144" s="233">
        <v>15</v>
      </c>
      <c r="AM144" s="233">
        <f>G144*0</f>
        <v>0</v>
      </c>
      <c r="AN144" s="233">
        <f>G144*(1-0)</f>
        <v>0</v>
      </c>
      <c r="AO144" s="234" t="s">
        <v>157</v>
      </c>
      <c r="AT144" s="233">
        <f>AU144+AV144</f>
        <v>0</v>
      </c>
      <c r="AU144" s="233">
        <f>F144*AM144</f>
        <v>0</v>
      </c>
      <c r="AV144" s="233">
        <f>F144*AN144</f>
        <v>0</v>
      </c>
      <c r="AW144" s="234" t="s">
        <v>381</v>
      </c>
      <c r="AX144" s="234" t="s">
        <v>375</v>
      </c>
      <c r="AY144" s="229" t="s">
        <v>164</v>
      </c>
      <c r="BA144" s="233">
        <f>AU144+AV144</f>
        <v>0</v>
      </c>
      <c r="BB144" s="233">
        <f>G144/(100-BC144)*100</f>
        <v>0</v>
      </c>
      <c r="BC144" s="233">
        <v>0</v>
      </c>
      <c r="BD144" s="233">
        <f>L144</f>
        <v>0</v>
      </c>
      <c r="BF144" s="233">
        <f>F144*AM144</f>
        <v>0</v>
      </c>
      <c r="BG144" s="233">
        <f>F144*AN144</f>
        <v>0</v>
      </c>
      <c r="BH144" s="233">
        <f>F144*G144</f>
        <v>0</v>
      </c>
      <c r="BI144" s="233"/>
      <c r="BJ144" s="233">
        <v>97</v>
      </c>
      <c r="BU144" s="233" t="e">
        <f>#REF!</f>
        <v>#REF!</v>
      </c>
      <c r="BV144" s="225" t="s">
        <v>379</v>
      </c>
    </row>
    <row r="145" spans="1:74" ht="40.5" customHeight="1" x14ac:dyDescent="0.3">
      <c r="A145" s="244"/>
      <c r="B145" s="245" t="s">
        <v>165</v>
      </c>
      <c r="C145" s="540" t="s">
        <v>1877</v>
      </c>
      <c r="D145" s="541"/>
      <c r="E145" s="541"/>
      <c r="F145" s="541"/>
      <c r="G145" s="541"/>
      <c r="H145" s="541"/>
      <c r="I145" s="541"/>
      <c r="J145" s="541"/>
      <c r="K145" s="541"/>
      <c r="L145" s="541"/>
      <c r="M145" s="542"/>
    </row>
    <row r="146" spans="1:74" ht="14.4" x14ac:dyDescent="0.3">
      <c r="A146" s="237" t="s">
        <v>154</v>
      </c>
      <c r="B146" s="260" t="s">
        <v>382</v>
      </c>
      <c r="C146" s="545" t="s">
        <v>383</v>
      </c>
      <c r="D146" s="546"/>
      <c r="E146" s="238" t="s">
        <v>114</v>
      </c>
      <c r="F146" s="238" t="s">
        <v>114</v>
      </c>
      <c r="G146" s="238" t="s">
        <v>114</v>
      </c>
      <c r="H146" s="261">
        <f>SUM(H147:H155)</f>
        <v>0</v>
      </c>
      <c r="I146" s="261">
        <f>SUM(I147:I155)</f>
        <v>0</v>
      </c>
      <c r="J146" s="261">
        <f>SUM(J147:J155)</f>
        <v>0</v>
      </c>
      <c r="K146" s="262" t="s">
        <v>154</v>
      </c>
      <c r="L146" s="261">
        <f>SUM(L147:L155)</f>
        <v>0</v>
      </c>
      <c r="M146" s="263" t="s">
        <v>154</v>
      </c>
      <c r="AG146" s="229" t="s">
        <v>154</v>
      </c>
      <c r="AQ146" s="222">
        <f>SUM(AH147:AH155)</f>
        <v>0</v>
      </c>
      <c r="AR146" s="222">
        <f>SUM(AI147:AI155)</f>
        <v>0</v>
      </c>
      <c r="AS146" s="222">
        <f>SUM(AJ147:AJ155)</f>
        <v>0</v>
      </c>
    </row>
    <row r="147" spans="1:74" ht="14.4" x14ac:dyDescent="0.3">
      <c r="A147" s="239" t="s">
        <v>344</v>
      </c>
      <c r="B147" s="223" t="s">
        <v>385</v>
      </c>
      <c r="C147" s="521" t="s">
        <v>386</v>
      </c>
      <c r="D147" s="519"/>
      <c r="E147" s="223" t="s">
        <v>380</v>
      </c>
      <c r="F147" s="233">
        <v>63.51</v>
      </c>
      <c r="G147" s="311">
        <v>0</v>
      </c>
      <c r="H147" s="233">
        <f>F147*AM147</f>
        <v>0</v>
      </c>
      <c r="I147" s="233">
        <f>F147*AN147</f>
        <v>0</v>
      </c>
      <c r="J147" s="233">
        <f>F147*G147</f>
        <v>0</v>
      </c>
      <c r="K147" s="233">
        <v>0</v>
      </c>
      <c r="L147" s="233">
        <f>F147*K147</f>
        <v>0</v>
      </c>
      <c r="M147" s="240" t="s">
        <v>472</v>
      </c>
      <c r="X147" s="233">
        <f>IF(AO147="5",BH147,0)</f>
        <v>0</v>
      </c>
      <c r="Z147" s="233">
        <f>IF(AO147="1",BF147,0)</f>
        <v>0</v>
      </c>
      <c r="AA147" s="233">
        <f>IF(AO147="1",BG147,0)</f>
        <v>0</v>
      </c>
      <c r="AB147" s="233">
        <f>IF(AO147="7",BF147,0)</f>
        <v>0</v>
      </c>
      <c r="AC147" s="233">
        <f>IF(AO147="7",BG147,0)</f>
        <v>0</v>
      </c>
      <c r="AD147" s="233">
        <f>IF(AO147="2",BF147,0)</f>
        <v>0</v>
      </c>
      <c r="AE147" s="233">
        <f>IF(AO147="2",BG147,0)</f>
        <v>0</v>
      </c>
      <c r="AF147" s="233">
        <f>IF(AO147="0",BH147,0)</f>
        <v>0</v>
      </c>
      <c r="AG147" s="229" t="s">
        <v>154</v>
      </c>
      <c r="AH147" s="233">
        <f>IF(AL147=0,J147,0)</f>
        <v>0</v>
      </c>
      <c r="AI147" s="233">
        <f>IF(AL147=15,J147,0)</f>
        <v>0</v>
      </c>
      <c r="AJ147" s="233">
        <f>IF(AL147=21,J147,0)</f>
        <v>0</v>
      </c>
      <c r="AL147" s="233">
        <v>15</v>
      </c>
      <c r="AM147" s="233">
        <f>G147*0</f>
        <v>0</v>
      </c>
      <c r="AN147" s="233">
        <f>G147*(1-0)</f>
        <v>0</v>
      </c>
      <c r="AO147" s="234" t="s">
        <v>177</v>
      </c>
      <c r="AT147" s="233">
        <f>AU147+AV147</f>
        <v>0</v>
      </c>
      <c r="AU147" s="233">
        <f>F147*AM147</f>
        <v>0</v>
      </c>
      <c r="AV147" s="233">
        <f>F147*AN147</f>
        <v>0</v>
      </c>
      <c r="AW147" s="234" t="s">
        <v>387</v>
      </c>
      <c r="AX147" s="234" t="s">
        <v>375</v>
      </c>
      <c r="AY147" s="229" t="s">
        <v>164</v>
      </c>
      <c r="BA147" s="233">
        <f>AU147+AV147</f>
        <v>0</v>
      </c>
      <c r="BB147" s="233">
        <f>G147/(100-BC147)*100</f>
        <v>0</v>
      </c>
      <c r="BC147" s="233">
        <v>0</v>
      </c>
      <c r="BD147" s="233">
        <f>L147</f>
        <v>0</v>
      </c>
      <c r="BF147" s="233">
        <f>F147*AM147</f>
        <v>0</v>
      </c>
      <c r="BG147" s="233">
        <f>F147*AN147</f>
        <v>0</v>
      </c>
      <c r="BH147" s="233">
        <f>F147*G147</f>
        <v>0</v>
      </c>
      <c r="BI147" s="233"/>
      <c r="BJ147" s="233"/>
      <c r="BU147" s="233" t="e">
        <f>#REF!</f>
        <v>#REF!</v>
      </c>
      <c r="BV147" s="225" t="s">
        <v>386</v>
      </c>
    </row>
    <row r="148" spans="1:74" ht="14.4" x14ac:dyDescent="0.3">
      <c r="A148" s="239" t="s">
        <v>390</v>
      </c>
      <c r="B148" s="223" t="s">
        <v>388</v>
      </c>
      <c r="C148" s="521" t="s">
        <v>389</v>
      </c>
      <c r="D148" s="519"/>
      <c r="E148" s="223" t="s">
        <v>380</v>
      </c>
      <c r="F148" s="233">
        <v>1095.55</v>
      </c>
      <c r="G148" s="311">
        <v>0</v>
      </c>
      <c r="H148" s="233">
        <f>F148*AM148</f>
        <v>0</v>
      </c>
      <c r="I148" s="233">
        <f>F148*AN148</f>
        <v>0</v>
      </c>
      <c r="J148" s="233">
        <f>F148*G148</f>
        <v>0</v>
      </c>
      <c r="K148" s="233">
        <v>0</v>
      </c>
      <c r="L148" s="233">
        <f>F148*K148</f>
        <v>0</v>
      </c>
      <c r="M148" s="240" t="s">
        <v>472</v>
      </c>
      <c r="X148" s="233">
        <f>IF(AO148="5",BH148,0)</f>
        <v>0</v>
      </c>
      <c r="Z148" s="233">
        <f>IF(AO148="1",BF148,0)</f>
        <v>0</v>
      </c>
      <c r="AA148" s="233">
        <f>IF(AO148="1",BG148,0)</f>
        <v>0</v>
      </c>
      <c r="AB148" s="233">
        <f>IF(AO148="7",BF148,0)</f>
        <v>0</v>
      </c>
      <c r="AC148" s="233">
        <f>IF(AO148="7",BG148,0)</f>
        <v>0</v>
      </c>
      <c r="AD148" s="233">
        <f>IF(AO148="2",BF148,0)</f>
        <v>0</v>
      </c>
      <c r="AE148" s="233">
        <f>IF(AO148="2",BG148,0)</f>
        <v>0</v>
      </c>
      <c r="AF148" s="233">
        <f>IF(AO148="0",BH148,0)</f>
        <v>0</v>
      </c>
      <c r="AG148" s="229" t="s">
        <v>154</v>
      </c>
      <c r="AH148" s="233">
        <f>IF(AL148=0,J148,0)</f>
        <v>0</v>
      </c>
      <c r="AI148" s="233">
        <f>IF(AL148=15,J148,0)</f>
        <v>0</v>
      </c>
      <c r="AJ148" s="233">
        <f>IF(AL148=21,J148,0)</f>
        <v>0</v>
      </c>
      <c r="AL148" s="233">
        <v>15</v>
      </c>
      <c r="AM148" s="233">
        <f>G148*0</f>
        <v>0</v>
      </c>
      <c r="AN148" s="233">
        <f>G148*(1-0)</f>
        <v>0</v>
      </c>
      <c r="AO148" s="234" t="s">
        <v>177</v>
      </c>
      <c r="AT148" s="233">
        <f>AU148+AV148</f>
        <v>0</v>
      </c>
      <c r="AU148" s="233">
        <f>F148*AM148</f>
        <v>0</v>
      </c>
      <c r="AV148" s="233">
        <f>F148*AN148</f>
        <v>0</v>
      </c>
      <c r="AW148" s="234" t="s">
        <v>387</v>
      </c>
      <c r="AX148" s="234" t="s">
        <v>375</v>
      </c>
      <c r="AY148" s="229" t="s">
        <v>164</v>
      </c>
      <c r="BA148" s="233">
        <f>AU148+AV148</f>
        <v>0</v>
      </c>
      <c r="BB148" s="233">
        <f>G148/(100-BC148)*100</f>
        <v>0</v>
      </c>
      <c r="BC148" s="233">
        <v>0</v>
      </c>
      <c r="BD148" s="233">
        <f>L148</f>
        <v>0</v>
      </c>
      <c r="BF148" s="233">
        <f>F148*AM148</f>
        <v>0</v>
      </c>
      <c r="BG148" s="233">
        <f>F148*AN148</f>
        <v>0</v>
      </c>
      <c r="BH148" s="233">
        <f>F148*G148</f>
        <v>0</v>
      </c>
      <c r="BI148" s="233"/>
      <c r="BJ148" s="233"/>
      <c r="BU148" s="233" t="e">
        <f>#REF!</f>
        <v>#REF!</v>
      </c>
      <c r="BV148" s="225" t="s">
        <v>389</v>
      </c>
    </row>
    <row r="149" spans="1:74" ht="40.5" customHeight="1" x14ac:dyDescent="0.3">
      <c r="A149" s="241"/>
      <c r="B149" s="242" t="s">
        <v>165</v>
      </c>
      <c r="C149" s="530" t="s">
        <v>1878</v>
      </c>
      <c r="D149" s="531"/>
      <c r="E149" s="531"/>
      <c r="F149" s="531"/>
      <c r="G149" s="531"/>
      <c r="H149" s="531"/>
      <c r="I149" s="531"/>
      <c r="J149" s="531"/>
      <c r="K149" s="531"/>
      <c r="L149" s="531"/>
      <c r="M149" s="532"/>
    </row>
    <row r="150" spans="1:74" ht="14.4" x14ac:dyDescent="0.3">
      <c r="A150" s="239" t="s">
        <v>393</v>
      </c>
      <c r="B150" s="223" t="s">
        <v>391</v>
      </c>
      <c r="C150" s="521" t="s">
        <v>392</v>
      </c>
      <c r="D150" s="519"/>
      <c r="E150" s="223" t="s">
        <v>380</v>
      </c>
      <c r="F150" s="233">
        <v>15.88</v>
      </c>
      <c r="G150" s="311">
        <v>0</v>
      </c>
      <c r="H150" s="233">
        <f>F150*AM150</f>
        <v>0</v>
      </c>
      <c r="I150" s="233">
        <f>F150*AN150</f>
        <v>0</v>
      </c>
      <c r="J150" s="233">
        <f>F150*G150</f>
        <v>0</v>
      </c>
      <c r="K150" s="233">
        <v>0</v>
      </c>
      <c r="L150" s="233">
        <f>F150*K150</f>
        <v>0</v>
      </c>
      <c r="M150" s="240" t="s">
        <v>472</v>
      </c>
      <c r="X150" s="233">
        <f>IF(AO150="5",BH150,0)</f>
        <v>0</v>
      </c>
      <c r="Z150" s="233">
        <f>IF(AO150="1",BF150,0)</f>
        <v>0</v>
      </c>
      <c r="AA150" s="233">
        <f>IF(AO150="1",BG150,0)</f>
        <v>0</v>
      </c>
      <c r="AB150" s="233">
        <f>IF(AO150="7",BF150,0)</f>
        <v>0</v>
      </c>
      <c r="AC150" s="233">
        <f>IF(AO150="7",BG150,0)</f>
        <v>0</v>
      </c>
      <c r="AD150" s="233">
        <f>IF(AO150="2",BF150,0)</f>
        <v>0</v>
      </c>
      <c r="AE150" s="233">
        <f>IF(AO150="2",BG150,0)</f>
        <v>0</v>
      </c>
      <c r="AF150" s="233">
        <f>IF(AO150="0",BH150,0)</f>
        <v>0</v>
      </c>
      <c r="AG150" s="229" t="s">
        <v>154</v>
      </c>
      <c r="AH150" s="233">
        <f>IF(AL150=0,J150,0)</f>
        <v>0</v>
      </c>
      <c r="AI150" s="233">
        <f>IF(AL150=15,J150,0)</f>
        <v>0</v>
      </c>
      <c r="AJ150" s="233">
        <f>IF(AL150=21,J150,0)</f>
        <v>0</v>
      </c>
      <c r="AL150" s="233">
        <v>15</v>
      </c>
      <c r="AM150" s="233">
        <f>G150*0</f>
        <v>0</v>
      </c>
      <c r="AN150" s="233">
        <f>G150*(1-0)</f>
        <v>0</v>
      </c>
      <c r="AO150" s="234" t="s">
        <v>177</v>
      </c>
      <c r="AT150" s="233">
        <f>AU150+AV150</f>
        <v>0</v>
      </c>
      <c r="AU150" s="233">
        <f>F150*AM150</f>
        <v>0</v>
      </c>
      <c r="AV150" s="233">
        <f>F150*AN150</f>
        <v>0</v>
      </c>
      <c r="AW150" s="234" t="s">
        <v>387</v>
      </c>
      <c r="AX150" s="234" t="s">
        <v>375</v>
      </c>
      <c r="AY150" s="229" t="s">
        <v>164</v>
      </c>
      <c r="BA150" s="233">
        <f>AU150+AV150</f>
        <v>0</v>
      </c>
      <c r="BB150" s="233">
        <f>G150/(100-BC150)*100</f>
        <v>0</v>
      </c>
      <c r="BC150" s="233">
        <v>0</v>
      </c>
      <c r="BD150" s="233">
        <f>L150</f>
        <v>0</v>
      </c>
      <c r="BF150" s="233">
        <f>F150*AM150</f>
        <v>0</v>
      </c>
      <c r="BG150" s="233">
        <f>F150*AN150</f>
        <v>0</v>
      </c>
      <c r="BH150" s="233">
        <f>F150*G150</f>
        <v>0</v>
      </c>
      <c r="BI150" s="233"/>
      <c r="BJ150" s="233"/>
      <c r="BU150" s="233" t="e">
        <f>#REF!</f>
        <v>#REF!</v>
      </c>
      <c r="BV150" s="225" t="s">
        <v>392</v>
      </c>
    </row>
    <row r="151" spans="1:74" ht="40.5" customHeight="1" x14ac:dyDescent="0.3">
      <c r="A151" s="241"/>
      <c r="B151" s="242" t="s">
        <v>165</v>
      </c>
      <c r="C151" s="530" t="s">
        <v>1879</v>
      </c>
      <c r="D151" s="531"/>
      <c r="E151" s="531"/>
      <c r="F151" s="531"/>
      <c r="G151" s="531"/>
      <c r="H151" s="531"/>
      <c r="I151" s="531"/>
      <c r="J151" s="531"/>
      <c r="K151" s="531"/>
      <c r="L151" s="531"/>
      <c r="M151" s="532"/>
    </row>
    <row r="152" spans="1:74" ht="14.4" x14ac:dyDescent="0.3">
      <c r="A152" s="239" t="s">
        <v>396</v>
      </c>
      <c r="B152" s="223" t="s">
        <v>394</v>
      </c>
      <c r="C152" s="521" t="s">
        <v>395</v>
      </c>
      <c r="D152" s="519"/>
      <c r="E152" s="223" t="s">
        <v>380</v>
      </c>
      <c r="F152" s="233">
        <v>62.29</v>
      </c>
      <c r="G152" s="311">
        <v>0</v>
      </c>
      <c r="H152" s="233">
        <f>F152*AM152</f>
        <v>0</v>
      </c>
      <c r="I152" s="233">
        <f>F152*AN152</f>
        <v>0</v>
      </c>
      <c r="J152" s="233">
        <f>F152*G152</f>
        <v>0</v>
      </c>
      <c r="K152" s="233">
        <v>0</v>
      </c>
      <c r="L152" s="233">
        <f>F152*K152</f>
        <v>0</v>
      </c>
      <c r="M152" s="240" t="s">
        <v>472</v>
      </c>
      <c r="X152" s="233">
        <f>IF(AO152="5",BH152,0)</f>
        <v>0</v>
      </c>
      <c r="Z152" s="233">
        <f>IF(AO152="1",BF152,0)</f>
        <v>0</v>
      </c>
      <c r="AA152" s="233">
        <f>IF(AO152="1",BG152,0)</f>
        <v>0</v>
      </c>
      <c r="AB152" s="233">
        <f>IF(AO152="7",BF152,0)</f>
        <v>0</v>
      </c>
      <c r="AC152" s="233">
        <f>IF(AO152="7",BG152,0)</f>
        <v>0</v>
      </c>
      <c r="AD152" s="233">
        <f>IF(AO152="2",BF152,0)</f>
        <v>0</v>
      </c>
      <c r="AE152" s="233">
        <f>IF(AO152="2",BG152,0)</f>
        <v>0</v>
      </c>
      <c r="AF152" s="233">
        <f>IF(AO152="0",BH152,0)</f>
        <v>0</v>
      </c>
      <c r="AG152" s="229" t="s">
        <v>154</v>
      </c>
      <c r="AH152" s="233">
        <f>IF(AL152=0,J152,0)</f>
        <v>0</v>
      </c>
      <c r="AI152" s="233">
        <f>IF(AL152=15,J152,0)</f>
        <v>0</v>
      </c>
      <c r="AJ152" s="233">
        <f>IF(AL152=21,J152,0)</f>
        <v>0</v>
      </c>
      <c r="AL152" s="233">
        <v>15</v>
      </c>
      <c r="AM152" s="233">
        <f>G152*0</f>
        <v>0</v>
      </c>
      <c r="AN152" s="233">
        <f>G152*(1-0)</f>
        <v>0</v>
      </c>
      <c r="AO152" s="234" t="s">
        <v>177</v>
      </c>
      <c r="AT152" s="233">
        <f>AU152+AV152</f>
        <v>0</v>
      </c>
      <c r="AU152" s="233">
        <f>F152*AM152</f>
        <v>0</v>
      </c>
      <c r="AV152" s="233">
        <f>F152*AN152</f>
        <v>0</v>
      </c>
      <c r="AW152" s="234" t="s">
        <v>387</v>
      </c>
      <c r="AX152" s="234" t="s">
        <v>375</v>
      </c>
      <c r="AY152" s="229" t="s">
        <v>164</v>
      </c>
      <c r="BA152" s="233">
        <f>AU152+AV152</f>
        <v>0</v>
      </c>
      <c r="BB152" s="233">
        <f>G152/(100-BC152)*100</f>
        <v>0</v>
      </c>
      <c r="BC152" s="233">
        <v>0</v>
      </c>
      <c r="BD152" s="233">
        <f>L152</f>
        <v>0</v>
      </c>
      <c r="BF152" s="233">
        <f>F152*AM152</f>
        <v>0</v>
      </c>
      <c r="BG152" s="233">
        <f>F152*AN152</f>
        <v>0</v>
      </c>
      <c r="BH152" s="233">
        <f>F152*G152</f>
        <v>0</v>
      </c>
      <c r="BI152" s="233"/>
      <c r="BJ152" s="233"/>
      <c r="BU152" s="233" t="e">
        <f>#REF!</f>
        <v>#REF!</v>
      </c>
      <c r="BV152" s="225" t="s">
        <v>395</v>
      </c>
    </row>
    <row r="153" spans="1:74" ht="14.4" x14ac:dyDescent="0.3">
      <c r="A153" s="239" t="s">
        <v>401</v>
      </c>
      <c r="B153" s="223" t="s">
        <v>397</v>
      </c>
      <c r="C153" s="521" t="s">
        <v>398</v>
      </c>
      <c r="D153" s="519"/>
      <c r="E153" s="223" t="s">
        <v>380</v>
      </c>
      <c r="F153" s="233">
        <v>716.34</v>
      </c>
      <c r="G153" s="311">
        <v>0</v>
      </c>
      <c r="H153" s="233">
        <f>F153*AM153</f>
        <v>0</v>
      </c>
      <c r="I153" s="233">
        <f>F153*AN153</f>
        <v>0</v>
      </c>
      <c r="J153" s="233">
        <f>F153*G153</f>
        <v>0</v>
      </c>
      <c r="K153" s="233">
        <v>0</v>
      </c>
      <c r="L153" s="233">
        <f>F153*K153</f>
        <v>0</v>
      </c>
      <c r="M153" s="240" t="s">
        <v>472</v>
      </c>
      <c r="X153" s="233">
        <f>IF(AO153="5",BH153,0)</f>
        <v>0</v>
      </c>
      <c r="Z153" s="233">
        <f>IF(AO153="1",BF153,0)</f>
        <v>0</v>
      </c>
      <c r="AA153" s="233">
        <f>IF(AO153="1",BG153,0)</f>
        <v>0</v>
      </c>
      <c r="AB153" s="233">
        <f>IF(AO153="7",BF153,0)</f>
        <v>0</v>
      </c>
      <c r="AC153" s="233">
        <f>IF(AO153="7",BG153,0)</f>
        <v>0</v>
      </c>
      <c r="AD153" s="233">
        <f>IF(AO153="2",BF153,0)</f>
        <v>0</v>
      </c>
      <c r="AE153" s="233">
        <f>IF(AO153="2",BG153,0)</f>
        <v>0</v>
      </c>
      <c r="AF153" s="233">
        <f>IF(AO153="0",BH153,0)</f>
        <v>0</v>
      </c>
      <c r="AG153" s="229" t="s">
        <v>154</v>
      </c>
      <c r="AH153" s="233">
        <f>IF(AL153=0,J153,0)</f>
        <v>0</v>
      </c>
      <c r="AI153" s="233">
        <f>IF(AL153=15,J153,0)</f>
        <v>0</v>
      </c>
      <c r="AJ153" s="233">
        <f>IF(AL153=21,J153,0)</f>
        <v>0</v>
      </c>
      <c r="AL153" s="233">
        <v>15</v>
      </c>
      <c r="AM153" s="233">
        <f>G153*0</f>
        <v>0</v>
      </c>
      <c r="AN153" s="233">
        <f>G153*(1-0)</f>
        <v>0</v>
      </c>
      <c r="AO153" s="234" t="s">
        <v>177</v>
      </c>
      <c r="AT153" s="233">
        <f>AU153+AV153</f>
        <v>0</v>
      </c>
      <c r="AU153" s="233">
        <f>F153*AM153</f>
        <v>0</v>
      </c>
      <c r="AV153" s="233">
        <f>F153*AN153</f>
        <v>0</v>
      </c>
      <c r="AW153" s="234" t="s">
        <v>387</v>
      </c>
      <c r="AX153" s="234" t="s">
        <v>375</v>
      </c>
      <c r="AY153" s="229" t="s">
        <v>164</v>
      </c>
      <c r="BA153" s="233">
        <f>AU153+AV153</f>
        <v>0</v>
      </c>
      <c r="BB153" s="233">
        <f>G153/(100-BC153)*100</f>
        <v>0</v>
      </c>
      <c r="BC153" s="233">
        <v>0</v>
      </c>
      <c r="BD153" s="233">
        <f>L153</f>
        <v>0</v>
      </c>
      <c r="BF153" s="233">
        <f>F153*AM153</f>
        <v>0</v>
      </c>
      <c r="BG153" s="233">
        <f>F153*AN153</f>
        <v>0</v>
      </c>
      <c r="BH153" s="233">
        <f>F153*G153</f>
        <v>0</v>
      </c>
      <c r="BI153" s="233"/>
      <c r="BJ153" s="233"/>
      <c r="BU153" s="233" t="e">
        <f>#REF!</f>
        <v>#REF!</v>
      </c>
      <c r="BV153" s="225" t="s">
        <v>398</v>
      </c>
    </row>
    <row r="154" spans="1:74" ht="40.5" customHeight="1" x14ac:dyDescent="0.3">
      <c r="A154" s="241"/>
      <c r="B154" s="242" t="s">
        <v>165</v>
      </c>
      <c r="C154" s="530" t="s">
        <v>1880</v>
      </c>
      <c r="D154" s="531"/>
      <c r="E154" s="531"/>
      <c r="F154" s="531"/>
      <c r="G154" s="531"/>
      <c r="H154" s="531"/>
      <c r="I154" s="531"/>
      <c r="J154" s="531"/>
      <c r="K154" s="531"/>
      <c r="L154" s="531"/>
      <c r="M154" s="532"/>
    </row>
    <row r="155" spans="1:74" ht="26.4" x14ac:dyDescent="0.3">
      <c r="A155" s="239" t="s">
        <v>405</v>
      </c>
      <c r="B155" s="223" t="s">
        <v>385</v>
      </c>
      <c r="C155" s="521" t="s">
        <v>443</v>
      </c>
      <c r="D155" s="519"/>
      <c r="E155" s="223" t="s">
        <v>380</v>
      </c>
      <c r="F155" s="233">
        <v>165.87</v>
      </c>
      <c r="G155" s="311">
        <v>0</v>
      </c>
      <c r="H155" s="233">
        <f>F155*AM155</f>
        <v>0</v>
      </c>
      <c r="I155" s="233">
        <f>F155*AN155</f>
        <v>0</v>
      </c>
      <c r="J155" s="233">
        <f>F155*G155</f>
        <v>0</v>
      </c>
      <c r="K155" s="233">
        <v>0</v>
      </c>
      <c r="L155" s="233">
        <f>F155*K155</f>
        <v>0</v>
      </c>
      <c r="M155" s="240" t="s">
        <v>472</v>
      </c>
      <c r="X155" s="233">
        <f>IF(AO155="5",BH155,0)</f>
        <v>0</v>
      </c>
      <c r="Z155" s="233">
        <f>IF(AO155="1",BF155,0)</f>
        <v>0</v>
      </c>
      <c r="AA155" s="233">
        <f>IF(AO155="1",BG155,0)</f>
        <v>0</v>
      </c>
      <c r="AB155" s="233">
        <f>IF(AO155="7",BF155,0)</f>
        <v>0</v>
      </c>
      <c r="AC155" s="233">
        <f>IF(AO155="7",BG155,0)</f>
        <v>0</v>
      </c>
      <c r="AD155" s="233">
        <f>IF(AO155="2",BF155,0)</f>
        <v>0</v>
      </c>
      <c r="AE155" s="233">
        <f>IF(AO155="2",BG155,0)</f>
        <v>0</v>
      </c>
      <c r="AF155" s="233">
        <f>IF(AO155="0",BH155,0)</f>
        <v>0</v>
      </c>
      <c r="AG155" s="229" t="s">
        <v>154</v>
      </c>
      <c r="AH155" s="233">
        <f>IF(AL155=0,J155,0)</f>
        <v>0</v>
      </c>
      <c r="AI155" s="233">
        <f>IF(AL155=15,J155,0)</f>
        <v>0</v>
      </c>
      <c r="AJ155" s="233">
        <f>IF(AL155=21,J155,0)</f>
        <v>0</v>
      </c>
      <c r="AL155" s="233">
        <v>15</v>
      </c>
      <c r="AM155" s="233">
        <f>G155*0</f>
        <v>0</v>
      </c>
      <c r="AN155" s="233">
        <f>G155*(1-0)</f>
        <v>0</v>
      </c>
      <c r="AO155" s="234" t="s">
        <v>177</v>
      </c>
      <c r="AT155" s="233">
        <f>AU155+AV155</f>
        <v>0</v>
      </c>
      <c r="AU155" s="233">
        <f>F155*AM155</f>
        <v>0</v>
      </c>
      <c r="AV155" s="233">
        <f>F155*AN155</f>
        <v>0</v>
      </c>
      <c r="AW155" s="234" t="s">
        <v>387</v>
      </c>
      <c r="AX155" s="234" t="s">
        <v>375</v>
      </c>
      <c r="AY155" s="229" t="s">
        <v>164</v>
      </c>
      <c r="BA155" s="233">
        <f>AU155+AV155</f>
        <v>0</v>
      </c>
      <c r="BB155" s="233">
        <f>G155/(100-BC155)*100</f>
        <v>0</v>
      </c>
      <c r="BC155" s="233">
        <v>0</v>
      </c>
      <c r="BD155" s="233">
        <f>L155</f>
        <v>0</v>
      </c>
      <c r="BF155" s="233">
        <f>F155*AM155</f>
        <v>0</v>
      </c>
      <c r="BG155" s="233">
        <f>F155*AN155</f>
        <v>0</v>
      </c>
      <c r="BH155" s="233">
        <f>F155*G155</f>
        <v>0</v>
      </c>
      <c r="BI155" s="233"/>
      <c r="BJ155" s="233"/>
      <c r="BU155" s="233" t="e">
        <f>#REF!</f>
        <v>#REF!</v>
      </c>
      <c r="BV155" s="225" t="s">
        <v>443</v>
      </c>
    </row>
    <row r="156" spans="1:74" ht="14.4" x14ac:dyDescent="0.3">
      <c r="A156" s="239" t="s">
        <v>154</v>
      </c>
      <c r="B156" s="224" t="s">
        <v>399</v>
      </c>
      <c r="C156" s="526" t="s">
        <v>400</v>
      </c>
      <c r="D156" s="527"/>
      <c r="E156" s="223" t="s">
        <v>114</v>
      </c>
      <c r="F156" s="223" t="s">
        <v>114</v>
      </c>
      <c r="G156" s="223" t="s">
        <v>114</v>
      </c>
      <c r="H156" s="235">
        <f>SUM(H157:H159)</f>
        <v>0</v>
      </c>
      <c r="I156" s="235">
        <f>SUM(I157:I159)</f>
        <v>0</v>
      </c>
      <c r="J156" s="235">
        <f>SUM(J157:J159)</f>
        <v>0</v>
      </c>
      <c r="K156" s="230" t="s">
        <v>154</v>
      </c>
      <c r="L156" s="235">
        <f>SUM(L157:L159)</f>
        <v>0</v>
      </c>
      <c r="M156" s="243" t="s">
        <v>154</v>
      </c>
      <c r="AG156" s="229" t="s">
        <v>154</v>
      </c>
      <c r="AQ156" s="222">
        <f>SUM(AH157:AH159)</f>
        <v>0</v>
      </c>
      <c r="AR156" s="222">
        <f>SUM(AI157:AI159)</f>
        <v>0</v>
      </c>
      <c r="AS156" s="222">
        <f>SUM(AJ157:AJ159)</f>
        <v>0</v>
      </c>
    </row>
    <row r="157" spans="1:74" ht="14.4" x14ac:dyDescent="0.3">
      <c r="A157" s="239" t="s">
        <v>408</v>
      </c>
      <c r="B157" s="223" t="s">
        <v>402</v>
      </c>
      <c r="C157" s="521" t="s">
        <v>403</v>
      </c>
      <c r="D157" s="519"/>
      <c r="E157" s="223" t="s">
        <v>380</v>
      </c>
      <c r="F157" s="233">
        <v>56.97</v>
      </c>
      <c r="G157" s="311">
        <v>0</v>
      </c>
      <c r="H157" s="233">
        <f>F157*AM157</f>
        <v>0</v>
      </c>
      <c r="I157" s="233">
        <f>F157*AN157</f>
        <v>0</v>
      </c>
      <c r="J157" s="233">
        <f>F157*G157</f>
        <v>0</v>
      </c>
      <c r="K157" s="233">
        <v>0</v>
      </c>
      <c r="L157" s="233">
        <f>F157*K157</f>
        <v>0</v>
      </c>
      <c r="M157" s="240" t="s">
        <v>472</v>
      </c>
      <c r="X157" s="233">
        <f>IF(AO157="5",BH157,0)</f>
        <v>0</v>
      </c>
      <c r="Z157" s="233">
        <f>IF(AO157="1",BF157,0)</f>
        <v>0</v>
      </c>
      <c r="AA157" s="233">
        <f>IF(AO157="1",BG157,0)</f>
        <v>0</v>
      </c>
      <c r="AB157" s="233">
        <f>IF(AO157="7",BF157,0)</f>
        <v>0</v>
      </c>
      <c r="AC157" s="233">
        <f>IF(AO157="7",BG157,0)</f>
        <v>0</v>
      </c>
      <c r="AD157" s="233">
        <f>IF(AO157="2",BF157,0)</f>
        <v>0</v>
      </c>
      <c r="AE157" s="233">
        <f>IF(AO157="2",BG157,0)</f>
        <v>0</v>
      </c>
      <c r="AF157" s="233">
        <f>IF(AO157="0",BH157,0)</f>
        <v>0</v>
      </c>
      <c r="AG157" s="229" t="s">
        <v>154</v>
      </c>
      <c r="AH157" s="233">
        <f>IF(AL157=0,J157,0)</f>
        <v>0</v>
      </c>
      <c r="AI157" s="233">
        <f>IF(AL157=15,J157,0)</f>
        <v>0</v>
      </c>
      <c r="AJ157" s="233">
        <f>IF(AL157=21,J157,0)</f>
        <v>0</v>
      </c>
      <c r="AL157" s="233">
        <v>15</v>
      </c>
      <c r="AM157" s="233">
        <f>G157*0</f>
        <v>0</v>
      </c>
      <c r="AN157" s="233">
        <f>G157*(1-0)</f>
        <v>0</v>
      </c>
      <c r="AO157" s="234" t="s">
        <v>177</v>
      </c>
      <c r="AT157" s="233">
        <f>AU157+AV157</f>
        <v>0</v>
      </c>
      <c r="AU157" s="233">
        <f>F157*AM157</f>
        <v>0</v>
      </c>
      <c r="AV157" s="233">
        <f>F157*AN157</f>
        <v>0</v>
      </c>
      <c r="AW157" s="234" t="s">
        <v>404</v>
      </c>
      <c r="AX157" s="234" t="s">
        <v>375</v>
      </c>
      <c r="AY157" s="229" t="s">
        <v>164</v>
      </c>
      <c r="BA157" s="233">
        <f>AU157+AV157</f>
        <v>0</v>
      </c>
      <c r="BB157" s="233">
        <f>G157/(100-BC157)*100</f>
        <v>0</v>
      </c>
      <c r="BC157" s="233">
        <v>0</v>
      </c>
      <c r="BD157" s="233">
        <f>L157</f>
        <v>0</v>
      </c>
      <c r="BF157" s="233">
        <f>F157*AM157</f>
        <v>0</v>
      </c>
      <c r="BG157" s="233">
        <f>F157*AN157</f>
        <v>0</v>
      </c>
      <c r="BH157" s="233">
        <f>F157*G157</f>
        <v>0</v>
      </c>
      <c r="BI157" s="233"/>
      <c r="BJ157" s="233"/>
      <c r="BU157" s="233" t="e">
        <f>#REF!</f>
        <v>#REF!</v>
      </c>
      <c r="BV157" s="225" t="s">
        <v>403</v>
      </c>
    </row>
    <row r="158" spans="1:74" ht="14.4" x14ac:dyDescent="0.3">
      <c r="A158" s="239" t="s">
        <v>413</v>
      </c>
      <c r="B158" s="223" t="s">
        <v>406</v>
      </c>
      <c r="C158" s="521" t="s">
        <v>407</v>
      </c>
      <c r="D158" s="519"/>
      <c r="E158" s="223" t="s">
        <v>380</v>
      </c>
      <c r="F158" s="233">
        <v>130.56</v>
      </c>
      <c r="G158" s="311">
        <v>0</v>
      </c>
      <c r="H158" s="233">
        <f>F158*AM158</f>
        <v>0</v>
      </c>
      <c r="I158" s="233">
        <f>F158*AN158</f>
        <v>0</v>
      </c>
      <c r="J158" s="233">
        <f>F158*G158</f>
        <v>0</v>
      </c>
      <c r="K158" s="233">
        <v>0</v>
      </c>
      <c r="L158" s="233">
        <f>F158*K158</f>
        <v>0</v>
      </c>
      <c r="M158" s="240" t="s">
        <v>472</v>
      </c>
      <c r="X158" s="233">
        <f>IF(AO158="5",BH158,0)</f>
        <v>0</v>
      </c>
      <c r="Z158" s="233">
        <f>IF(AO158="1",BF158,0)</f>
        <v>0</v>
      </c>
      <c r="AA158" s="233">
        <f>IF(AO158="1",BG158,0)</f>
        <v>0</v>
      </c>
      <c r="AB158" s="233">
        <f>IF(AO158="7",BF158,0)</f>
        <v>0</v>
      </c>
      <c r="AC158" s="233">
        <f>IF(AO158="7",BG158,0)</f>
        <v>0</v>
      </c>
      <c r="AD158" s="233">
        <f>IF(AO158="2",BF158,0)</f>
        <v>0</v>
      </c>
      <c r="AE158" s="233">
        <f>IF(AO158="2",BG158,0)</f>
        <v>0</v>
      </c>
      <c r="AF158" s="233">
        <f>IF(AO158="0",BH158,0)</f>
        <v>0</v>
      </c>
      <c r="AG158" s="229" t="s">
        <v>154</v>
      </c>
      <c r="AH158" s="233">
        <f>IF(AL158=0,J158,0)</f>
        <v>0</v>
      </c>
      <c r="AI158" s="233">
        <f>IF(AL158=15,J158,0)</f>
        <v>0</v>
      </c>
      <c r="AJ158" s="233">
        <f>IF(AL158=21,J158,0)</f>
        <v>0</v>
      </c>
      <c r="AL158" s="233">
        <v>15</v>
      </c>
      <c r="AM158" s="233">
        <f>G158*0</f>
        <v>0</v>
      </c>
      <c r="AN158" s="233">
        <f>G158*(1-0)</f>
        <v>0</v>
      </c>
      <c r="AO158" s="234" t="s">
        <v>177</v>
      </c>
      <c r="AT158" s="233">
        <f>AU158+AV158</f>
        <v>0</v>
      </c>
      <c r="AU158" s="233">
        <f>F158*AM158</f>
        <v>0</v>
      </c>
      <c r="AV158" s="233">
        <f>F158*AN158</f>
        <v>0</v>
      </c>
      <c r="AW158" s="234" t="s">
        <v>404</v>
      </c>
      <c r="AX158" s="234" t="s">
        <v>375</v>
      </c>
      <c r="AY158" s="229" t="s">
        <v>164</v>
      </c>
      <c r="BA158" s="233">
        <f>AU158+AV158</f>
        <v>0</v>
      </c>
      <c r="BB158" s="233">
        <f>G158/(100-BC158)*100</f>
        <v>0</v>
      </c>
      <c r="BC158" s="233">
        <v>0</v>
      </c>
      <c r="BD158" s="233">
        <f>L158</f>
        <v>0</v>
      </c>
      <c r="BF158" s="233">
        <f>F158*AM158</f>
        <v>0</v>
      </c>
      <c r="BG158" s="233">
        <f>F158*AN158</f>
        <v>0</v>
      </c>
      <c r="BH158" s="233">
        <f>F158*G158</f>
        <v>0</v>
      </c>
      <c r="BI158" s="233"/>
      <c r="BJ158" s="233"/>
      <c r="BU158" s="233" t="e">
        <f>#REF!</f>
        <v>#REF!</v>
      </c>
      <c r="BV158" s="225" t="s">
        <v>407</v>
      </c>
    </row>
    <row r="159" spans="1:74" ht="14.4" x14ac:dyDescent="0.3">
      <c r="A159" s="239" t="s">
        <v>419</v>
      </c>
      <c r="B159" s="223" t="s">
        <v>409</v>
      </c>
      <c r="C159" s="521" t="s">
        <v>410</v>
      </c>
      <c r="D159" s="519"/>
      <c r="E159" s="223" t="s">
        <v>380</v>
      </c>
      <c r="F159" s="233">
        <v>1.72</v>
      </c>
      <c r="G159" s="311">
        <v>0</v>
      </c>
      <c r="H159" s="233">
        <f>F159*AM159</f>
        <v>0</v>
      </c>
      <c r="I159" s="233">
        <f>F159*AN159</f>
        <v>0</v>
      </c>
      <c r="J159" s="233">
        <f>F159*G159</f>
        <v>0</v>
      </c>
      <c r="K159" s="233">
        <v>0</v>
      </c>
      <c r="L159" s="233">
        <f>F159*K159</f>
        <v>0</v>
      </c>
      <c r="M159" s="240" t="s">
        <v>472</v>
      </c>
      <c r="X159" s="233">
        <f>IF(AO159="5",BH159,0)</f>
        <v>0</v>
      </c>
      <c r="Z159" s="233">
        <f>IF(AO159="1",BF159,0)</f>
        <v>0</v>
      </c>
      <c r="AA159" s="233">
        <f>IF(AO159="1",BG159,0)</f>
        <v>0</v>
      </c>
      <c r="AB159" s="233">
        <f>IF(AO159="7",BF159,0)</f>
        <v>0</v>
      </c>
      <c r="AC159" s="233">
        <f>IF(AO159="7",BG159,0)</f>
        <v>0</v>
      </c>
      <c r="AD159" s="233">
        <f>IF(AO159="2",BF159,0)</f>
        <v>0</v>
      </c>
      <c r="AE159" s="233">
        <f>IF(AO159="2",BG159,0)</f>
        <v>0</v>
      </c>
      <c r="AF159" s="233">
        <f>IF(AO159="0",BH159,0)</f>
        <v>0</v>
      </c>
      <c r="AG159" s="229" t="s">
        <v>154</v>
      </c>
      <c r="AH159" s="233">
        <f>IF(AL159=0,J159,0)</f>
        <v>0</v>
      </c>
      <c r="AI159" s="233">
        <f>IF(AL159=15,J159,0)</f>
        <v>0</v>
      </c>
      <c r="AJ159" s="233">
        <f>IF(AL159=21,J159,0)</f>
        <v>0</v>
      </c>
      <c r="AL159" s="233">
        <v>15</v>
      </c>
      <c r="AM159" s="233">
        <f>G159*0</f>
        <v>0</v>
      </c>
      <c r="AN159" s="233">
        <f>G159*(1-0)</f>
        <v>0</v>
      </c>
      <c r="AO159" s="234" t="s">
        <v>177</v>
      </c>
      <c r="AT159" s="233">
        <f>AU159+AV159</f>
        <v>0</v>
      </c>
      <c r="AU159" s="233">
        <f>F159*AM159</f>
        <v>0</v>
      </c>
      <c r="AV159" s="233">
        <f>F159*AN159</f>
        <v>0</v>
      </c>
      <c r="AW159" s="234" t="s">
        <v>404</v>
      </c>
      <c r="AX159" s="234" t="s">
        <v>375</v>
      </c>
      <c r="AY159" s="229" t="s">
        <v>164</v>
      </c>
      <c r="BA159" s="233">
        <f>AU159+AV159</f>
        <v>0</v>
      </c>
      <c r="BB159" s="233">
        <f>G159/(100-BC159)*100</f>
        <v>0</v>
      </c>
      <c r="BC159" s="233">
        <v>0</v>
      </c>
      <c r="BD159" s="233">
        <f>L159</f>
        <v>0</v>
      </c>
      <c r="BF159" s="233">
        <f>F159*AM159</f>
        <v>0</v>
      </c>
      <c r="BG159" s="233">
        <f>F159*AN159</f>
        <v>0</v>
      </c>
      <c r="BH159" s="233">
        <f>F159*G159</f>
        <v>0</v>
      </c>
      <c r="BI159" s="233"/>
      <c r="BJ159" s="233"/>
      <c r="BU159" s="233" t="e">
        <f>#REF!</f>
        <v>#REF!</v>
      </c>
      <c r="BV159" s="225" t="s">
        <v>410</v>
      </c>
    </row>
    <row r="160" spans="1:74" ht="14.4" x14ac:dyDescent="0.3">
      <c r="A160" s="239" t="s">
        <v>154</v>
      </c>
      <c r="B160" s="224" t="s">
        <v>411</v>
      </c>
      <c r="C160" s="526" t="s">
        <v>412</v>
      </c>
      <c r="D160" s="527"/>
      <c r="E160" s="223" t="s">
        <v>114</v>
      </c>
      <c r="F160" s="223" t="s">
        <v>114</v>
      </c>
      <c r="G160" s="223" t="s">
        <v>114</v>
      </c>
      <c r="H160" s="235">
        <f>SUM(H161:H161)</f>
        <v>0</v>
      </c>
      <c r="I160" s="235">
        <f>SUM(I161:I161)</f>
        <v>0</v>
      </c>
      <c r="J160" s="235">
        <f>SUM(J161:J161)</f>
        <v>0</v>
      </c>
      <c r="K160" s="230" t="s">
        <v>154</v>
      </c>
      <c r="L160" s="235">
        <f>SUM(L161:L161)</f>
        <v>0</v>
      </c>
      <c r="M160" s="243" t="s">
        <v>154</v>
      </c>
      <c r="AG160" s="229" t="s">
        <v>154</v>
      </c>
      <c r="AQ160" s="222">
        <f>SUM(AH161:AH161)</f>
        <v>0</v>
      </c>
      <c r="AR160" s="222">
        <f>SUM(AI161:AI161)</f>
        <v>0</v>
      </c>
      <c r="AS160" s="222">
        <f>SUM(AJ161:AJ161)</f>
        <v>0</v>
      </c>
    </row>
    <row r="161" spans="1:74" ht="14.4" x14ac:dyDescent="0.3">
      <c r="A161" s="239" t="s">
        <v>548</v>
      </c>
      <c r="B161" s="223" t="s">
        <v>414</v>
      </c>
      <c r="C161" s="521" t="s">
        <v>415</v>
      </c>
      <c r="D161" s="519"/>
      <c r="E161" s="223" t="s">
        <v>380</v>
      </c>
      <c r="F161" s="233">
        <v>4.3600000000000003</v>
      </c>
      <c r="G161" s="311">
        <v>0</v>
      </c>
      <c r="H161" s="233">
        <f>F161*AM161</f>
        <v>0</v>
      </c>
      <c r="I161" s="233">
        <f>F161*AN161</f>
        <v>0</v>
      </c>
      <c r="J161" s="233">
        <f>F161*G161</f>
        <v>0</v>
      </c>
      <c r="K161" s="233">
        <v>0</v>
      </c>
      <c r="L161" s="233">
        <f>F161*K161</f>
        <v>0</v>
      </c>
      <c r="M161" s="240" t="s">
        <v>472</v>
      </c>
      <c r="X161" s="233">
        <f>IF(AO161="5",BH161,0)</f>
        <v>0</v>
      </c>
      <c r="Z161" s="233">
        <f>IF(AO161="1",BF161,0)</f>
        <v>0</v>
      </c>
      <c r="AA161" s="233">
        <f>IF(AO161="1",BG161,0)</f>
        <v>0</v>
      </c>
      <c r="AB161" s="233">
        <f>IF(AO161="7",BF161,0)</f>
        <v>0</v>
      </c>
      <c r="AC161" s="233">
        <f>IF(AO161="7",BG161,0)</f>
        <v>0</v>
      </c>
      <c r="AD161" s="233">
        <f>IF(AO161="2",BF161,0)</f>
        <v>0</v>
      </c>
      <c r="AE161" s="233">
        <f>IF(AO161="2",BG161,0)</f>
        <v>0</v>
      </c>
      <c r="AF161" s="233">
        <f>IF(AO161="0",BH161,0)</f>
        <v>0</v>
      </c>
      <c r="AG161" s="229" t="s">
        <v>154</v>
      </c>
      <c r="AH161" s="233">
        <f>IF(AL161=0,J161,0)</f>
        <v>0</v>
      </c>
      <c r="AI161" s="233">
        <f>IF(AL161=15,J161,0)</f>
        <v>0</v>
      </c>
      <c r="AJ161" s="233">
        <f>IF(AL161=21,J161,0)</f>
        <v>0</v>
      </c>
      <c r="AL161" s="233">
        <v>15</v>
      </c>
      <c r="AM161" s="233">
        <f>G161*0</f>
        <v>0</v>
      </c>
      <c r="AN161" s="233">
        <f>G161*(1-0)</f>
        <v>0</v>
      </c>
      <c r="AO161" s="234" t="s">
        <v>177</v>
      </c>
      <c r="AT161" s="233">
        <f>AU161+AV161</f>
        <v>0</v>
      </c>
      <c r="AU161" s="233">
        <f>F161*AM161</f>
        <v>0</v>
      </c>
      <c r="AV161" s="233">
        <f>F161*AN161</f>
        <v>0</v>
      </c>
      <c r="AW161" s="234" t="s">
        <v>416</v>
      </c>
      <c r="AX161" s="234" t="s">
        <v>375</v>
      </c>
      <c r="AY161" s="229" t="s">
        <v>164</v>
      </c>
      <c r="BA161" s="233">
        <f>AU161+AV161</f>
        <v>0</v>
      </c>
      <c r="BB161" s="233">
        <f>G161/(100-BC161)*100</f>
        <v>0</v>
      </c>
      <c r="BC161" s="233">
        <v>0</v>
      </c>
      <c r="BD161" s="233">
        <f>L161</f>
        <v>0</v>
      </c>
      <c r="BF161" s="233">
        <f>F161*AM161</f>
        <v>0</v>
      </c>
      <c r="BG161" s="233">
        <f>F161*AN161</f>
        <v>0</v>
      </c>
      <c r="BH161" s="233">
        <f>F161*G161</f>
        <v>0</v>
      </c>
      <c r="BI161" s="233"/>
      <c r="BJ161" s="233"/>
      <c r="BU161" s="233" t="e">
        <f>#REF!</f>
        <v>#REF!</v>
      </c>
      <c r="BV161" s="225" t="s">
        <v>415</v>
      </c>
    </row>
    <row r="162" spans="1:74" ht="14.4" x14ac:dyDescent="0.3">
      <c r="A162" s="239" t="s">
        <v>154</v>
      </c>
      <c r="B162" s="224" t="s">
        <v>417</v>
      </c>
      <c r="C162" s="526" t="s">
        <v>418</v>
      </c>
      <c r="D162" s="527"/>
      <c r="E162" s="223" t="s">
        <v>114</v>
      </c>
      <c r="F162" s="223" t="s">
        <v>114</v>
      </c>
      <c r="G162" s="223" t="s">
        <v>114</v>
      </c>
      <c r="H162" s="235">
        <f>SUM(H163:H163)</f>
        <v>0</v>
      </c>
      <c r="I162" s="235">
        <f>SUM(I163:I163)</f>
        <v>0</v>
      </c>
      <c r="J162" s="235">
        <f>SUM(J163:J163)</f>
        <v>0</v>
      </c>
      <c r="K162" s="230" t="s">
        <v>154</v>
      </c>
      <c r="L162" s="235">
        <f>SUM(L163:L163)</f>
        <v>0.04</v>
      </c>
      <c r="M162" s="243" t="s">
        <v>154</v>
      </c>
      <c r="AG162" s="229" t="s">
        <v>154</v>
      </c>
      <c r="AQ162" s="222">
        <f>SUM(AH163:AH163)</f>
        <v>0</v>
      </c>
      <c r="AR162" s="222">
        <f>SUM(AI163:AI163)</f>
        <v>0</v>
      </c>
      <c r="AS162" s="222">
        <f>SUM(AJ163:AJ163)</f>
        <v>0</v>
      </c>
    </row>
    <row r="163" spans="1:74" ht="14.4" x14ac:dyDescent="0.3">
      <c r="A163" s="239" t="s">
        <v>551</v>
      </c>
      <c r="B163" s="223" t="s">
        <v>420</v>
      </c>
      <c r="C163" s="521" t="s">
        <v>421</v>
      </c>
      <c r="D163" s="519"/>
      <c r="E163" s="223" t="s">
        <v>196</v>
      </c>
      <c r="F163" s="233">
        <v>0.32</v>
      </c>
      <c r="G163" s="311">
        <v>0</v>
      </c>
      <c r="H163" s="233">
        <f>F163*AM163</f>
        <v>0</v>
      </c>
      <c r="I163" s="233">
        <f>F163*AN163</f>
        <v>0</v>
      </c>
      <c r="J163" s="233">
        <f>F163*G163</f>
        <v>0</v>
      </c>
      <c r="K163" s="233">
        <v>0.125</v>
      </c>
      <c r="L163" s="233">
        <f>F163*K163</f>
        <v>0.04</v>
      </c>
      <c r="M163" s="240" t="s">
        <v>472</v>
      </c>
      <c r="X163" s="233">
        <f>IF(AO163="5",BH163,0)</f>
        <v>0</v>
      </c>
      <c r="Z163" s="233">
        <f>IF(AO163="1",BF163,0)</f>
        <v>0</v>
      </c>
      <c r="AA163" s="233">
        <f>IF(AO163="1",BG163,0)</f>
        <v>0</v>
      </c>
      <c r="AB163" s="233">
        <f>IF(AO163="7",BF163,0)</f>
        <v>0</v>
      </c>
      <c r="AC163" s="233">
        <f>IF(AO163="7",BG163,0)</f>
        <v>0</v>
      </c>
      <c r="AD163" s="233">
        <f>IF(AO163="2",BF163,0)</f>
        <v>0</v>
      </c>
      <c r="AE163" s="233">
        <f>IF(AO163="2",BG163,0)</f>
        <v>0</v>
      </c>
      <c r="AF163" s="233">
        <f>IF(AO163="0",BH163,0)</f>
        <v>0</v>
      </c>
      <c r="AG163" s="229" t="s">
        <v>154</v>
      </c>
      <c r="AH163" s="233">
        <f>IF(AL163=0,J163,0)</f>
        <v>0</v>
      </c>
      <c r="AI163" s="233">
        <f>IF(AL163=15,J163,0)</f>
        <v>0</v>
      </c>
      <c r="AJ163" s="233">
        <f>IF(AL163=21,J163,0)</f>
        <v>0</v>
      </c>
      <c r="AL163" s="233">
        <v>15</v>
      </c>
      <c r="AM163" s="233">
        <f>G163*0.298775874</f>
        <v>0</v>
      </c>
      <c r="AN163" s="233">
        <f>G163*(1-0.298775874)</f>
        <v>0</v>
      </c>
      <c r="AO163" s="234" t="s">
        <v>166</v>
      </c>
      <c r="AT163" s="233">
        <f>AU163+AV163</f>
        <v>0</v>
      </c>
      <c r="AU163" s="233">
        <f>F163*AM163</f>
        <v>0</v>
      </c>
      <c r="AV163" s="233">
        <f>F163*AN163</f>
        <v>0</v>
      </c>
      <c r="AW163" s="234" t="s">
        <v>422</v>
      </c>
      <c r="AX163" s="234" t="s">
        <v>375</v>
      </c>
      <c r="AY163" s="229" t="s">
        <v>164</v>
      </c>
      <c r="BA163" s="233">
        <f>AU163+AV163</f>
        <v>0</v>
      </c>
      <c r="BB163" s="233">
        <f>G163/(100-BC163)*100</f>
        <v>0</v>
      </c>
      <c r="BC163" s="233">
        <v>0</v>
      </c>
      <c r="BD163" s="233">
        <f>L163</f>
        <v>0.04</v>
      </c>
      <c r="BF163" s="233">
        <f>F163*AM163</f>
        <v>0</v>
      </c>
      <c r="BG163" s="233">
        <f>F163*AN163</f>
        <v>0</v>
      </c>
      <c r="BH163" s="233">
        <f>F163*G163</f>
        <v>0</v>
      </c>
      <c r="BI163" s="233"/>
      <c r="BJ163" s="233"/>
      <c r="BU163" s="233" t="e">
        <f>#REF!</f>
        <v>#REF!</v>
      </c>
      <c r="BV163" s="225" t="s">
        <v>421</v>
      </c>
    </row>
    <row r="164" spans="1:74" ht="40.5" customHeight="1" x14ac:dyDescent="0.3">
      <c r="A164" s="244"/>
      <c r="B164" s="245" t="s">
        <v>165</v>
      </c>
      <c r="C164" s="540" t="s">
        <v>1881</v>
      </c>
      <c r="D164" s="541"/>
      <c r="E164" s="541"/>
      <c r="F164" s="541"/>
      <c r="G164" s="541"/>
      <c r="H164" s="541"/>
      <c r="I164" s="541"/>
      <c r="J164" s="541"/>
      <c r="K164" s="541"/>
      <c r="L164" s="541"/>
      <c r="M164" s="542"/>
    </row>
    <row r="165" spans="1:74" ht="14.4" x14ac:dyDescent="0.3">
      <c r="H165" s="527" t="s">
        <v>423</v>
      </c>
      <c r="I165" s="527"/>
      <c r="J165" s="235">
        <f>J12+J29+J34+J47+J52+J73+J80+J83+J88+J93+J96+J99+J122+J127+J130+J135+J140+J143+J146+J156+J160+J162</f>
        <v>0</v>
      </c>
    </row>
    <row r="166" spans="1:74" ht="14.4" x14ac:dyDescent="0.3">
      <c r="A166" s="236" t="s">
        <v>165</v>
      </c>
    </row>
    <row r="167" spans="1:74" ht="13.5" customHeight="1" x14ac:dyDescent="0.3">
      <c r="A167" s="521" t="s">
        <v>1592</v>
      </c>
      <c r="B167" s="519"/>
      <c r="C167" s="519"/>
      <c r="D167" s="519"/>
      <c r="E167" s="519"/>
      <c r="F167" s="519"/>
      <c r="G167" s="519"/>
      <c r="H167" s="519"/>
      <c r="I167" s="519"/>
      <c r="J167" s="519"/>
      <c r="K167" s="519"/>
      <c r="L167" s="519"/>
      <c r="M167" s="519"/>
    </row>
    <row r="168" spans="1:74" ht="15" customHeight="1" x14ac:dyDescent="0.3">
      <c r="A168" s="549" t="s">
        <v>1162</v>
      </c>
      <c r="B168" s="550"/>
      <c r="C168" s="550"/>
      <c r="D168" s="550"/>
      <c r="E168" s="550"/>
      <c r="F168" s="550"/>
      <c r="G168" s="550"/>
      <c r="H168" s="550"/>
      <c r="I168" s="550"/>
      <c r="J168" s="550"/>
      <c r="K168" s="550"/>
      <c r="L168" s="550"/>
      <c r="M168" s="550"/>
    </row>
  </sheetData>
  <sheetProtection algorithmName="SHA-512" hashValue="2PUlFGW3tBlBFX2Yooz/zg8t3/zfqFxvRRUEGAKxHl7ppe8AtM8kO5eUySa7unoSiRKu/3FQPc0HhUwFnQPPAw==" saltValue="HDrIMX3k0IlvbvB0p3Ta1A==" spinCount="100000" sheet="1" objects="1" scenarios="1" formatCells="0" formatColumns="0" formatRows="0" insertColumns="0" insertRows="0" insertHyperlinks="0"/>
  <mergeCells count="185">
    <mergeCell ref="A1:M1"/>
    <mergeCell ref="A2:B3"/>
    <mergeCell ref="C2:D3"/>
    <mergeCell ref="E2:F3"/>
    <mergeCell ref="G2:G3"/>
    <mergeCell ref="H2:H3"/>
    <mergeCell ref="A6:B7"/>
    <mergeCell ref="C6:D7"/>
    <mergeCell ref="E6:F7"/>
    <mergeCell ref="G6:G7"/>
    <mergeCell ref="H6:H7"/>
    <mergeCell ref="A4:B5"/>
    <mergeCell ref="C4:D5"/>
    <mergeCell ref="E4:F5"/>
    <mergeCell ref="G4:G5"/>
    <mergeCell ref="H4:H5"/>
    <mergeCell ref="C10:D10"/>
    <mergeCell ref="H10:J10"/>
    <mergeCell ref="K10:L10"/>
    <mergeCell ref="C11:D11"/>
    <mergeCell ref="C12:D12"/>
    <mergeCell ref="C13:D13"/>
    <mergeCell ref="A8:B9"/>
    <mergeCell ref="C8:D9"/>
    <mergeCell ref="E8:F9"/>
    <mergeCell ref="G8:G9"/>
    <mergeCell ref="H8:H9"/>
    <mergeCell ref="C20:M20"/>
    <mergeCell ref="C21:D21"/>
    <mergeCell ref="C22:M22"/>
    <mergeCell ref="C23:D23"/>
    <mergeCell ref="C24:M24"/>
    <mergeCell ref="C25:D25"/>
    <mergeCell ref="C14:M14"/>
    <mergeCell ref="C15:D15"/>
    <mergeCell ref="C16:M16"/>
    <mergeCell ref="C17:D17"/>
    <mergeCell ref="C18:M18"/>
    <mergeCell ref="C19:D19"/>
    <mergeCell ref="C32:D32"/>
    <mergeCell ref="C33:M33"/>
    <mergeCell ref="C34:D34"/>
    <mergeCell ref="C35:D35"/>
    <mergeCell ref="C36:M36"/>
    <mergeCell ref="C37:D37"/>
    <mergeCell ref="C26:M26"/>
    <mergeCell ref="C27:D27"/>
    <mergeCell ref="C28:M28"/>
    <mergeCell ref="C29:D29"/>
    <mergeCell ref="C30:D30"/>
    <mergeCell ref="C31:M31"/>
    <mergeCell ref="C44:M44"/>
    <mergeCell ref="C45:D45"/>
    <mergeCell ref="C46:M46"/>
    <mergeCell ref="C47:D47"/>
    <mergeCell ref="C48:D48"/>
    <mergeCell ref="C49:M49"/>
    <mergeCell ref="C38:M38"/>
    <mergeCell ref="C39:D39"/>
    <mergeCell ref="C40:M40"/>
    <mergeCell ref="C41:D41"/>
    <mergeCell ref="C42:M42"/>
    <mergeCell ref="C43:D43"/>
    <mergeCell ref="C56:M56"/>
    <mergeCell ref="C57:D57"/>
    <mergeCell ref="C58:M58"/>
    <mergeCell ref="C59:D59"/>
    <mergeCell ref="C60:M60"/>
    <mergeCell ref="C61:D61"/>
    <mergeCell ref="C50:D50"/>
    <mergeCell ref="C51:M51"/>
    <mergeCell ref="C52:D52"/>
    <mergeCell ref="C53:D53"/>
    <mergeCell ref="C54:M54"/>
    <mergeCell ref="C55:D55"/>
    <mergeCell ref="C68:M68"/>
    <mergeCell ref="C69:D69"/>
    <mergeCell ref="C70:M70"/>
    <mergeCell ref="C71:D71"/>
    <mergeCell ref="C72:M72"/>
    <mergeCell ref="C73:D73"/>
    <mergeCell ref="C62:M62"/>
    <mergeCell ref="C63:D63"/>
    <mergeCell ref="C64:M64"/>
    <mergeCell ref="C65:D65"/>
    <mergeCell ref="C66:M66"/>
    <mergeCell ref="C67:D67"/>
    <mergeCell ref="C80:D80"/>
    <mergeCell ref="C81:D81"/>
    <mergeCell ref="C82:M82"/>
    <mergeCell ref="C83:D83"/>
    <mergeCell ref="C84:D84"/>
    <mergeCell ref="C85:M85"/>
    <mergeCell ref="C74:D74"/>
    <mergeCell ref="C75:M75"/>
    <mergeCell ref="C76:D76"/>
    <mergeCell ref="C77:M77"/>
    <mergeCell ref="C78:D78"/>
    <mergeCell ref="C79:M79"/>
    <mergeCell ref="C92:M92"/>
    <mergeCell ref="C93:D93"/>
    <mergeCell ref="C94:D94"/>
    <mergeCell ref="C95:M95"/>
    <mergeCell ref="C96:D96"/>
    <mergeCell ref="C97:D97"/>
    <mergeCell ref="C86:D86"/>
    <mergeCell ref="C87:M87"/>
    <mergeCell ref="C88:D88"/>
    <mergeCell ref="C89:D89"/>
    <mergeCell ref="C90:M90"/>
    <mergeCell ref="C91:D91"/>
    <mergeCell ref="C104:D104"/>
    <mergeCell ref="C105:M105"/>
    <mergeCell ref="C106:D106"/>
    <mergeCell ref="C107:M107"/>
    <mergeCell ref="C108:D108"/>
    <mergeCell ref="C109:M109"/>
    <mergeCell ref="C98:M98"/>
    <mergeCell ref="C99:D99"/>
    <mergeCell ref="C100:D100"/>
    <mergeCell ref="C101:M101"/>
    <mergeCell ref="C102:D102"/>
    <mergeCell ref="C103:M103"/>
    <mergeCell ref="C116:D116"/>
    <mergeCell ref="C117:M117"/>
    <mergeCell ref="C118:D118"/>
    <mergeCell ref="C119:M119"/>
    <mergeCell ref="C120:D120"/>
    <mergeCell ref="C121:M121"/>
    <mergeCell ref="C110:D110"/>
    <mergeCell ref="C111:M111"/>
    <mergeCell ref="C112:D112"/>
    <mergeCell ref="C113:M113"/>
    <mergeCell ref="C114:D114"/>
    <mergeCell ref="C115:M115"/>
    <mergeCell ref="C128:D128"/>
    <mergeCell ref="C129:M129"/>
    <mergeCell ref="C130:D130"/>
    <mergeCell ref="C131:D131"/>
    <mergeCell ref="C132:M132"/>
    <mergeCell ref="C133:D133"/>
    <mergeCell ref="C122:D122"/>
    <mergeCell ref="C123:D123"/>
    <mergeCell ref="C124:M124"/>
    <mergeCell ref="C125:D125"/>
    <mergeCell ref="C126:M126"/>
    <mergeCell ref="C127:D127"/>
    <mergeCell ref="C150:D150"/>
    <mergeCell ref="C151:M151"/>
    <mergeCell ref="C140:D140"/>
    <mergeCell ref="C141:D141"/>
    <mergeCell ref="C142:M142"/>
    <mergeCell ref="C143:D143"/>
    <mergeCell ref="C144:D144"/>
    <mergeCell ref="C145:M145"/>
    <mergeCell ref="C134:M134"/>
    <mergeCell ref="C135:D135"/>
    <mergeCell ref="C136:D136"/>
    <mergeCell ref="C137:M137"/>
    <mergeCell ref="C138:D138"/>
    <mergeCell ref="C139:M139"/>
    <mergeCell ref="C164:M164"/>
    <mergeCell ref="H165:I165"/>
    <mergeCell ref="A167:M167"/>
    <mergeCell ref="A168:M168"/>
    <mergeCell ref="I2:M3"/>
    <mergeCell ref="I4:M5"/>
    <mergeCell ref="I6:M7"/>
    <mergeCell ref="I8:M9"/>
    <mergeCell ref="C158:D158"/>
    <mergeCell ref="C159:D159"/>
    <mergeCell ref="C160:D160"/>
    <mergeCell ref="C161:D161"/>
    <mergeCell ref="C162:D162"/>
    <mergeCell ref="C163:D163"/>
    <mergeCell ref="C152:D152"/>
    <mergeCell ref="C153:D153"/>
    <mergeCell ref="C154:M154"/>
    <mergeCell ref="C155:D155"/>
    <mergeCell ref="C156:D156"/>
    <mergeCell ref="C157:D157"/>
    <mergeCell ref="C146:D146"/>
    <mergeCell ref="C147:D147"/>
    <mergeCell ref="C148:D148"/>
    <mergeCell ref="C149:M149"/>
  </mergeCells>
  <pageMargins left="0.78740157480314965" right="0.39370078740157483" top="0.39370078740157483" bottom="0.39370078740157483" header="0" footer="0.39370078740157483"/>
  <pageSetup paperSize="9" scale="63" fitToHeight="0" orientation="landscape" r:id="rId1"/>
  <headerFooter>
    <oddFooter>&amp;L&amp;A&amp;C&amp;F&amp;Rstran &amp;N / strana &amp;P</oddFooter>
  </headerFooter>
  <rowBreaks count="6" manualBreakCount="6">
    <brk id="24" max="12" man="1"/>
    <brk id="42" max="12" man="1"/>
    <brk id="64" max="12" man="1"/>
    <brk id="95" max="12" man="1"/>
    <brk id="124" max="12" man="1"/>
    <brk id="145" max="12" man="1"/>
  </row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3BC8C-2032-401F-8489-CF2FB853D699}">
  <sheetPr codeName="List13">
    <pageSetUpPr fitToPage="1"/>
  </sheetPr>
  <dimension ref="A1:BV201"/>
  <sheetViews>
    <sheetView view="pageBreakPreview" zoomScale="55" zoomScaleNormal="55" zoomScaleSheetLayoutView="55" workbookViewId="0">
      <pane ySplit="11" topLeftCell="A12" activePane="bottomLeft" state="frozen"/>
      <selection pane="bottomLeft" activeCell="G13" sqref="G13"/>
    </sheetView>
  </sheetViews>
  <sheetFormatPr defaultColWidth="12.109375" defaultRowHeight="15" customHeight="1" x14ac:dyDescent="0.3"/>
  <cols>
    <col min="1" max="1" width="5.6640625" style="273" customWidth="1"/>
    <col min="2" max="2" width="16.6640625" style="273" customWidth="1"/>
    <col min="3" max="3" width="81.33203125" style="273" customWidth="1"/>
    <col min="4" max="4" width="12.6640625" style="273" customWidth="1"/>
    <col min="5" max="5" width="8.6640625" style="273" customWidth="1"/>
    <col min="6" max="6" width="10.6640625" style="273" customWidth="1"/>
    <col min="7" max="13" width="14.6640625" style="273" customWidth="1"/>
    <col min="14" max="73" width="12.109375" style="273"/>
    <col min="74" max="74" width="78.5546875" style="273" hidden="1" customWidth="1"/>
    <col min="75" max="16384" width="12.109375" style="273"/>
  </cols>
  <sheetData>
    <row r="1" spans="1:74" ht="54.75" customHeight="1" thickBot="1" x14ac:dyDescent="0.35">
      <c r="A1" s="638" t="s">
        <v>2303</v>
      </c>
      <c r="B1" s="639"/>
      <c r="C1" s="639"/>
      <c r="D1" s="639"/>
      <c r="E1" s="639"/>
      <c r="F1" s="639"/>
      <c r="G1" s="639"/>
      <c r="H1" s="639"/>
      <c r="I1" s="639"/>
      <c r="J1" s="639"/>
      <c r="K1" s="639"/>
      <c r="L1" s="639"/>
      <c r="M1" s="640"/>
      <c r="AQ1" s="274">
        <f>SUM(AH1:AH2)</f>
        <v>0</v>
      </c>
      <c r="AR1" s="274">
        <f>SUM(AI1:AI2)</f>
        <v>0</v>
      </c>
      <c r="AS1" s="274">
        <f>SUM(AJ1:AJ2)</f>
        <v>0</v>
      </c>
    </row>
    <row r="2" spans="1:74" ht="15" customHeight="1" x14ac:dyDescent="0.3">
      <c r="A2" s="641" t="s">
        <v>112</v>
      </c>
      <c r="B2" s="642"/>
      <c r="C2" s="643" t="s">
        <v>68</v>
      </c>
      <c r="D2" s="627"/>
      <c r="E2" s="612" t="s">
        <v>113</v>
      </c>
      <c r="F2" s="612"/>
      <c r="G2" s="604" t="s">
        <v>1156</v>
      </c>
      <c r="H2" s="605" t="s">
        <v>457</v>
      </c>
      <c r="I2" s="605" t="s">
        <v>69</v>
      </c>
      <c r="J2" s="605"/>
      <c r="K2" s="605"/>
      <c r="L2" s="605"/>
      <c r="M2" s="606"/>
    </row>
    <row r="3" spans="1:74" ht="14.4" x14ac:dyDescent="0.3">
      <c r="A3" s="637"/>
      <c r="B3" s="614"/>
      <c r="C3" s="621"/>
      <c r="D3" s="621"/>
      <c r="E3" s="565"/>
      <c r="F3" s="565"/>
      <c r="G3" s="522"/>
      <c r="H3" s="551"/>
      <c r="I3" s="551"/>
      <c r="J3" s="551"/>
      <c r="K3" s="551"/>
      <c r="L3" s="551"/>
      <c r="M3" s="552"/>
    </row>
    <row r="4" spans="1:74" ht="15" customHeight="1" x14ac:dyDescent="0.3">
      <c r="A4" s="634" t="s">
        <v>115</v>
      </c>
      <c r="B4" s="614"/>
      <c r="C4" s="613" t="s">
        <v>95</v>
      </c>
      <c r="D4" s="614"/>
      <c r="E4" s="565" t="s">
        <v>116</v>
      </c>
      <c r="F4" s="565"/>
      <c r="G4" s="522" t="s">
        <v>1156</v>
      </c>
      <c r="H4" s="551" t="s">
        <v>458</v>
      </c>
      <c r="I4" s="551" t="s">
        <v>1157</v>
      </c>
      <c r="J4" s="551"/>
      <c r="K4" s="551"/>
      <c r="L4" s="551"/>
      <c r="M4" s="552"/>
    </row>
    <row r="5" spans="1:74" ht="14.4" x14ac:dyDescent="0.3">
      <c r="A5" s="637"/>
      <c r="B5" s="614"/>
      <c r="C5" s="614"/>
      <c r="D5" s="614"/>
      <c r="E5" s="565"/>
      <c r="F5" s="565"/>
      <c r="G5" s="522"/>
      <c r="H5" s="551"/>
      <c r="I5" s="551"/>
      <c r="J5" s="551"/>
      <c r="K5" s="551"/>
      <c r="L5" s="551"/>
      <c r="M5" s="552"/>
    </row>
    <row r="6" spans="1:74" ht="15" customHeight="1" x14ac:dyDescent="0.3">
      <c r="A6" s="634" t="s">
        <v>117</v>
      </c>
      <c r="B6" s="614"/>
      <c r="C6" s="613" t="s">
        <v>459</v>
      </c>
      <c r="D6" s="614"/>
      <c r="E6" s="565" t="s">
        <v>119</v>
      </c>
      <c r="F6" s="565"/>
      <c r="G6" s="522" t="s">
        <v>1156</v>
      </c>
      <c r="H6" s="551" t="s">
        <v>460</v>
      </c>
      <c r="I6" s="551" t="s">
        <v>461</v>
      </c>
      <c r="J6" s="551"/>
      <c r="K6" s="551"/>
      <c r="L6" s="551"/>
      <c r="M6" s="552"/>
    </row>
    <row r="7" spans="1:74" ht="14.4" x14ac:dyDescent="0.3">
      <c r="A7" s="637"/>
      <c r="B7" s="614"/>
      <c r="C7" s="614"/>
      <c r="D7" s="614"/>
      <c r="E7" s="565"/>
      <c r="F7" s="565"/>
      <c r="G7" s="522"/>
      <c r="H7" s="551"/>
      <c r="I7" s="551"/>
      <c r="J7" s="551"/>
      <c r="K7" s="551"/>
      <c r="L7" s="551"/>
      <c r="M7" s="552"/>
    </row>
    <row r="8" spans="1:74" ht="14.4" x14ac:dyDescent="0.3">
      <c r="A8" s="634" t="s">
        <v>120</v>
      </c>
      <c r="B8" s="614"/>
      <c r="C8" s="613" t="s">
        <v>996</v>
      </c>
      <c r="D8" s="614"/>
      <c r="E8" s="565" t="s">
        <v>122</v>
      </c>
      <c r="F8" s="565"/>
      <c r="G8" s="522" t="s">
        <v>1155</v>
      </c>
      <c r="H8" s="551" t="s">
        <v>462</v>
      </c>
      <c r="I8" s="551" t="s">
        <v>1158</v>
      </c>
      <c r="J8" s="551"/>
      <c r="K8" s="551"/>
      <c r="L8" s="551"/>
      <c r="M8" s="552"/>
    </row>
    <row r="9" spans="1:74" thickBot="1" x14ac:dyDescent="0.35">
      <c r="A9" s="635"/>
      <c r="B9" s="636"/>
      <c r="C9" s="636"/>
      <c r="D9" s="636"/>
      <c r="E9" s="576"/>
      <c r="F9" s="576"/>
      <c r="G9" s="534"/>
      <c r="H9" s="553"/>
      <c r="I9" s="553"/>
      <c r="J9" s="553"/>
      <c r="K9" s="553"/>
      <c r="L9" s="553"/>
      <c r="M9" s="554"/>
    </row>
    <row r="10" spans="1:74" ht="14.4" x14ac:dyDescent="0.3">
      <c r="A10" s="299" t="s">
        <v>123</v>
      </c>
      <c r="B10" s="300" t="s">
        <v>124</v>
      </c>
      <c r="C10" s="627" t="s">
        <v>125</v>
      </c>
      <c r="D10" s="628"/>
      <c r="E10" s="300" t="s">
        <v>126</v>
      </c>
      <c r="F10" s="301" t="s">
        <v>127</v>
      </c>
      <c r="G10" s="302" t="s">
        <v>128</v>
      </c>
      <c r="H10" s="629" t="s">
        <v>129</v>
      </c>
      <c r="I10" s="630"/>
      <c r="J10" s="631"/>
      <c r="K10" s="630" t="s">
        <v>130</v>
      </c>
      <c r="L10" s="630"/>
      <c r="M10" s="303" t="s">
        <v>131</v>
      </c>
      <c r="BI10" s="278" t="s">
        <v>132</v>
      </c>
      <c r="BJ10" s="279" t="s">
        <v>133</v>
      </c>
      <c r="BU10" s="279" t="s">
        <v>134</v>
      </c>
    </row>
    <row r="11" spans="1:74" thickBot="1" x14ac:dyDescent="0.35">
      <c r="A11" s="304" t="s">
        <v>114</v>
      </c>
      <c r="B11" s="305" t="s">
        <v>114</v>
      </c>
      <c r="C11" s="632" t="s">
        <v>135</v>
      </c>
      <c r="D11" s="633"/>
      <c r="E11" s="305" t="s">
        <v>114</v>
      </c>
      <c r="F11" s="305" t="s">
        <v>114</v>
      </c>
      <c r="G11" s="306" t="s">
        <v>136</v>
      </c>
      <c r="H11" s="307" t="s">
        <v>137</v>
      </c>
      <c r="I11" s="308" t="s">
        <v>138</v>
      </c>
      <c r="J11" s="309" t="s">
        <v>139</v>
      </c>
      <c r="K11" s="308" t="s">
        <v>140</v>
      </c>
      <c r="L11" s="306" t="s">
        <v>139</v>
      </c>
      <c r="M11" s="310" t="s">
        <v>141</v>
      </c>
      <c r="X11" s="278" t="s">
        <v>142</v>
      </c>
      <c r="Y11" s="278" t="s">
        <v>143</v>
      </c>
      <c r="Z11" s="278" t="s">
        <v>144</v>
      </c>
      <c r="AA11" s="278" t="s">
        <v>145</v>
      </c>
      <c r="AB11" s="278" t="s">
        <v>146</v>
      </c>
      <c r="AC11" s="278" t="s">
        <v>147</v>
      </c>
      <c r="AD11" s="278" t="s">
        <v>148</v>
      </c>
      <c r="AE11" s="278" t="s">
        <v>149</v>
      </c>
      <c r="AF11" s="278" t="s">
        <v>150</v>
      </c>
      <c r="BF11" s="278" t="s">
        <v>151</v>
      </c>
      <c r="BG11" s="278" t="s">
        <v>152</v>
      </c>
      <c r="BH11" s="278" t="s">
        <v>153</v>
      </c>
    </row>
    <row r="12" spans="1:74" ht="14.4" x14ac:dyDescent="0.3">
      <c r="A12" s="290" t="s">
        <v>154</v>
      </c>
      <c r="B12" s="276" t="s">
        <v>453</v>
      </c>
      <c r="C12" s="624" t="s">
        <v>463</v>
      </c>
      <c r="D12" s="621"/>
      <c r="E12" s="275" t="s">
        <v>114</v>
      </c>
      <c r="F12" s="275" t="s">
        <v>114</v>
      </c>
      <c r="G12" s="275" t="s">
        <v>114</v>
      </c>
      <c r="H12" s="282">
        <f>SUM(H13:H13)</f>
        <v>0</v>
      </c>
      <c r="I12" s="282">
        <f>SUM(I13:I13)</f>
        <v>0</v>
      </c>
      <c r="J12" s="282">
        <f>SUM(J13:J13)</f>
        <v>0</v>
      </c>
      <c r="K12" s="279" t="s">
        <v>154</v>
      </c>
      <c r="L12" s="282">
        <f>SUM(L13:L13)</f>
        <v>0</v>
      </c>
      <c r="M12" s="294" t="s">
        <v>154</v>
      </c>
      <c r="AG12" s="278" t="s">
        <v>154</v>
      </c>
      <c r="AQ12" s="274">
        <f>SUM(AH13:AH13)</f>
        <v>0</v>
      </c>
      <c r="AR12" s="274">
        <f>SUM(AI13:AI13)</f>
        <v>0</v>
      </c>
      <c r="AS12" s="274">
        <f>SUM(AJ13:AJ13)</f>
        <v>0</v>
      </c>
    </row>
    <row r="13" spans="1:74" ht="14.4" x14ac:dyDescent="0.3">
      <c r="A13" s="290" t="s">
        <v>157</v>
      </c>
      <c r="B13" s="275" t="s">
        <v>464</v>
      </c>
      <c r="C13" s="613" t="s">
        <v>465</v>
      </c>
      <c r="D13" s="614"/>
      <c r="E13" s="275" t="s">
        <v>466</v>
      </c>
      <c r="F13" s="280">
        <v>6</v>
      </c>
      <c r="G13" s="311">
        <v>0</v>
      </c>
      <c r="H13" s="280">
        <f>F13*AM13</f>
        <v>0</v>
      </c>
      <c r="I13" s="280">
        <f>F13*AN13</f>
        <v>0</v>
      </c>
      <c r="J13" s="280">
        <f>F13*G13</f>
        <v>0</v>
      </c>
      <c r="K13" s="280">
        <v>0</v>
      </c>
      <c r="L13" s="280">
        <f>F13*K13</f>
        <v>0</v>
      </c>
      <c r="M13" s="291" t="s">
        <v>154</v>
      </c>
      <c r="X13" s="280">
        <f>IF(AO13="5",BH13,0)</f>
        <v>0</v>
      </c>
      <c r="Z13" s="280">
        <f>IF(AO13="1",BF13,0)</f>
        <v>0</v>
      </c>
      <c r="AA13" s="280">
        <f>IF(AO13="1",BG13,0)</f>
        <v>0</v>
      </c>
      <c r="AB13" s="280">
        <f>IF(AO13="7",BF13,0)</f>
        <v>0</v>
      </c>
      <c r="AC13" s="280">
        <f>IF(AO13="7",BG13,0)</f>
        <v>0</v>
      </c>
      <c r="AD13" s="280">
        <f>IF(AO13="2",BF13,0)</f>
        <v>0</v>
      </c>
      <c r="AE13" s="280">
        <f>IF(AO13="2",BG13,0)</f>
        <v>0</v>
      </c>
      <c r="AF13" s="280">
        <f>IF(AO13="0",BH13,0)</f>
        <v>0</v>
      </c>
      <c r="AG13" s="278" t="s">
        <v>154</v>
      </c>
      <c r="AH13" s="280">
        <f>IF(AL13=0,J13,0)</f>
        <v>0</v>
      </c>
      <c r="AI13" s="280">
        <f>IF(AL13=15,J13,0)</f>
        <v>0</v>
      </c>
      <c r="AJ13" s="280">
        <f>IF(AL13=21,J13,0)</f>
        <v>0</v>
      </c>
      <c r="AL13" s="280">
        <v>15</v>
      </c>
      <c r="AM13" s="280">
        <f>G13*0.125865324</f>
        <v>0</v>
      </c>
      <c r="AN13" s="280">
        <f>G13*(1-0.125865324)</f>
        <v>0</v>
      </c>
      <c r="AO13" s="281" t="s">
        <v>157</v>
      </c>
      <c r="AT13" s="280">
        <f>AU13+AV13</f>
        <v>0</v>
      </c>
      <c r="AU13" s="280">
        <f>F13*AM13</f>
        <v>0</v>
      </c>
      <c r="AV13" s="280">
        <f>F13*AN13</f>
        <v>0</v>
      </c>
      <c r="AW13" s="281" t="s">
        <v>467</v>
      </c>
      <c r="AX13" s="281" t="s">
        <v>467</v>
      </c>
      <c r="AY13" s="278" t="s">
        <v>164</v>
      </c>
      <c r="BA13" s="280">
        <f>AU13+AV13</f>
        <v>0</v>
      </c>
      <c r="BB13" s="280">
        <f>G13/(100-BC13)*100</f>
        <v>0</v>
      </c>
      <c r="BC13" s="280">
        <v>0</v>
      </c>
      <c r="BD13" s="280">
        <f>L13</f>
        <v>0</v>
      </c>
      <c r="BF13" s="280">
        <f>F13*AM13</f>
        <v>0</v>
      </c>
      <c r="BG13" s="280">
        <f>F13*AN13</f>
        <v>0</v>
      </c>
      <c r="BH13" s="280">
        <f>F13*G13</f>
        <v>0</v>
      </c>
      <c r="BI13" s="280"/>
      <c r="BJ13" s="280">
        <v>0</v>
      </c>
      <c r="BU13" s="280" t="e">
        <f>#REF!</f>
        <v>#REF!</v>
      </c>
      <c r="BV13" s="277" t="s">
        <v>465</v>
      </c>
    </row>
    <row r="14" spans="1:74" ht="40.5" customHeight="1" x14ac:dyDescent="0.3">
      <c r="A14" s="288"/>
      <c r="B14" s="289" t="s">
        <v>165</v>
      </c>
      <c r="C14" s="615" t="s">
        <v>1883</v>
      </c>
      <c r="D14" s="616"/>
      <c r="E14" s="616"/>
      <c r="F14" s="616"/>
      <c r="G14" s="616"/>
      <c r="H14" s="616"/>
      <c r="I14" s="616"/>
      <c r="J14" s="616"/>
      <c r="K14" s="616"/>
      <c r="L14" s="616"/>
      <c r="M14" s="617"/>
    </row>
    <row r="15" spans="1:74" ht="14.4" x14ac:dyDescent="0.3">
      <c r="A15" s="290" t="s">
        <v>154</v>
      </c>
      <c r="B15" s="276" t="s">
        <v>155</v>
      </c>
      <c r="C15" s="624" t="s">
        <v>156</v>
      </c>
      <c r="D15" s="621"/>
      <c r="E15" s="275" t="s">
        <v>114</v>
      </c>
      <c r="F15" s="275" t="s">
        <v>114</v>
      </c>
      <c r="G15" s="275" t="s">
        <v>114</v>
      </c>
      <c r="H15" s="282">
        <f>SUM(H16:H26)</f>
        <v>0</v>
      </c>
      <c r="I15" s="282">
        <f>SUM(I16:I26)</f>
        <v>0</v>
      </c>
      <c r="J15" s="282">
        <f>SUM(J16:J26)</f>
        <v>0</v>
      </c>
      <c r="K15" s="279" t="s">
        <v>154</v>
      </c>
      <c r="L15" s="282">
        <f>SUM(L16:L26)</f>
        <v>875.42550679999999</v>
      </c>
      <c r="M15" s="294" t="s">
        <v>154</v>
      </c>
      <c r="AG15" s="278" t="s">
        <v>154</v>
      </c>
      <c r="AQ15" s="274">
        <f>SUM(AH16:AH26)</f>
        <v>0</v>
      </c>
      <c r="AR15" s="274">
        <f>SUM(AI16:AI26)</f>
        <v>0</v>
      </c>
      <c r="AS15" s="274">
        <f>SUM(AJ16:AJ26)</f>
        <v>0</v>
      </c>
    </row>
    <row r="16" spans="1:74" ht="14.4" x14ac:dyDescent="0.3">
      <c r="A16" s="290" t="s">
        <v>166</v>
      </c>
      <c r="B16" s="275" t="s">
        <v>167</v>
      </c>
      <c r="C16" s="613" t="s">
        <v>168</v>
      </c>
      <c r="D16" s="614"/>
      <c r="E16" s="275" t="s">
        <v>160</v>
      </c>
      <c r="F16" s="280">
        <v>32.479999999999997</v>
      </c>
      <c r="G16" s="311">
        <v>0</v>
      </c>
      <c r="H16" s="280">
        <f>F16*AM16</f>
        <v>0</v>
      </c>
      <c r="I16" s="280">
        <f>F16*AN16</f>
        <v>0</v>
      </c>
      <c r="J16" s="280">
        <f>F16*G16</f>
        <v>0</v>
      </c>
      <c r="K16" s="280">
        <v>8.6899999999999998E-3</v>
      </c>
      <c r="L16" s="280">
        <f>F16*K16</f>
        <v>0.28225119999999998</v>
      </c>
      <c r="M16" s="291" t="s">
        <v>472</v>
      </c>
      <c r="X16" s="280">
        <f>IF(AO16="5",BH16,0)</f>
        <v>0</v>
      </c>
      <c r="Z16" s="280">
        <f>IF(AO16="1",BF16,0)</f>
        <v>0</v>
      </c>
      <c r="AA16" s="280">
        <f>IF(AO16="1",BG16,0)</f>
        <v>0</v>
      </c>
      <c r="AB16" s="280">
        <f>IF(AO16="7",BF16,0)</f>
        <v>0</v>
      </c>
      <c r="AC16" s="280">
        <f>IF(AO16="7",BG16,0)</f>
        <v>0</v>
      </c>
      <c r="AD16" s="280">
        <f>IF(AO16="2",BF16,0)</f>
        <v>0</v>
      </c>
      <c r="AE16" s="280">
        <f>IF(AO16="2",BG16,0)</f>
        <v>0</v>
      </c>
      <c r="AF16" s="280">
        <f>IF(AO16="0",BH16,0)</f>
        <v>0</v>
      </c>
      <c r="AG16" s="278" t="s">
        <v>154</v>
      </c>
      <c r="AH16" s="280">
        <f>IF(AL16=0,J16,0)</f>
        <v>0</v>
      </c>
      <c r="AI16" s="280">
        <f>IF(AL16=15,J16,0)</f>
        <v>0</v>
      </c>
      <c r="AJ16" s="280">
        <f>IF(AL16=21,J16,0)</f>
        <v>0</v>
      </c>
      <c r="AL16" s="280">
        <v>15</v>
      </c>
      <c r="AM16" s="280">
        <f>G16*0.063874366</f>
        <v>0</v>
      </c>
      <c r="AN16" s="280">
        <f>G16*(1-0.063874366)</f>
        <v>0</v>
      </c>
      <c r="AO16" s="281" t="s">
        <v>157</v>
      </c>
      <c r="AT16" s="280">
        <f>AU16+AV16</f>
        <v>0</v>
      </c>
      <c r="AU16" s="280">
        <f>F16*AM16</f>
        <v>0</v>
      </c>
      <c r="AV16" s="280">
        <f>F16*AN16</f>
        <v>0</v>
      </c>
      <c r="AW16" s="281" t="s">
        <v>162</v>
      </c>
      <c r="AX16" s="281" t="s">
        <v>163</v>
      </c>
      <c r="AY16" s="278" t="s">
        <v>164</v>
      </c>
      <c r="BA16" s="280">
        <f>AU16+AV16</f>
        <v>0</v>
      </c>
      <c r="BB16" s="280">
        <f>G16/(100-BC16)*100</f>
        <v>0</v>
      </c>
      <c r="BC16" s="280">
        <v>0</v>
      </c>
      <c r="BD16" s="280">
        <f>L16</f>
        <v>0.28225119999999998</v>
      </c>
      <c r="BF16" s="280">
        <f>F16*AM16</f>
        <v>0</v>
      </c>
      <c r="BG16" s="280">
        <f>F16*AN16</f>
        <v>0</v>
      </c>
      <c r="BH16" s="280">
        <f>F16*G16</f>
        <v>0</v>
      </c>
      <c r="BI16" s="280"/>
      <c r="BJ16" s="280">
        <v>11</v>
      </c>
      <c r="BU16" s="280" t="e">
        <f>#REF!</f>
        <v>#REF!</v>
      </c>
      <c r="BV16" s="277" t="s">
        <v>168</v>
      </c>
    </row>
    <row r="17" spans="1:74" ht="40.5" customHeight="1" x14ac:dyDescent="0.3">
      <c r="A17" s="288"/>
      <c r="B17" s="289" t="s">
        <v>165</v>
      </c>
      <c r="C17" s="615" t="s">
        <v>1884</v>
      </c>
      <c r="D17" s="616"/>
      <c r="E17" s="616"/>
      <c r="F17" s="616"/>
      <c r="G17" s="616"/>
      <c r="H17" s="616"/>
      <c r="I17" s="616"/>
      <c r="J17" s="616"/>
      <c r="K17" s="616"/>
      <c r="L17" s="616"/>
      <c r="M17" s="617"/>
    </row>
    <row r="18" spans="1:74" ht="14.4" x14ac:dyDescent="0.3">
      <c r="A18" s="290" t="s">
        <v>169</v>
      </c>
      <c r="B18" s="275" t="s">
        <v>158</v>
      </c>
      <c r="C18" s="613" t="s">
        <v>159</v>
      </c>
      <c r="D18" s="614"/>
      <c r="E18" s="275" t="s">
        <v>160</v>
      </c>
      <c r="F18" s="280">
        <v>4.0599999999999996</v>
      </c>
      <c r="G18" s="311">
        <v>0</v>
      </c>
      <c r="H18" s="280">
        <f>F18*AM18</f>
        <v>0</v>
      </c>
      <c r="I18" s="280">
        <f>F18*AN18</f>
        <v>0</v>
      </c>
      <c r="J18" s="280">
        <f>F18*G18</f>
        <v>0</v>
      </c>
      <c r="K18" s="280">
        <v>2.478E-2</v>
      </c>
      <c r="L18" s="280">
        <f>F18*K18</f>
        <v>0.1006068</v>
      </c>
      <c r="M18" s="291" t="s">
        <v>472</v>
      </c>
      <c r="X18" s="280">
        <f>IF(AO18="5",BH18,0)</f>
        <v>0</v>
      </c>
      <c r="Z18" s="280">
        <f>IF(AO18="1",BF18,0)</f>
        <v>0</v>
      </c>
      <c r="AA18" s="280">
        <f>IF(AO18="1",BG18,0)</f>
        <v>0</v>
      </c>
      <c r="AB18" s="280">
        <f>IF(AO18="7",BF18,0)</f>
        <v>0</v>
      </c>
      <c r="AC18" s="280">
        <f>IF(AO18="7",BG18,0)</f>
        <v>0</v>
      </c>
      <c r="AD18" s="280">
        <f>IF(AO18="2",BF18,0)</f>
        <v>0</v>
      </c>
      <c r="AE18" s="280">
        <f>IF(AO18="2",BG18,0)</f>
        <v>0</v>
      </c>
      <c r="AF18" s="280">
        <f>IF(AO18="0",BH18,0)</f>
        <v>0</v>
      </c>
      <c r="AG18" s="278" t="s">
        <v>154</v>
      </c>
      <c r="AH18" s="280">
        <f>IF(AL18=0,J18,0)</f>
        <v>0</v>
      </c>
      <c r="AI18" s="280">
        <f>IF(AL18=15,J18,0)</f>
        <v>0</v>
      </c>
      <c r="AJ18" s="280">
        <f>IF(AL18=21,J18,0)</f>
        <v>0</v>
      </c>
      <c r="AL18" s="280">
        <v>15</v>
      </c>
      <c r="AM18" s="280">
        <f>G18*0.071410619</f>
        <v>0</v>
      </c>
      <c r="AN18" s="280">
        <f>G18*(1-0.071410619)</f>
        <v>0</v>
      </c>
      <c r="AO18" s="281" t="s">
        <v>157</v>
      </c>
      <c r="AT18" s="280">
        <f>AU18+AV18</f>
        <v>0</v>
      </c>
      <c r="AU18" s="280">
        <f>F18*AM18</f>
        <v>0</v>
      </c>
      <c r="AV18" s="280">
        <f>F18*AN18</f>
        <v>0</v>
      </c>
      <c r="AW18" s="281" t="s">
        <v>162</v>
      </c>
      <c r="AX18" s="281" t="s">
        <v>163</v>
      </c>
      <c r="AY18" s="278" t="s">
        <v>164</v>
      </c>
      <c r="BA18" s="280">
        <f>AU18+AV18</f>
        <v>0</v>
      </c>
      <c r="BB18" s="280">
        <f>G18/(100-BC18)*100</f>
        <v>0</v>
      </c>
      <c r="BC18" s="280">
        <v>0</v>
      </c>
      <c r="BD18" s="280">
        <f>L18</f>
        <v>0.1006068</v>
      </c>
      <c r="BF18" s="280">
        <f>F18*AM18</f>
        <v>0</v>
      </c>
      <c r="BG18" s="280">
        <f>F18*AN18</f>
        <v>0</v>
      </c>
      <c r="BH18" s="280">
        <f>F18*G18</f>
        <v>0</v>
      </c>
      <c r="BI18" s="280"/>
      <c r="BJ18" s="280">
        <v>11</v>
      </c>
      <c r="BU18" s="280" t="e">
        <f>#REF!</f>
        <v>#REF!</v>
      </c>
      <c r="BV18" s="277" t="s">
        <v>159</v>
      </c>
    </row>
    <row r="19" spans="1:74" ht="40.5" customHeight="1" x14ac:dyDescent="0.3">
      <c r="A19" s="288"/>
      <c r="B19" s="289" t="s">
        <v>165</v>
      </c>
      <c r="C19" s="615" t="s">
        <v>1885</v>
      </c>
      <c r="D19" s="616"/>
      <c r="E19" s="616"/>
      <c r="F19" s="616"/>
      <c r="G19" s="616"/>
      <c r="H19" s="616"/>
      <c r="I19" s="616"/>
      <c r="J19" s="616"/>
      <c r="K19" s="616"/>
      <c r="L19" s="616"/>
      <c r="M19" s="617"/>
    </row>
    <row r="20" spans="1:74" ht="14.4" x14ac:dyDescent="0.3">
      <c r="A20" s="290" t="s">
        <v>173</v>
      </c>
      <c r="B20" s="275" t="s">
        <v>884</v>
      </c>
      <c r="C20" s="613" t="s">
        <v>885</v>
      </c>
      <c r="D20" s="614"/>
      <c r="E20" s="275" t="s">
        <v>172</v>
      </c>
      <c r="F20" s="280">
        <v>160</v>
      </c>
      <c r="G20" s="311">
        <v>0</v>
      </c>
      <c r="H20" s="280">
        <f>F20*AM20</f>
        <v>0</v>
      </c>
      <c r="I20" s="280">
        <f>F20*AN20</f>
        <v>0</v>
      </c>
      <c r="J20" s="280">
        <f>F20*G20</f>
        <v>0</v>
      </c>
      <c r="K20" s="280">
        <v>4.0000000000000003E-5</v>
      </c>
      <c r="L20" s="280">
        <f>F20*K20</f>
        <v>6.4000000000000003E-3</v>
      </c>
      <c r="M20" s="291" t="s">
        <v>472</v>
      </c>
      <c r="X20" s="280">
        <f>IF(AO20="5",BH20,0)</f>
        <v>0</v>
      </c>
      <c r="Z20" s="280">
        <f>IF(AO20="1",BF20,0)</f>
        <v>0</v>
      </c>
      <c r="AA20" s="280">
        <f>IF(AO20="1",BG20,0)</f>
        <v>0</v>
      </c>
      <c r="AB20" s="280">
        <f>IF(AO20="7",BF20,0)</f>
        <v>0</v>
      </c>
      <c r="AC20" s="280">
        <f>IF(AO20="7",BG20,0)</f>
        <v>0</v>
      </c>
      <c r="AD20" s="280">
        <f>IF(AO20="2",BF20,0)</f>
        <v>0</v>
      </c>
      <c r="AE20" s="280">
        <f>IF(AO20="2",BG20,0)</f>
        <v>0</v>
      </c>
      <c r="AF20" s="280">
        <f>IF(AO20="0",BH20,0)</f>
        <v>0</v>
      </c>
      <c r="AG20" s="278" t="s">
        <v>154</v>
      </c>
      <c r="AH20" s="280">
        <f>IF(AL20=0,J20,0)</f>
        <v>0</v>
      </c>
      <c r="AI20" s="280">
        <f>IF(AL20=15,J20,0)</f>
        <v>0</v>
      </c>
      <c r="AJ20" s="280">
        <f>IF(AL20=21,J20,0)</f>
        <v>0</v>
      </c>
      <c r="AL20" s="280">
        <v>15</v>
      </c>
      <c r="AM20" s="280">
        <f>G20*0.005098039</f>
        <v>0</v>
      </c>
      <c r="AN20" s="280">
        <f>G20*(1-0.005098039)</f>
        <v>0</v>
      </c>
      <c r="AO20" s="281" t="s">
        <v>157</v>
      </c>
      <c r="AT20" s="280">
        <f>AU20+AV20</f>
        <v>0</v>
      </c>
      <c r="AU20" s="280">
        <f>F20*AM20</f>
        <v>0</v>
      </c>
      <c r="AV20" s="280">
        <f>F20*AN20</f>
        <v>0</v>
      </c>
      <c r="AW20" s="281" t="s">
        <v>162</v>
      </c>
      <c r="AX20" s="281" t="s">
        <v>163</v>
      </c>
      <c r="AY20" s="278" t="s">
        <v>164</v>
      </c>
      <c r="BA20" s="280">
        <f>AU20+AV20</f>
        <v>0</v>
      </c>
      <c r="BB20" s="280">
        <f>G20/(100-BC20)*100</f>
        <v>0</v>
      </c>
      <c r="BC20" s="280">
        <v>0</v>
      </c>
      <c r="BD20" s="280">
        <f>L20</f>
        <v>6.4000000000000003E-3</v>
      </c>
      <c r="BF20" s="280">
        <f>F20*AM20</f>
        <v>0</v>
      </c>
      <c r="BG20" s="280">
        <f>F20*AN20</f>
        <v>0</v>
      </c>
      <c r="BH20" s="280">
        <f>F20*G20</f>
        <v>0</v>
      </c>
      <c r="BI20" s="280"/>
      <c r="BJ20" s="280">
        <v>11</v>
      </c>
      <c r="BU20" s="280" t="e">
        <f>#REF!</f>
        <v>#REF!</v>
      </c>
      <c r="BV20" s="277" t="s">
        <v>885</v>
      </c>
    </row>
    <row r="21" spans="1:74" ht="40.5" customHeight="1" x14ac:dyDescent="0.3">
      <c r="A21" s="288"/>
      <c r="B21" s="289" t="s">
        <v>165</v>
      </c>
      <c r="C21" s="615" t="s">
        <v>1886</v>
      </c>
      <c r="D21" s="616"/>
      <c r="E21" s="616"/>
      <c r="F21" s="616"/>
      <c r="G21" s="616"/>
      <c r="H21" s="616"/>
      <c r="I21" s="616"/>
      <c r="J21" s="616"/>
      <c r="K21" s="616"/>
      <c r="L21" s="616"/>
      <c r="M21" s="617"/>
    </row>
    <row r="22" spans="1:74" ht="14.4" x14ac:dyDescent="0.3">
      <c r="A22" s="290" t="s">
        <v>177</v>
      </c>
      <c r="B22" s="275" t="s">
        <v>886</v>
      </c>
      <c r="C22" s="613" t="s">
        <v>887</v>
      </c>
      <c r="D22" s="614"/>
      <c r="E22" s="275" t="s">
        <v>176</v>
      </c>
      <c r="F22" s="280">
        <v>20</v>
      </c>
      <c r="G22" s="311">
        <v>0</v>
      </c>
      <c r="H22" s="280">
        <f>F22*AM22</f>
        <v>0</v>
      </c>
      <c r="I22" s="280">
        <f>F22*AN22</f>
        <v>0</v>
      </c>
      <c r="J22" s="280">
        <f>F22*G22</f>
        <v>0</v>
      </c>
      <c r="K22" s="280">
        <v>0</v>
      </c>
      <c r="L22" s="280">
        <f>F22*K22</f>
        <v>0</v>
      </c>
      <c r="M22" s="291" t="s">
        <v>472</v>
      </c>
      <c r="X22" s="280">
        <f>IF(AO22="5",BH22,0)</f>
        <v>0</v>
      </c>
      <c r="Z22" s="280">
        <f>IF(AO22="1",BF22,0)</f>
        <v>0</v>
      </c>
      <c r="AA22" s="280">
        <f>IF(AO22="1",BG22,0)</f>
        <v>0</v>
      </c>
      <c r="AB22" s="280">
        <f>IF(AO22="7",BF22,0)</f>
        <v>0</v>
      </c>
      <c r="AC22" s="280">
        <f>IF(AO22="7",BG22,0)</f>
        <v>0</v>
      </c>
      <c r="AD22" s="280">
        <f>IF(AO22="2",BF22,0)</f>
        <v>0</v>
      </c>
      <c r="AE22" s="280">
        <f>IF(AO22="2",BG22,0)</f>
        <v>0</v>
      </c>
      <c r="AF22" s="280">
        <f>IF(AO22="0",BH22,0)</f>
        <v>0</v>
      </c>
      <c r="AG22" s="278" t="s">
        <v>154</v>
      </c>
      <c r="AH22" s="280">
        <f>IF(AL22=0,J22,0)</f>
        <v>0</v>
      </c>
      <c r="AI22" s="280">
        <f>IF(AL22=15,J22,0)</f>
        <v>0</v>
      </c>
      <c r="AJ22" s="280">
        <f>IF(AL22=21,J22,0)</f>
        <v>0</v>
      </c>
      <c r="AL22" s="280">
        <v>15</v>
      </c>
      <c r="AM22" s="280">
        <f>G22*0</f>
        <v>0</v>
      </c>
      <c r="AN22" s="280">
        <f>G22*(1-0)</f>
        <v>0</v>
      </c>
      <c r="AO22" s="281" t="s">
        <v>157</v>
      </c>
      <c r="AT22" s="280">
        <f>AU22+AV22</f>
        <v>0</v>
      </c>
      <c r="AU22" s="280">
        <f>F22*AM22</f>
        <v>0</v>
      </c>
      <c r="AV22" s="280">
        <f>F22*AN22</f>
        <v>0</v>
      </c>
      <c r="AW22" s="281" t="s">
        <v>162</v>
      </c>
      <c r="AX22" s="281" t="s">
        <v>163</v>
      </c>
      <c r="AY22" s="278" t="s">
        <v>164</v>
      </c>
      <c r="BA22" s="280">
        <f>AU22+AV22</f>
        <v>0</v>
      </c>
      <c r="BB22" s="280">
        <f>G22/(100-BC22)*100</f>
        <v>0</v>
      </c>
      <c r="BC22" s="280">
        <v>0</v>
      </c>
      <c r="BD22" s="280">
        <f>L22</f>
        <v>0</v>
      </c>
      <c r="BF22" s="280">
        <f>F22*AM22</f>
        <v>0</v>
      </c>
      <c r="BG22" s="280">
        <f>F22*AN22</f>
        <v>0</v>
      </c>
      <c r="BH22" s="280">
        <f>F22*G22</f>
        <v>0</v>
      </c>
      <c r="BI22" s="280"/>
      <c r="BJ22" s="280">
        <v>11</v>
      </c>
      <c r="BU22" s="280" t="e">
        <f>#REF!</f>
        <v>#REF!</v>
      </c>
      <c r="BV22" s="277" t="s">
        <v>887</v>
      </c>
    </row>
    <row r="23" spans="1:74" ht="40.5" customHeight="1" x14ac:dyDescent="0.3">
      <c r="A23" s="288"/>
      <c r="B23" s="289" t="s">
        <v>165</v>
      </c>
      <c r="C23" s="615" t="s">
        <v>1887</v>
      </c>
      <c r="D23" s="616"/>
      <c r="E23" s="616"/>
      <c r="F23" s="616"/>
      <c r="G23" s="616"/>
      <c r="H23" s="616"/>
      <c r="I23" s="616"/>
      <c r="J23" s="616"/>
      <c r="K23" s="616"/>
      <c r="L23" s="616"/>
      <c r="M23" s="617"/>
    </row>
    <row r="24" spans="1:74" ht="14.4" x14ac:dyDescent="0.3">
      <c r="A24" s="290" t="s">
        <v>181</v>
      </c>
      <c r="B24" s="275" t="s">
        <v>178</v>
      </c>
      <c r="C24" s="613" t="s">
        <v>179</v>
      </c>
      <c r="D24" s="614"/>
      <c r="E24" s="275" t="s">
        <v>180</v>
      </c>
      <c r="F24" s="280">
        <v>684.88</v>
      </c>
      <c r="G24" s="311">
        <v>0</v>
      </c>
      <c r="H24" s="280">
        <f>F24*AM24</f>
        <v>0</v>
      </c>
      <c r="I24" s="280">
        <f>F24*AN24</f>
        <v>0</v>
      </c>
      <c r="J24" s="280">
        <f>F24*G24</f>
        <v>0</v>
      </c>
      <c r="K24" s="280">
        <v>0.90051000000000003</v>
      </c>
      <c r="L24" s="280">
        <f>F24*K24</f>
        <v>616.74128880000001</v>
      </c>
      <c r="M24" s="291" t="s">
        <v>472</v>
      </c>
      <c r="X24" s="280">
        <f>IF(AO24="5",BH24,0)</f>
        <v>0</v>
      </c>
      <c r="Z24" s="280">
        <f>IF(AO24="1",BF24,0)</f>
        <v>0</v>
      </c>
      <c r="AA24" s="280">
        <f>IF(AO24="1",BG24,0)</f>
        <v>0</v>
      </c>
      <c r="AB24" s="280">
        <f>IF(AO24="7",BF24,0)</f>
        <v>0</v>
      </c>
      <c r="AC24" s="280">
        <f>IF(AO24="7",BG24,0)</f>
        <v>0</v>
      </c>
      <c r="AD24" s="280">
        <f>IF(AO24="2",BF24,0)</f>
        <v>0</v>
      </c>
      <c r="AE24" s="280">
        <f>IF(AO24="2",BG24,0)</f>
        <v>0</v>
      </c>
      <c r="AF24" s="280">
        <f>IF(AO24="0",BH24,0)</f>
        <v>0</v>
      </c>
      <c r="AG24" s="278" t="s">
        <v>154</v>
      </c>
      <c r="AH24" s="280">
        <f>IF(AL24=0,J24,0)</f>
        <v>0</v>
      </c>
      <c r="AI24" s="280">
        <f>IF(AL24=15,J24,0)</f>
        <v>0</v>
      </c>
      <c r="AJ24" s="280">
        <f>IF(AL24=21,J24,0)</f>
        <v>0</v>
      </c>
      <c r="AL24" s="280">
        <v>15</v>
      </c>
      <c r="AM24" s="280">
        <f>G24*0.022141013</f>
        <v>0</v>
      </c>
      <c r="AN24" s="280">
        <f>G24*(1-0.022141013)</f>
        <v>0</v>
      </c>
      <c r="AO24" s="281" t="s">
        <v>157</v>
      </c>
      <c r="AT24" s="280">
        <f>AU24+AV24</f>
        <v>0</v>
      </c>
      <c r="AU24" s="280">
        <f>F24*AM24</f>
        <v>0</v>
      </c>
      <c r="AV24" s="280">
        <f>F24*AN24</f>
        <v>0</v>
      </c>
      <c r="AW24" s="281" t="s">
        <v>162</v>
      </c>
      <c r="AX24" s="281" t="s">
        <v>163</v>
      </c>
      <c r="AY24" s="278" t="s">
        <v>164</v>
      </c>
      <c r="BA24" s="280">
        <f>AU24+AV24</f>
        <v>0</v>
      </c>
      <c r="BB24" s="280">
        <f>G24/(100-BC24)*100</f>
        <v>0</v>
      </c>
      <c r="BC24" s="280">
        <v>0</v>
      </c>
      <c r="BD24" s="280">
        <f>L24</f>
        <v>616.74128880000001</v>
      </c>
      <c r="BF24" s="280">
        <f>F24*AM24</f>
        <v>0</v>
      </c>
      <c r="BG24" s="280">
        <f>F24*AN24</f>
        <v>0</v>
      </c>
      <c r="BH24" s="280">
        <f>F24*G24</f>
        <v>0</v>
      </c>
      <c r="BI24" s="280"/>
      <c r="BJ24" s="280">
        <v>11</v>
      </c>
      <c r="BU24" s="280" t="e">
        <f>#REF!</f>
        <v>#REF!</v>
      </c>
      <c r="BV24" s="277" t="s">
        <v>179</v>
      </c>
    </row>
    <row r="25" spans="1:74" ht="216" customHeight="1" x14ac:dyDescent="0.3">
      <c r="A25" s="288"/>
      <c r="B25" s="289" t="s">
        <v>165</v>
      </c>
      <c r="C25" s="615" t="s">
        <v>1888</v>
      </c>
      <c r="D25" s="616"/>
      <c r="E25" s="616"/>
      <c r="F25" s="616"/>
      <c r="G25" s="616"/>
      <c r="H25" s="616"/>
      <c r="I25" s="616"/>
      <c r="J25" s="616"/>
      <c r="K25" s="616"/>
      <c r="L25" s="616"/>
      <c r="M25" s="617"/>
    </row>
    <row r="26" spans="1:74" ht="14.4" x14ac:dyDescent="0.3">
      <c r="A26" s="290" t="s">
        <v>184</v>
      </c>
      <c r="B26" s="275" t="s">
        <v>476</v>
      </c>
      <c r="C26" s="613" t="s">
        <v>477</v>
      </c>
      <c r="D26" s="614"/>
      <c r="E26" s="275" t="s">
        <v>180</v>
      </c>
      <c r="F26" s="280">
        <v>652.26</v>
      </c>
      <c r="G26" s="311">
        <v>0</v>
      </c>
      <c r="H26" s="280">
        <f>F26*AM26</f>
        <v>0</v>
      </c>
      <c r="I26" s="280">
        <f>F26*AN26</f>
        <v>0</v>
      </c>
      <c r="J26" s="280">
        <f>F26*G26</f>
        <v>0</v>
      </c>
      <c r="K26" s="280">
        <v>0.39600000000000002</v>
      </c>
      <c r="L26" s="280">
        <f>F26*K26</f>
        <v>258.29496</v>
      </c>
      <c r="M26" s="291" t="s">
        <v>472</v>
      </c>
      <c r="X26" s="280">
        <f>IF(AO26="5",BH26,0)</f>
        <v>0</v>
      </c>
      <c r="Z26" s="280">
        <f>IF(AO26="1",BF26,0)</f>
        <v>0</v>
      </c>
      <c r="AA26" s="280">
        <f>IF(AO26="1",BG26,0)</f>
        <v>0</v>
      </c>
      <c r="AB26" s="280">
        <f>IF(AO26="7",BF26,0)</f>
        <v>0</v>
      </c>
      <c r="AC26" s="280">
        <f>IF(AO26="7",BG26,0)</f>
        <v>0</v>
      </c>
      <c r="AD26" s="280">
        <f>IF(AO26="2",BF26,0)</f>
        <v>0</v>
      </c>
      <c r="AE26" s="280">
        <f>IF(AO26="2",BG26,0)</f>
        <v>0</v>
      </c>
      <c r="AF26" s="280">
        <f>IF(AO26="0",BH26,0)</f>
        <v>0</v>
      </c>
      <c r="AG26" s="278" t="s">
        <v>154</v>
      </c>
      <c r="AH26" s="280">
        <f>IF(AL26=0,J26,0)</f>
        <v>0</v>
      </c>
      <c r="AI26" s="280">
        <f>IF(AL26=15,J26,0)</f>
        <v>0</v>
      </c>
      <c r="AJ26" s="280">
        <f>IF(AL26=21,J26,0)</f>
        <v>0</v>
      </c>
      <c r="AL26" s="280">
        <v>15</v>
      </c>
      <c r="AM26" s="280">
        <f>G26*0</f>
        <v>0</v>
      </c>
      <c r="AN26" s="280">
        <f>G26*(1-0)</f>
        <v>0</v>
      </c>
      <c r="AO26" s="281" t="s">
        <v>157</v>
      </c>
      <c r="AT26" s="280">
        <f>AU26+AV26</f>
        <v>0</v>
      </c>
      <c r="AU26" s="280">
        <f>F26*AM26</f>
        <v>0</v>
      </c>
      <c r="AV26" s="280">
        <f>F26*AN26</f>
        <v>0</v>
      </c>
      <c r="AW26" s="281" t="s">
        <v>162</v>
      </c>
      <c r="AX26" s="281" t="s">
        <v>163</v>
      </c>
      <c r="AY26" s="278" t="s">
        <v>164</v>
      </c>
      <c r="BA26" s="280">
        <f>AU26+AV26</f>
        <v>0</v>
      </c>
      <c r="BB26" s="280">
        <f>G26/(100-BC26)*100</f>
        <v>0</v>
      </c>
      <c r="BC26" s="280">
        <v>0</v>
      </c>
      <c r="BD26" s="280">
        <f>L26</f>
        <v>258.29496</v>
      </c>
      <c r="BF26" s="280">
        <f>F26*AM26</f>
        <v>0</v>
      </c>
      <c r="BG26" s="280">
        <f>F26*AN26</f>
        <v>0</v>
      </c>
      <c r="BH26" s="280">
        <f>F26*G26</f>
        <v>0</v>
      </c>
      <c r="BI26" s="280"/>
      <c r="BJ26" s="280">
        <v>11</v>
      </c>
      <c r="BU26" s="280" t="e">
        <f>#REF!</f>
        <v>#REF!</v>
      </c>
      <c r="BV26" s="277" t="s">
        <v>477</v>
      </c>
    </row>
    <row r="27" spans="1:74" ht="121.5" customHeight="1" x14ac:dyDescent="0.3">
      <c r="A27" s="292"/>
      <c r="B27" s="293" t="s">
        <v>165</v>
      </c>
      <c r="C27" s="618" t="s">
        <v>1889</v>
      </c>
      <c r="D27" s="619"/>
      <c r="E27" s="619"/>
      <c r="F27" s="619"/>
      <c r="G27" s="619"/>
      <c r="H27" s="619"/>
      <c r="I27" s="619"/>
      <c r="J27" s="619"/>
      <c r="K27" s="619"/>
      <c r="L27" s="619"/>
      <c r="M27" s="620"/>
    </row>
    <row r="28" spans="1:74" ht="14.4" x14ac:dyDescent="0.3">
      <c r="A28" s="284" t="s">
        <v>154</v>
      </c>
      <c r="B28" s="295" t="s">
        <v>191</v>
      </c>
      <c r="C28" s="625" t="s">
        <v>192</v>
      </c>
      <c r="D28" s="626"/>
      <c r="E28" s="285" t="s">
        <v>114</v>
      </c>
      <c r="F28" s="285" t="s">
        <v>114</v>
      </c>
      <c r="G28" s="285" t="s">
        <v>114</v>
      </c>
      <c r="H28" s="296">
        <f>SUM(H29:H29)</f>
        <v>0</v>
      </c>
      <c r="I28" s="296">
        <f>SUM(I29:I29)</f>
        <v>0</v>
      </c>
      <c r="J28" s="296">
        <f>SUM(J29:J29)</f>
        <v>0</v>
      </c>
      <c r="K28" s="297" t="s">
        <v>154</v>
      </c>
      <c r="L28" s="296">
        <f>SUM(L29:L29)</f>
        <v>0</v>
      </c>
      <c r="M28" s="298" t="s">
        <v>154</v>
      </c>
      <c r="AG28" s="278" t="s">
        <v>154</v>
      </c>
      <c r="AQ28" s="274">
        <f>SUM(AH29:AH29)</f>
        <v>0</v>
      </c>
      <c r="AR28" s="274">
        <f>SUM(AI29:AI29)</f>
        <v>0</v>
      </c>
      <c r="AS28" s="274">
        <f>SUM(AJ29:AJ29)</f>
        <v>0</v>
      </c>
    </row>
    <row r="29" spans="1:74" ht="14.4" x14ac:dyDescent="0.3">
      <c r="A29" s="290" t="s">
        <v>187</v>
      </c>
      <c r="B29" s="275" t="s">
        <v>199</v>
      </c>
      <c r="C29" s="613" t="s">
        <v>200</v>
      </c>
      <c r="D29" s="614"/>
      <c r="E29" s="275" t="s">
        <v>196</v>
      </c>
      <c r="F29" s="280">
        <v>2</v>
      </c>
      <c r="G29" s="311">
        <v>0</v>
      </c>
      <c r="H29" s="280">
        <f>F29*AM29</f>
        <v>0</v>
      </c>
      <c r="I29" s="280">
        <f>F29*AN29</f>
        <v>0</v>
      </c>
      <c r="J29" s="280">
        <f>F29*G29</f>
        <v>0</v>
      </c>
      <c r="K29" s="280">
        <v>0</v>
      </c>
      <c r="L29" s="280">
        <f>F29*K29</f>
        <v>0</v>
      </c>
      <c r="M29" s="291" t="s">
        <v>472</v>
      </c>
      <c r="X29" s="280">
        <f>IF(AO29="5",BH29,0)</f>
        <v>0</v>
      </c>
      <c r="Z29" s="280">
        <f>IF(AO29="1",BF29,0)</f>
        <v>0</v>
      </c>
      <c r="AA29" s="280">
        <f>IF(AO29="1",BG29,0)</f>
        <v>0</v>
      </c>
      <c r="AB29" s="280">
        <f>IF(AO29="7",BF29,0)</f>
        <v>0</v>
      </c>
      <c r="AC29" s="280">
        <f>IF(AO29="7",BG29,0)</f>
        <v>0</v>
      </c>
      <c r="AD29" s="280">
        <f>IF(AO29="2",BF29,0)</f>
        <v>0</v>
      </c>
      <c r="AE29" s="280">
        <f>IF(AO29="2",BG29,0)</f>
        <v>0</v>
      </c>
      <c r="AF29" s="280">
        <f>IF(AO29="0",BH29,0)</f>
        <v>0</v>
      </c>
      <c r="AG29" s="278" t="s">
        <v>154</v>
      </c>
      <c r="AH29" s="280">
        <f>IF(AL29=0,J29,0)</f>
        <v>0</v>
      </c>
      <c r="AI29" s="280">
        <f>IF(AL29=15,J29,0)</f>
        <v>0</v>
      </c>
      <c r="AJ29" s="280">
        <f>IF(AL29=21,J29,0)</f>
        <v>0</v>
      </c>
      <c r="AL29" s="280">
        <v>15</v>
      </c>
      <c r="AM29" s="280">
        <f>G29*0</f>
        <v>0</v>
      </c>
      <c r="AN29" s="280">
        <f>G29*(1-0)</f>
        <v>0</v>
      </c>
      <c r="AO29" s="281" t="s">
        <v>157</v>
      </c>
      <c r="AT29" s="280">
        <f>AU29+AV29</f>
        <v>0</v>
      </c>
      <c r="AU29" s="280">
        <f>F29*AM29</f>
        <v>0</v>
      </c>
      <c r="AV29" s="280">
        <f>F29*AN29</f>
        <v>0</v>
      </c>
      <c r="AW29" s="281" t="s">
        <v>197</v>
      </c>
      <c r="AX29" s="281" t="s">
        <v>163</v>
      </c>
      <c r="AY29" s="278" t="s">
        <v>164</v>
      </c>
      <c r="BA29" s="280">
        <f>AU29+AV29</f>
        <v>0</v>
      </c>
      <c r="BB29" s="280">
        <f>G29/(100-BC29)*100</f>
        <v>0</v>
      </c>
      <c r="BC29" s="280">
        <v>0</v>
      </c>
      <c r="BD29" s="280">
        <f>L29</f>
        <v>0</v>
      </c>
      <c r="BF29" s="280">
        <f>F29*AM29</f>
        <v>0</v>
      </c>
      <c r="BG29" s="280">
        <f>F29*AN29</f>
        <v>0</v>
      </c>
      <c r="BH29" s="280">
        <f>F29*G29</f>
        <v>0</v>
      </c>
      <c r="BI29" s="280"/>
      <c r="BJ29" s="280">
        <v>12</v>
      </c>
      <c r="BU29" s="280" t="e">
        <f>#REF!</f>
        <v>#REF!</v>
      </c>
      <c r="BV29" s="277" t="s">
        <v>200</v>
      </c>
    </row>
    <row r="30" spans="1:74" ht="13.5" customHeight="1" x14ac:dyDescent="0.3">
      <c r="A30" s="288"/>
      <c r="B30" s="289" t="s">
        <v>165</v>
      </c>
      <c r="C30" s="615" t="s">
        <v>480</v>
      </c>
      <c r="D30" s="616"/>
      <c r="E30" s="616"/>
      <c r="F30" s="616"/>
      <c r="G30" s="616"/>
      <c r="H30" s="616"/>
      <c r="I30" s="616"/>
      <c r="J30" s="616"/>
      <c r="K30" s="616"/>
      <c r="L30" s="616"/>
      <c r="M30" s="617"/>
    </row>
    <row r="31" spans="1:74" ht="14.4" x14ac:dyDescent="0.3">
      <c r="A31" s="290" t="s">
        <v>154</v>
      </c>
      <c r="B31" s="276" t="s">
        <v>201</v>
      </c>
      <c r="C31" s="624" t="s">
        <v>202</v>
      </c>
      <c r="D31" s="621"/>
      <c r="E31" s="275" t="s">
        <v>114</v>
      </c>
      <c r="F31" s="275" t="s">
        <v>114</v>
      </c>
      <c r="G31" s="275" t="s">
        <v>114</v>
      </c>
      <c r="H31" s="282">
        <f>SUM(H32:H46)</f>
        <v>0</v>
      </c>
      <c r="I31" s="282">
        <f>SUM(I32:I46)</f>
        <v>0</v>
      </c>
      <c r="J31" s="282">
        <f>SUM(J32:J46)</f>
        <v>0</v>
      </c>
      <c r="K31" s="279" t="s">
        <v>154</v>
      </c>
      <c r="L31" s="282">
        <f>SUM(L32:L46)</f>
        <v>0</v>
      </c>
      <c r="M31" s="294" t="s">
        <v>154</v>
      </c>
      <c r="AG31" s="278" t="s">
        <v>154</v>
      </c>
      <c r="AQ31" s="274">
        <f>SUM(AH32:AH46)</f>
        <v>0</v>
      </c>
      <c r="AR31" s="274">
        <f>SUM(AI32:AI46)</f>
        <v>0</v>
      </c>
      <c r="AS31" s="274">
        <f>SUM(AJ32:AJ46)</f>
        <v>0</v>
      </c>
    </row>
    <row r="32" spans="1:74" ht="14.4" x14ac:dyDescent="0.3">
      <c r="A32" s="290" t="s">
        <v>193</v>
      </c>
      <c r="B32" s="275" t="s">
        <v>203</v>
      </c>
      <c r="C32" s="613" t="s">
        <v>204</v>
      </c>
      <c r="D32" s="614"/>
      <c r="E32" s="275" t="s">
        <v>196</v>
      </c>
      <c r="F32" s="280">
        <v>579.29999999999995</v>
      </c>
      <c r="G32" s="311">
        <v>0</v>
      </c>
      <c r="H32" s="280">
        <f>F32*AM32</f>
        <v>0</v>
      </c>
      <c r="I32" s="280">
        <f>F32*AN32</f>
        <v>0</v>
      </c>
      <c r="J32" s="280">
        <f>F32*G32</f>
        <v>0</v>
      </c>
      <c r="K32" s="280">
        <v>0</v>
      </c>
      <c r="L32" s="280">
        <f>F32*K32</f>
        <v>0</v>
      </c>
      <c r="M32" s="291" t="s">
        <v>472</v>
      </c>
      <c r="X32" s="280">
        <f>IF(AO32="5",BH32,0)</f>
        <v>0</v>
      </c>
      <c r="Z32" s="280">
        <f>IF(AO32="1",BF32,0)</f>
        <v>0</v>
      </c>
      <c r="AA32" s="280">
        <f>IF(AO32="1",BG32,0)</f>
        <v>0</v>
      </c>
      <c r="AB32" s="280">
        <f>IF(AO32="7",BF32,0)</f>
        <v>0</v>
      </c>
      <c r="AC32" s="280">
        <f>IF(AO32="7",BG32,0)</f>
        <v>0</v>
      </c>
      <c r="AD32" s="280">
        <f>IF(AO32="2",BF32,0)</f>
        <v>0</v>
      </c>
      <c r="AE32" s="280">
        <f>IF(AO32="2",BG32,0)</f>
        <v>0</v>
      </c>
      <c r="AF32" s="280">
        <f>IF(AO32="0",BH32,0)</f>
        <v>0</v>
      </c>
      <c r="AG32" s="278" t="s">
        <v>154</v>
      </c>
      <c r="AH32" s="280">
        <f>IF(AL32=0,J32,0)</f>
        <v>0</v>
      </c>
      <c r="AI32" s="280">
        <f>IF(AL32=15,J32,0)</f>
        <v>0</v>
      </c>
      <c r="AJ32" s="280">
        <f>IF(AL32=21,J32,0)</f>
        <v>0</v>
      </c>
      <c r="AL32" s="280">
        <v>15</v>
      </c>
      <c r="AM32" s="280">
        <f>G32*0</f>
        <v>0</v>
      </c>
      <c r="AN32" s="280">
        <f>G32*(1-0)</f>
        <v>0</v>
      </c>
      <c r="AO32" s="281" t="s">
        <v>157</v>
      </c>
      <c r="AT32" s="280">
        <f>AU32+AV32</f>
        <v>0</v>
      </c>
      <c r="AU32" s="280">
        <f>F32*AM32</f>
        <v>0</v>
      </c>
      <c r="AV32" s="280">
        <f>F32*AN32</f>
        <v>0</v>
      </c>
      <c r="AW32" s="281" t="s">
        <v>205</v>
      </c>
      <c r="AX32" s="281" t="s">
        <v>163</v>
      </c>
      <c r="AY32" s="278" t="s">
        <v>164</v>
      </c>
      <c r="BA32" s="280">
        <f>AU32+AV32</f>
        <v>0</v>
      </c>
      <c r="BB32" s="280">
        <f>G32/(100-BC32)*100</f>
        <v>0</v>
      </c>
      <c r="BC32" s="280">
        <v>0</v>
      </c>
      <c r="BD32" s="280">
        <f>L32</f>
        <v>0</v>
      </c>
      <c r="BF32" s="280">
        <f>F32*AM32</f>
        <v>0</v>
      </c>
      <c r="BG32" s="280">
        <f>F32*AN32</f>
        <v>0</v>
      </c>
      <c r="BH32" s="280">
        <f>F32*G32</f>
        <v>0</v>
      </c>
      <c r="BI32" s="280"/>
      <c r="BJ32" s="280">
        <v>13</v>
      </c>
      <c r="BU32" s="280" t="e">
        <f>#REF!</f>
        <v>#REF!</v>
      </c>
      <c r="BV32" s="277" t="s">
        <v>204</v>
      </c>
    </row>
    <row r="33" spans="1:74" ht="121.5" customHeight="1" x14ac:dyDescent="0.3">
      <c r="A33" s="288"/>
      <c r="B33" s="289" t="s">
        <v>165</v>
      </c>
      <c r="C33" s="615" t="s">
        <v>1890</v>
      </c>
      <c r="D33" s="616"/>
      <c r="E33" s="616"/>
      <c r="F33" s="616"/>
      <c r="G33" s="616"/>
      <c r="H33" s="616"/>
      <c r="I33" s="616"/>
      <c r="J33" s="616"/>
      <c r="K33" s="616"/>
      <c r="L33" s="616"/>
      <c r="M33" s="617"/>
    </row>
    <row r="34" spans="1:74" ht="14.4" x14ac:dyDescent="0.3">
      <c r="A34" s="290" t="s">
        <v>198</v>
      </c>
      <c r="B34" s="275" t="s">
        <v>206</v>
      </c>
      <c r="C34" s="613" t="s">
        <v>481</v>
      </c>
      <c r="D34" s="614"/>
      <c r="E34" s="275" t="s">
        <v>196</v>
      </c>
      <c r="F34" s="280">
        <v>289.64999999999998</v>
      </c>
      <c r="G34" s="311">
        <v>0</v>
      </c>
      <c r="H34" s="280">
        <f>F34*AM34</f>
        <v>0</v>
      </c>
      <c r="I34" s="280">
        <f>F34*AN34</f>
        <v>0</v>
      </c>
      <c r="J34" s="280">
        <f>F34*G34</f>
        <v>0</v>
      </c>
      <c r="K34" s="280">
        <v>0</v>
      </c>
      <c r="L34" s="280">
        <f>F34*K34</f>
        <v>0</v>
      </c>
      <c r="M34" s="291" t="s">
        <v>472</v>
      </c>
      <c r="X34" s="280">
        <f>IF(AO34="5",BH34,0)</f>
        <v>0</v>
      </c>
      <c r="Z34" s="280">
        <f>IF(AO34="1",BF34,0)</f>
        <v>0</v>
      </c>
      <c r="AA34" s="280">
        <f>IF(AO34="1",BG34,0)</f>
        <v>0</v>
      </c>
      <c r="AB34" s="280">
        <f>IF(AO34="7",BF34,0)</f>
        <v>0</v>
      </c>
      <c r="AC34" s="280">
        <f>IF(AO34="7",BG34,0)</f>
        <v>0</v>
      </c>
      <c r="AD34" s="280">
        <f>IF(AO34="2",BF34,0)</f>
        <v>0</v>
      </c>
      <c r="AE34" s="280">
        <f>IF(AO34="2",BG34,0)</f>
        <v>0</v>
      </c>
      <c r="AF34" s="280">
        <f>IF(AO34="0",BH34,0)</f>
        <v>0</v>
      </c>
      <c r="AG34" s="278" t="s">
        <v>154</v>
      </c>
      <c r="AH34" s="280">
        <f>IF(AL34=0,J34,0)</f>
        <v>0</v>
      </c>
      <c r="AI34" s="280">
        <f>IF(AL34=15,J34,0)</f>
        <v>0</v>
      </c>
      <c r="AJ34" s="280">
        <f>IF(AL34=21,J34,0)</f>
        <v>0</v>
      </c>
      <c r="AL34" s="280">
        <v>15</v>
      </c>
      <c r="AM34" s="280">
        <f>G34*0</f>
        <v>0</v>
      </c>
      <c r="AN34" s="280">
        <f>G34*(1-0)</f>
        <v>0</v>
      </c>
      <c r="AO34" s="281" t="s">
        <v>157</v>
      </c>
      <c r="AT34" s="280">
        <f>AU34+AV34</f>
        <v>0</v>
      </c>
      <c r="AU34" s="280">
        <f>F34*AM34</f>
        <v>0</v>
      </c>
      <c r="AV34" s="280">
        <f>F34*AN34</f>
        <v>0</v>
      </c>
      <c r="AW34" s="281" t="s">
        <v>205</v>
      </c>
      <c r="AX34" s="281" t="s">
        <v>163</v>
      </c>
      <c r="AY34" s="278" t="s">
        <v>164</v>
      </c>
      <c r="BA34" s="280">
        <f>AU34+AV34</f>
        <v>0</v>
      </c>
      <c r="BB34" s="280">
        <f>G34/(100-BC34)*100</f>
        <v>0</v>
      </c>
      <c r="BC34" s="280">
        <v>0</v>
      </c>
      <c r="BD34" s="280">
        <f>L34</f>
        <v>0</v>
      </c>
      <c r="BF34" s="280">
        <f>F34*AM34</f>
        <v>0</v>
      </c>
      <c r="BG34" s="280">
        <f>F34*AN34</f>
        <v>0</v>
      </c>
      <c r="BH34" s="280">
        <f>F34*G34</f>
        <v>0</v>
      </c>
      <c r="BI34" s="280"/>
      <c r="BJ34" s="280">
        <v>13</v>
      </c>
      <c r="BU34" s="280" t="e">
        <f>#REF!</f>
        <v>#REF!</v>
      </c>
      <c r="BV34" s="277" t="s">
        <v>481</v>
      </c>
    </row>
    <row r="35" spans="1:74" ht="40.5" customHeight="1" x14ac:dyDescent="0.3">
      <c r="A35" s="288"/>
      <c r="B35" s="289" t="s">
        <v>165</v>
      </c>
      <c r="C35" s="615" t="s">
        <v>1891</v>
      </c>
      <c r="D35" s="616"/>
      <c r="E35" s="616"/>
      <c r="F35" s="616"/>
      <c r="G35" s="616"/>
      <c r="H35" s="616"/>
      <c r="I35" s="616"/>
      <c r="J35" s="616"/>
      <c r="K35" s="616"/>
      <c r="L35" s="616"/>
      <c r="M35" s="617"/>
    </row>
    <row r="36" spans="1:74" ht="14.4" x14ac:dyDescent="0.3">
      <c r="A36" s="290" t="s">
        <v>155</v>
      </c>
      <c r="B36" s="275" t="s">
        <v>208</v>
      </c>
      <c r="C36" s="613" t="s">
        <v>209</v>
      </c>
      <c r="D36" s="614"/>
      <c r="E36" s="275" t="s">
        <v>196</v>
      </c>
      <c r="F36" s="280">
        <v>463.44</v>
      </c>
      <c r="G36" s="311">
        <v>0</v>
      </c>
      <c r="H36" s="280">
        <f>F36*AM36</f>
        <v>0</v>
      </c>
      <c r="I36" s="280">
        <f>F36*AN36</f>
        <v>0</v>
      </c>
      <c r="J36" s="280">
        <f>F36*G36</f>
        <v>0</v>
      </c>
      <c r="K36" s="280">
        <v>0</v>
      </c>
      <c r="L36" s="280">
        <f>F36*K36</f>
        <v>0</v>
      </c>
      <c r="M36" s="291" t="s">
        <v>472</v>
      </c>
      <c r="X36" s="280">
        <f>IF(AO36="5",BH36,0)</f>
        <v>0</v>
      </c>
      <c r="Z36" s="280">
        <f>IF(AO36="1",BF36,0)</f>
        <v>0</v>
      </c>
      <c r="AA36" s="280">
        <f>IF(AO36="1",BG36,0)</f>
        <v>0</v>
      </c>
      <c r="AB36" s="280">
        <f>IF(AO36="7",BF36,0)</f>
        <v>0</v>
      </c>
      <c r="AC36" s="280">
        <f>IF(AO36="7",BG36,0)</f>
        <v>0</v>
      </c>
      <c r="AD36" s="280">
        <f>IF(AO36="2",BF36,0)</f>
        <v>0</v>
      </c>
      <c r="AE36" s="280">
        <f>IF(AO36="2",BG36,0)</f>
        <v>0</v>
      </c>
      <c r="AF36" s="280">
        <f>IF(AO36="0",BH36,0)</f>
        <v>0</v>
      </c>
      <c r="AG36" s="278" t="s">
        <v>154</v>
      </c>
      <c r="AH36" s="280">
        <f>IF(AL36=0,J36,0)</f>
        <v>0</v>
      </c>
      <c r="AI36" s="280">
        <f>IF(AL36=15,J36,0)</f>
        <v>0</v>
      </c>
      <c r="AJ36" s="280">
        <f>IF(AL36=21,J36,0)</f>
        <v>0</v>
      </c>
      <c r="AL36" s="280">
        <v>15</v>
      </c>
      <c r="AM36" s="280">
        <f>G36*0</f>
        <v>0</v>
      </c>
      <c r="AN36" s="280">
        <f>G36*(1-0)</f>
        <v>0</v>
      </c>
      <c r="AO36" s="281" t="s">
        <v>157</v>
      </c>
      <c r="AT36" s="280">
        <f>AU36+AV36</f>
        <v>0</v>
      </c>
      <c r="AU36" s="280">
        <f>F36*AM36</f>
        <v>0</v>
      </c>
      <c r="AV36" s="280">
        <f>F36*AN36</f>
        <v>0</v>
      </c>
      <c r="AW36" s="281" t="s">
        <v>205</v>
      </c>
      <c r="AX36" s="281" t="s">
        <v>163</v>
      </c>
      <c r="AY36" s="278" t="s">
        <v>164</v>
      </c>
      <c r="BA36" s="280">
        <f>AU36+AV36</f>
        <v>0</v>
      </c>
      <c r="BB36" s="280">
        <f>G36/(100-BC36)*100</f>
        <v>0</v>
      </c>
      <c r="BC36" s="280">
        <v>0</v>
      </c>
      <c r="BD36" s="280">
        <f>L36</f>
        <v>0</v>
      </c>
      <c r="BF36" s="280">
        <f>F36*AM36</f>
        <v>0</v>
      </c>
      <c r="BG36" s="280">
        <f>F36*AN36</f>
        <v>0</v>
      </c>
      <c r="BH36" s="280">
        <f>F36*G36</f>
        <v>0</v>
      </c>
      <c r="BI36" s="280"/>
      <c r="BJ36" s="280">
        <v>13</v>
      </c>
      <c r="BU36" s="280" t="e">
        <f>#REF!</f>
        <v>#REF!</v>
      </c>
      <c r="BV36" s="277" t="s">
        <v>209</v>
      </c>
    </row>
    <row r="37" spans="1:74" ht="121.5" customHeight="1" x14ac:dyDescent="0.3">
      <c r="A37" s="288"/>
      <c r="B37" s="289" t="s">
        <v>165</v>
      </c>
      <c r="C37" s="615" t="s">
        <v>1892</v>
      </c>
      <c r="D37" s="616"/>
      <c r="E37" s="616"/>
      <c r="F37" s="616"/>
      <c r="G37" s="616"/>
      <c r="H37" s="616"/>
      <c r="I37" s="616"/>
      <c r="J37" s="616"/>
      <c r="K37" s="616"/>
      <c r="L37" s="616"/>
      <c r="M37" s="617"/>
    </row>
    <row r="38" spans="1:74" ht="14.4" x14ac:dyDescent="0.3">
      <c r="A38" s="290" t="s">
        <v>191</v>
      </c>
      <c r="B38" s="275" t="s">
        <v>211</v>
      </c>
      <c r="C38" s="613" t="s">
        <v>482</v>
      </c>
      <c r="D38" s="614"/>
      <c r="E38" s="275" t="s">
        <v>196</v>
      </c>
      <c r="F38" s="280">
        <v>115.86</v>
      </c>
      <c r="G38" s="311">
        <v>0</v>
      </c>
      <c r="H38" s="280">
        <f>F38*AM38</f>
        <v>0</v>
      </c>
      <c r="I38" s="280">
        <f>F38*AN38</f>
        <v>0</v>
      </c>
      <c r="J38" s="280">
        <f>F38*G38</f>
        <v>0</v>
      </c>
      <c r="K38" s="280">
        <v>0</v>
      </c>
      <c r="L38" s="280">
        <f>F38*K38</f>
        <v>0</v>
      </c>
      <c r="M38" s="291" t="s">
        <v>472</v>
      </c>
      <c r="X38" s="280">
        <f>IF(AO38="5",BH38,0)</f>
        <v>0</v>
      </c>
      <c r="Z38" s="280">
        <f>IF(AO38="1",BF38,0)</f>
        <v>0</v>
      </c>
      <c r="AA38" s="280">
        <f>IF(AO38="1",BG38,0)</f>
        <v>0</v>
      </c>
      <c r="AB38" s="280">
        <f>IF(AO38="7",BF38,0)</f>
        <v>0</v>
      </c>
      <c r="AC38" s="280">
        <f>IF(AO38="7",BG38,0)</f>
        <v>0</v>
      </c>
      <c r="AD38" s="280">
        <f>IF(AO38="2",BF38,0)</f>
        <v>0</v>
      </c>
      <c r="AE38" s="280">
        <f>IF(AO38="2",BG38,0)</f>
        <v>0</v>
      </c>
      <c r="AF38" s="280">
        <f>IF(AO38="0",BH38,0)</f>
        <v>0</v>
      </c>
      <c r="AG38" s="278" t="s">
        <v>154</v>
      </c>
      <c r="AH38" s="280">
        <f>IF(AL38=0,J38,0)</f>
        <v>0</v>
      </c>
      <c r="AI38" s="280">
        <f>IF(AL38=15,J38,0)</f>
        <v>0</v>
      </c>
      <c r="AJ38" s="280">
        <f>IF(AL38=21,J38,0)</f>
        <v>0</v>
      </c>
      <c r="AL38" s="280">
        <v>15</v>
      </c>
      <c r="AM38" s="280">
        <f>G38*0</f>
        <v>0</v>
      </c>
      <c r="AN38" s="280">
        <f>G38*(1-0)</f>
        <v>0</v>
      </c>
      <c r="AO38" s="281" t="s">
        <v>157</v>
      </c>
      <c r="AT38" s="280">
        <f>AU38+AV38</f>
        <v>0</v>
      </c>
      <c r="AU38" s="280">
        <f>F38*AM38</f>
        <v>0</v>
      </c>
      <c r="AV38" s="280">
        <f>F38*AN38</f>
        <v>0</v>
      </c>
      <c r="AW38" s="281" t="s">
        <v>205</v>
      </c>
      <c r="AX38" s="281" t="s">
        <v>163</v>
      </c>
      <c r="AY38" s="278" t="s">
        <v>164</v>
      </c>
      <c r="BA38" s="280">
        <f>AU38+AV38</f>
        <v>0</v>
      </c>
      <c r="BB38" s="280">
        <f>G38/(100-BC38)*100</f>
        <v>0</v>
      </c>
      <c r="BC38" s="280">
        <v>0</v>
      </c>
      <c r="BD38" s="280">
        <f>L38</f>
        <v>0</v>
      </c>
      <c r="BF38" s="280">
        <f>F38*AM38</f>
        <v>0</v>
      </c>
      <c r="BG38" s="280">
        <f>F38*AN38</f>
        <v>0</v>
      </c>
      <c r="BH38" s="280">
        <f>F38*G38</f>
        <v>0</v>
      </c>
      <c r="BI38" s="280"/>
      <c r="BJ38" s="280">
        <v>13</v>
      </c>
      <c r="BU38" s="280" t="e">
        <f>#REF!</f>
        <v>#REF!</v>
      </c>
      <c r="BV38" s="277" t="s">
        <v>482</v>
      </c>
    </row>
    <row r="39" spans="1:74" ht="40.5" customHeight="1" x14ac:dyDescent="0.3">
      <c r="A39" s="288"/>
      <c r="B39" s="289" t="s">
        <v>165</v>
      </c>
      <c r="C39" s="615" t="s">
        <v>1893</v>
      </c>
      <c r="D39" s="616"/>
      <c r="E39" s="616"/>
      <c r="F39" s="616"/>
      <c r="G39" s="616"/>
      <c r="H39" s="616"/>
      <c r="I39" s="616"/>
      <c r="J39" s="616"/>
      <c r="K39" s="616"/>
      <c r="L39" s="616"/>
      <c r="M39" s="617"/>
    </row>
    <row r="40" spans="1:74" ht="14.4" x14ac:dyDescent="0.3">
      <c r="A40" s="290" t="s">
        <v>201</v>
      </c>
      <c r="B40" s="275" t="s">
        <v>213</v>
      </c>
      <c r="C40" s="613" t="s">
        <v>214</v>
      </c>
      <c r="D40" s="614"/>
      <c r="E40" s="275" t="s">
        <v>196</v>
      </c>
      <c r="F40" s="280">
        <v>115.86</v>
      </c>
      <c r="G40" s="311">
        <v>0</v>
      </c>
      <c r="H40" s="280">
        <f>F40*AM40</f>
        <v>0</v>
      </c>
      <c r="I40" s="280">
        <f>F40*AN40</f>
        <v>0</v>
      </c>
      <c r="J40" s="280">
        <f>F40*G40</f>
        <v>0</v>
      </c>
      <c r="K40" s="280">
        <v>0</v>
      </c>
      <c r="L40" s="280">
        <f>F40*K40</f>
        <v>0</v>
      </c>
      <c r="M40" s="291" t="s">
        <v>472</v>
      </c>
      <c r="X40" s="280">
        <f>IF(AO40="5",BH40,0)</f>
        <v>0</v>
      </c>
      <c r="Z40" s="280">
        <f>IF(AO40="1",BF40,0)</f>
        <v>0</v>
      </c>
      <c r="AA40" s="280">
        <f>IF(AO40="1",BG40,0)</f>
        <v>0</v>
      </c>
      <c r="AB40" s="280">
        <f>IF(AO40="7",BF40,0)</f>
        <v>0</v>
      </c>
      <c r="AC40" s="280">
        <f>IF(AO40="7",BG40,0)</f>
        <v>0</v>
      </c>
      <c r="AD40" s="280">
        <f>IF(AO40="2",BF40,0)</f>
        <v>0</v>
      </c>
      <c r="AE40" s="280">
        <f>IF(AO40="2",BG40,0)</f>
        <v>0</v>
      </c>
      <c r="AF40" s="280">
        <f>IF(AO40="0",BH40,0)</f>
        <v>0</v>
      </c>
      <c r="AG40" s="278" t="s">
        <v>154</v>
      </c>
      <c r="AH40" s="280">
        <f>IF(AL40=0,J40,0)</f>
        <v>0</v>
      </c>
      <c r="AI40" s="280">
        <f>IF(AL40=15,J40,0)</f>
        <v>0</v>
      </c>
      <c r="AJ40" s="280">
        <f>IF(AL40=21,J40,0)</f>
        <v>0</v>
      </c>
      <c r="AL40" s="280">
        <v>15</v>
      </c>
      <c r="AM40" s="280">
        <f>G40*0</f>
        <v>0</v>
      </c>
      <c r="AN40" s="280">
        <f>G40*(1-0)</f>
        <v>0</v>
      </c>
      <c r="AO40" s="281" t="s">
        <v>157</v>
      </c>
      <c r="AT40" s="280">
        <f>AU40+AV40</f>
        <v>0</v>
      </c>
      <c r="AU40" s="280">
        <f>F40*AM40</f>
        <v>0</v>
      </c>
      <c r="AV40" s="280">
        <f>F40*AN40</f>
        <v>0</v>
      </c>
      <c r="AW40" s="281" t="s">
        <v>205</v>
      </c>
      <c r="AX40" s="281" t="s">
        <v>163</v>
      </c>
      <c r="AY40" s="278" t="s">
        <v>164</v>
      </c>
      <c r="BA40" s="280">
        <f>AU40+AV40</f>
        <v>0</v>
      </c>
      <c r="BB40" s="280">
        <f>G40/(100-BC40)*100</f>
        <v>0</v>
      </c>
      <c r="BC40" s="280">
        <v>0</v>
      </c>
      <c r="BD40" s="280">
        <f>L40</f>
        <v>0</v>
      </c>
      <c r="BF40" s="280">
        <f>F40*AM40</f>
        <v>0</v>
      </c>
      <c r="BG40" s="280">
        <f>F40*AN40</f>
        <v>0</v>
      </c>
      <c r="BH40" s="280">
        <f>F40*G40</f>
        <v>0</v>
      </c>
      <c r="BI40" s="280"/>
      <c r="BJ40" s="280">
        <v>13</v>
      </c>
      <c r="BU40" s="280" t="e">
        <f>#REF!</f>
        <v>#REF!</v>
      </c>
      <c r="BV40" s="277" t="s">
        <v>214</v>
      </c>
    </row>
    <row r="41" spans="1:74" ht="135" customHeight="1" x14ac:dyDescent="0.3">
      <c r="A41" s="288"/>
      <c r="B41" s="289" t="s">
        <v>165</v>
      </c>
      <c r="C41" s="615" t="s">
        <v>1894</v>
      </c>
      <c r="D41" s="616"/>
      <c r="E41" s="616"/>
      <c r="F41" s="616"/>
      <c r="G41" s="616"/>
      <c r="H41" s="616"/>
      <c r="I41" s="616"/>
      <c r="J41" s="616"/>
      <c r="K41" s="616"/>
      <c r="L41" s="616"/>
      <c r="M41" s="617"/>
    </row>
    <row r="42" spans="1:74" ht="14.4" x14ac:dyDescent="0.3">
      <c r="A42" s="290" t="s">
        <v>210</v>
      </c>
      <c r="B42" s="275" t="s">
        <v>216</v>
      </c>
      <c r="C42" s="613" t="s">
        <v>217</v>
      </c>
      <c r="D42" s="614"/>
      <c r="E42" s="275" t="s">
        <v>196</v>
      </c>
      <c r="F42" s="280">
        <v>8</v>
      </c>
      <c r="G42" s="311">
        <v>0</v>
      </c>
      <c r="H42" s="280">
        <f>F42*AM42</f>
        <v>0</v>
      </c>
      <c r="I42" s="280">
        <f>F42*AN42</f>
        <v>0</v>
      </c>
      <c r="J42" s="280">
        <f>F42*G42</f>
        <v>0</v>
      </c>
      <c r="K42" s="280">
        <v>0</v>
      </c>
      <c r="L42" s="280">
        <f>F42*K42</f>
        <v>0</v>
      </c>
      <c r="M42" s="291" t="s">
        <v>472</v>
      </c>
      <c r="X42" s="280">
        <f>IF(AO42="5",BH42,0)</f>
        <v>0</v>
      </c>
      <c r="Z42" s="280">
        <f>IF(AO42="1",BF42,0)</f>
        <v>0</v>
      </c>
      <c r="AA42" s="280">
        <f>IF(AO42="1",BG42,0)</f>
        <v>0</v>
      </c>
      <c r="AB42" s="280">
        <f>IF(AO42="7",BF42,0)</f>
        <v>0</v>
      </c>
      <c r="AC42" s="280">
        <f>IF(AO42="7",BG42,0)</f>
        <v>0</v>
      </c>
      <c r="AD42" s="280">
        <f>IF(AO42="2",BF42,0)</f>
        <v>0</v>
      </c>
      <c r="AE42" s="280">
        <f>IF(AO42="2",BG42,0)</f>
        <v>0</v>
      </c>
      <c r="AF42" s="280">
        <f>IF(AO42="0",BH42,0)</f>
        <v>0</v>
      </c>
      <c r="AG42" s="278" t="s">
        <v>154</v>
      </c>
      <c r="AH42" s="280">
        <f>IF(AL42=0,J42,0)</f>
        <v>0</v>
      </c>
      <c r="AI42" s="280">
        <f>IF(AL42=15,J42,0)</f>
        <v>0</v>
      </c>
      <c r="AJ42" s="280">
        <f>IF(AL42=21,J42,0)</f>
        <v>0</v>
      </c>
      <c r="AL42" s="280">
        <v>15</v>
      </c>
      <c r="AM42" s="280">
        <f>G42*0</f>
        <v>0</v>
      </c>
      <c r="AN42" s="280">
        <f>G42*(1-0)</f>
        <v>0</v>
      </c>
      <c r="AO42" s="281" t="s">
        <v>157</v>
      </c>
      <c r="AT42" s="280">
        <f>AU42+AV42</f>
        <v>0</v>
      </c>
      <c r="AU42" s="280">
        <f>F42*AM42</f>
        <v>0</v>
      </c>
      <c r="AV42" s="280">
        <f>F42*AN42</f>
        <v>0</v>
      </c>
      <c r="AW42" s="281" t="s">
        <v>205</v>
      </c>
      <c r="AX42" s="281" t="s">
        <v>163</v>
      </c>
      <c r="AY42" s="278" t="s">
        <v>164</v>
      </c>
      <c r="BA42" s="280">
        <f>AU42+AV42</f>
        <v>0</v>
      </c>
      <c r="BB42" s="280">
        <f>G42/(100-BC42)*100</f>
        <v>0</v>
      </c>
      <c r="BC42" s="280">
        <v>0</v>
      </c>
      <c r="BD42" s="280">
        <f>L42</f>
        <v>0</v>
      </c>
      <c r="BF42" s="280">
        <f>F42*AM42</f>
        <v>0</v>
      </c>
      <c r="BG42" s="280">
        <f>F42*AN42</f>
        <v>0</v>
      </c>
      <c r="BH42" s="280">
        <f>F42*G42</f>
        <v>0</v>
      </c>
      <c r="BI42" s="280"/>
      <c r="BJ42" s="280">
        <v>13</v>
      </c>
      <c r="BU42" s="280" t="e">
        <f>#REF!</f>
        <v>#REF!</v>
      </c>
      <c r="BV42" s="277" t="s">
        <v>217</v>
      </c>
    </row>
    <row r="43" spans="1:74" ht="13.5" customHeight="1" x14ac:dyDescent="0.3">
      <c r="A43" s="288"/>
      <c r="B43" s="289" t="s">
        <v>165</v>
      </c>
      <c r="C43" s="615" t="s">
        <v>218</v>
      </c>
      <c r="D43" s="616"/>
      <c r="E43" s="616"/>
      <c r="F43" s="616"/>
      <c r="G43" s="616"/>
      <c r="H43" s="616"/>
      <c r="I43" s="616"/>
      <c r="J43" s="616"/>
      <c r="K43" s="616"/>
      <c r="L43" s="616"/>
      <c r="M43" s="617"/>
    </row>
    <row r="44" spans="1:74" ht="14.4" x14ac:dyDescent="0.3">
      <c r="A44" s="290" t="s">
        <v>161</v>
      </c>
      <c r="B44" s="275" t="s">
        <v>483</v>
      </c>
      <c r="C44" s="613" t="s">
        <v>484</v>
      </c>
      <c r="D44" s="614"/>
      <c r="E44" s="275" t="s">
        <v>196</v>
      </c>
      <c r="F44" s="280">
        <v>85.8</v>
      </c>
      <c r="G44" s="311">
        <v>0</v>
      </c>
      <c r="H44" s="280">
        <f>F44*AM44</f>
        <v>0</v>
      </c>
      <c r="I44" s="280">
        <f>F44*AN44</f>
        <v>0</v>
      </c>
      <c r="J44" s="280">
        <f>F44*G44</f>
        <v>0</v>
      </c>
      <c r="K44" s="280">
        <v>0</v>
      </c>
      <c r="L44" s="280">
        <f>F44*K44</f>
        <v>0</v>
      </c>
      <c r="M44" s="291" t="s">
        <v>472</v>
      </c>
      <c r="X44" s="280">
        <f>IF(AO44="5",BH44,0)</f>
        <v>0</v>
      </c>
      <c r="Z44" s="280">
        <f>IF(AO44="1",BF44,0)</f>
        <v>0</v>
      </c>
      <c r="AA44" s="280">
        <f>IF(AO44="1",BG44,0)</f>
        <v>0</v>
      </c>
      <c r="AB44" s="280">
        <f>IF(AO44="7",BF44,0)</f>
        <v>0</v>
      </c>
      <c r="AC44" s="280">
        <f>IF(AO44="7",BG44,0)</f>
        <v>0</v>
      </c>
      <c r="AD44" s="280">
        <f>IF(AO44="2",BF44,0)</f>
        <v>0</v>
      </c>
      <c r="AE44" s="280">
        <f>IF(AO44="2",BG44,0)</f>
        <v>0</v>
      </c>
      <c r="AF44" s="280">
        <f>IF(AO44="0",BH44,0)</f>
        <v>0</v>
      </c>
      <c r="AG44" s="278" t="s">
        <v>154</v>
      </c>
      <c r="AH44" s="280">
        <f>IF(AL44=0,J44,0)</f>
        <v>0</v>
      </c>
      <c r="AI44" s="280">
        <f>IF(AL44=15,J44,0)</f>
        <v>0</v>
      </c>
      <c r="AJ44" s="280">
        <f>IF(AL44=21,J44,0)</f>
        <v>0</v>
      </c>
      <c r="AL44" s="280">
        <v>15</v>
      </c>
      <c r="AM44" s="280">
        <f>G44*0</f>
        <v>0</v>
      </c>
      <c r="AN44" s="280">
        <f>G44*(1-0)</f>
        <v>0</v>
      </c>
      <c r="AO44" s="281" t="s">
        <v>157</v>
      </c>
      <c r="AT44" s="280">
        <f>AU44+AV44</f>
        <v>0</v>
      </c>
      <c r="AU44" s="280">
        <f>F44*AM44</f>
        <v>0</v>
      </c>
      <c r="AV44" s="280">
        <f>F44*AN44</f>
        <v>0</v>
      </c>
      <c r="AW44" s="281" t="s">
        <v>205</v>
      </c>
      <c r="AX44" s="281" t="s">
        <v>163</v>
      </c>
      <c r="AY44" s="278" t="s">
        <v>164</v>
      </c>
      <c r="BA44" s="280">
        <f>AU44+AV44</f>
        <v>0</v>
      </c>
      <c r="BB44" s="280">
        <f>G44/(100-BC44)*100</f>
        <v>0</v>
      </c>
      <c r="BC44" s="280">
        <v>0</v>
      </c>
      <c r="BD44" s="280">
        <f>L44</f>
        <v>0</v>
      </c>
      <c r="BF44" s="280">
        <f>F44*AM44</f>
        <v>0</v>
      </c>
      <c r="BG44" s="280">
        <f>F44*AN44</f>
        <v>0</v>
      </c>
      <c r="BH44" s="280">
        <f>F44*G44</f>
        <v>0</v>
      </c>
      <c r="BI44" s="280"/>
      <c r="BJ44" s="280">
        <v>13</v>
      </c>
      <c r="BU44" s="280" t="e">
        <f>#REF!</f>
        <v>#REF!</v>
      </c>
      <c r="BV44" s="277" t="s">
        <v>484</v>
      </c>
    </row>
    <row r="45" spans="1:74" ht="40.5" customHeight="1" x14ac:dyDescent="0.3">
      <c r="A45" s="288"/>
      <c r="B45" s="289" t="s">
        <v>165</v>
      </c>
      <c r="C45" s="615" t="s">
        <v>1895</v>
      </c>
      <c r="D45" s="616"/>
      <c r="E45" s="616"/>
      <c r="F45" s="616"/>
      <c r="G45" s="616"/>
      <c r="H45" s="616"/>
      <c r="I45" s="616"/>
      <c r="J45" s="616"/>
      <c r="K45" s="616"/>
      <c r="L45" s="616"/>
      <c r="M45" s="617"/>
    </row>
    <row r="46" spans="1:74" ht="14.4" x14ac:dyDescent="0.3">
      <c r="A46" s="290" t="s">
        <v>215</v>
      </c>
      <c r="B46" s="275" t="s">
        <v>888</v>
      </c>
      <c r="C46" s="613" t="s">
        <v>889</v>
      </c>
      <c r="D46" s="614"/>
      <c r="E46" s="275" t="s">
        <v>196</v>
      </c>
      <c r="F46" s="280">
        <v>1252.18</v>
      </c>
      <c r="G46" s="311">
        <v>0</v>
      </c>
      <c r="H46" s="280">
        <f>F46*AM46</f>
        <v>0</v>
      </c>
      <c r="I46" s="280">
        <f>F46*AN46</f>
        <v>0</v>
      </c>
      <c r="J46" s="280">
        <f>F46*G46</f>
        <v>0</v>
      </c>
      <c r="K46" s="280">
        <v>0</v>
      </c>
      <c r="L46" s="280">
        <f>F46*K46</f>
        <v>0</v>
      </c>
      <c r="M46" s="291" t="s">
        <v>472</v>
      </c>
      <c r="X46" s="280">
        <f>IF(AO46="5",BH46,0)</f>
        <v>0</v>
      </c>
      <c r="Z46" s="280">
        <f>IF(AO46="1",BF46,0)</f>
        <v>0</v>
      </c>
      <c r="AA46" s="280">
        <f>IF(AO46="1",BG46,0)</f>
        <v>0</v>
      </c>
      <c r="AB46" s="280">
        <f>IF(AO46="7",BF46,0)</f>
        <v>0</v>
      </c>
      <c r="AC46" s="280">
        <f>IF(AO46="7",BG46,0)</f>
        <v>0</v>
      </c>
      <c r="AD46" s="280">
        <f>IF(AO46="2",BF46,0)</f>
        <v>0</v>
      </c>
      <c r="AE46" s="280">
        <f>IF(AO46="2",BG46,0)</f>
        <v>0</v>
      </c>
      <c r="AF46" s="280">
        <f>IF(AO46="0",BH46,0)</f>
        <v>0</v>
      </c>
      <c r="AG46" s="278" t="s">
        <v>154</v>
      </c>
      <c r="AH46" s="280">
        <f>IF(AL46=0,J46,0)</f>
        <v>0</v>
      </c>
      <c r="AI46" s="280">
        <f>IF(AL46=15,J46,0)</f>
        <v>0</v>
      </c>
      <c r="AJ46" s="280">
        <f>IF(AL46=21,J46,0)</f>
        <v>0</v>
      </c>
      <c r="AL46" s="280">
        <v>15</v>
      </c>
      <c r="AM46" s="280">
        <f>G46*0</f>
        <v>0</v>
      </c>
      <c r="AN46" s="280">
        <f>G46*(1-0)</f>
        <v>0</v>
      </c>
      <c r="AO46" s="281" t="s">
        <v>157</v>
      </c>
      <c r="AT46" s="280">
        <f>AU46+AV46</f>
        <v>0</v>
      </c>
      <c r="AU46" s="280">
        <f>F46*AM46</f>
        <v>0</v>
      </c>
      <c r="AV46" s="280">
        <f>F46*AN46</f>
        <v>0</v>
      </c>
      <c r="AW46" s="281" t="s">
        <v>205</v>
      </c>
      <c r="AX46" s="281" t="s">
        <v>163</v>
      </c>
      <c r="AY46" s="278" t="s">
        <v>164</v>
      </c>
      <c r="BA46" s="280">
        <f>AU46+AV46</f>
        <v>0</v>
      </c>
      <c r="BB46" s="280">
        <f>G46/(100-BC46)*100</f>
        <v>0</v>
      </c>
      <c r="BC46" s="280">
        <v>0</v>
      </c>
      <c r="BD46" s="280">
        <f>L46</f>
        <v>0</v>
      </c>
      <c r="BF46" s="280">
        <f>F46*AM46</f>
        <v>0</v>
      </c>
      <c r="BG46" s="280">
        <f>F46*AN46</f>
        <v>0</v>
      </c>
      <c r="BH46" s="280">
        <f>F46*G46</f>
        <v>0</v>
      </c>
      <c r="BI46" s="280"/>
      <c r="BJ46" s="280">
        <v>13</v>
      </c>
      <c r="BU46" s="280" t="e">
        <f>#REF!</f>
        <v>#REF!</v>
      </c>
      <c r="BV46" s="277" t="s">
        <v>889</v>
      </c>
    </row>
    <row r="47" spans="1:74" ht="40.5" customHeight="1" x14ac:dyDescent="0.3">
      <c r="A47" s="288"/>
      <c r="B47" s="289" t="s">
        <v>165</v>
      </c>
      <c r="C47" s="615" t="s">
        <v>1896</v>
      </c>
      <c r="D47" s="616"/>
      <c r="E47" s="616"/>
      <c r="F47" s="616"/>
      <c r="G47" s="616"/>
      <c r="H47" s="616"/>
      <c r="I47" s="616"/>
      <c r="J47" s="616"/>
      <c r="K47" s="616"/>
      <c r="L47" s="616"/>
      <c r="M47" s="617"/>
    </row>
    <row r="48" spans="1:74" ht="14.4" x14ac:dyDescent="0.3">
      <c r="A48" s="290" t="s">
        <v>154</v>
      </c>
      <c r="B48" s="276" t="s">
        <v>161</v>
      </c>
      <c r="C48" s="624" t="s">
        <v>219</v>
      </c>
      <c r="D48" s="621"/>
      <c r="E48" s="275" t="s">
        <v>114</v>
      </c>
      <c r="F48" s="275" t="s">
        <v>114</v>
      </c>
      <c r="G48" s="275" t="s">
        <v>114</v>
      </c>
      <c r="H48" s="282">
        <f>SUM(H49:H51)</f>
        <v>0</v>
      </c>
      <c r="I48" s="282">
        <f>SUM(I49:I51)</f>
        <v>0</v>
      </c>
      <c r="J48" s="282">
        <f>SUM(J49:J51)</f>
        <v>0</v>
      </c>
      <c r="K48" s="279" t="s">
        <v>154</v>
      </c>
      <c r="L48" s="282">
        <f>SUM(L49:L51)</f>
        <v>1.448928</v>
      </c>
      <c r="M48" s="294" t="s">
        <v>154</v>
      </c>
      <c r="AG48" s="278" t="s">
        <v>154</v>
      </c>
      <c r="AQ48" s="274">
        <f>SUM(AH49:AH51)</f>
        <v>0</v>
      </c>
      <c r="AR48" s="274">
        <f>SUM(AI49:AI51)</f>
        <v>0</v>
      </c>
      <c r="AS48" s="274">
        <f>SUM(AJ49:AJ51)</f>
        <v>0</v>
      </c>
    </row>
    <row r="49" spans="1:74" ht="14.4" x14ac:dyDescent="0.3">
      <c r="A49" s="290" t="s">
        <v>220</v>
      </c>
      <c r="B49" s="275" t="s">
        <v>221</v>
      </c>
      <c r="C49" s="613" t="s">
        <v>222</v>
      </c>
      <c r="D49" s="614"/>
      <c r="E49" s="275" t="s">
        <v>180</v>
      </c>
      <c r="F49" s="280">
        <v>1684.8</v>
      </c>
      <c r="G49" s="311">
        <v>0</v>
      </c>
      <c r="H49" s="280">
        <f>F49*AM49</f>
        <v>0</v>
      </c>
      <c r="I49" s="280">
        <f>F49*AN49</f>
        <v>0</v>
      </c>
      <c r="J49" s="280">
        <f>F49*G49</f>
        <v>0</v>
      </c>
      <c r="K49" s="280">
        <v>8.5999999999999998E-4</v>
      </c>
      <c r="L49" s="280">
        <f>F49*K49</f>
        <v>1.448928</v>
      </c>
      <c r="M49" s="291" t="s">
        <v>472</v>
      </c>
      <c r="X49" s="280">
        <f>IF(AO49="5",BH49,0)</f>
        <v>0</v>
      </c>
      <c r="Z49" s="280">
        <f>IF(AO49="1",BF49,0)</f>
        <v>0</v>
      </c>
      <c r="AA49" s="280">
        <f>IF(AO49="1",BG49,0)</f>
        <v>0</v>
      </c>
      <c r="AB49" s="280">
        <f>IF(AO49="7",BF49,0)</f>
        <v>0</v>
      </c>
      <c r="AC49" s="280">
        <f>IF(AO49="7",BG49,0)</f>
        <v>0</v>
      </c>
      <c r="AD49" s="280">
        <f>IF(AO49="2",BF49,0)</f>
        <v>0</v>
      </c>
      <c r="AE49" s="280">
        <f>IF(AO49="2",BG49,0)</f>
        <v>0</v>
      </c>
      <c r="AF49" s="280">
        <f>IF(AO49="0",BH49,0)</f>
        <v>0</v>
      </c>
      <c r="AG49" s="278" t="s">
        <v>154</v>
      </c>
      <c r="AH49" s="280">
        <f>IF(AL49=0,J49,0)</f>
        <v>0</v>
      </c>
      <c r="AI49" s="280">
        <f>IF(AL49=15,J49,0)</f>
        <v>0</v>
      </c>
      <c r="AJ49" s="280">
        <f>IF(AL49=21,J49,0)</f>
        <v>0</v>
      </c>
      <c r="AL49" s="280">
        <v>15</v>
      </c>
      <c r="AM49" s="280">
        <f>G49*0.083527397</f>
        <v>0</v>
      </c>
      <c r="AN49" s="280">
        <f>G49*(1-0.083527397)</f>
        <v>0</v>
      </c>
      <c r="AO49" s="281" t="s">
        <v>157</v>
      </c>
      <c r="AT49" s="280">
        <f>AU49+AV49</f>
        <v>0</v>
      </c>
      <c r="AU49" s="280">
        <f>F49*AM49</f>
        <v>0</v>
      </c>
      <c r="AV49" s="280">
        <f>F49*AN49</f>
        <v>0</v>
      </c>
      <c r="AW49" s="281" t="s">
        <v>223</v>
      </c>
      <c r="AX49" s="281" t="s">
        <v>163</v>
      </c>
      <c r="AY49" s="278" t="s">
        <v>164</v>
      </c>
      <c r="BA49" s="280">
        <f>AU49+AV49</f>
        <v>0</v>
      </c>
      <c r="BB49" s="280">
        <f>G49/(100-BC49)*100</f>
        <v>0</v>
      </c>
      <c r="BC49" s="280">
        <v>0</v>
      </c>
      <c r="BD49" s="280">
        <f>L49</f>
        <v>1.448928</v>
      </c>
      <c r="BF49" s="280">
        <f>F49*AM49</f>
        <v>0</v>
      </c>
      <c r="BG49" s="280">
        <f>F49*AN49</f>
        <v>0</v>
      </c>
      <c r="BH49" s="280">
        <f>F49*G49</f>
        <v>0</v>
      </c>
      <c r="BI49" s="280"/>
      <c r="BJ49" s="280">
        <v>15</v>
      </c>
      <c r="BU49" s="280" t="e">
        <f>#REF!</f>
        <v>#REF!</v>
      </c>
      <c r="BV49" s="277" t="s">
        <v>222</v>
      </c>
    </row>
    <row r="50" spans="1:74" ht="40.5" customHeight="1" x14ac:dyDescent="0.3">
      <c r="A50" s="288"/>
      <c r="B50" s="289" t="s">
        <v>165</v>
      </c>
      <c r="C50" s="615" t="s">
        <v>1897</v>
      </c>
      <c r="D50" s="616"/>
      <c r="E50" s="616"/>
      <c r="F50" s="616"/>
      <c r="G50" s="616"/>
      <c r="H50" s="616"/>
      <c r="I50" s="616"/>
      <c r="J50" s="616"/>
      <c r="K50" s="616"/>
      <c r="L50" s="616"/>
      <c r="M50" s="617"/>
    </row>
    <row r="51" spans="1:74" ht="14.4" x14ac:dyDescent="0.3">
      <c r="A51" s="290" t="s">
        <v>224</v>
      </c>
      <c r="B51" s="275" t="s">
        <v>225</v>
      </c>
      <c r="C51" s="613" t="s">
        <v>226</v>
      </c>
      <c r="D51" s="614"/>
      <c r="E51" s="275" t="s">
        <v>180</v>
      </c>
      <c r="F51" s="280">
        <v>1684.8</v>
      </c>
      <c r="G51" s="311">
        <v>0</v>
      </c>
      <c r="H51" s="280">
        <f>F51*AM51</f>
        <v>0</v>
      </c>
      <c r="I51" s="280">
        <f>F51*AN51</f>
        <v>0</v>
      </c>
      <c r="J51" s="280">
        <f>F51*G51</f>
        <v>0</v>
      </c>
      <c r="K51" s="280">
        <v>0</v>
      </c>
      <c r="L51" s="280">
        <f>F51*K51</f>
        <v>0</v>
      </c>
      <c r="M51" s="291" t="s">
        <v>472</v>
      </c>
      <c r="X51" s="280">
        <f>IF(AO51="5",BH51,0)</f>
        <v>0</v>
      </c>
      <c r="Z51" s="280">
        <f>IF(AO51="1",BF51,0)</f>
        <v>0</v>
      </c>
      <c r="AA51" s="280">
        <f>IF(AO51="1",BG51,0)</f>
        <v>0</v>
      </c>
      <c r="AB51" s="280">
        <f>IF(AO51="7",BF51,0)</f>
        <v>0</v>
      </c>
      <c r="AC51" s="280">
        <f>IF(AO51="7",BG51,0)</f>
        <v>0</v>
      </c>
      <c r="AD51" s="280">
        <f>IF(AO51="2",BF51,0)</f>
        <v>0</v>
      </c>
      <c r="AE51" s="280">
        <f>IF(AO51="2",BG51,0)</f>
        <v>0</v>
      </c>
      <c r="AF51" s="280">
        <f>IF(AO51="0",BH51,0)</f>
        <v>0</v>
      </c>
      <c r="AG51" s="278" t="s">
        <v>154</v>
      </c>
      <c r="AH51" s="280">
        <f>IF(AL51=0,J51,0)</f>
        <v>0</v>
      </c>
      <c r="AI51" s="280">
        <f>IF(AL51=15,J51,0)</f>
        <v>0</v>
      </c>
      <c r="AJ51" s="280">
        <f>IF(AL51=21,J51,0)</f>
        <v>0</v>
      </c>
      <c r="AL51" s="280">
        <v>15</v>
      </c>
      <c r="AM51" s="280">
        <f>G51*0</f>
        <v>0</v>
      </c>
      <c r="AN51" s="280">
        <f>G51*(1-0)</f>
        <v>0</v>
      </c>
      <c r="AO51" s="281" t="s">
        <v>157</v>
      </c>
      <c r="AT51" s="280">
        <f>AU51+AV51</f>
        <v>0</v>
      </c>
      <c r="AU51" s="280">
        <f>F51*AM51</f>
        <v>0</v>
      </c>
      <c r="AV51" s="280">
        <f>F51*AN51</f>
        <v>0</v>
      </c>
      <c r="AW51" s="281" t="s">
        <v>223</v>
      </c>
      <c r="AX51" s="281" t="s">
        <v>163</v>
      </c>
      <c r="AY51" s="278" t="s">
        <v>164</v>
      </c>
      <c r="BA51" s="280">
        <f>AU51+AV51</f>
        <v>0</v>
      </c>
      <c r="BB51" s="280">
        <f>G51/(100-BC51)*100</f>
        <v>0</v>
      </c>
      <c r="BC51" s="280">
        <v>0</v>
      </c>
      <c r="BD51" s="280">
        <f>L51</f>
        <v>0</v>
      </c>
      <c r="BF51" s="280">
        <f>F51*AM51</f>
        <v>0</v>
      </c>
      <c r="BG51" s="280">
        <f>F51*AN51</f>
        <v>0</v>
      </c>
      <c r="BH51" s="280">
        <f>F51*G51</f>
        <v>0</v>
      </c>
      <c r="BI51" s="280"/>
      <c r="BJ51" s="280">
        <v>15</v>
      </c>
      <c r="BU51" s="280" t="e">
        <f>#REF!</f>
        <v>#REF!</v>
      </c>
      <c r="BV51" s="277" t="s">
        <v>226</v>
      </c>
    </row>
    <row r="52" spans="1:74" ht="40.5" customHeight="1" x14ac:dyDescent="0.3">
      <c r="A52" s="292"/>
      <c r="B52" s="293" t="s">
        <v>165</v>
      </c>
      <c r="C52" s="618" t="s">
        <v>1898</v>
      </c>
      <c r="D52" s="619"/>
      <c r="E52" s="619"/>
      <c r="F52" s="619"/>
      <c r="G52" s="619"/>
      <c r="H52" s="619"/>
      <c r="I52" s="619"/>
      <c r="J52" s="619"/>
      <c r="K52" s="619"/>
      <c r="L52" s="619"/>
      <c r="M52" s="620"/>
    </row>
    <row r="53" spans="1:74" ht="14.4" x14ac:dyDescent="0.3">
      <c r="A53" s="284" t="s">
        <v>154</v>
      </c>
      <c r="B53" s="295" t="s">
        <v>215</v>
      </c>
      <c r="C53" s="625" t="s">
        <v>227</v>
      </c>
      <c r="D53" s="626"/>
      <c r="E53" s="285" t="s">
        <v>114</v>
      </c>
      <c r="F53" s="285" t="s">
        <v>114</v>
      </c>
      <c r="G53" s="285" t="s">
        <v>114</v>
      </c>
      <c r="H53" s="296">
        <f>SUM(H54:H68)</f>
        <v>0</v>
      </c>
      <c r="I53" s="296">
        <f>SUM(I54:I68)</f>
        <v>0</v>
      </c>
      <c r="J53" s="296">
        <f>SUM(J54:J68)</f>
        <v>0</v>
      </c>
      <c r="K53" s="297" t="s">
        <v>154</v>
      </c>
      <c r="L53" s="296">
        <f>SUM(L54:L68)</f>
        <v>0</v>
      </c>
      <c r="M53" s="298" t="s">
        <v>154</v>
      </c>
      <c r="AG53" s="278" t="s">
        <v>154</v>
      </c>
      <c r="AQ53" s="274">
        <f>SUM(AH54:AH68)</f>
        <v>0</v>
      </c>
      <c r="AR53" s="274">
        <f>SUM(AI54:AI68)</f>
        <v>0</v>
      </c>
      <c r="AS53" s="274">
        <f>SUM(AJ54:AJ68)</f>
        <v>0</v>
      </c>
    </row>
    <row r="54" spans="1:74" ht="14.4" x14ac:dyDescent="0.3">
      <c r="A54" s="290" t="s">
        <v>228</v>
      </c>
      <c r="B54" s="275" t="s">
        <v>997</v>
      </c>
      <c r="C54" s="613" t="s">
        <v>998</v>
      </c>
      <c r="D54" s="614"/>
      <c r="E54" s="275" t="s">
        <v>196</v>
      </c>
      <c r="F54" s="280">
        <v>72.989999999999995</v>
      </c>
      <c r="G54" s="311">
        <v>0</v>
      </c>
      <c r="H54" s="280">
        <f>F54*AM54</f>
        <v>0</v>
      </c>
      <c r="I54" s="280">
        <f>F54*AN54</f>
        <v>0</v>
      </c>
      <c r="J54" s="280">
        <f>F54*G54</f>
        <v>0</v>
      </c>
      <c r="K54" s="280">
        <v>0</v>
      </c>
      <c r="L54" s="280">
        <f>F54*K54</f>
        <v>0</v>
      </c>
      <c r="M54" s="291" t="s">
        <v>472</v>
      </c>
      <c r="X54" s="280">
        <f>IF(AO54="5",BH54,0)</f>
        <v>0</v>
      </c>
      <c r="Z54" s="280">
        <f>IF(AO54="1",BF54,0)</f>
        <v>0</v>
      </c>
      <c r="AA54" s="280">
        <f>IF(AO54="1",BG54,0)</f>
        <v>0</v>
      </c>
      <c r="AB54" s="280">
        <f>IF(AO54="7",BF54,0)</f>
        <v>0</v>
      </c>
      <c r="AC54" s="280">
        <f>IF(AO54="7",BG54,0)</f>
        <v>0</v>
      </c>
      <c r="AD54" s="280">
        <f>IF(AO54="2",BF54,0)</f>
        <v>0</v>
      </c>
      <c r="AE54" s="280">
        <f>IF(AO54="2",BG54,0)</f>
        <v>0</v>
      </c>
      <c r="AF54" s="280">
        <f>IF(AO54="0",BH54,0)</f>
        <v>0</v>
      </c>
      <c r="AG54" s="278" t="s">
        <v>154</v>
      </c>
      <c r="AH54" s="280">
        <f>IF(AL54=0,J54,0)</f>
        <v>0</v>
      </c>
      <c r="AI54" s="280">
        <f>IF(AL54=15,J54,0)</f>
        <v>0</v>
      </c>
      <c r="AJ54" s="280">
        <f>IF(AL54=21,J54,0)</f>
        <v>0</v>
      </c>
      <c r="AL54" s="280">
        <v>15</v>
      </c>
      <c r="AM54" s="280">
        <f>G54*0</f>
        <v>0</v>
      </c>
      <c r="AN54" s="280">
        <f>G54*(1-0)</f>
        <v>0</v>
      </c>
      <c r="AO54" s="281" t="s">
        <v>157</v>
      </c>
      <c r="AT54" s="280">
        <f>AU54+AV54</f>
        <v>0</v>
      </c>
      <c r="AU54" s="280">
        <f>F54*AM54</f>
        <v>0</v>
      </c>
      <c r="AV54" s="280">
        <f>F54*AN54</f>
        <v>0</v>
      </c>
      <c r="AW54" s="281" t="s">
        <v>231</v>
      </c>
      <c r="AX54" s="281" t="s">
        <v>163</v>
      </c>
      <c r="AY54" s="278" t="s">
        <v>164</v>
      </c>
      <c r="BA54" s="280">
        <f>AU54+AV54</f>
        <v>0</v>
      </c>
      <c r="BB54" s="280">
        <f>G54/(100-BC54)*100</f>
        <v>0</v>
      </c>
      <c r="BC54" s="280">
        <v>0</v>
      </c>
      <c r="BD54" s="280">
        <f>L54</f>
        <v>0</v>
      </c>
      <c r="BF54" s="280">
        <f>F54*AM54</f>
        <v>0</v>
      </c>
      <c r="BG54" s="280">
        <f>F54*AN54</f>
        <v>0</v>
      </c>
      <c r="BH54" s="280">
        <f>F54*G54</f>
        <v>0</v>
      </c>
      <c r="BI54" s="280"/>
      <c r="BJ54" s="280">
        <v>16</v>
      </c>
      <c r="BU54" s="280" t="e">
        <f>#REF!</f>
        <v>#REF!</v>
      </c>
      <c r="BV54" s="277" t="s">
        <v>998</v>
      </c>
    </row>
    <row r="55" spans="1:74" ht="54" customHeight="1" x14ac:dyDescent="0.3">
      <c r="A55" s="288"/>
      <c r="B55" s="289" t="s">
        <v>165</v>
      </c>
      <c r="C55" s="615" t="s">
        <v>1899</v>
      </c>
      <c r="D55" s="616"/>
      <c r="E55" s="616"/>
      <c r="F55" s="616"/>
      <c r="G55" s="616"/>
      <c r="H55" s="616"/>
      <c r="I55" s="616"/>
      <c r="J55" s="616"/>
      <c r="K55" s="616"/>
      <c r="L55" s="616"/>
      <c r="M55" s="617"/>
    </row>
    <row r="56" spans="1:74" ht="14.4" x14ac:dyDescent="0.3">
      <c r="A56" s="290" t="s">
        <v>232</v>
      </c>
      <c r="B56" s="275" t="s">
        <v>999</v>
      </c>
      <c r="C56" s="613" t="s">
        <v>1000</v>
      </c>
      <c r="D56" s="614"/>
      <c r="E56" s="275" t="s">
        <v>196</v>
      </c>
      <c r="F56" s="280">
        <v>14.66</v>
      </c>
      <c r="G56" s="311">
        <v>0</v>
      </c>
      <c r="H56" s="280">
        <f>F56*AM56</f>
        <v>0</v>
      </c>
      <c r="I56" s="280">
        <f>F56*AN56</f>
        <v>0</v>
      </c>
      <c r="J56" s="280">
        <f>F56*G56</f>
        <v>0</v>
      </c>
      <c r="K56" s="280">
        <v>0</v>
      </c>
      <c r="L56" s="280">
        <f>F56*K56</f>
        <v>0</v>
      </c>
      <c r="M56" s="291" t="s">
        <v>472</v>
      </c>
      <c r="X56" s="280">
        <f>IF(AO56="5",BH56,0)</f>
        <v>0</v>
      </c>
      <c r="Z56" s="280">
        <f>IF(AO56="1",BF56,0)</f>
        <v>0</v>
      </c>
      <c r="AA56" s="280">
        <f>IF(AO56="1",BG56,0)</f>
        <v>0</v>
      </c>
      <c r="AB56" s="280">
        <f>IF(AO56="7",BF56,0)</f>
        <v>0</v>
      </c>
      <c r="AC56" s="280">
        <f>IF(AO56="7",BG56,0)</f>
        <v>0</v>
      </c>
      <c r="AD56" s="280">
        <f>IF(AO56="2",BF56,0)</f>
        <v>0</v>
      </c>
      <c r="AE56" s="280">
        <f>IF(AO56="2",BG56,0)</f>
        <v>0</v>
      </c>
      <c r="AF56" s="280">
        <f>IF(AO56="0",BH56,0)</f>
        <v>0</v>
      </c>
      <c r="AG56" s="278" t="s">
        <v>154</v>
      </c>
      <c r="AH56" s="280">
        <f>IF(AL56=0,J56,0)</f>
        <v>0</v>
      </c>
      <c r="AI56" s="280">
        <f>IF(AL56=15,J56,0)</f>
        <v>0</v>
      </c>
      <c r="AJ56" s="280">
        <f>IF(AL56=21,J56,0)</f>
        <v>0</v>
      </c>
      <c r="AL56" s="280">
        <v>15</v>
      </c>
      <c r="AM56" s="280">
        <f>G56*0</f>
        <v>0</v>
      </c>
      <c r="AN56" s="280">
        <f>G56*(1-0)</f>
        <v>0</v>
      </c>
      <c r="AO56" s="281" t="s">
        <v>157</v>
      </c>
      <c r="AT56" s="280">
        <f>AU56+AV56</f>
        <v>0</v>
      </c>
      <c r="AU56" s="280">
        <f>F56*AM56</f>
        <v>0</v>
      </c>
      <c r="AV56" s="280">
        <f>F56*AN56</f>
        <v>0</v>
      </c>
      <c r="AW56" s="281" t="s">
        <v>231</v>
      </c>
      <c r="AX56" s="281" t="s">
        <v>163</v>
      </c>
      <c r="AY56" s="278" t="s">
        <v>164</v>
      </c>
      <c r="BA56" s="280">
        <f>AU56+AV56</f>
        <v>0</v>
      </c>
      <c r="BB56" s="280">
        <f>G56/(100-BC56)*100</f>
        <v>0</v>
      </c>
      <c r="BC56" s="280">
        <v>0</v>
      </c>
      <c r="BD56" s="280">
        <f>L56</f>
        <v>0</v>
      </c>
      <c r="BF56" s="280">
        <f>F56*AM56</f>
        <v>0</v>
      </c>
      <c r="BG56" s="280">
        <f>F56*AN56</f>
        <v>0</v>
      </c>
      <c r="BH56" s="280">
        <f>F56*G56</f>
        <v>0</v>
      </c>
      <c r="BI56" s="280"/>
      <c r="BJ56" s="280">
        <v>16</v>
      </c>
      <c r="BU56" s="280" t="e">
        <f>#REF!</f>
        <v>#REF!</v>
      </c>
      <c r="BV56" s="277" t="s">
        <v>1000</v>
      </c>
    </row>
    <row r="57" spans="1:74" ht="67.5" customHeight="1" x14ac:dyDescent="0.3">
      <c r="A57" s="288"/>
      <c r="B57" s="289" t="s">
        <v>165</v>
      </c>
      <c r="C57" s="615" t="s">
        <v>1900</v>
      </c>
      <c r="D57" s="616"/>
      <c r="E57" s="616"/>
      <c r="F57" s="616"/>
      <c r="G57" s="616"/>
      <c r="H57" s="616"/>
      <c r="I57" s="616"/>
      <c r="J57" s="616"/>
      <c r="K57" s="616"/>
      <c r="L57" s="616"/>
      <c r="M57" s="617"/>
    </row>
    <row r="58" spans="1:74" ht="14.4" x14ac:dyDescent="0.3">
      <c r="A58" s="290" t="s">
        <v>235</v>
      </c>
      <c r="B58" s="275" t="s">
        <v>503</v>
      </c>
      <c r="C58" s="613" t="s">
        <v>237</v>
      </c>
      <c r="D58" s="614"/>
      <c r="E58" s="275" t="s">
        <v>196</v>
      </c>
      <c r="F58" s="280">
        <v>476.13</v>
      </c>
      <c r="G58" s="311">
        <v>0</v>
      </c>
      <c r="H58" s="280">
        <f>F58*AM58</f>
        <v>0</v>
      </c>
      <c r="I58" s="280">
        <f>F58*AN58</f>
        <v>0</v>
      </c>
      <c r="J58" s="280">
        <f>F58*G58</f>
        <v>0</v>
      </c>
      <c r="K58" s="280">
        <v>0</v>
      </c>
      <c r="L58" s="280">
        <f>F58*K58</f>
        <v>0</v>
      </c>
      <c r="M58" s="291" t="s">
        <v>472</v>
      </c>
      <c r="X58" s="280">
        <f>IF(AO58="5",BH58,0)</f>
        <v>0</v>
      </c>
      <c r="Z58" s="280">
        <f>IF(AO58="1",BF58,0)</f>
        <v>0</v>
      </c>
      <c r="AA58" s="280">
        <f>IF(AO58="1",BG58,0)</f>
        <v>0</v>
      </c>
      <c r="AB58" s="280">
        <f>IF(AO58="7",BF58,0)</f>
        <v>0</v>
      </c>
      <c r="AC58" s="280">
        <f>IF(AO58="7",BG58,0)</f>
        <v>0</v>
      </c>
      <c r="AD58" s="280">
        <f>IF(AO58="2",BF58,0)</f>
        <v>0</v>
      </c>
      <c r="AE58" s="280">
        <f>IF(AO58="2",BG58,0)</f>
        <v>0</v>
      </c>
      <c r="AF58" s="280">
        <f>IF(AO58="0",BH58,0)</f>
        <v>0</v>
      </c>
      <c r="AG58" s="278" t="s">
        <v>154</v>
      </c>
      <c r="AH58" s="280">
        <f>IF(AL58=0,J58,0)</f>
        <v>0</v>
      </c>
      <c r="AI58" s="280">
        <f>IF(AL58=15,J58,0)</f>
        <v>0</v>
      </c>
      <c r="AJ58" s="280">
        <f>IF(AL58=21,J58,0)</f>
        <v>0</v>
      </c>
      <c r="AL58" s="280">
        <v>15</v>
      </c>
      <c r="AM58" s="280">
        <f>G58*0</f>
        <v>0</v>
      </c>
      <c r="AN58" s="280">
        <f>G58*(1-0)</f>
        <v>0</v>
      </c>
      <c r="AO58" s="281" t="s">
        <v>157</v>
      </c>
      <c r="AT58" s="280">
        <f>AU58+AV58</f>
        <v>0</v>
      </c>
      <c r="AU58" s="280">
        <f>F58*AM58</f>
        <v>0</v>
      </c>
      <c r="AV58" s="280">
        <f>F58*AN58</f>
        <v>0</v>
      </c>
      <c r="AW58" s="281" t="s">
        <v>231</v>
      </c>
      <c r="AX58" s="281" t="s">
        <v>163</v>
      </c>
      <c r="AY58" s="278" t="s">
        <v>164</v>
      </c>
      <c r="BA58" s="280">
        <f>AU58+AV58</f>
        <v>0</v>
      </c>
      <c r="BB58" s="280">
        <f>G58/(100-BC58)*100</f>
        <v>0</v>
      </c>
      <c r="BC58" s="280">
        <v>0</v>
      </c>
      <c r="BD58" s="280">
        <f>L58</f>
        <v>0</v>
      </c>
      <c r="BF58" s="280">
        <f>F58*AM58</f>
        <v>0</v>
      </c>
      <c r="BG58" s="280">
        <f>F58*AN58</f>
        <v>0</v>
      </c>
      <c r="BH58" s="280">
        <f>F58*G58</f>
        <v>0</v>
      </c>
      <c r="BI58" s="280"/>
      <c r="BJ58" s="280">
        <v>16</v>
      </c>
      <c r="BU58" s="280" t="e">
        <f>#REF!</f>
        <v>#REF!</v>
      </c>
      <c r="BV58" s="277" t="s">
        <v>237</v>
      </c>
    </row>
    <row r="59" spans="1:74" ht="67.5" customHeight="1" x14ac:dyDescent="0.3">
      <c r="A59" s="288"/>
      <c r="B59" s="289" t="s">
        <v>165</v>
      </c>
      <c r="C59" s="615" t="s">
        <v>1901</v>
      </c>
      <c r="D59" s="616"/>
      <c r="E59" s="616"/>
      <c r="F59" s="616"/>
      <c r="G59" s="616"/>
      <c r="H59" s="616"/>
      <c r="I59" s="616"/>
      <c r="J59" s="616"/>
      <c r="K59" s="616"/>
      <c r="L59" s="616"/>
      <c r="M59" s="617"/>
    </row>
    <row r="60" spans="1:74" ht="14.4" x14ac:dyDescent="0.3">
      <c r="A60" s="290" t="s">
        <v>238</v>
      </c>
      <c r="B60" s="275" t="s">
        <v>504</v>
      </c>
      <c r="C60" s="613" t="s">
        <v>240</v>
      </c>
      <c r="D60" s="614"/>
      <c r="E60" s="275" t="s">
        <v>196</v>
      </c>
      <c r="F60" s="280">
        <v>6665.82</v>
      </c>
      <c r="G60" s="311">
        <v>0</v>
      </c>
      <c r="H60" s="280">
        <f>F60*AM60</f>
        <v>0</v>
      </c>
      <c r="I60" s="280">
        <f>F60*AN60</f>
        <v>0</v>
      </c>
      <c r="J60" s="280">
        <f>F60*G60</f>
        <v>0</v>
      </c>
      <c r="K60" s="280">
        <v>0</v>
      </c>
      <c r="L60" s="280">
        <f>F60*K60</f>
        <v>0</v>
      </c>
      <c r="M60" s="291" t="s">
        <v>472</v>
      </c>
      <c r="X60" s="280">
        <f>IF(AO60="5",BH60,0)</f>
        <v>0</v>
      </c>
      <c r="Z60" s="280">
        <f>IF(AO60="1",BF60,0)</f>
        <v>0</v>
      </c>
      <c r="AA60" s="280">
        <f>IF(AO60="1",BG60,0)</f>
        <v>0</v>
      </c>
      <c r="AB60" s="280">
        <f>IF(AO60="7",BF60,0)</f>
        <v>0</v>
      </c>
      <c r="AC60" s="280">
        <f>IF(AO60="7",BG60,0)</f>
        <v>0</v>
      </c>
      <c r="AD60" s="280">
        <f>IF(AO60="2",BF60,0)</f>
        <v>0</v>
      </c>
      <c r="AE60" s="280">
        <f>IF(AO60="2",BG60,0)</f>
        <v>0</v>
      </c>
      <c r="AF60" s="280">
        <f>IF(AO60="0",BH60,0)</f>
        <v>0</v>
      </c>
      <c r="AG60" s="278" t="s">
        <v>154</v>
      </c>
      <c r="AH60" s="280">
        <f>IF(AL60=0,J60,0)</f>
        <v>0</v>
      </c>
      <c r="AI60" s="280">
        <f>IF(AL60=15,J60,0)</f>
        <v>0</v>
      </c>
      <c r="AJ60" s="280">
        <f>IF(AL60=21,J60,0)</f>
        <v>0</v>
      </c>
      <c r="AL60" s="280">
        <v>15</v>
      </c>
      <c r="AM60" s="280">
        <f>G60*0</f>
        <v>0</v>
      </c>
      <c r="AN60" s="280">
        <f>G60*(1-0)</f>
        <v>0</v>
      </c>
      <c r="AO60" s="281" t="s">
        <v>157</v>
      </c>
      <c r="AT60" s="280">
        <f>AU60+AV60</f>
        <v>0</v>
      </c>
      <c r="AU60" s="280">
        <f>F60*AM60</f>
        <v>0</v>
      </c>
      <c r="AV60" s="280">
        <f>F60*AN60</f>
        <v>0</v>
      </c>
      <c r="AW60" s="281" t="s">
        <v>231</v>
      </c>
      <c r="AX60" s="281" t="s">
        <v>163</v>
      </c>
      <c r="AY60" s="278" t="s">
        <v>164</v>
      </c>
      <c r="BA60" s="280">
        <f>AU60+AV60</f>
        <v>0</v>
      </c>
      <c r="BB60" s="280">
        <f>G60/(100-BC60)*100</f>
        <v>0</v>
      </c>
      <c r="BC60" s="280">
        <v>0</v>
      </c>
      <c r="BD60" s="280">
        <f>L60</f>
        <v>0</v>
      </c>
      <c r="BF60" s="280">
        <f>F60*AM60</f>
        <v>0</v>
      </c>
      <c r="BG60" s="280">
        <f>F60*AN60</f>
        <v>0</v>
      </c>
      <c r="BH60" s="280">
        <f>F60*G60</f>
        <v>0</v>
      </c>
      <c r="BI60" s="280"/>
      <c r="BJ60" s="280">
        <v>16</v>
      </c>
      <c r="BU60" s="280" t="e">
        <f>#REF!</f>
        <v>#REF!</v>
      </c>
      <c r="BV60" s="277" t="s">
        <v>240</v>
      </c>
    </row>
    <row r="61" spans="1:74" ht="54" customHeight="1" x14ac:dyDescent="0.3">
      <c r="A61" s="288"/>
      <c r="B61" s="289" t="s">
        <v>165</v>
      </c>
      <c r="C61" s="615" t="s">
        <v>1902</v>
      </c>
      <c r="D61" s="616"/>
      <c r="E61" s="616"/>
      <c r="F61" s="616"/>
      <c r="G61" s="616"/>
      <c r="H61" s="616"/>
      <c r="I61" s="616"/>
      <c r="J61" s="616"/>
      <c r="K61" s="616"/>
      <c r="L61" s="616"/>
      <c r="M61" s="617"/>
    </row>
    <row r="62" spans="1:74" ht="14.4" x14ac:dyDescent="0.3">
      <c r="A62" s="290" t="s">
        <v>241</v>
      </c>
      <c r="B62" s="275" t="s">
        <v>505</v>
      </c>
      <c r="C62" s="613" t="s">
        <v>243</v>
      </c>
      <c r="D62" s="614"/>
      <c r="E62" s="275" t="s">
        <v>196</v>
      </c>
      <c r="F62" s="280">
        <v>209.44</v>
      </c>
      <c r="G62" s="311">
        <v>0</v>
      </c>
      <c r="H62" s="280">
        <f>F62*AM62</f>
        <v>0</v>
      </c>
      <c r="I62" s="280">
        <f>F62*AN62</f>
        <v>0</v>
      </c>
      <c r="J62" s="280">
        <f>F62*G62</f>
        <v>0</v>
      </c>
      <c r="K62" s="280">
        <v>0</v>
      </c>
      <c r="L62" s="280">
        <f>F62*K62</f>
        <v>0</v>
      </c>
      <c r="M62" s="291" t="s">
        <v>472</v>
      </c>
      <c r="X62" s="280">
        <f>IF(AO62="5",BH62,0)</f>
        <v>0</v>
      </c>
      <c r="Z62" s="280">
        <f>IF(AO62="1",BF62,0)</f>
        <v>0</v>
      </c>
      <c r="AA62" s="280">
        <f>IF(AO62="1",BG62,0)</f>
        <v>0</v>
      </c>
      <c r="AB62" s="280">
        <f>IF(AO62="7",BF62,0)</f>
        <v>0</v>
      </c>
      <c r="AC62" s="280">
        <f>IF(AO62="7",BG62,0)</f>
        <v>0</v>
      </c>
      <c r="AD62" s="280">
        <f>IF(AO62="2",BF62,0)</f>
        <v>0</v>
      </c>
      <c r="AE62" s="280">
        <f>IF(AO62="2",BG62,0)</f>
        <v>0</v>
      </c>
      <c r="AF62" s="280">
        <f>IF(AO62="0",BH62,0)</f>
        <v>0</v>
      </c>
      <c r="AG62" s="278" t="s">
        <v>154</v>
      </c>
      <c r="AH62" s="280">
        <f>IF(AL62=0,J62,0)</f>
        <v>0</v>
      </c>
      <c r="AI62" s="280">
        <f>IF(AL62=15,J62,0)</f>
        <v>0</v>
      </c>
      <c r="AJ62" s="280">
        <f>IF(AL62=21,J62,0)</f>
        <v>0</v>
      </c>
      <c r="AL62" s="280">
        <v>15</v>
      </c>
      <c r="AM62" s="280">
        <f>G62*0</f>
        <v>0</v>
      </c>
      <c r="AN62" s="280">
        <f>G62*(1-0)</f>
        <v>0</v>
      </c>
      <c r="AO62" s="281" t="s">
        <v>157</v>
      </c>
      <c r="AT62" s="280">
        <f>AU62+AV62</f>
        <v>0</v>
      </c>
      <c r="AU62" s="280">
        <f>F62*AM62</f>
        <v>0</v>
      </c>
      <c r="AV62" s="280">
        <f>F62*AN62</f>
        <v>0</v>
      </c>
      <c r="AW62" s="281" t="s">
        <v>231</v>
      </c>
      <c r="AX62" s="281" t="s">
        <v>163</v>
      </c>
      <c r="AY62" s="278" t="s">
        <v>164</v>
      </c>
      <c r="BA62" s="280">
        <f>AU62+AV62</f>
        <v>0</v>
      </c>
      <c r="BB62" s="280">
        <f>G62/(100-BC62)*100</f>
        <v>0</v>
      </c>
      <c r="BC62" s="280">
        <v>0</v>
      </c>
      <c r="BD62" s="280">
        <f>L62</f>
        <v>0</v>
      </c>
      <c r="BF62" s="280">
        <f>F62*AM62</f>
        <v>0</v>
      </c>
      <c r="BG62" s="280">
        <f>F62*AN62</f>
        <v>0</v>
      </c>
      <c r="BH62" s="280">
        <f>F62*G62</f>
        <v>0</v>
      </c>
      <c r="BI62" s="280"/>
      <c r="BJ62" s="280">
        <v>16</v>
      </c>
      <c r="BU62" s="280" t="e">
        <f>#REF!</f>
        <v>#REF!</v>
      </c>
      <c r="BV62" s="277" t="s">
        <v>243</v>
      </c>
    </row>
    <row r="63" spans="1:74" ht="54" customHeight="1" x14ac:dyDescent="0.3">
      <c r="A63" s="288"/>
      <c r="B63" s="289" t="s">
        <v>165</v>
      </c>
      <c r="C63" s="615" t="s">
        <v>1903</v>
      </c>
      <c r="D63" s="616"/>
      <c r="E63" s="616"/>
      <c r="F63" s="616"/>
      <c r="G63" s="616"/>
      <c r="H63" s="616"/>
      <c r="I63" s="616"/>
      <c r="J63" s="616"/>
      <c r="K63" s="616"/>
      <c r="L63" s="616"/>
      <c r="M63" s="617"/>
    </row>
    <row r="64" spans="1:74" ht="14.4" x14ac:dyDescent="0.3">
      <c r="A64" s="290" t="s">
        <v>244</v>
      </c>
      <c r="B64" s="275" t="s">
        <v>506</v>
      </c>
      <c r="C64" s="613" t="s">
        <v>246</v>
      </c>
      <c r="D64" s="614"/>
      <c r="E64" s="275" t="s">
        <v>196</v>
      </c>
      <c r="F64" s="280">
        <v>2932.16</v>
      </c>
      <c r="G64" s="311">
        <v>0</v>
      </c>
      <c r="H64" s="280">
        <f>F64*AM64</f>
        <v>0</v>
      </c>
      <c r="I64" s="280">
        <f>F64*AN64</f>
        <v>0</v>
      </c>
      <c r="J64" s="280">
        <f>F64*G64</f>
        <v>0</v>
      </c>
      <c r="K64" s="280">
        <v>0</v>
      </c>
      <c r="L64" s="280">
        <f>F64*K64</f>
        <v>0</v>
      </c>
      <c r="M64" s="291" t="s">
        <v>472</v>
      </c>
      <c r="X64" s="280">
        <f>IF(AO64="5",BH64,0)</f>
        <v>0</v>
      </c>
      <c r="Z64" s="280">
        <f>IF(AO64="1",BF64,0)</f>
        <v>0</v>
      </c>
      <c r="AA64" s="280">
        <f>IF(AO64="1",BG64,0)</f>
        <v>0</v>
      </c>
      <c r="AB64" s="280">
        <f>IF(AO64="7",BF64,0)</f>
        <v>0</v>
      </c>
      <c r="AC64" s="280">
        <f>IF(AO64="7",BG64,0)</f>
        <v>0</v>
      </c>
      <c r="AD64" s="280">
        <f>IF(AO64="2",BF64,0)</f>
        <v>0</v>
      </c>
      <c r="AE64" s="280">
        <f>IF(AO64="2",BG64,0)</f>
        <v>0</v>
      </c>
      <c r="AF64" s="280">
        <f>IF(AO64="0",BH64,0)</f>
        <v>0</v>
      </c>
      <c r="AG64" s="278" t="s">
        <v>154</v>
      </c>
      <c r="AH64" s="280">
        <f>IF(AL64=0,J64,0)</f>
        <v>0</v>
      </c>
      <c r="AI64" s="280">
        <f>IF(AL64=15,J64,0)</f>
        <v>0</v>
      </c>
      <c r="AJ64" s="280">
        <f>IF(AL64=21,J64,0)</f>
        <v>0</v>
      </c>
      <c r="AL64" s="280">
        <v>15</v>
      </c>
      <c r="AM64" s="280">
        <f>G64*0</f>
        <v>0</v>
      </c>
      <c r="AN64" s="280">
        <f>G64*(1-0)</f>
        <v>0</v>
      </c>
      <c r="AO64" s="281" t="s">
        <v>157</v>
      </c>
      <c r="AT64" s="280">
        <f>AU64+AV64</f>
        <v>0</v>
      </c>
      <c r="AU64" s="280">
        <f>F64*AM64</f>
        <v>0</v>
      </c>
      <c r="AV64" s="280">
        <f>F64*AN64</f>
        <v>0</v>
      </c>
      <c r="AW64" s="281" t="s">
        <v>231</v>
      </c>
      <c r="AX64" s="281" t="s">
        <v>163</v>
      </c>
      <c r="AY64" s="278" t="s">
        <v>164</v>
      </c>
      <c r="BA64" s="280">
        <f>AU64+AV64</f>
        <v>0</v>
      </c>
      <c r="BB64" s="280">
        <f>G64/(100-BC64)*100</f>
        <v>0</v>
      </c>
      <c r="BC64" s="280">
        <v>0</v>
      </c>
      <c r="BD64" s="280">
        <f>L64</f>
        <v>0</v>
      </c>
      <c r="BF64" s="280">
        <f>F64*AM64</f>
        <v>0</v>
      </c>
      <c r="BG64" s="280">
        <f>F64*AN64</f>
        <v>0</v>
      </c>
      <c r="BH64" s="280">
        <f>F64*G64</f>
        <v>0</v>
      </c>
      <c r="BI64" s="280"/>
      <c r="BJ64" s="280">
        <v>16</v>
      </c>
      <c r="BU64" s="280" t="e">
        <f>#REF!</f>
        <v>#REF!</v>
      </c>
      <c r="BV64" s="277" t="s">
        <v>246</v>
      </c>
    </row>
    <row r="65" spans="1:74" ht="54" customHeight="1" x14ac:dyDescent="0.3">
      <c r="A65" s="288"/>
      <c r="B65" s="289" t="s">
        <v>165</v>
      </c>
      <c r="C65" s="615" t="s">
        <v>1904</v>
      </c>
      <c r="D65" s="616"/>
      <c r="E65" s="616"/>
      <c r="F65" s="616"/>
      <c r="G65" s="616"/>
      <c r="H65" s="616"/>
      <c r="I65" s="616"/>
      <c r="J65" s="616"/>
      <c r="K65" s="616"/>
      <c r="L65" s="616"/>
      <c r="M65" s="617"/>
    </row>
    <row r="66" spans="1:74" ht="14.4" x14ac:dyDescent="0.3">
      <c r="A66" s="290" t="s">
        <v>247</v>
      </c>
      <c r="B66" s="275" t="s">
        <v>248</v>
      </c>
      <c r="C66" s="613" t="s">
        <v>249</v>
      </c>
      <c r="D66" s="614"/>
      <c r="E66" s="275" t="s">
        <v>196</v>
      </c>
      <c r="F66" s="280">
        <v>1133.22</v>
      </c>
      <c r="G66" s="311">
        <v>0</v>
      </c>
      <c r="H66" s="280">
        <f>F66*AM66</f>
        <v>0</v>
      </c>
      <c r="I66" s="280">
        <f>F66*AN66</f>
        <v>0</v>
      </c>
      <c r="J66" s="280">
        <f>F66*G66</f>
        <v>0</v>
      </c>
      <c r="K66" s="280">
        <v>0</v>
      </c>
      <c r="L66" s="280">
        <f>F66*K66</f>
        <v>0</v>
      </c>
      <c r="M66" s="291" t="s">
        <v>472</v>
      </c>
      <c r="X66" s="280">
        <f>IF(AO66="5",BH66,0)</f>
        <v>0</v>
      </c>
      <c r="Z66" s="280">
        <f>IF(AO66="1",BF66,0)</f>
        <v>0</v>
      </c>
      <c r="AA66" s="280">
        <f>IF(AO66="1",BG66,0)</f>
        <v>0</v>
      </c>
      <c r="AB66" s="280">
        <f>IF(AO66="7",BF66,0)</f>
        <v>0</v>
      </c>
      <c r="AC66" s="280">
        <f>IF(AO66="7",BG66,0)</f>
        <v>0</v>
      </c>
      <c r="AD66" s="280">
        <f>IF(AO66="2",BF66,0)</f>
        <v>0</v>
      </c>
      <c r="AE66" s="280">
        <f>IF(AO66="2",BG66,0)</f>
        <v>0</v>
      </c>
      <c r="AF66" s="280">
        <f>IF(AO66="0",BH66,0)</f>
        <v>0</v>
      </c>
      <c r="AG66" s="278" t="s">
        <v>154</v>
      </c>
      <c r="AH66" s="280">
        <f>IF(AL66=0,J66,0)</f>
        <v>0</v>
      </c>
      <c r="AI66" s="280">
        <f>IF(AL66=15,J66,0)</f>
        <v>0</v>
      </c>
      <c r="AJ66" s="280">
        <f>IF(AL66=21,J66,0)</f>
        <v>0</v>
      </c>
      <c r="AL66" s="280">
        <v>15</v>
      </c>
      <c r="AM66" s="280">
        <f>G66*0</f>
        <v>0</v>
      </c>
      <c r="AN66" s="280">
        <f>G66*(1-0)</f>
        <v>0</v>
      </c>
      <c r="AO66" s="281" t="s">
        <v>157</v>
      </c>
      <c r="AT66" s="280">
        <f>AU66+AV66</f>
        <v>0</v>
      </c>
      <c r="AU66" s="280">
        <f>F66*AM66</f>
        <v>0</v>
      </c>
      <c r="AV66" s="280">
        <f>F66*AN66</f>
        <v>0</v>
      </c>
      <c r="AW66" s="281" t="s">
        <v>231</v>
      </c>
      <c r="AX66" s="281" t="s">
        <v>163</v>
      </c>
      <c r="AY66" s="278" t="s">
        <v>164</v>
      </c>
      <c r="BA66" s="280">
        <f>AU66+AV66</f>
        <v>0</v>
      </c>
      <c r="BB66" s="280">
        <f>G66/(100-BC66)*100</f>
        <v>0</v>
      </c>
      <c r="BC66" s="280">
        <v>0</v>
      </c>
      <c r="BD66" s="280">
        <f>L66</f>
        <v>0</v>
      </c>
      <c r="BF66" s="280">
        <f>F66*AM66</f>
        <v>0</v>
      </c>
      <c r="BG66" s="280">
        <f>F66*AN66</f>
        <v>0</v>
      </c>
      <c r="BH66" s="280">
        <f>F66*G66</f>
        <v>0</v>
      </c>
      <c r="BI66" s="280"/>
      <c r="BJ66" s="280">
        <v>16</v>
      </c>
      <c r="BU66" s="280" t="e">
        <f>#REF!</f>
        <v>#REF!</v>
      </c>
      <c r="BV66" s="277" t="s">
        <v>249</v>
      </c>
    </row>
    <row r="67" spans="1:74" ht="40.5" customHeight="1" x14ac:dyDescent="0.3">
      <c r="A67" s="288"/>
      <c r="B67" s="289" t="s">
        <v>165</v>
      </c>
      <c r="C67" s="615" t="s">
        <v>1905</v>
      </c>
      <c r="D67" s="616"/>
      <c r="E67" s="616"/>
      <c r="F67" s="616"/>
      <c r="G67" s="616"/>
      <c r="H67" s="616"/>
      <c r="I67" s="616"/>
      <c r="J67" s="616"/>
      <c r="K67" s="616"/>
      <c r="L67" s="616"/>
      <c r="M67" s="617"/>
    </row>
    <row r="68" spans="1:74" ht="14.4" x14ac:dyDescent="0.3">
      <c r="A68" s="290" t="s">
        <v>250</v>
      </c>
      <c r="B68" s="275" t="s">
        <v>251</v>
      </c>
      <c r="C68" s="613" t="s">
        <v>252</v>
      </c>
      <c r="D68" s="614"/>
      <c r="E68" s="275" t="s">
        <v>196</v>
      </c>
      <c r="F68" s="280">
        <v>1133.22</v>
      </c>
      <c r="G68" s="311">
        <v>0</v>
      </c>
      <c r="H68" s="280">
        <f>F68*AM68</f>
        <v>0</v>
      </c>
      <c r="I68" s="280">
        <f>F68*AN68</f>
        <v>0</v>
      </c>
      <c r="J68" s="280">
        <f>F68*G68</f>
        <v>0</v>
      </c>
      <c r="K68" s="280">
        <v>0</v>
      </c>
      <c r="L68" s="280">
        <f>F68*K68</f>
        <v>0</v>
      </c>
      <c r="M68" s="291" t="s">
        <v>472</v>
      </c>
      <c r="X68" s="280">
        <f>IF(AO68="5",BH68,0)</f>
        <v>0</v>
      </c>
      <c r="Z68" s="280">
        <f>IF(AO68="1",BF68,0)</f>
        <v>0</v>
      </c>
      <c r="AA68" s="280">
        <f>IF(AO68="1",BG68,0)</f>
        <v>0</v>
      </c>
      <c r="AB68" s="280">
        <f>IF(AO68="7",BF68,0)</f>
        <v>0</v>
      </c>
      <c r="AC68" s="280">
        <f>IF(AO68="7",BG68,0)</f>
        <v>0</v>
      </c>
      <c r="AD68" s="280">
        <f>IF(AO68="2",BF68,0)</f>
        <v>0</v>
      </c>
      <c r="AE68" s="280">
        <f>IF(AO68="2",BG68,0)</f>
        <v>0</v>
      </c>
      <c r="AF68" s="280">
        <f>IF(AO68="0",BH68,0)</f>
        <v>0</v>
      </c>
      <c r="AG68" s="278" t="s">
        <v>154</v>
      </c>
      <c r="AH68" s="280">
        <f>IF(AL68=0,J68,0)</f>
        <v>0</v>
      </c>
      <c r="AI68" s="280">
        <f>IF(AL68=15,J68,0)</f>
        <v>0</v>
      </c>
      <c r="AJ68" s="280">
        <f>IF(AL68=21,J68,0)</f>
        <v>0</v>
      </c>
      <c r="AL68" s="280">
        <v>15</v>
      </c>
      <c r="AM68" s="280">
        <f>G68*0</f>
        <v>0</v>
      </c>
      <c r="AN68" s="280">
        <f>G68*(1-0)</f>
        <v>0</v>
      </c>
      <c r="AO68" s="281" t="s">
        <v>157</v>
      </c>
      <c r="AT68" s="280">
        <f>AU68+AV68</f>
        <v>0</v>
      </c>
      <c r="AU68" s="280">
        <f>F68*AM68</f>
        <v>0</v>
      </c>
      <c r="AV68" s="280">
        <f>F68*AN68</f>
        <v>0</v>
      </c>
      <c r="AW68" s="281" t="s">
        <v>231</v>
      </c>
      <c r="AX68" s="281" t="s">
        <v>163</v>
      </c>
      <c r="AY68" s="278" t="s">
        <v>164</v>
      </c>
      <c r="BA68" s="280">
        <f>AU68+AV68</f>
        <v>0</v>
      </c>
      <c r="BB68" s="280">
        <f>G68/(100-BC68)*100</f>
        <v>0</v>
      </c>
      <c r="BC68" s="280">
        <v>0</v>
      </c>
      <c r="BD68" s="280">
        <f>L68</f>
        <v>0</v>
      </c>
      <c r="BF68" s="280">
        <f>F68*AM68</f>
        <v>0</v>
      </c>
      <c r="BG68" s="280">
        <f>F68*AN68</f>
        <v>0</v>
      </c>
      <c r="BH68" s="280">
        <f>F68*G68</f>
        <v>0</v>
      </c>
      <c r="BI68" s="280"/>
      <c r="BJ68" s="280">
        <v>16</v>
      </c>
      <c r="BU68" s="280" t="e">
        <f>#REF!</f>
        <v>#REF!</v>
      </c>
      <c r="BV68" s="277" t="s">
        <v>252</v>
      </c>
    </row>
    <row r="69" spans="1:74" ht="40.5" customHeight="1" x14ac:dyDescent="0.3">
      <c r="A69" s="288"/>
      <c r="B69" s="289" t="s">
        <v>165</v>
      </c>
      <c r="C69" s="615" t="s">
        <v>1906</v>
      </c>
      <c r="D69" s="616"/>
      <c r="E69" s="616"/>
      <c r="F69" s="616"/>
      <c r="G69" s="616"/>
      <c r="H69" s="616"/>
      <c r="I69" s="616"/>
      <c r="J69" s="616"/>
      <c r="K69" s="616"/>
      <c r="L69" s="616"/>
      <c r="M69" s="617"/>
    </row>
    <row r="70" spans="1:74" ht="14.4" x14ac:dyDescent="0.3">
      <c r="A70" s="290" t="s">
        <v>154</v>
      </c>
      <c r="B70" s="276" t="s">
        <v>220</v>
      </c>
      <c r="C70" s="624" t="s">
        <v>259</v>
      </c>
      <c r="D70" s="621"/>
      <c r="E70" s="275" t="s">
        <v>114</v>
      </c>
      <c r="F70" s="275" t="s">
        <v>114</v>
      </c>
      <c r="G70" s="275" t="s">
        <v>114</v>
      </c>
      <c r="H70" s="282">
        <f>SUM(H71:H74)</f>
        <v>0</v>
      </c>
      <c r="I70" s="282">
        <f>SUM(I71:I74)</f>
        <v>0</v>
      </c>
      <c r="J70" s="282">
        <f>SUM(J71:J74)</f>
        <v>0</v>
      </c>
      <c r="K70" s="279" t="s">
        <v>154</v>
      </c>
      <c r="L70" s="282">
        <f>SUM(L71:L74)</f>
        <v>462.41699999999997</v>
      </c>
      <c r="M70" s="294" t="s">
        <v>154</v>
      </c>
      <c r="AG70" s="278" t="s">
        <v>154</v>
      </c>
      <c r="AQ70" s="274">
        <f>SUM(AH71:AH74)</f>
        <v>0</v>
      </c>
      <c r="AR70" s="274">
        <f>SUM(AI71:AI74)</f>
        <v>0</v>
      </c>
      <c r="AS70" s="274">
        <f>SUM(AJ71:AJ74)</f>
        <v>0</v>
      </c>
    </row>
    <row r="71" spans="1:74" ht="14.4" x14ac:dyDescent="0.3">
      <c r="A71" s="290" t="s">
        <v>253</v>
      </c>
      <c r="B71" s="275" t="s">
        <v>261</v>
      </c>
      <c r="C71" s="613" t="s">
        <v>262</v>
      </c>
      <c r="D71" s="614"/>
      <c r="E71" s="275" t="s">
        <v>196</v>
      </c>
      <c r="F71" s="280">
        <v>272.01</v>
      </c>
      <c r="G71" s="311">
        <v>0</v>
      </c>
      <c r="H71" s="280">
        <f>F71*AM71</f>
        <v>0</v>
      </c>
      <c r="I71" s="280">
        <f>F71*AN71</f>
        <v>0</v>
      </c>
      <c r="J71" s="280">
        <f>F71*G71</f>
        <v>0</v>
      </c>
      <c r="K71" s="280">
        <v>1.7</v>
      </c>
      <c r="L71" s="280">
        <f>F71*K71</f>
        <v>462.41699999999997</v>
      </c>
      <c r="M71" s="291" t="s">
        <v>472</v>
      </c>
      <c r="X71" s="280">
        <f>IF(AO71="5",BH71,0)</f>
        <v>0</v>
      </c>
      <c r="Z71" s="280">
        <f>IF(AO71="1",BF71,0)</f>
        <v>0</v>
      </c>
      <c r="AA71" s="280">
        <f>IF(AO71="1",BG71,0)</f>
        <v>0</v>
      </c>
      <c r="AB71" s="280">
        <f>IF(AO71="7",BF71,0)</f>
        <v>0</v>
      </c>
      <c r="AC71" s="280">
        <f>IF(AO71="7",BG71,0)</f>
        <v>0</v>
      </c>
      <c r="AD71" s="280">
        <f>IF(AO71="2",BF71,0)</f>
        <v>0</v>
      </c>
      <c r="AE71" s="280">
        <f>IF(AO71="2",BG71,0)</f>
        <v>0</v>
      </c>
      <c r="AF71" s="280">
        <f>IF(AO71="0",BH71,0)</f>
        <v>0</v>
      </c>
      <c r="AG71" s="278" t="s">
        <v>154</v>
      </c>
      <c r="AH71" s="280">
        <f>IF(AL71=0,J71,0)</f>
        <v>0</v>
      </c>
      <c r="AI71" s="280">
        <f>IF(AL71=15,J71,0)</f>
        <v>0</v>
      </c>
      <c r="AJ71" s="280">
        <f>IF(AL71=21,J71,0)</f>
        <v>0</v>
      </c>
      <c r="AL71" s="280">
        <v>15</v>
      </c>
      <c r="AM71" s="280">
        <f>G71*0.517505165</f>
        <v>0</v>
      </c>
      <c r="AN71" s="280">
        <f>G71*(1-0.517505165)</f>
        <v>0</v>
      </c>
      <c r="AO71" s="281" t="s">
        <v>157</v>
      </c>
      <c r="AT71" s="280">
        <f>AU71+AV71</f>
        <v>0</v>
      </c>
      <c r="AU71" s="280">
        <f>F71*AM71</f>
        <v>0</v>
      </c>
      <c r="AV71" s="280">
        <f>F71*AN71</f>
        <v>0</v>
      </c>
      <c r="AW71" s="281" t="s">
        <v>263</v>
      </c>
      <c r="AX71" s="281" t="s">
        <v>163</v>
      </c>
      <c r="AY71" s="278" t="s">
        <v>164</v>
      </c>
      <c r="BA71" s="280">
        <f>AU71+AV71</f>
        <v>0</v>
      </c>
      <c r="BB71" s="280">
        <f>G71/(100-BC71)*100</f>
        <v>0</v>
      </c>
      <c r="BC71" s="280">
        <v>0</v>
      </c>
      <c r="BD71" s="280">
        <f>L71</f>
        <v>462.41699999999997</v>
      </c>
      <c r="BF71" s="280">
        <f>F71*AM71</f>
        <v>0</v>
      </c>
      <c r="BG71" s="280">
        <f>F71*AN71</f>
        <v>0</v>
      </c>
      <c r="BH71" s="280">
        <f>F71*G71</f>
        <v>0</v>
      </c>
      <c r="BI71" s="280"/>
      <c r="BJ71" s="280">
        <v>17</v>
      </c>
      <c r="BU71" s="280" t="e">
        <f>#REF!</f>
        <v>#REF!</v>
      </c>
      <c r="BV71" s="277" t="s">
        <v>262</v>
      </c>
    </row>
    <row r="72" spans="1:74" ht="67.5" customHeight="1" x14ac:dyDescent="0.3">
      <c r="A72" s="288"/>
      <c r="B72" s="289" t="s">
        <v>165</v>
      </c>
      <c r="C72" s="615" t="s">
        <v>1907</v>
      </c>
      <c r="D72" s="616"/>
      <c r="E72" s="616"/>
      <c r="F72" s="616"/>
      <c r="G72" s="616"/>
      <c r="H72" s="616"/>
      <c r="I72" s="616"/>
      <c r="J72" s="616"/>
      <c r="K72" s="616"/>
      <c r="L72" s="616"/>
      <c r="M72" s="617"/>
    </row>
    <row r="73" spans="1:74" ht="14.4" x14ac:dyDescent="0.3">
      <c r="A73" s="290" t="s">
        <v>256</v>
      </c>
      <c r="B73" s="275" t="s">
        <v>265</v>
      </c>
      <c r="C73" s="613" t="s">
        <v>266</v>
      </c>
      <c r="D73" s="614"/>
      <c r="E73" s="275" t="s">
        <v>196</v>
      </c>
      <c r="F73" s="280">
        <v>272.01</v>
      </c>
      <c r="G73" s="311">
        <v>0</v>
      </c>
      <c r="H73" s="280">
        <f>F73*AM73</f>
        <v>0</v>
      </c>
      <c r="I73" s="280">
        <f>F73*AN73</f>
        <v>0</v>
      </c>
      <c r="J73" s="280">
        <f>F73*G73</f>
        <v>0</v>
      </c>
      <c r="K73" s="280">
        <v>0</v>
      </c>
      <c r="L73" s="280">
        <f>F73*K73</f>
        <v>0</v>
      </c>
      <c r="M73" s="291" t="s">
        <v>472</v>
      </c>
      <c r="X73" s="280">
        <f>IF(AO73="5",BH73,0)</f>
        <v>0</v>
      </c>
      <c r="Z73" s="280">
        <f>IF(AO73="1",BF73,0)</f>
        <v>0</v>
      </c>
      <c r="AA73" s="280">
        <f>IF(AO73="1",BG73,0)</f>
        <v>0</v>
      </c>
      <c r="AB73" s="280">
        <f>IF(AO73="7",BF73,0)</f>
        <v>0</v>
      </c>
      <c r="AC73" s="280">
        <f>IF(AO73="7",BG73,0)</f>
        <v>0</v>
      </c>
      <c r="AD73" s="280">
        <f>IF(AO73="2",BF73,0)</f>
        <v>0</v>
      </c>
      <c r="AE73" s="280">
        <f>IF(AO73="2",BG73,0)</f>
        <v>0</v>
      </c>
      <c r="AF73" s="280">
        <f>IF(AO73="0",BH73,0)</f>
        <v>0</v>
      </c>
      <c r="AG73" s="278" t="s">
        <v>154</v>
      </c>
      <c r="AH73" s="280">
        <f>IF(AL73=0,J73,0)</f>
        <v>0</v>
      </c>
      <c r="AI73" s="280">
        <f>IF(AL73=15,J73,0)</f>
        <v>0</v>
      </c>
      <c r="AJ73" s="280">
        <f>IF(AL73=21,J73,0)</f>
        <v>0</v>
      </c>
      <c r="AL73" s="280">
        <v>15</v>
      </c>
      <c r="AM73" s="280">
        <f>G73*0</f>
        <v>0</v>
      </c>
      <c r="AN73" s="280">
        <f>G73*(1-0)</f>
        <v>0</v>
      </c>
      <c r="AO73" s="281" t="s">
        <v>157</v>
      </c>
      <c r="AT73" s="280">
        <f>AU73+AV73</f>
        <v>0</v>
      </c>
      <c r="AU73" s="280">
        <f>F73*AM73</f>
        <v>0</v>
      </c>
      <c r="AV73" s="280">
        <f>F73*AN73</f>
        <v>0</v>
      </c>
      <c r="AW73" s="281" t="s">
        <v>263</v>
      </c>
      <c r="AX73" s="281" t="s">
        <v>163</v>
      </c>
      <c r="AY73" s="278" t="s">
        <v>164</v>
      </c>
      <c r="BA73" s="280">
        <f>AU73+AV73</f>
        <v>0</v>
      </c>
      <c r="BB73" s="280">
        <f>G73/(100-BC73)*100</f>
        <v>0</v>
      </c>
      <c r="BC73" s="280">
        <v>0</v>
      </c>
      <c r="BD73" s="280">
        <f>L73</f>
        <v>0</v>
      </c>
      <c r="BF73" s="280">
        <f>F73*AM73</f>
        <v>0</v>
      </c>
      <c r="BG73" s="280">
        <f>F73*AN73</f>
        <v>0</v>
      </c>
      <c r="BH73" s="280">
        <f>F73*G73</f>
        <v>0</v>
      </c>
      <c r="BI73" s="280"/>
      <c r="BJ73" s="280">
        <v>17</v>
      </c>
      <c r="BU73" s="280" t="e">
        <f>#REF!</f>
        <v>#REF!</v>
      </c>
      <c r="BV73" s="277" t="s">
        <v>266</v>
      </c>
    </row>
    <row r="74" spans="1:74" ht="14.4" x14ac:dyDescent="0.3">
      <c r="A74" s="290" t="s">
        <v>260</v>
      </c>
      <c r="B74" s="275" t="s">
        <v>268</v>
      </c>
      <c r="C74" s="613" t="s">
        <v>269</v>
      </c>
      <c r="D74" s="614"/>
      <c r="E74" s="275" t="s">
        <v>196</v>
      </c>
      <c r="F74" s="280">
        <v>566.61</v>
      </c>
      <c r="G74" s="311">
        <v>0</v>
      </c>
      <c r="H74" s="280">
        <f>F74*AM74</f>
        <v>0</v>
      </c>
      <c r="I74" s="280">
        <f>F74*AN74</f>
        <v>0</v>
      </c>
      <c r="J74" s="280">
        <f>F74*G74</f>
        <v>0</v>
      </c>
      <c r="K74" s="280">
        <v>0</v>
      </c>
      <c r="L74" s="280">
        <f>F74*K74</f>
        <v>0</v>
      </c>
      <c r="M74" s="291" t="s">
        <v>472</v>
      </c>
      <c r="X74" s="280">
        <f>IF(AO74="5",BH74,0)</f>
        <v>0</v>
      </c>
      <c r="Z74" s="280">
        <f>IF(AO74="1",BF74,0)</f>
        <v>0</v>
      </c>
      <c r="AA74" s="280">
        <f>IF(AO74="1",BG74,0)</f>
        <v>0</v>
      </c>
      <c r="AB74" s="280">
        <f>IF(AO74="7",BF74,0)</f>
        <v>0</v>
      </c>
      <c r="AC74" s="280">
        <f>IF(AO74="7",BG74,0)</f>
        <v>0</v>
      </c>
      <c r="AD74" s="280">
        <f>IF(AO74="2",BF74,0)</f>
        <v>0</v>
      </c>
      <c r="AE74" s="280">
        <f>IF(AO74="2",BG74,0)</f>
        <v>0</v>
      </c>
      <c r="AF74" s="280">
        <f>IF(AO74="0",BH74,0)</f>
        <v>0</v>
      </c>
      <c r="AG74" s="278" t="s">
        <v>154</v>
      </c>
      <c r="AH74" s="280">
        <f>IF(AL74=0,J74,0)</f>
        <v>0</v>
      </c>
      <c r="AI74" s="280">
        <f>IF(AL74=15,J74,0)</f>
        <v>0</v>
      </c>
      <c r="AJ74" s="280">
        <f>IF(AL74=21,J74,0)</f>
        <v>0</v>
      </c>
      <c r="AL74" s="280">
        <v>15</v>
      </c>
      <c r="AM74" s="280">
        <f>G74*0</f>
        <v>0</v>
      </c>
      <c r="AN74" s="280">
        <f>G74*(1-0)</f>
        <v>0</v>
      </c>
      <c r="AO74" s="281" t="s">
        <v>157</v>
      </c>
      <c r="AT74" s="280">
        <f>AU74+AV74</f>
        <v>0</v>
      </c>
      <c r="AU74" s="280">
        <f>F74*AM74</f>
        <v>0</v>
      </c>
      <c r="AV74" s="280">
        <f>F74*AN74</f>
        <v>0</v>
      </c>
      <c r="AW74" s="281" t="s">
        <v>263</v>
      </c>
      <c r="AX74" s="281" t="s">
        <v>163</v>
      </c>
      <c r="AY74" s="278" t="s">
        <v>164</v>
      </c>
      <c r="BA74" s="280">
        <f>AU74+AV74</f>
        <v>0</v>
      </c>
      <c r="BB74" s="280">
        <f>G74/(100-BC74)*100</f>
        <v>0</v>
      </c>
      <c r="BC74" s="280">
        <v>0</v>
      </c>
      <c r="BD74" s="280">
        <f>L74</f>
        <v>0</v>
      </c>
      <c r="BF74" s="280">
        <f>F74*AM74</f>
        <v>0</v>
      </c>
      <c r="BG74" s="280">
        <f>F74*AN74</f>
        <v>0</v>
      </c>
      <c r="BH74" s="280">
        <f>F74*G74</f>
        <v>0</v>
      </c>
      <c r="BI74" s="280"/>
      <c r="BJ74" s="280">
        <v>17</v>
      </c>
      <c r="BU74" s="280" t="e">
        <f>#REF!</f>
        <v>#REF!</v>
      </c>
      <c r="BV74" s="277" t="s">
        <v>269</v>
      </c>
    </row>
    <row r="75" spans="1:74" ht="108" customHeight="1" x14ac:dyDescent="0.3">
      <c r="A75" s="288"/>
      <c r="B75" s="289" t="s">
        <v>165</v>
      </c>
      <c r="C75" s="615" t="s">
        <v>1908</v>
      </c>
      <c r="D75" s="616"/>
      <c r="E75" s="616"/>
      <c r="F75" s="616"/>
      <c r="G75" s="616"/>
      <c r="H75" s="616"/>
      <c r="I75" s="616"/>
      <c r="J75" s="616"/>
      <c r="K75" s="616"/>
      <c r="L75" s="616"/>
      <c r="M75" s="617"/>
    </row>
    <row r="76" spans="1:74" ht="14.4" x14ac:dyDescent="0.3">
      <c r="A76" s="290" t="s">
        <v>154</v>
      </c>
      <c r="B76" s="276" t="s">
        <v>228</v>
      </c>
      <c r="C76" s="624" t="s">
        <v>275</v>
      </c>
      <c r="D76" s="621"/>
      <c r="E76" s="275" t="s">
        <v>114</v>
      </c>
      <c r="F76" s="275" t="s">
        <v>114</v>
      </c>
      <c r="G76" s="275" t="s">
        <v>114</v>
      </c>
      <c r="H76" s="282">
        <f>SUM(H77:H79)</f>
        <v>0</v>
      </c>
      <c r="I76" s="282">
        <f>SUM(I77:I79)</f>
        <v>0</v>
      </c>
      <c r="J76" s="282">
        <f>SUM(J77:J79)</f>
        <v>0</v>
      </c>
      <c r="K76" s="279" t="s">
        <v>154</v>
      </c>
      <c r="L76" s="282">
        <f>SUM(L77:L79)</f>
        <v>0</v>
      </c>
      <c r="M76" s="294" t="s">
        <v>154</v>
      </c>
      <c r="AG76" s="278" t="s">
        <v>154</v>
      </c>
      <c r="AQ76" s="274">
        <f>SUM(AH77:AH79)</f>
        <v>0</v>
      </c>
      <c r="AR76" s="274">
        <f>SUM(AI77:AI79)</f>
        <v>0</v>
      </c>
      <c r="AS76" s="274">
        <f>SUM(AJ77:AJ79)</f>
        <v>0</v>
      </c>
    </row>
    <row r="77" spans="1:74" ht="14.4" x14ac:dyDescent="0.3">
      <c r="A77" s="290" t="s">
        <v>264</v>
      </c>
      <c r="B77" s="275" t="s">
        <v>277</v>
      </c>
      <c r="C77" s="613" t="s">
        <v>278</v>
      </c>
      <c r="D77" s="614"/>
      <c r="E77" s="275" t="s">
        <v>196</v>
      </c>
      <c r="F77" s="280">
        <v>476.13</v>
      </c>
      <c r="G77" s="311">
        <v>0</v>
      </c>
      <c r="H77" s="280">
        <f>F77*AM77</f>
        <v>0</v>
      </c>
      <c r="I77" s="280">
        <f>F77*AN77</f>
        <v>0</v>
      </c>
      <c r="J77" s="280">
        <f>F77*G77</f>
        <v>0</v>
      </c>
      <c r="K77" s="280">
        <v>0</v>
      </c>
      <c r="L77" s="280">
        <f>F77*K77</f>
        <v>0</v>
      </c>
      <c r="M77" s="291" t="s">
        <v>472</v>
      </c>
      <c r="X77" s="280">
        <f>IF(AO77="5",BH77,0)</f>
        <v>0</v>
      </c>
      <c r="Z77" s="280">
        <f>IF(AO77="1",BF77,0)</f>
        <v>0</v>
      </c>
      <c r="AA77" s="280">
        <f>IF(AO77="1",BG77,0)</f>
        <v>0</v>
      </c>
      <c r="AB77" s="280">
        <f>IF(AO77="7",BF77,0)</f>
        <v>0</v>
      </c>
      <c r="AC77" s="280">
        <f>IF(AO77="7",BG77,0)</f>
        <v>0</v>
      </c>
      <c r="AD77" s="280">
        <f>IF(AO77="2",BF77,0)</f>
        <v>0</v>
      </c>
      <c r="AE77" s="280">
        <f>IF(AO77="2",BG77,0)</f>
        <v>0</v>
      </c>
      <c r="AF77" s="280">
        <f>IF(AO77="0",BH77,0)</f>
        <v>0</v>
      </c>
      <c r="AG77" s="278" t="s">
        <v>154</v>
      </c>
      <c r="AH77" s="280">
        <f>IF(AL77=0,J77,0)</f>
        <v>0</v>
      </c>
      <c r="AI77" s="280">
        <f>IF(AL77=15,J77,0)</f>
        <v>0</v>
      </c>
      <c r="AJ77" s="280">
        <f>IF(AL77=21,J77,0)</f>
        <v>0</v>
      </c>
      <c r="AL77" s="280">
        <v>15</v>
      </c>
      <c r="AM77" s="280">
        <f>G77*0</f>
        <v>0</v>
      </c>
      <c r="AN77" s="280">
        <f>G77*(1-0)</f>
        <v>0</v>
      </c>
      <c r="AO77" s="281" t="s">
        <v>157</v>
      </c>
      <c r="AT77" s="280">
        <f>AU77+AV77</f>
        <v>0</v>
      </c>
      <c r="AU77" s="280">
        <f>F77*AM77</f>
        <v>0</v>
      </c>
      <c r="AV77" s="280">
        <f>F77*AN77</f>
        <v>0</v>
      </c>
      <c r="AW77" s="281" t="s">
        <v>279</v>
      </c>
      <c r="AX77" s="281" t="s">
        <v>163</v>
      </c>
      <c r="AY77" s="278" t="s">
        <v>164</v>
      </c>
      <c r="BA77" s="280">
        <f>AU77+AV77</f>
        <v>0</v>
      </c>
      <c r="BB77" s="280">
        <f>G77/(100-BC77)*100</f>
        <v>0</v>
      </c>
      <c r="BC77" s="280">
        <v>0</v>
      </c>
      <c r="BD77" s="280">
        <f>L77</f>
        <v>0</v>
      </c>
      <c r="BF77" s="280">
        <f>F77*AM77</f>
        <v>0</v>
      </c>
      <c r="BG77" s="280">
        <f>F77*AN77</f>
        <v>0</v>
      </c>
      <c r="BH77" s="280">
        <f>F77*G77</f>
        <v>0</v>
      </c>
      <c r="BI77" s="280"/>
      <c r="BJ77" s="280">
        <v>19</v>
      </c>
      <c r="BU77" s="280" t="e">
        <f>#REF!</f>
        <v>#REF!</v>
      </c>
      <c r="BV77" s="277" t="s">
        <v>278</v>
      </c>
    </row>
    <row r="78" spans="1:74" ht="27" customHeight="1" x14ac:dyDescent="0.3">
      <c r="A78" s="288"/>
      <c r="B78" s="289" t="s">
        <v>165</v>
      </c>
      <c r="C78" s="615" t="s">
        <v>1909</v>
      </c>
      <c r="D78" s="616"/>
      <c r="E78" s="616"/>
      <c r="F78" s="616"/>
      <c r="G78" s="616"/>
      <c r="H78" s="616"/>
      <c r="I78" s="616"/>
      <c r="J78" s="616"/>
      <c r="K78" s="616"/>
      <c r="L78" s="616"/>
      <c r="M78" s="617"/>
    </row>
    <row r="79" spans="1:74" ht="14.4" x14ac:dyDescent="0.3">
      <c r="A79" s="290" t="s">
        <v>267</v>
      </c>
      <c r="B79" s="275" t="s">
        <v>282</v>
      </c>
      <c r="C79" s="613" t="s">
        <v>283</v>
      </c>
      <c r="D79" s="614"/>
      <c r="E79" s="275" t="s">
        <v>196</v>
      </c>
      <c r="F79" s="280">
        <v>209.44</v>
      </c>
      <c r="G79" s="311">
        <v>0</v>
      </c>
      <c r="H79" s="280">
        <f>F79*AM79</f>
        <v>0</v>
      </c>
      <c r="I79" s="280">
        <f>F79*AN79</f>
        <v>0</v>
      </c>
      <c r="J79" s="280">
        <f>F79*G79</f>
        <v>0</v>
      </c>
      <c r="K79" s="280">
        <v>0</v>
      </c>
      <c r="L79" s="280">
        <f>F79*K79</f>
        <v>0</v>
      </c>
      <c r="M79" s="291" t="s">
        <v>472</v>
      </c>
      <c r="X79" s="280">
        <f>IF(AO79="5",BH79,0)</f>
        <v>0</v>
      </c>
      <c r="Z79" s="280">
        <f>IF(AO79="1",BF79,0)</f>
        <v>0</v>
      </c>
      <c r="AA79" s="280">
        <f>IF(AO79="1",BG79,0)</f>
        <v>0</v>
      </c>
      <c r="AB79" s="280">
        <f>IF(AO79="7",BF79,0)</f>
        <v>0</v>
      </c>
      <c r="AC79" s="280">
        <f>IF(AO79="7",BG79,0)</f>
        <v>0</v>
      </c>
      <c r="AD79" s="280">
        <f>IF(AO79="2",BF79,0)</f>
        <v>0</v>
      </c>
      <c r="AE79" s="280">
        <f>IF(AO79="2",BG79,0)</f>
        <v>0</v>
      </c>
      <c r="AF79" s="280">
        <f>IF(AO79="0",BH79,0)</f>
        <v>0</v>
      </c>
      <c r="AG79" s="278" t="s">
        <v>154</v>
      </c>
      <c r="AH79" s="280">
        <f>IF(AL79=0,J79,0)</f>
        <v>0</v>
      </c>
      <c r="AI79" s="280">
        <f>IF(AL79=15,J79,0)</f>
        <v>0</v>
      </c>
      <c r="AJ79" s="280">
        <f>IF(AL79=21,J79,0)</f>
        <v>0</v>
      </c>
      <c r="AL79" s="280">
        <v>15</v>
      </c>
      <c r="AM79" s="280">
        <f>G79*0</f>
        <v>0</v>
      </c>
      <c r="AN79" s="280">
        <f>G79*(1-0)</f>
        <v>0</v>
      </c>
      <c r="AO79" s="281" t="s">
        <v>157</v>
      </c>
      <c r="AT79" s="280">
        <f>AU79+AV79</f>
        <v>0</v>
      </c>
      <c r="AU79" s="280">
        <f>F79*AM79</f>
        <v>0</v>
      </c>
      <c r="AV79" s="280">
        <f>F79*AN79</f>
        <v>0</v>
      </c>
      <c r="AW79" s="281" t="s">
        <v>279</v>
      </c>
      <c r="AX79" s="281" t="s">
        <v>163</v>
      </c>
      <c r="AY79" s="278" t="s">
        <v>164</v>
      </c>
      <c r="BA79" s="280">
        <f>AU79+AV79</f>
        <v>0</v>
      </c>
      <c r="BB79" s="280">
        <f>G79/(100-BC79)*100</f>
        <v>0</v>
      </c>
      <c r="BC79" s="280">
        <v>0</v>
      </c>
      <c r="BD79" s="280">
        <f>L79</f>
        <v>0</v>
      </c>
      <c r="BF79" s="280">
        <f>F79*AM79</f>
        <v>0</v>
      </c>
      <c r="BG79" s="280">
        <f>F79*AN79</f>
        <v>0</v>
      </c>
      <c r="BH79" s="280">
        <f>F79*G79</f>
        <v>0</v>
      </c>
      <c r="BI79" s="280"/>
      <c r="BJ79" s="280">
        <v>19</v>
      </c>
      <c r="BU79" s="280" t="e">
        <f>#REF!</f>
        <v>#REF!</v>
      </c>
      <c r="BV79" s="277" t="s">
        <v>283</v>
      </c>
    </row>
    <row r="80" spans="1:74" ht="27" customHeight="1" x14ac:dyDescent="0.3">
      <c r="A80" s="292"/>
      <c r="B80" s="293" t="s">
        <v>165</v>
      </c>
      <c r="C80" s="618" t="s">
        <v>1910</v>
      </c>
      <c r="D80" s="619"/>
      <c r="E80" s="619"/>
      <c r="F80" s="619"/>
      <c r="G80" s="619"/>
      <c r="H80" s="619"/>
      <c r="I80" s="619"/>
      <c r="J80" s="619"/>
      <c r="K80" s="619"/>
      <c r="L80" s="619"/>
      <c r="M80" s="620"/>
    </row>
    <row r="81" spans="1:74" ht="14.4" x14ac:dyDescent="0.3">
      <c r="A81" s="284" t="s">
        <v>154</v>
      </c>
      <c r="B81" s="295" t="s">
        <v>235</v>
      </c>
      <c r="C81" s="625" t="s">
        <v>284</v>
      </c>
      <c r="D81" s="626"/>
      <c r="E81" s="285" t="s">
        <v>114</v>
      </c>
      <c r="F81" s="285" t="s">
        <v>114</v>
      </c>
      <c r="G81" s="285" t="s">
        <v>114</v>
      </c>
      <c r="H81" s="296">
        <f>SUM(H82:H86)</f>
        <v>0</v>
      </c>
      <c r="I81" s="296">
        <f>SUM(I82:I86)</f>
        <v>0</v>
      </c>
      <c r="J81" s="296">
        <f>SUM(J82:J86)</f>
        <v>0</v>
      </c>
      <c r="K81" s="297" t="s">
        <v>154</v>
      </c>
      <c r="L81" s="296">
        <f>SUM(L82:L86)</f>
        <v>136.19112000000001</v>
      </c>
      <c r="M81" s="298" t="s">
        <v>154</v>
      </c>
      <c r="AG81" s="278" t="s">
        <v>154</v>
      </c>
      <c r="AQ81" s="274">
        <f>SUM(AH82:AH86)</f>
        <v>0</v>
      </c>
      <c r="AR81" s="274">
        <f>SUM(AI82:AI86)</f>
        <v>0</v>
      </c>
      <c r="AS81" s="274">
        <f>SUM(AJ82:AJ86)</f>
        <v>0</v>
      </c>
    </row>
    <row r="82" spans="1:74" ht="14.4" x14ac:dyDescent="0.3">
      <c r="A82" s="290" t="s">
        <v>271</v>
      </c>
      <c r="B82" s="275" t="s">
        <v>507</v>
      </c>
      <c r="C82" s="613" t="s">
        <v>287</v>
      </c>
      <c r="D82" s="614"/>
      <c r="E82" s="275" t="s">
        <v>180</v>
      </c>
      <c r="F82" s="280">
        <v>411.84</v>
      </c>
      <c r="G82" s="311">
        <v>0</v>
      </c>
      <c r="H82" s="280">
        <f>F82*AM82</f>
        <v>0</v>
      </c>
      <c r="I82" s="280">
        <f>F82*AN82</f>
        <v>0</v>
      </c>
      <c r="J82" s="280">
        <f>F82*G82</f>
        <v>0</v>
      </c>
      <c r="K82" s="280">
        <v>0</v>
      </c>
      <c r="L82" s="280">
        <f>F82*K82</f>
        <v>0</v>
      </c>
      <c r="M82" s="291" t="s">
        <v>472</v>
      </c>
      <c r="X82" s="280">
        <f>IF(AO82="5",BH82,0)</f>
        <v>0</v>
      </c>
      <c r="Z82" s="280">
        <f>IF(AO82="1",BF82,0)</f>
        <v>0</v>
      </c>
      <c r="AA82" s="280">
        <f>IF(AO82="1",BG82,0)</f>
        <v>0</v>
      </c>
      <c r="AB82" s="280">
        <f>IF(AO82="7",BF82,0)</f>
        <v>0</v>
      </c>
      <c r="AC82" s="280">
        <f>IF(AO82="7",BG82,0)</f>
        <v>0</v>
      </c>
      <c r="AD82" s="280">
        <f>IF(AO82="2",BF82,0)</f>
        <v>0</v>
      </c>
      <c r="AE82" s="280">
        <f>IF(AO82="2",BG82,0)</f>
        <v>0</v>
      </c>
      <c r="AF82" s="280">
        <f>IF(AO82="0",BH82,0)</f>
        <v>0</v>
      </c>
      <c r="AG82" s="278" t="s">
        <v>154</v>
      </c>
      <c r="AH82" s="280">
        <f>IF(AL82=0,J82,0)</f>
        <v>0</v>
      </c>
      <c r="AI82" s="280">
        <f>IF(AL82=15,J82,0)</f>
        <v>0</v>
      </c>
      <c r="AJ82" s="280">
        <f>IF(AL82=21,J82,0)</f>
        <v>0</v>
      </c>
      <c r="AL82" s="280">
        <v>15</v>
      </c>
      <c r="AM82" s="280">
        <f>G82*0</f>
        <v>0</v>
      </c>
      <c r="AN82" s="280">
        <f>G82*(1-0)</f>
        <v>0</v>
      </c>
      <c r="AO82" s="281" t="s">
        <v>157</v>
      </c>
      <c r="AT82" s="280">
        <f>AU82+AV82</f>
        <v>0</v>
      </c>
      <c r="AU82" s="280">
        <f>F82*AM82</f>
        <v>0</v>
      </c>
      <c r="AV82" s="280">
        <f>F82*AN82</f>
        <v>0</v>
      </c>
      <c r="AW82" s="281" t="s">
        <v>288</v>
      </c>
      <c r="AX82" s="281" t="s">
        <v>289</v>
      </c>
      <c r="AY82" s="278" t="s">
        <v>164</v>
      </c>
      <c r="BA82" s="280">
        <f>AU82+AV82</f>
        <v>0</v>
      </c>
      <c r="BB82" s="280">
        <f>G82/(100-BC82)*100</f>
        <v>0</v>
      </c>
      <c r="BC82" s="280">
        <v>0</v>
      </c>
      <c r="BD82" s="280">
        <f>L82</f>
        <v>0</v>
      </c>
      <c r="BF82" s="280">
        <f>F82*AM82</f>
        <v>0</v>
      </c>
      <c r="BG82" s="280">
        <f>F82*AN82</f>
        <v>0</v>
      </c>
      <c r="BH82" s="280">
        <f>F82*G82</f>
        <v>0</v>
      </c>
      <c r="BI82" s="280"/>
      <c r="BJ82" s="280">
        <v>21</v>
      </c>
      <c r="BU82" s="280" t="e">
        <f>#REF!</f>
        <v>#REF!</v>
      </c>
      <c r="BV82" s="277" t="s">
        <v>287</v>
      </c>
    </row>
    <row r="83" spans="1:74" ht="40.5" customHeight="1" x14ac:dyDescent="0.3">
      <c r="A83" s="288"/>
      <c r="B83" s="289" t="s">
        <v>165</v>
      </c>
      <c r="C83" s="615" t="s">
        <v>1911</v>
      </c>
      <c r="D83" s="616"/>
      <c r="E83" s="616"/>
      <c r="F83" s="616"/>
      <c r="G83" s="616"/>
      <c r="H83" s="616"/>
      <c r="I83" s="616"/>
      <c r="J83" s="616"/>
      <c r="K83" s="616"/>
      <c r="L83" s="616"/>
      <c r="M83" s="617"/>
    </row>
    <row r="84" spans="1:74" ht="14.4" x14ac:dyDescent="0.3">
      <c r="A84" s="290" t="s">
        <v>276</v>
      </c>
      <c r="B84" s="275" t="s">
        <v>1001</v>
      </c>
      <c r="C84" s="613" t="s">
        <v>292</v>
      </c>
      <c r="D84" s="614"/>
      <c r="E84" s="275" t="s">
        <v>160</v>
      </c>
      <c r="F84" s="280">
        <v>312</v>
      </c>
      <c r="G84" s="311">
        <v>0</v>
      </c>
      <c r="H84" s="280">
        <f>F84*AM84</f>
        <v>0</v>
      </c>
      <c r="I84" s="280">
        <f>F84*AN84</f>
        <v>0</v>
      </c>
      <c r="J84" s="280">
        <f>F84*G84</f>
        <v>0</v>
      </c>
      <c r="K84" s="280">
        <v>0.43651000000000001</v>
      </c>
      <c r="L84" s="280">
        <f>F84*K84</f>
        <v>136.19112000000001</v>
      </c>
      <c r="M84" s="291" t="s">
        <v>472</v>
      </c>
      <c r="X84" s="280">
        <f>IF(AO84="5",BH84,0)</f>
        <v>0</v>
      </c>
      <c r="Z84" s="280">
        <f>IF(AO84="1",BF84,0)</f>
        <v>0</v>
      </c>
      <c r="AA84" s="280">
        <f>IF(AO84="1",BG84,0)</f>
        <v>0</v>
      </c>
      <c r="AB84" s="280">
        <f>IF(AO84="7",BF84,0)</f>
        <v>0</v>
      </c>
      <c r="AC84" s="280">
        <f>IF(AO84="7",BG84,0)</f>
        <v>0</v>
      </c>
      <c r="AD84" s="280">
        <f>IF(AO84="2",BF84,0)</f>
        <v>0</v>
      </c>
      <c r="AE84" s="280">
        <f>IF(AO84="2",BG84,0)</f>
        <v>0</v>
      </c>
      <c r="AF84" s="280">
        <f>IF(AO84="0",BH84,0)</f>
        <v>0</v>
      </c>
      <c r="AG84" s="278" t="s">
        <v>154</v>
      </c>
      <c r="AH84" s="280">
        <f>IF(AL84=0,J84,0)</f>
        <v>0</v>
      </c>
      <c r="AI84" s="280">
        <f>IF(AL84=15,J84,0)</f>
        <v>0</v>
      </c>
      <c r="AJ84" s="280">
        <f>IF(AL84=21,J84,0)</f>
        <v>0</v>
      </c>
      <c r="AL84" s="280">
        <v>15</v>
      </c>
      <c r="AM84" s="280">
        <f>G84*0.459340095</f>
        <v>0</v>
      </c>
      <c r="AN84" s="280">
        <f>G84*(1-0.459340095)</f>
        <v>0</v>
      </c>
      <c r="AO84" s="281" t="s">
        <v>157</v>
      </c>
      <c r="AT84" s="280">
        <f>AU84+AV84</f>
        <v>0</v>
      </c>
      <c r="AU84" s="280">
        <f>F84*AM84</f>
        <v>0</v>
      </c>
      <c r="AV84" s="280">
        <f>F84*AN84</f>
        <v>0</v>
      </c>
      <c r="AW84" s="281" t="s">
        <v>288</v>
      </c>
      <c r="AX84" s="281" t="s">
        <v>289</v>
      </c>
      <c r="AY84" s="278" t="s">
        <v>164</v>
      </c>
      <c r="BA84" s="280">
        <f>AU84+AV84</f>
        <v>0</v>
      </c>
      <c r="BB84" s="280">
        <f>G84/(100-BC84)*100</f>
        <v>0</v>
      </c>
      <c r="BC84" s="280">
        <v>0</v>
      </c>
      <c r="BD84" s="280">
        <f>L84</f>
        <v>136.19112000000001</v>
      </c>
      <c r="BF84" s="280">
        <f>F84*AM84</f>
        <v>0</v>
      </c>
      <c r="BG84" s="280">
        <f>F84*AN84</f>
        <v>0</v>
      </c>
      <c r="BH84" s="280">
        <f>F84*G84</f>
        <v>0</v>
      </c>
      <c r="BI84" s="280"/>
      <c r="BJ84" s="280">
        <v>21</v>
      </c>
      <c r="BU84" s="280" t="e">
        <f>#REF!</f>
        <v>#REF!</v>
      </c>
      <c r="BV84" s="277" t="s">
        <v>292</v>
      </c>
    </row>
    <row r="85" spans="1:74" ht="54" customHeight="1" x14ac:dyDescent="0.3">
      <c r="A85" s="288"/>
      <c r="B85" s="289" t="s">
        <v>165</v>
      </c>
      <c r="C85" s="615" t="s">
        <v>1912</v>
      </c>
      <c r="D85" s="616"/>
      <c r="E85" s="616"/>
      <c r="F85" s="616"/>
      <c r="G85" s="616"/>
      <c r="H85" s="616"/>
      <c r="I85" s="616"/>
      <c r="J85" s="616"/>
      <c r="K85" s="616"/>
      <c r="L85" s="616"/>
      <c r="M85" s="617"/>
    </row>
    <row r="86" spans="1:74" ht="14.4" x14ac:dyDescent="0.3">
      <c r="A86" s="290" t="s">
        <v>281</v>
      </c>
      <c r="B86" s="275" t="s">
        <v>414</v>
      </c>
      <c r="C86" s="613" t="s">
        <v>415</v>
      </c>
      <c r="D86" s="614"/>
      <c r="E86" s="275" t="s">
        <v>380</v>
      </c>
      <c r="F86" s="280">
        <v>136.19</v>
      </c>
      <c r="G86" s="311">
        <v>0</v>
      </c>
      <c r="H86" s="280">
        <f>F86*AM86</f>
        <v>0</v>
      </c>
      <c r="I86" s="280">
        <f>F86*AN86</f>
        <v>0</v>
      </c>
      <c r="J86" s="280">
        <f>F86*G86</f>
        <v>0</v>
      </c>
      <c r="K86" s="280">
        <v>0</v>
      </c>
      <c r="L86" s="280">
        <f>F86*K86</f>
        <v>0</v>
      </c>
      <c r="M86" s="291" t="s">
        <v>472</v>
      </c>
      <c r="X86" s="280">
        <f>IF(AO86="5",BH86,0)</f>
        <v>0</v>
      </c>
      <c r="Z86" s="280">
        <f>IF(AO86="1",BF86,0)</f>
        <v>0</v>
      </c>
      <c r="AA86" s="280">
        <f>IF(AO86="1",BG86,0)</f>
        <v>0</v>
      </c>
      <c r="AB86" s="280">
        <f>IF(AO86="7",BF86,0)</f>
        <v>0</v>
      </c>
      <c r="AC86" s="280">
        <f>IF(AO86="7",BG86,0)</f>
        <v>0</v>
      </c>
      <c r="AD86" s="280">
        <f>IF(AO86="2",BF86,0)</f>
        <v>0</v>
      </c>
      <c r="AE86" s="280">
        <f>IF(AO86="2",BG86,0)</f>
        <v>0</v>
      </c>
      <c r="AF86" s="280">
        <f>IF(AO86="0",BH86,0)</f>
        <v>0</v>
      </c>
      <c r="AG86" s="278" t="s">
        <v>154</v>
      </c>
      <c r="AH86" s="280">
        <f>IF(AL86=0,J86,0)</f>
        <v>0</v>
      </c>
      <c r="AI86" s="280">
        <f>IF(AL86=15,J86,0)</f>
        <v>0</v>
      </c>
      <c r="AJ86" s="280">
        <f>IF(AL86=21,J86,0)</f>
        <v>0</v>
      </c>
      <c r="AL86" s="280">
        <v>15</v>
      </c>
      <c r="AM86" s="280">
        <f>G86*0</f>
        <v>0</v>
      </c>
      <c r="AN86" s="280">
        <f>G86*(1-0)</f>
        <v>0</v>
      </c>
      <c r="AO86" s="281" t="s">
        <v>177</v>
      </c>
      <c r="AT86" s="280">
        <f>AU86+AV86</f>
        <v>0</v>
      </c>
      <c r="AU86" s="280">
        <f>F86*AM86</f>
        <v>0</v>
      </c>
      <c r="AV86" s="280">
        <f>F86*AN86</f>
        <v>0</v>
      </c>
      <c r="AW86" s="281" t="s">
        <v>288</v>
      </c>
      <c r="AX86" s="281" t="s">
        <v>289</v>
      </c>
      <c r="AY86" s="278" t="s">
        <v>164</v>
      </c>
      <c r="BA86" s="280">
        <f>AU86+AV86</f>
        <v>0</v>
      </c>
      <c r="BB86" s="280">
        <f>G86/(100-BC86)*100</f>
        <v>0</v>
      </c>
      <c r="BC86" s="280">
        <v>0</v>
      </c>
      <c r="BD86" s="280">
        <f>L86</f>
        <v>0</v>
      </c>
      <c r="BF86" s="280">
        <f>F86*AM86</f>
        <v>0</v>
      </c>
      <c r="BG86" s="280">
        <f>F86*AN86</f>
        <v>0</v>
      </c>
      <c r="BH86" s="280">
        <f>F86*G86</f>
        <v>0</v>
      </c>
      <c r="BI86" s="280"/>
      <c r="BJ86" s="280">
        <v>21</v>
      </c>
      <c r="BU86" s="280" t="e">
        <f>#REF!</f>
        <v>#REF!</v>
      </c>
      <c r="BV86" s="277" t="s">
        <v>415</v>
      </c>
    </row>
    <row r="87" spans="1:74" ht="14.4" x14ac:dyDescent="0.3">
      <c r="A87" s="290" t="s">
        <v>154</v>
      </c>
      <c r="B87" s="276" t="s">
        <v>253</v>
      </c>
      <c r="C87" s="624" t="s">
        <v>293</v>
      </c>
      <c r="D87" s="621"/>
      <c r="E87" s="275" t="s">
        <v>114</v>
      </c>
      <c r="F87" s="275" t="s">
        <v>114</v>
      </c>
      <c r="G87" s="275" t="s">
        <v>114</v>
      </c>
      <c r="H87" s="282">
        <f>SUM(H88:H88)</f>
        <v>0</v>
      </c>
      <c r="I87" s="282">
        <f>SUM(I88:I88)</f>
        <v>0</v>
      </c>
      <c r="J87" s="282">
        <f>SUM(J88:J88)</f>
        <v>0</v>
      </c>
      <c r="K87" s="279" t="s">
        <v>154</v>
      </c>
      <c r="L87" s="282">
        <f>SUM(L88:L88)</f>
        <v>9.4440235999999995</v>
      </c>
      <c r="M87" s="294" t="s">
        <v>154</v>
      </c>
      <c r="AG87" s="278" t="s">
        <v>154</v>
      </c>
      <c r="AQ87" s="274">
        <f>SUM(AH88:AH88)</f>
        <v>0</v>
      </c>
      <c r="AR87" s="274">
        <f>SUM(AI88:AI88)</f>
        <v>0</v>
      </c>
      <c r="AS87" s="274">
        <f>SUM(AJ88:AJ88)</f>
        <v>0</v>
      </c>
    </row>
    <row r="88" spans="1:74" ht="14.4" x14ac:dyDescent="0.3">
      <c r="A88" s="290" t="s">
        <v>285</v>
      </c>
      <c r="B88" s="275" t="s">
        <v>890</v>
      </c>
      <c r="C88" s="613" t="s">
        <v>296</v>
      </c>
      <c r="D88" s="614"/>
      <c r="E88" s="275" t="s">
        <v>196</v>
      </c>
      <c r="F88" s="280">
        <v>3.74</v>
      </c>
      <c r="G88" s="311">
        <v>0</v>
      </c>
      <c r="H88" s="280">
        <f>F88*AM88</f>
        <v>0</v>
      </c>
      <c r="I88" s="280">
        <f>F88*AN88</f>
        <v>0</v>
      </c>
      <c r="J88" s="280">
        <f>F88*G88</f>
        <v>0</v>
      </c>
      <c r="K88" s="280">
        <v>2.5251399999999999</v>
      </c>
      <c r="L88" s="280">
        <f>F88*K88</f>
        <v>9.4440235999999995</v>
      </c>
      <c r="M88" s="291" t="s">
        <v>472</v>
      </c>
      <c r="X88" s="280">
        <f>IF(AO88="5",BH88,0)</f>
        <v>0</v>
      </c>
      <c r="Z88" s="280">
        <f>IF(AO88="1",BF88,0)</f>
        <v>0</v>
      </c>
      <c r="AA88" s="280">
        <f>IF(AO88="1",BG88,0)</f>
        <v>0</v>
      </c>
      <c r="AB88" s="280">
        <f>IF(AO88="7",BF88,0)</f>
        <v>0</v>
      </c>
      <c r="AC88" s="280">
        <f>IF(AO88="7",BG88,0)</f>
        <v>0</v>
      </c>
      <c r="AD88" s="280">
        <f>IF(AO88="2",BF88,0)</f>
        <v>0</v>
      </c>
      <c r="AE88" s="280">
        <f>IF(AO88="2",BG88,0)</f>
        <v>0</v>
      </c>
      <c r="AF88" s="280">
        <f>IF(AO88="0",BH88,0)</f>
        <v>0</v>
      </c>
      <c r="AG88" s="278" t="s">
        <v>154</v>
      </c>
      <c r="AH88" s="280">
        <f>IF(AL88=0,J88,0)</f>
        <v>0</v>
      </c>
      <c r="AI88" s="280">
        <f>IF(AL88=15,J88,0)</f>
        <v>0</v>
      </c>
      <c r="AJ88" s="280">
        <f>IF(AL88=21,J88,0)</f>
        <v>0</v>
      </c>
      <c r="AL88" s="280">
        <v>15</v>
      </c>
      <c r="AM88" s="280">
        <f>G88*0.848041841</f>
        <v>0</v>
      </c>
      <c r="AN88" s="280">
        <f>G88*(1-0.848041841)</f>
        <v>0</v>
      </c>
      <c r="AO88" s="281" t="s">
        <v>157</v>
      </c>
      <c r="AT88" s="280">
        <f>AU88+AV88</f>
        <v>0</v>
      </c>
      <c r="AU88" s="280">
        <f>F88*AM88</f>
        <v>0</v>
      </c>
      <c r="AV88" s="280">
        <f>F88*AN88</f>
        <v>0</v>
      </c>
      <c r="AW88" s="281" t="s">
        <v>297</v>
      </c>
      <c r="AX88" s="281" t="s">
        <v>289</v>
      </c>
      <c r="AY88" s="278" t="s">
        <v>164</v>
      </c>
      <c r="BA88" s="280">
        <f>AU88+AV88</f>
        <v>0</v>
      </c>
      <c r="BB88" s="280">
        <f>G88/(100-BC88)*100</f>
        <v>0</v>
      </c>
      <c r="BC88" s="280">
        <v>0</v>
      </c>
      <c r="BD88" s="280">
        <f>L88</f>
        <v>9.4440235999999995</v>
      </c>
      <c r="BF88" s="280">
        <f>F88*AM88</f>
        <v>0</v>
      </c>
      <c r="BG88" s="280">
        <f>F88*AN88</f>
        <v>0</v>
      </c>
      <c r="BH88" s="280">
        <f>F88*G88</f>
        <v>0</v>
      </c>
      <c r="BI88" s="280"/>
      <c r="BJ88" s="280">
        <v>27</v>
      </c>
      <c r="BU88" s="280" t="e">
        <f>#REF!</f>
        <v>#REF!</v>
      </c>
      <c r="BV88" s="277" t="s">
        <v>296</v>
      </c>
    </row>
    <row r="89" spans="1:74" ht="40.5" customHeight="1" x14ac:dyDescent="0.3">
      <c r="A89" s="288"/>
      <c r="B89" s="289" t="s">
        <v>165</v>
      </c>
      <c r="C89" s="615" t="s">
        <v>1913</v>
      </c>
      <c r="D89" s="616"/>
      <c r="E89" s="616"/>
      <c r="F89" s="616"/>
      <c r="G89" s="616"/>
      <c r="H89" s="616"/>
      <c r="I89" s="616"/>
      <c r="J89" s="616"/>
      <c r="K89" s="616"/>
      <c r="L89" s="616"/>
      <c r="M89" s="617"/>
    </row>
    <row r="90" spans="1:74" ht="14.4" x14ac:dyDescent="0.3">
      <c r="A90" s="290" t="s">
        <v>154</v>
      </c>
      <c r="B90" s="276" t="s">
        <v>298</v>
      </c>
      <c r="C90" s="624" t="s">
        <v>299</v>
      </c>
      <c r="D90" s="621"/>
      <c r="E90" s="275" t="s">
        <v>114</v>
      </c>
      <c r="F90" s="275" t="s">
        <v>114</v>
      </c>
      <c r="G90" s="275" t="s">
        <v>114</v>
      </c>
      <c r="H90" s="282">
        <f>SUM(H91:H91)</f>
        <v>0</v>
      </c>
      <c r="I90" s="282">
        <f>SUM(I91:I91)</f>
        <v>0</v>
      </c>
      <c r="J90" s="282">
        <f>SUM(J91:J91)</f>
        <v>0</v>
      </c>
      <c r="K90" s="279" t="s">
        <v>154</v>
      </c>
      <c r="L90" s="282">
        <f>SUM(L91:L91)</f>
        <v>122.1059266</v>
      </c>
      <c r="M90" s="294" t="s">
        <v>154</v>
      </c>
      <c r="AG90" s="278" t="s">
        <v>154</v>
      </c>
      <c r="AQ90" s="274">
        <f>SUM(AH91:AH91)</f>
        <v>0</v>
      </c>
      <c r="AR90" s="274">
        <f>SUM(AI91:AI91)</f>
        <v>0</v>
      </c>
      <c r="AS90" s="274">
        <f>SUM(AJ91:AJ91)</f>
        <v>0</v>
      </c>
    </row>
    <row r="91" spans="1:74" ht="14.4" x14ac:dyDescent="0.3">
      <c r="A91" s="290" t="s">
        <v>290</v>
      </c>
      <c r="B91" s="275" t="s">
        <v>301</v>
      </c>
      <c r="C91" s="613" t="s">
        <v>891</v>
      </c>
      <c r="D91" s="614"/>
      <c r="E91" s="275" t="s">
        <v>196</v>
      </c>
      <c r="F91" s="280">
        <v>64.58</v>
      </c>
      <c r="G91" s="311">
        <v>0</v>
      </c>
      <c r="H91" s="280">
        <f>F91*AM91</f>
        <v>0</v>
      </c>
      <c r="I91" s="280">
        <f>F91*AN91</f>
        <v>0</v>
      </c>
      <c r="J91" s="280">
        <f>F91*G91</f>
        <v>0</v>
      </c>
      <c r="K91" s="280">
        <v>1.8907700000000001</v>
      </c>
      <c r="L91" s="280">
        <f>F91*K91</f>
        <v>122.1059266</v>
      </c>
      <c r="M91" s="291" t="s">
        <v>472</v>
      </c>
      <c r="X91" s="280">
        <f>IF(AO91="5",BH91,0)</f>
        <v>0</v>
      </c>
      <c r="Z91" s="280">
        <f>IF(AO91="1",BF91,0)</f>
        <v>0</v>
      </c>
      <c r="AA91" s="280">
        <f>IF(AO91="1",BG91,0)</f>
        <v>0</v>
      </c>
      <c r="AB91" s="280">
        <f>IF(AO91="7",BF91,0)</f>
        <v>0</v>
      </c>
      <c r="AC91" s="280">
        <f>IF(AO91="7",BG91,0)</f>
        <v>0</v>
      </c>
      <c r="AD91" s="280">
        <f>IF(AO91="2",BF91,0)</f>
        <v>0</v>
      </c>
      <c r="AE91" s="280">
        <f>IF(AO91="2",BG91,0)</f>
        <v>0</v>
      </c>
      <c r="AF91" s="280">
        <f>IF(AO91="0",BH91,0)</f>
        <v>0</v>
      </c>
      <c r="AG91" s="278" t="s">
        <v>154</v>
      </c>
      <c r="AH91" s="280">
        <f>IF(AL91=0,J91,0)</f>
        <v>0</v>
      </c>
      <c r="AI91" s="280">
        <f>IF(AL91=15,J91,0)</f>
        <v>0</v>
      </c>
      <c r="AJ91" s="280">
        <f>IF(AL91=21,J91,0)</f>
        <v>0</v>
      </c>
      <c r="AL91" s="280">
        <v>15</v>
      </c>
      <c r="AM91" s="280">
        <f>G91*0.492383148</f>
        <v>0</v>
      </c>
      <c r="AN91" s="280">
        <f>G91*(1-0.492383148)</f>
        <v>0</v>
      </c>
      <c r="AO91" s="281" t="s">
        <v>157</v>
      </c>
      <c r="AT91" s="280">
        <f>AU91+AV91</f>
        <v>0</v>
      </c>
      <c r="AU91" s="280">
        <f>F91*AM91</f>
        <v>0</v>
      </c>
      <c r="AV91" s="280">
        <f>F91*AN91</f>
        <v>0</v>
      </c>
      <c r="AW91" s="281" t="s">
        <v>303</v>
      </c>
      <c r="AX91" s="281" t="s">
        <v>304</v>
      </c>
      <c r="AY91" s="278" t="s">
        <v>164</v>
      </c>
      <c r="BA91" s="280">
        <f>AU91+AV91</f>
        <v>0</v>
      </c>
      <c r="BB91" s="280">
        <f>G91/(100-BC91)*100</f>
        <v>0</v>
      </c>
      <c r="BC91" s="280">
        <v>0</v>
      </c>
      <c r="BD91" s="280">
        <f>L91</f>
        <v>122.1059266</v>
      </c>
      <c r="BF91" s="280">
        <f>F91*AM91</f>
        <v>0</v>
      </c>
      <c r="BG91" s="280">
        <f>F91*AN91</f>
        <v>0</v>
      </c>
      <c r="BH91" s="280">
        <f>F91*G91</f>
        <v>0</v>
      </c>
      <c r="BI91" s="280"/>
      <c r="BJ91" s="280">
        <v>45</v>
      </c>
      <c r="BU91" s="280" t="e">
        <f>#REF!</f>
        <v>#REF!</v>
      </c>
      <c r="BV91" s="277" t="s">
        <v>891</v>
      </c>
    </row>
    <row r="92" spans="1:74" ht="40.5" customHeight="1" x14ac:dyDescent="0.3">
      <c r="A92" s="288"/>
      <c r="B92" s="289" t="s">
        <v>165</v>
      </c>
      <c r="C92" s="615" t="s">
        <v>1914</v>
      </c>
      <c r="D92" s="616"/>
      <c r="E92" s="616"/>
      <c r="F92" s="616"/>
      <c r="G92" s="616"/>
      <c r="H92" s="616"/>
      <c r="I92" s="616"/>
      <c r="J92" s="616"/>
      <c r="K92" s="616"/>
      <c r="L92" s="616"/>
      <c r="M92" s="617"/>
    </row>
    <row r="93" spans="1:74" ht="14.4" x14ac:dyDescent="0.3">
      <c r="A93" s="290" t="s">
        <v>154</v>
      </c>
      <c r="B93" s="276" t="s">
        <v>305</v>
      </c>
      <c r="C93" s="624" t="s">
        <v>306</v>
      </c>
      <c r="D93" s="621"/>
      <c r="E93" s="275" t="s">
        <v>114</v>
      </c>
      <c r="F93" s="275" t="s">
        <v>114</v>
      </c>
      <c r="G93" s="275" t="s">
        <v>114</v>
      </c>
      <c r="H93" s="282">
        <f>SUM(H94:H106)</f>
        <v>0</v>
      </c>
      <c r="I93" s="282">
        <f>SUM(I94:I106)</f>
        <v>0</v>
      </c>
      <c r="J93" s="282">
        <f>SUM(J94:J106)</f>
        <v>0</v>
      </c>
      <c r="K93" s="279" t="s">
        <v>154</v>
      </c>
      <c r="L93" s="282">
        <f>SUM(L94:L106)</f>
        <v>1694.9287712000003</v>
      </c>
      <c r="M93" s="294" t="s">
        <v>154</v>
      </c>
      <c r="AG93" s="278" t="s">
        <v>154</v>
      </c>
      <c r="AQ93" s="274">
        <f>SUM(AH94:AH106)</f>
        <v>0</v>
      </c>
      <c r="AR93" s="274">
        <f>SUM(AI94:AI106)</f>
        <v>0</v>
      </c>
      <c r="AS93" s="274">
        <f>SUM(AJ94:AJ106)</f>
        <v>0</v>
      </c>
    </row>
    <row r="94" spans="1:74" ht="14.4" x14ac:dyDescent="0.3">
      <c r="A94" s="290" t="s">
        <v>294</v>
      </c>
      <c r="B94" s="275" t="s">
        <v>308</v>
      </c>
      <c r="C94" s="613" t="s">
        <v>309</v>
      </c>
      <c r="D94" s="614"/>
      <c r="E94" s="275" t="s">
        <v>180</v>
      </c>
      <c r="F94" s="280">
        <v>606.82000000000005</v>
      </c>
      <c r="G94" s="311">
        <v>0</v>
      </c>
      <c r="H94" s="280">
        <f>F94*AM94</f>
        <v>0</v>
      </c>
      <c r="I94" s="280">
        <f>F94*AN94</f>
        <v>0</v>
      </c>
      <c r="J94" s="280">
        <f>F94*G94</f>
        <v>0</v>
      </c>
      <c r="K94" s="280">
        <v>0.4284</v>
      </c>
      <c r="L94" s="280">
        <f>F94*K94</f>
        <v>259.96168800000004</v>
      </c>
      <c r="M94" s="291" t="s">
        <v>472</v>
      </c>
      <c r="X94" s="280">
        <f>IF(AO94="5",BH94,0)</f>
        <v>0</v>
      </c>
      <c r="Z94" s="280">
        <f>IF(AO94="1",BF94,0)</f>
        <v>0</v>
      </c>
      <c r="AA94" s="280">
        <f>IF(AO94="1",BG94,0)</f>
        <v>0</v>
      </c>
      <c r="AB94" s="280">
        <f>IF(AO94="7",BF94,0)</f>
        <v>0</v>
      </c>
      <c r="AC94" s="280">
        <f>IF(AO94="7",BG94,0)</f>
        <v>0</v>
      </c>
      <c r="AD94" s="280">
        <f>IF(AO94="2",BF94,0)</f>
        <v>0</v>
      </c>
      <c r="AE94" s="280">
        <f>IF(AO94="2",BG94,0)</f>
        <v>0</v>
      </c>
      <c r="AF94" s="280">
        <f>IF(AO94="0",BH94,0)</f>
        <v>0</v>
      </c>
      <c r="AG94" s="278" t="s">
        <v>154</v>
      </c>
      <c r="AH94" s="280">
        <f>IF(AL94=0,J94,0)</f>
        <v>0</v>
      </c>
      <c r="AI94" s="280">
        <f>IF(AL94=15,J94,0)</f>
        <v>0</v>
      </c>
      <c r="AJ94" s="280">
        <f>IF(AL94=21,J94,0)</f>
        <v>0</v>
      </c>
      <c r="AL94" s="280">
        <v>15</v>
      </c>
      <c r="AM94" s="280">
        <f>G94*0.847970592</f>
        <v>0</v>
      </c>
      <c r="AN94" s="280">
        <f>G94*(1-0.847970592)</f>
        <v>0</v>
      </c>
      <c r="AO94" s="281" t="s">
        <v>157</v>
      </c>
      <c r="AT94" s="280">
        <f>AU94+AV94</f>
        <v>0</v>
      </c>
      <c r="AU94" s="280">
        <f>F94*AM94</f>
        <v>0</v>
      </c>
      <c r="AV94" s="280">
        <f>F94*AN94</f>
        <v>0</v>
      </c>
      <c r="AW94" s="281" t="s">
        <v>310</v>
      </c>
      <c r="AX94" s="281" t="s">
        <v>311</v>
      </c>
      <c r="AY94" s="278" t="s">
        <v>164</v>
      </c>
      <c r="BA94" s="280">
        <f>AU94+AV94</f>
        <v>0</v>
      </c>
      <c r="BB94" s="280">
        <f>G94/(100-BC94)*100</f>
        <v>0</v>
      </c>
      <c r="BC94" s="280">
        <v>0</v>
      </c>
      <c r="BD94" s="280">
        <f>L94</f>
        <v>259.96168800000004</v>
      </c>
      <c r="BF94" s="280">
        <f>F94*AM94</f>
        <v>0</v>
      </c>
      <c r="BG94" s="280">
        <f>F94*AN94</f>
        <v>0</v>
      </c>
      <c r="BH94" s="280">
        <f>F94*G94</f>
        <v>0</v>
      </c>
      <c r="BI94" s="280"/>
      <c r="BJ94" s="280">
        <v>56</v>
      </c>
      <c r="BU94" s="280" t="e">
        <f>#REF!</f>
        <v>#REF!</v>
      </c>
      <c r="BV94" s="277" t="s">
        <v>309</v>
      </c>
    </row>
    <row r="95" spans="1:74" ht="94.5" customHeight="1" x14ac:dyDescent="0.3">
      <c r="A95" s="288"/>
      <c r="B95" s="289" t="s">
        <v>165</v>
      </c>
      <c r="C95" s="615" t="s">
        <v>1915</v>
      </c>
      <c r="D95" s="616"/>
      <c r="E95" s="616"/>
      <c r="F95" s="616"/>
      <c r="G95" s="616"/>
      <c r="H95" s="616"/>
      <c r="I95" s="616"/>
      <c r="J95" s="616"/>
      <c r="K95" s="616"/>
      <c r="L95" s="616"/>
      <c r="M95" s="617"/>
    </row>
    <row r="96" spans="1:74" ht="14.4" x14ac:dyDescent="0.3">
      <c r="A96" s="290" t="s">
        <v>300</v>
      </c>
      <c r="B96" s="275" t="s">
        <v>313</v>
      </c>
      <c r="C96" s="613" t="s">
        <v>314</v>
      </c>
      <c r="D96" s="614"/>
      <c r="E96" s="275" t="s">
        <v>180</v>
      </c>
      <c r="F96" s="280">
        <v>636.86</v>
      </c>
      <c r="G96" s="311">
        <v>0</v>
      </c>
      <c r="H96" s="280">
        <f>F96*AM96</f>
        <v>0</v>
      </c>
      <c r="I96" s="280">
        <f>F96*AN96</f>
        <v>0</v>
      </c>
      <c r="J96" s="280">
        <f>F96*G96</f>
        <v>0</v>
      </c>
      <c r="K96" s="280">
        <v>0.60104000000000002</v>
      </c>
      <c r="L96" s="280">
        <f>F96*K96</f>
        <v>382.77833440000001</v>
      </c>
      <c r="M96" s="291" t="s">
        <v>472</v>
      </c>
      <c r="X96" s="280">
        <f>IF(AO96="5",BH96,0)</f>
        <v>0</v>
      </c>
      <c r="Z96" s="280">
        <f>IF(AO96="1",BF96,0)</f>
        <v>0</v>
      </c>
      <c r="AA96" s="280">
        <f>IF(AO96="1",BG96,0)</f>
        <v>0</v>
      </c>
      <c r="AB96" s="280">
        <f>IF(AO96="7",BF96,0)</f>
        <v>0</v>
      </c>
      <c r="AC96" s="280">
        <f>IF(AO96="7",BG96,0)</f>
        <v>0</v>
      </c>
      <c r="AD96" s="280">
        <f>IF(AO96="2",BF96,0)</f>
        <v>0</v>
      </c>
      <c r="AE96" s="280">
        <f>IF(AO96="2",BG96,0)</f>
        <v>0</v>
      </c>
      <c r="AF96" s="280">
        <f>IF(AO96="0",BH96,0)</f>
        <v>0</v>
      </c>
      <c r="AG96" s="278" t="s">
        <v>154</v>
      </c>
      <c r="AH96" s="280">
        <f>IF(AL96=0,J96,0)</f>
        <v>0</v>
      </c>
      <c r="AI96" s="280">
        <f>IF(AL96=15,J96,0)</f>
        <v>0</v>
      </c>
      <c r="AJ96" s="280">
        <f>IF(AL96=21,J96,0)</f>
        <v>0</v>
      </c>
      <c r="AL96" s="280">
        <v>15</v>
      </c>
      <c r="AM96" s="280">
        <f>G96*0.832421729</f>
        <v>0</v>
      </c>
      <c r="AN96" s="280">
        <f>G96*(1-0.832421729)</f>
        <v>0</v>
      </c>
      <c r="AO96" s="281" t="s">
        <v>157</v>
      </c>
      <c r="AT96" s="280">
        <f>AU96+AV96</f>
        <v>0</v>
      </c>
      <c r="AU96" s="280">
        <f>F96*AM96</f>
        <v>0</v>
      </c>
      <c r="AV96" s="280">
        <f>F96*AN96</f>
        <v>0</v>
      </c>
      <c r="AW96" s="281" t="s">
        <v>310</v>
      </c>
      <c r="AX96" s="281" t="s">
        <v>311</v>
      </c>
      <c r="AY96" s="278" t="s">
        <v>164</v>
      </c>
      <c r="BA96" s="280">
        <f>AU96+AV96</f>
        <v>0</v>
      </c>
      <c r="BB96" s="280">
        <f>G96/(100-BC96)*100</f>
        <v>0</v>
      </c>
      <c r="BC96" s="280">
        <v>0</v>
      </c>
      <c r="BD96" s="280">
        <f>L96</f>
        <v>382.77833440000001</v>
      </c>
      <c r="BF96" s="280">
        <f>F96*AM96</f>
        <v>0</v>
      </c>
      <c r="BG96" s="280">
        <f>F96*AN96</f>
        <v>0</v>
      </c>
      <c r="BH96" s="280">
        <f>F96*G96</f>
        <v>0</v>
      </c>
      <c r="BI96" s="280"/>
      <c r="BJ96" s="280">
        <v>56</v>
      </c>
      <c r="BU96" s="280" t="e">
        <f>#REF!</f>
        <v>#REF!</v>
      </c>
      <c r="BV96" s="277" t="s">
        <v>314</v>
      </c>
    </row>
    <row r="97" spans="1:74" ht="94.5" customHeight="1" x14ac:dyDescent="0.3">
      <c r="A97" s="288"/>
      <c r="B97" s="289" t="s">
        <v>165</v>
      </c>
      <c r="C97" s="615" t="s">
        <v>1916</v>
      </c>
      <c r="D97" s="616"/>
      <c r="E97" s="616"/>
      <c r="F97" s="616"/>
      <c r="G97" s="616"/>
      <c r="H97" s="616"/>
      <c r="I97" s="616"/>
      <c r="J97" s="616"/>
      <c r="K97" s="616"/>
      <c r="L97" s="616"/>
      <c r="M97" s="617"/>
    </row>
    <row r="98" spans="1:74" ht="14.4" x14ac:dyDescent="0.3">
      <c r="A98" s="290" t="s">
        <v>307</v>
      </c>
      <c r="B98" s="275" t="s">
        <v>316</v>
      </c>
      <c r="C98" s="613" t="s">
        <v>317</v>
      </c>
      <c r="D98" s="614"/>
      <c r="E98" s="275" t="s">
        <v>180</v>
      </c>
      <c r="F98" s="280">
        <v>636.86</v>
      </c>
      <c r="G98" s="311">
        <v>0</v>
      </c>
      <c r="H98" s="280">
        <f>F98*AM98</f>
        <v>0</v>
      </c>
      <c r="I98" s="280">
        <f>F98*AN98</f>
        <v>0</v>
      </c>
      <c r="J98" s="280">
        <f>F98*G98</f>
        <v>0</v>
      </c>
      <c r="K98" s="280">
        <v>0.48574000000000001</v>
      </c>
      <c r="L98" s="280">
        <f>F98*K98</f>
        <v>309.34837640000001</v>
      </c>
      <c r="M98" s="291" t="s">
        <v>472</v>
      </c>
      <c r="X98" s="280">
        <f>IF(AO98="5",BH98,0)</f>
        <v>0</v>
      </c>
      <c r="Z98" s="280">
        <f>IF(AO98="1",BF98,0)</f>
        <v>0</v>
      </c>
      <c r="AA98" s="280">
        <f>IF(AO98="1",BG98,0)</f>
        <v>0</v>
      </c>
      <c r="AB98" s="280">
        <f>IF(AO98="7",BF98,0)</f>
        <v>0</v>
      </c>
      <c r="AC98" s="280">
        <f>IF(AO98="7",BG98,0)</f>
        <v>0</v>
      </c>
      <c r="AD98" s="280">
        <f>IF(AO98="2",BF98,0)</f>
        <v>0</v>
      </c>
      <c r="AE98" s="280">
        <f>IF(AO98="2",BG98,0)</f>
        <v>0</v>
      </c>
      <c r="AF98" s="280">
        <f>IF(AO98="0",BH98,0)</f>
        <v>0</v>
      </c>
      <c r="AG98" s="278" t="s">
        <v>154</v>
      </c>
      <c r="AH98" s="280">
        <f>IF(AL98=0,J98,0)</f>
        <v>0</v>
      </c>
      <c r="AI98" s="280">
        <f>IF(AL98=15,J98,0)</f>
        <v>0</v>
      </c>
      <c r="AJ98" s="280">
        <f>IF(AL98=21,J98,0)</f>
        <v>0</v>
      </c>
      <c r="AL98" s="280">
        <v>15</v>
      </c>
      <c r="AM98" s="280">
        <f>G98*0.812875595</f>
        <v>0</v>
      </c>
      <c r="AN98" s="280">
        <f>G98*(1-0.812875595)</f>
        <v>0</v>
      </c>
      <c r="AO98" s="281" t="s">
        <v>157</v>
      </c>
      <c r="AT98" s="280">
        <f>AU98+AV98</f>
        <v>0</v>
      </c>
      <c r="AU98" s="280">
        <f>F98*AM98</f>
        <v>0</v>
      </c>
      <c r="AV98" s="280">
        <f>F98*AN98</f>
        <v>0</v>
      </c>
      <c r="AW98" s="281" t="s">
        <v>310</v>
      </c>
      <c r="AX98" s="281" t="s">
        <v>311</v>
      </c>
      <c r="AY98" s="278" t="s">
        <v>164</v>
      </c>
      <c r="BA98" s="280">
        <f>AU98+AV98</f>
        <v>0</v>
      </c>
      <c r="BB98" s="280">
        <f>G98/(100-BC98)*100</f>
        <v>0</v>
      </c>
      <c r="BC98" s="280">
        <v>0</v>
      </c>
      <c r="BD98" s="280">
        <f>L98</f>
        <v>309.34837640000001</v>
      </c>
      <c r="BF98" s="280">
        <f>F98*AM98</f>
        <v>0</v>
      </c>
      <c r="BG98" s="280">
        <f>F98*AN98</f>
        <v>0</v>
      </c>
      <c r="BH98" s="280">
        <f>F98*G98</f>
        <v>0</v>
      </c>
      <c r="BI98" s="280"/>
      <c r="BJ98" s="280">
        <v>56</v>
      </c>
      <c r="BU98" s="280" t="e">
        <f>#REF!</f>
        <v>#REF!</v>
      </c>
      <c r="BV98" s="277" t="s">
        <v>317</v>
      </c>
    </row>
    <row r="99" spans="1:74" ht="94.5" customHeight="1" x14ac:dyDescent="0.3">
      <c r="A99" s="288"/>
      <c r="B99" s="289" t="s">
        <v>165</v>
      </c>
      <c r="C99" s="615" t="s">
        <v>1917</v>
      </c>
      <c r="D99" s="616"/>
      <c r="E99" s="616"/>
      <c r="F99" s="616"/>
      <c r="G99" s="616"/>
      <c r="H99" s="616"/>
      <c r="I99" s="616"/>
      <c r="J99" s="616"/>
      <c r="K99" s="616"/>
      <c r="L99" s="616"/>
      <c r="M99" s="617"/>
    </row>
    <row r="100" spans="1:74" ht="14.4" x14ac:dyDescent="0.3">
      <c r="A100" s="290" t="s">
        <v>312</v>
      </c>
      <c r="B100" s="275" t="s">
        <v>316</v>
      </c>
      <c r="C100" s="613" t="s">
        <v>317</v>
      </c>
      <c r="D100" s="614"/>
      <c r="E100" s="275" t="s">
        <v>180</v>
      </c>
      <c r="F100" s="280">
        <v>636.86</v>
      </c>
      <c r="G100" s="311">
        <v>0</v>
      </c>
      <c r="H100" s="280">
        <f>F100*AM100</f>
        <v>0</v>
      </c>
      <c r="I100" s="280">
        <f>F100*AN100</f>
        <v>0</v>
      </c>
      <c r="J100" s="280">
        <f>F100*G100</f>
        <v>0</v>
      </c>
      <c r="K100" s="280">
        <v>0.48574000000000001</v>
      </c>
      <c r="L100" s="280">
        <f>F100*K100</f>
        <v>309.34837640000001</v>
      </c>
      <c r="M100" s="291" t="s">
        <v>472</v>
      </c>
      <c r="X100" s="280">
        <f>IF(AO100="5",BH100,0)</f>
        <v>0</v>
      </c>
      <c r="Z100" s="280">
        <f>IF(AO100="1",BF100,0)</f>
        <v>0</v>
      </c>
      <c r="AA100" s="280">
        <f>IF(AO100="1",BG100,0)</f>
        <v>0</v>
      </c>
      <c r="AB100" s="280">
        <f>IF(AO100="7",BF100,0)</f>
        <v>0</v>
      </c>
      <c r="AC100" s="280">
        <f>IF(AO100="7",BG100,0)</f>
        <v>0</v>
      </c>
      <c r="AD100" s="280">
        <f>IF(AO100="2",BF100,0)</f>
        <v>0</v>
      </c>
      <c r="AE100" s="280">
        <f>IF(AO100="2",BG100,0)</f>
        <v>0</v>
      </c>
      <c r="AF100" s="280">
        <f>IF(AO100="0",BH100,0)</f>
        <v>0</v>
      </c>
      <c r="AG100" s="278" t="s">
        <v>154</v>
      </c>
      <c r="AH100" s="280">
        <f>IF(AL100=0,J100,0)</f>
        <v>0</v>
      </c>
      <c r="AI100" s="280">
        <f>IF(AL100=15,J100,0)</f>
        <v>0</v>
      </c>
      <c r="AJ100" s="280">
        <f>IF(AL100=21,J100,0)</f>
        <v>0</v>
      </c>
      <c r="AL100" s="280">
        <v>15</v>
      </c>
      <c r="AM100" s="280">
        <f>G100*0.812875595</f>
        <v>0</v>
      </c>
      <c r="AN100" s="280">
        <f>G100*(1-0.812875595)</f>
        <v>0</v>
      </c>
      <c r="AO100" s="281" t="s">
        <v>157</v>
      </c>
      <c r="AT100" s="280">
        <f>AU100+AV100</f>
        <v>0</v>
      </c>
      <c r="AU100" s="280">
        <f>F100*AM100</f>
        <v>0</v>
      </c>
      <c r="AV100" s="280">
        <f>F100*AN100</f>
        <v>0</v>
      </c>
      <c r="AW100" s="281" t="s">
        <v>310</v>
      </c>
      <c r="AX100" s="281" t="s">
        <v>311</v>
      </c>
      <c r="AY100" s="278" t="s">
        <v>164</v>
      </c>
      <c r="BA100" s="280">
        <f>AU100+AV100</f>
        <v>0</v>
      </c>
      <c r="BB100" s="280">
        <f>G100/(100-BC100)*100</f>
        <v>0</v>
      </c>
      <c r="BC100" s="280">
        <v>0</v>
      </c>
      <c r="BD100" s="280">
        <f>L100</f>
        <v>309.34837640000001</v>
      </c>
      <c r="BF100" s="280">
        <f>F100*AM100</f>
        <v>0</v>
      </c>
      <c r="BG100" s="280">
        <f>F100*AN100</f>
        <v>0</v>
      </c>
      <c r="BH100" s="280">
        <f>F100*G100</f>
        <v>0</v>
      </c>
      <c r="BI100" s="280"/>
      <c r="BJ100" s="280">
        <v>56</v>
      </c>
      <c r="BU100" s="280" t="e">
        <f>#REF!</f>
        <v>#REF!</v>
      </c>
      <c r="BV100" s="277" t="s">
        <v>317</v>
      </c>
    </row>
    <row r="101" spans="1:74" ht="94.5" customHeight="1" x14ac:dyDescent="0.3">
      <c r="A101" s="288"/>
      <c r="B101" s="289" t="s">
        <v>165</v>
      </c>
      <c r="C101" s="615" t="s">
        <v>1917</v>
      </c>
      <c r="D101" s="616"/>
      <c r="E101" s="616"/>
      <c r="F101" s="616"/>
      <c r="G101" s="616"/>
      <c r="H101" s="616"/>
      <c r="I101" s="616"/>
      <c r="J101" s="616"/>
      <c r="K101" s="616"/>
      <c r="L101" s="616"/>
      <c r="M101" s="617"/>
    </row>
    <row r="102" spans="1:74" ht="14.4" x14ac:dyDescent="0.3">
      <c r="A102" s="290" t="s">
        <v>315</v>
      </c>
      <c r="B102" s="275" t="s">
        <v>320</v>
      </c>
      <c r="C102" s="613" t="s">
        <v>321</v>
      </c>
      <c r="D102" s="614"/>
      <c r="E102" s="275" t="s">
        <v>180</v>
      </c>
      <c r="F102" s="280">
        <v>652.26</v>
      </c>
      <c r="G102" s="311">
        <v>0</v>
      </c>
      <c r="H102" s="280">
        <f>F102*AM102</f>
        <v>0</v>
      </c>
      <c r="I102" s="280">
        <f>F102*AN102</f>
        <v>0</v>
      </c>
      <c r="J102" s="280">
        <f>F102*G102</f>
        <v>0</v>
      </c>
      <c r="K102" s="280">
        <v>0.4536</v>
      </c>
      <c r="L102" s="280">
        <f>F102*K102</f>
        <v>295.86513600000001</v>
      </c>
      <c r="M102" s="291" t="s">
        <v>472</v>
      </c>
      <c r="X102" s="280">
        <f>IF(AO102="5",BH102,0)</f>
        <v>0</v>
      </c>
      <c r="Z102" s="280">
        <f>IF(AO102="1",BF102,0)</f>
        <v>0</v>
      </c>
      <c r="AA102" s="280">
        <f>IF(AO102="1",BG102,0)</f>
        <v>0</v>
      </c>
      <c r="AB102" s="280">
        <f>IF(AO102="7",BF102,0)</f>
        <v>0</v>
      </c>
      <c r="AC102" s="280">
        <f>IF(AO102="7",BG102,0)</f>
        <v>0</v>
      </c>
      <c r="AD102" s="280">
        <f>IF(AO102="2",BF102,0)</f>
        <v>0</v>
      </c>
      <c r="AE102" s="280">
        <f>IF(AO102="2",BG102,0)</f>
        <v>0</v>
      </c>
      <c r="AF102" s="280">
        <f>IF(AO102="0",BH102,0)</f>
        <v>0</v>
      </c>
      <c r="AG102" s="278" t="s">
        <v>154</v>
      </c>
      <c r="AH102" s="280">
        <f>IF(AL102=0,J102,0)</f>
        <v>0</v>
      </c>
      <c r="AI102" s="280">
        <f>IF(AL102=15,J102,0)</f>
        <v>0</v>
      </c>
      <c r="AJ102" s="280">
        <f>IF(AL102=21,J102,0)</f>
        <v>0</v>
      </c>
      <c r="AL102" s="280">
        <v>15</v>
      </c>
      <c r="AM102" s="280">
        <f>G102*0.842955538</f>
        <v>0</v>
      </c>
      <c r="AN102" s="280">
        <f>G102*(1-0.842955538)</f>
        <v>0</v>
      </c>
      <c r="AO102" s="281" t="s">
        <v>157</v>
      </c>
      <c r="AT102" s="280">
        <f>AU102+AV102</f>
        <v>0</v>
      </c>
      <c r="AU102" s="280">
        <f>F102*AM102</f>
        <v>0</v>
      </c>
      <c r="AV102" s="280">
        <f>F102*AN102</f>
        <v>0</v>
      </c>
      <c r="AW102" s="281" t="s">
        <v>310</v>
      </c>
      <c r="AX102" s="281" t="s">
        <v>311</v>
      </c>
      <c r="AY102" s="278" t="s">
        <v>164</v>
      </c>
      <c r="BA102" s="280">
        <f>AU102+AV102</f>
        <v>0</v>
      </c>
      <c r="BB102" s="280">
        <f>G102/(100-BC102)*100</f>
        <v>0</v>
      </c>
      <c r="BC102" s="280">
        <v>0</v>
      </c>
      <c r="BD102" s="280">
        <f>L102</f>
        <v>295.86513600000001</v>
      </c>
      <c r="BF102" s="280">
        <f>F102*AM102</f>
        <v>0</v>
      </c>
      <c r="BG102" s="280">
        <f>F102*AN102</f>
        <v>0</v>
      </c>
      <c r="BH102" s="280">
        <f>F102*G102</f>
        <v>0</v>
      </c>
      <c r="BI102" s="280"/>
      <c r="BJ102" s="280">
        <v>56</v>
      </c>
      <c r="BU102" s="280" t="e">
        <f>#REF!</f>
        <v>#REF!</v>
      </c>
      <c r="BV102" s="277" t="s">
        <v>321</v>
      </c>
    </row>
    <row r="103" spans="1:74" ht="94.5" customHeight="1" x14ac:dyDescent="0.3">
      <c r="A103" s="292"/>
      <c r="B103" s="293" t="s">
        <v>165</v>
      </c>
      <c r="C103" s="618" t="s">
        <v>1918</v>
      </c>
      <c r="D103" s="619"/>
      <c r="E103" s="619"/>
      <c r="F103" s="619"/>
      <c r="G103" s="619"/>
      <c r="H103" s="619"/>
      <c r="I103" s="619"/>
      <c r="J103" s="619"/>
      <c r="K103" s="619"/>
      <c r="L103" s="619"/>
      <c r="M103" s="620"/>
    </row>
    <row r="104" spans="1:74" ht="14.4" x14ac:dyDescent="0.3">
      <c r="A104" s="284" t="s">
        <v>318</v>
      </c>
      <c r="B104" s="285" t="s">
        <v>323</v>
      </c>
      <c r="C104" s="622" t="s">
        <v>324</v>
      </c>
      <c r="D104" s="623"/>
      <c r="E104" s="285" t="s">
        <v>180</v>
      </c>
      <c r="F104" s="286">
        <v>652.26</v>
      </c>
      <c r="G104" s="311">
        <v>0</v>
      </c>
      <c r="H104" s="286">
        <f>F104*AM104</f>
        <v>0</v>
      </c>
      <c r="I104" s="286">
        <f>F104*AN104</f>
        <v>0</v>
      </c>
      <c r="J104" s="286">
        <f>F104*G104</f>
        <v>0</v>
      </c>
      <c r="K104" s="286">
        <v>0.21099999999999999</v>
      </c>
      <c r="L104" s="286">
        <f>F104*K104</f>
        <v>137.62685999999999</v>
      </c>
      <c r="M104" s="287" t="s">
        <v>472</v>
      </c>
      <c r="X104" s="280">
        <f>IF(AO104="5",BH104,0)</f>
        <v>0</v>
      </c>
      <c r="Z104" s="280">
        <f>IF(AO104="1",BF104,0)</f>
        <v>0</v>
      </c>
      <c r="AA104" s="280">
        <f>IF(AO104="1",BG104,0)</f>
        <v>0</v>
      </c>
      <c r="AB104" s="280">
        <f>IF(AO104="7",BF104,0)</f>
        <v>0</v>
      </c>
      <c r="AC104" s="280">
        <f>IF(AO104="7",BG104,0)</f>
        <v>0</v>
      </c>
      <c r="AD104" s="280">
        <f>IF(AO104="2",BF104,0)</f>
        <v>0</v>
      </c>
      <c r="AE104" s="280">
        <f>IF(AO104="2",BG104,0)</f>
        <v>0</v>
      </c>
      <c r="AF104" s="280">
        <f>IF(AO104="0",BH104,0)</f>
        <v>0</v>
      </c>
      <c r="AG104" s="278" t="s">
        <v>154</v>
      </c>
      <c r="AH104" s="280">
        <f>IF(AL104=0,J104,0)</f>
        <v>0</v>
      </c>
      <c r="AI104" s="280">
        <f>IF(AL104=15,J104,0)</f>
        <v>0</v>
      </c>
      <c r="AJ104" s="280">
        <f>IF(AL104=21,J104,0)</f>
        <v>0</v>
      </c>
      <c r="AL104" s="280">
        <v>15</v>
      </c>
      <c r="AM104" s="280">
        <f>G104*0.593949442</f>
        <v>0</v>
      </c>
      <c r="AN104" s="280">
        <f>G104*(1-0.593949442)</f>
        <v>0</v>
      </c>
      <c r="AO104" s="281" t="s">
        <v>157</v>
      </c>
      <c r="AT104" s="280">
        <f>AU104+AV104</f>
        <v>0</v>
      </c>
      <c r="AU104" s="280">
        <f>F104*AM104</f>
        <v>0</v>
      </c>
      <c r="AV104" s="280">
        <f>F104*AN104</f>
        <v>0</v>
      </c>
      <c r="AW104" s="281" t="s">
        <v>310</v>
      </c>
      <c r="AX104" s="281" t="s">
        <v>311</v>
      </c>
      <c r="AY104" s="278" t="s">
        <v>164</v>
      </c>
      <c r="BA104" s="280">
        <f>AU104+AV104</f>
        <v>0</v>
      </c>
      <c r="BB104" s="280">
        <f>G104/(100-BC104)*100</f>
        <v>0</v>
      </c>
      <c r="BC104" s="280">
        <v>0</v>
      </c>
      <c r="BD104" s="280">
        <f>L104</f>
        <v>137.62685999999999</v>
      </c>
      <c r="BF104" s="280">
        <f>F104*AM104</f>
        <v>0</v>
      </c>
      <c r="BG104" s="280">
        <f>F104*AN104</f>
        <v>0</v>
      </c>
      <c r="BH104" s="280">
        <f>F104*G104</f>
        <v>0</v>
      </c>
      <c r="BI104" s="280"/>
      <c r="BJ104" s="280">
        <v>56</v>
      </c>
      <c r="BU104" s="280" t="e">
        <f>#REF!</f>
        <v>#REF!</v>
      </c>
      <c r="BV104" s="277" t="s">
        <v>324</v>
      </c>
    </row>
    <row r="105" spans="1:74" ht="94.5" customHeight="1" x14ac:dyDescent="0.3">
      <c r="A105" s="288"/>
      <c r="B105" s="289" t="s">
        <v>165</v>
      </c>
      <c r="C105" s="615" t="s">
        <v>1919</v>
      </c>
      <c r="D105" s="616"/>
      <c r="E105" s="616"/>
      <c r="F105" s="616"/>
      <c r="G105" s="616"/>
      <c r="H105" s="616"/>
      <c r="I105" s="616"/>
      <c r="J105" s="616"/>
      <c r="K105" s="616"/>
      <c r="L105" s="616"/>
      <c r="M105" s="617"/>
    </row>
    <row r="106" spans="1:74" ht="14.4" x14ac:dyDescent="0.3">
      <c r="A106" s="290" t="s">
        <v>319</v>
      </c>
      <c r="B106" s="275" t="s">
        <v>1436</v>
      </c>
      <c r="C106" s="613" t="s">
        <v>1437</v>
      </c>
      <c r="D106" s="614"/>
      <c r="E106" s="275" t="s">
        <v>180</v>
      </c>
      <c r="F106" s="280">
        <v>636.86</v>
      </c>
      <c r="G106" s="311">
        <v>0</v>
      </c>
      <c r="H106" s="280">
        <f>F106*AM106</f>
        <v>0</v>
      </c>
      <c r="I106" s="280">
        <f>F106*AN106</f>
        <v>0</v>
      </c>
      <c r="J106" s="280">
        <f>F106*G106</f>
        <v>0</v>
      </c>
      <c r="K106" s="280">
        <v>0</v>
      </c>
      <c r="L106" s="280">
        <f>F106*K106</f>
        <v>0</v>
      </c>
      <c r="M106" s="291" t="s">
        <v>472</v>
      </c>
      <c r="X106" s="280">
        <f>IF(AO106="5",BH106,0)</f>
        <v>0</v>
      </c>
      <c r="Z106" s="280">
        <f>IF(AO106="1",BF106,0)</f>
        <v>0</v>
      </c>
      <c r="AA106" s="280">
        <f>IF(AO106="1",BG106,0)</f>
        <v>0</v>
      </c>
      <c r="AB106" s="280">
        <f>IF(AO106="7",BF106,0)</f>
        <v>0</v>
      </c>
      <c r="AC106" s="280">
        <f>IF(AO106="7",BG106,0)</f>
        <v>0</v>
      </c>
      <c r="AD106" s="280">
        <f>IF(AO106="2",BF106,0)</f>
        <v>0</v>
      </c>
      <c r="AE106" s="280">
        <f>IF(AO106="2",BG106,0)</f>
        <v>0</v>
      </c>
      <c r="AF106" s="280">
        <f>IF(AO106="0",BH106,0)</f>
        <v>0</v>
      </c>
      <c r="AG106" s="278" t="s">
        <v>154</v>
      </c>
      <c r="AH106" s="280">
        <f>IF(AL106=0,J106,0)</f>
        <v>0</v>
      </c>
      <c r="AI106" s="280">
        <f>IF(AL106=15,J106,0)</f>
        <v>0</v>
      </c>
      <c r="AJ106" s="280">
        <f>IF(AL106=21,J106,0)</f>
        <v>0</v>
      </c>
      <c r="AL106" s="280">
        <v>15</v>
      </c>
      <c r="AM106" s="280">
        <f>G106*0.898973183</f>
        <v>0</v>
      </c>
      <c r="AN106" s="280">
        <f>G106*(1-0.898973183)</f>
        <v>0</v>
      </c>
      <c r="AO106" s="281" t="s">
        <v>157</v>
      </c>
      <c r="AT106" s="280">
        <f>AU106+AV106</f>
        <v>0</v>
      </c>
      <c r="AU106" s="280">
        <f>F106*AM106</f>
        <v>0</v>
      </c>
      <c r="AV106" s="280">
        <f>F106*AN106</f>
        <v>0</v>
      </c>
      <c r="AW106" s="281" t="s">
        <v>310</v>
      </c>
      <c r="AX106" s="281" t="s">
        <v>311</v>
      </c>
      <c r="AY106" s="278" t="s">
        <v>164</v>
      </c>
      <c r="BA106" s="280">
        <f>AU106+AV106</f>
        <v>0</v>
      </c>
      <c r="BB106" s="280">
        <f>G106/(100-BC106)*100</f>
        <v>0</v>
      </c>
      <c r="BC106" s="280">
        <v>0</v>
      </c>
      <c r="BD106" s="280">
        <f>L106</f>
        <v>0</v>
      </c>
      <c r="BF106" s="280">
        <f>F106*AM106</f>
        <v>0</v>
      </c>
      <c r="BG106" s="280">
        <f>F106*AN106</f>
        <v>0</v>
      </c>
      <c r="BH106" s="280">
        <f>F106*G106</f>
        <v>0</v>
      </c>
      <c r="BI106" s="280"/>
      <c r="BJ106" s="280">
        <v>56</v>
      </c>
      <c r="BU106" s="280" t="e">
        <f>#REF!</f>
        <v>#REF!</v>
      </c>
      <c r="BV106" s="277" t="s">
        <v>1437</v>
      </c>
    </row>
    <row r="107" spans="1:74" ht="94.5" customHeight="1" x14ac:dyDescent="0.3">
      <c r="A107" s="288"/>
      <c r="B107" s="289" t="s">
        <v>165</v>
      </c>
      <c r="C107" s="615" t="s">
        <v>1920</v>
      </c>
      <c r="D107" s="616"/>
      <c r="E107" s="616"/>
      <c r="F107" s="616"/>
      <c r="G107" s="616"/>
      <c r="H107" s="616"/>
      <c r="I107" s="616"/>
      <c r="J107" s="616"/>
      <c r="K107" s="616"/>
      <c r="L107" s="616"/>
      <c r="M107" s="617"/>
    </row>
    <row r="108" spans="1:74" ht="14.4" x14ac:dyDescent="0.3">
      <c r="A108" s="290" t="s">
        <v>154</v>
      </c>
      <c r="B108" s="276" t="s">
        <v>335</v>
      </c>
      <c r="C108" s="624" t="s">
        <v>336</v>
      </c>
      <c r="D108" s="621"/>
      <c r="E108" s="275" t="s">
        <v>114</v>
      </c>
      <c r="F108" s="275" t="s">
        <v>114</v>
      </c>
      <c r="G108" s="275" t="s">
        <v>114</v>
      </c>
      <c r="H108" s="282">
        <f>SUM(H109:H109)</f>
        <v>0</v>
      </c>
      <c r="I108" s="282">
        <f>SUM(I109:I109)</f>
        <v>0</v>
      </c>
      <c r="J108" s="282">
        <f>SUM(J109:J109)</f>
        <v>0</v>
      </c>
      <c r="K108" s="279" t="s">
        <v>154</v>
      </c>
      <c r="L108" s="282">
        <f>SUM(L109:L109)</f>
        <v>0.45658199999999999</v>
      </c>
      <c r="M108" s="294" t="s">
        <v>154</v>
      </c>
      <c r="AG108" s="278" t="s">
        <v>154</v>
      </c>
      <c r="AQ108" s="274">
        <f>SUM(AH109:AH109)</f>
        <v>0</v>
      </c>
      <c r="AR108" s="274">
        <f>SUM(AI109:AI109)</f>
        <v>0</v>
      </c>
      <c r="AS108" s="274">
        <f>SUM(AJ109:AJ109)</f>
        <v>0</v>
      </c>
    </row>
    <row r="109" spans="1:74" ht="14.4" x14ac:dyDescent="0.3">
      <c r="A109" s="290" t="s">
        <v>322</v>
      </c>
      <c r="B109" s="275" t="s">
        <v>342</v>
      </c>
      <c r="C109" s="613" t="s">
        <v>427</v>
      </c>
      <c r="D109" s="614"/>
      <c r="E109" s="275" t="s">
        <v>180</v>
      </c>
      <c r="F109" s="280">
        <v>652.26</v>
      </c>
      <c r="G109" s="311">
        <v>0</v>
      </c>
      <c r="H109" s="280">
        <f>F109*AM109</f>
        <v>0</v>
      </c>
      <c r="I109" s="280">
        <f>F109*AN109</f>
        <v>0</v>
      </c>
      <c r="J109" s="280">
        <f>F109*G109</f>
        <v>0</v>
      </c>
      <c r="K109" s="280">
        <v>6.9999999999999999E-4</v>
      </c>
      <c r="L109" s="280">
        <f>F109*K109</f>
        <v>0.45658199999999999</v>
      </c>
      <c r="M109" s="291" t="s">
        <v>472</v>
      </c>
      <c r="X109" s="280">
        <f>IF(AO109="5",BH109,0)</f>
        <v>0</v>
      </c>
      <c r="Z109" s="280">
        <f>IF(AO109="1",BF109,0)</f>
        <v>0</v>
      </c>
      <c r="AA109" s="280">
        <f>IF(AO109="1",BG109,0)</f>
        <v>0</v>
      </c>
      <c r="AB109" s="280">
        <f>IF(AO109="7",BF109,0)</f>
        <v>0</v>
      </c>
      <c r="AC109" s="280">
        <f>IF(AO109="7",BG109,0)</f>
        <v>0</v>
      </c>
      <c r="AD109" s="280">
        <f>IF(AO109="2",BF109,0)</f>
        <v>0</v>
      </c>
      <c r="AE109" s="280">
        <f>IF(AO109="2",BG109,0)</f>
        <v>0</v>
      </c>
      <c r="AF109" s="280">
        <f>IF(AO109="0",BH109,0)</f>
        <v>0</v>
      </c>
      <c r="AG109" s="278" t="s">
        <v>154</v>
      </c>
      <c r="AH109" s="280">
        <f>IF(AL109=0,J109,0)</f>
        <v>0</v>
      </c>
      <c r="AI109" s="280">
        <f>IF(AL109=15,J109,0)</f>
        <v>0</v>
      </c>
      <c r="AJ109" s="280">
        <f>IF(AL109=21,J109,0)</f>
        <v>0</v>
      </c>
      <c r="AL109" s="280">
        <v>15</v>
      </c>
      <c r="AM109" s="280">
        <f>G109*0.931525546</f>
        <v>0</v>
      </c>
      <c r="AN109" s="280">
        <f>G109*(1-0.931525546)</f>
        <v>0</v>
      </c>
      <c r="AO109" s="281" t="s">
        <v>157</v>
      </c>
      <c r="AT109" s="280">
        <f>AU109+AV109</f>
        <v>0</v>
      </c>
      <c r="AU109" s="280">
        <f>F109*AM109</f>
        <v>0</v>
      </c>
      <c r="AV109" s="280">
        <f>F109*AN109</f>
        <v>0</v>
      </c>
      <c r="AW109" s="281" t="s">
        <v>340</v>
      </c>
      <c r="AX109" s="281" t="s">
        <v>311</v>
      </c>
      <c r="AY109" s="278" t="s">
        <v>164</v>
      </c>
      <c r="BA109" s="280">
        <f>AU109+AV109</f>
        <v>0</v>
      </c>
      <c r="BB109" s="280">
        <f>G109/(100-BC109)*100</f>
        <v>0</v>
      </c>
      <c r="BC109" s="280">
        <v>0</v>
      </c>
      <c r="BD109" s="280">
        <f>L109</f>
        <v>0.45658199999999999</v>
      </c>
      <c r="BF109" s="280">
        <f>F109*AM109</f>
        <v>0</v>
      </c>
      <c r="BG109" s="280">
        <f>F109*AN109</f>
        <v>0</v>
      </c>
      <c r="BH109" s="280">
        <f>F109*G109</f>
        <v>0</v>
      </c>
      <c r="BI109" s="280"/>
      <c r="BJ109" s="280">
        <v>57</v>
      </c>
      <c r="BU109" s="280" t="e">
        <f>#REF!</f>
        <v>#REF!</v>
      </c>
      <c r="BV109" s="277" t="s">
        <v>427</v>
      </c>
    </row>
    <row r="110" spans="1:74" ht="94.5" customHeight="1" x14ac:dyDescent="0.3">
      <c r="A110" s="288"/>
      <c r="B110" s="289" t="s">
        <v>165</v>
      </c>
      <c r="C110" s="615" t="s">
        <v>1921</v>
      </c>
      <c r="D110" s="616"/>
      <c r="E110" s="616"/>
      <c r="F110" s="616"/>
      <c r="G110" s="616"/>
      <c r="H110" s="616"/>
      <c r="I110" s="616"/>
      <c r="J110" s="616"/>
      <c r="K110" s="616"/>
      <c r="L110" s="616"/>
      <c r="M110" s="617"/>
    </row>
    <row r="111" spans="1:74" ht="14.4" x14ac:dyDescent="0.3">
      <c r="A111" s="290" t="s">
        <v>154</v>
      </c>
      <c r="B111" s="276" t="s">
        <v>539</v>
      </c>
      <c r="C111" s="624" t="s">
        <v>540</v>
      </c>
      <c r="D111" s="621"/>
      <c r="E111" s="275" t="s">
        <v>114</v>
      </c>
      <c r="F111" s="275" t="s">
        <v>114</v>
      </c>
      <c r="G111" s="275" t="s">
        <v>114</v>
      </c>
      <c r="H111" s="282">
        <f>SUM(H112:H118)</f>
        <v>0</v>
      </c>
      <c r="I111" s="282">
        <f>SUM(I112:I118)</f>
        <v>0</v>
      </c>
      <c r="J111" s="282">
        <f>SUM(J112:J118)</f>
        <v>0</v>
      </c>
      <c r="K111" s="279" t="s">
        <v>154</v>
      </c>
      <c r="L111" s="282">
        <f>SUM(L112:L118)</f>
        <v>6.3000000000000009E-3</v>
      </c>
      <c r="M111" s="294" t="s">
        <v>154</v>
      </c>
      <c r="AG111" s="278" t="s">
        <v>154</v>
      </c>
      <c r="AQ111" s="274">
        <f>SUM(AH112:AH118)</f>
        <v>0</v>
      </c>
      <c r="AR111" s="274">
        <f>SUM(AI112:AI118)</f>
        <v>0</v>
      </c>
      <c r="AS111" s="274">
        <f>SUM(AJ112:AJ118)</f>
        <v>0</v>
      </c>
    </row>
    <row r="112" spans="1:74" ht="14.4" x14ac:dyDescent="0.3">
      <c r="A112" s="290" t="s">
        <v>298</v>
      </c>
      <c r="B112" s="275" t="s">
        <v>898</v>
      </c>
      <c r="C112" s="613" t="s">
        <v>899</v>
      </c>
      <c r="D112" s="614"/>
      <c r="E112" s="275" t="s">
        <v>160</v>
      </c>
      <c r="F112" s="280">
        <v>312</v>
      </c>
      <c r="G112" s="311">
        <v>0</v>
      </c>
      <c r="H112" s="280">
        <f>F112*AM112</f>
        <v>0</v>
      </c>
      <c r="I112" s="280">
        <f>F112*AN112</f>
        <v>0</v>
      </c>
      <c r="J112" s="280">
        <f>F112*G112</f>
        <v>0</v>
      </c>
      <c r="K112" s="280">
        <v>1.0000000000000001E-5</v>
      </c>
      <c r="L112" s="280">
        <f>F112*K112</f>
        <v>3.1200000000000004E-3</v>
      </c>
      <c r="M112" s="291" t="s">
        <v>472</v>
      </c>
      <c r="X112" s="280">
        <f>IF(AO112="5",BH112,0)</f>
        <v>0</v>
      </c>
      <c r="Z112" s="280">
        <f>IF(AO112="1",BF112,0)</f>
        <v>0</v>
      </c>
      <c r="AA112" s="280">
        <f>IF(AO112="1",BG112,0)</f>
        <v>0</v>
      </c>
      <c r="AB112" s="280">
        <f>IF(AO112="7",BF112,0)</f>
        <v>0</v>
      </c>
      <c r="AC112" s="280">
        <f>IF(AO112="7",BG112,0)</f>
        <v>0</v>
      </c>
      <c r="AD112" s="280">
        <f>IF(AO112="2",BF112,0)</f>
        <v>0</v>
      </c>
      <c r="AE112" s="280">
        <f>IF(AO112="2",BG112,0)</f>
        <v>0</v>
      </c>
      <c r="AF112" s="280">
        <f>IF(AO112="0",BH112,0)</f>
        <v>0</v>
      </c>
      <c r="AG112" s="278" t="s">
        <v>154</v>
      </c>
      <c r="AH112" s="280">
        <f>IF(AL112=0,J112,0)</f>
        <v>0</v>
      </c>
      <c r="AI112" s="280">
        <f>IF(AL112=15,J112,0)</f>
        <v>0</v>
      </c>
      <c r="AJ112" s="280">
        <f>IF(AL112=21,J112,0)</f>
        <v>0</v>
      </c>
      <c r="AL112" s="280">
        <v>15</v>
      </c>
      <c r="AM112" s="280">
        <f>G112*0.005096836</f>
        <v>0</v>
      </c>
      <c r="AN112" s="280">
        <f>G112*(1-0.005096836)</f>
        <v>0</v>
      </c>
      <c r="AO112" s="281" t="s">
        <v>157</v>
      </c>
      <c r="AT112" s="280">
        <f>AU112+AV112</f>
        <v>0</v>
      </c>
      <c r="AU112" s="280">
        <f>F112*AM112</f>
        <v>0</v>
      </c>
      <c r="AV112" s="280">
        <f>F112*AN112</f>
        <v>0</v>
      </c>
      <c r="AW112" s="281" t="s">
        <v>543</v>
      </c>
      <c r="AX112" s="281" t="s">
        <v>356</v>
      </c>
      <c r="AY112" s="278" t="s">
        <v>164</v>
      </c>
      <c r="BA112" s="280">
        <f>AU112+AV112</f>
        <v>0</v>
      </c>
      <c r="BB112" s="280">
        <f>G112/(100-BC112)*100</f>
        <v>0</v>
      </c>
      <c r="BC112" s="280">
        <v>0</v>
      </c>
      <c r="BD112" s="280">
        <f>L112</f>
        <v>3.1200000000000004E-3</v>
      </c>
      <c r="BF112" s="280">
        <f>F112*AM112</f>
        <v>0</v>
      </c>
      <c r="BG112" s="280">
        <f>F112*AN112</f>
        <v>0</v>
      </c>
      <c r="BH112" s="280">
        <f>F112*G112</f>
        <v>0</v>
      </c>
      <c r="BI112" s="280"/>
      <c r="BJ112" s="280">
        <v>87</v>
      </c>
      <c r="BU112" s="280" t="e">
        <f>#REF!</f>
        <v>#REF!</v>
      </c>
      <c r="BV112" s="277" t="s">
        <v>899</v>
      </c>
    </row>
    <row r="113" spans="1:74" ht="54" customHeight="1" x14ac:dyDescent="0.3">
      <c r="A113" s="288"/>
      <c r="B113" s="289" t="s">
        <v>165</v>
      </c>
      <c r="C113" s="615" t="s">
        <v>1922</v>
      </c>
      <c r="D113" s="616"/>
      <c r="E113" s="616"/>
      <c r="F113" s="616"/>
      <c r="G113" s="616"/>
      <c r="H113" s="616"/>
      <c r="I113" s="616"/>
      <c r="J113" s="616"/>
      <c r="K113" s="616"/>
      <c r="L113" s="616"/>
      <c r="M113" s="617"/>
    </row>
    <row r="114" spans="1:74" ht="14.4" x14ac:dyDescent="0.3">
      <c r="A114" s="290" t="s">
        <v>327</v>
      </c>
      <c r="B114" s="275" t="s">
        <v>1002</v>
      </c>
      <c r="C114" s="613" t="s">
        <v>1003</v>
      </c>
      <c r="D114" s="614"/>
      <c r="E114" s="275" t="s">
        <v>365</v>
      </c>
      <c r="F114" s="280">
        <v>21</v>
      </c>
      <c r="G114" s="311">
        <v>0</v>
      </c>
      <c r="H114" s="280">
        <f>F114*AM114</f>
        <v>0</v>
      </c>
      <c r="I114" s="280">
        <f>F114*AN114</f>
        <v>0</v>
      </c>
      <c r="J114" s="280">
        <f>F114*G114</f>
        <v>0</v>
      </c>
      <c r="K114" s="280">
        <v>8.0000000000000007E-5</v>
      </c>
      <c r="L114" s="280">
        <f>F114*K114</f>
        <v>1.6800000000000001E-3</v>
      </c>
      <c r="M114" s="291" t="s">
        <v>472</v>
      </c>
      <c r="X114" s="280">
        <f>IF(AO114="5",BH114,0)</f>
        <v>0</v>
      </c>
      <c r="Z114" s="280">
        <f>IF(AO114="1",BF114,0)</f>
        <v>0</v>
      </c>
      <c r="AA114" s="280">
        <f>IF(AO114="1",BG114,0)</f>
        <v>0</v>
      </c>
      <c r="AB114" s="280">
        <f>IF(AO114="7",BF114,0)</f>
        <v>0</v>
      </c>
      <c r="AC114" s="280">
        <f>IF(AO114="7",BG114,0)</f>
        <v>0</v>
      </c>
      <c r="AD114" s="280">
        <f>IF(AO114="2",BF114,0)</f>
        <v>0</v>
      </c>
      <c r="AE114" s="280">
        <f>IF(AO114="2",BG114,0)</f>
        <v>0</v>
      </c>
      <c r="AF114" s="280">
        <f>IF(AO114="0",BH114,0)</f>
        <v>0</v>
      </c>
      <c r="AG114" s="278" t="s">
        <v>154</v>
      </c>
      <c r="AH114" s="280">
        <f>IF(AL114=0,J114,0)</f>
        <v>0</v>
      </c>
      <c r="AI114" s="280">
        <f>IF(AL114=15,J114,0)</f>
        <v>0</v>
      </c>
      <c r="AJ114" s="280">
        <f>IF(AL114=21,J114,0)</f>
        <v>0</v>
      </c>
      <c r="AL114" s="280">
        <v>15</v>
      </c>
      <c r="AM114" s="280">
        <f>G114*0.009016393</f>
        <v>0</v>
      </c>
      <c r="AN114" s="280">
        <f>G114*(1-0.009016393)</f>
        <v>0</v>
      </c>
      <c r="AO114" s="281" t="s">
        <v>157</v>
      </c>
      <c r="AT114" s="280">
        <f>AU114+AV114</f>
        <v>0</v>
      </c>
      <c r="AU114" s="280">
        <f>F114*AM114</f>
        <v>0</v>
      </c>
      <c r="AV114" s="280">
        <f>F114*AN114</f>
        <v>0</v>
      </c>
      <c r="AW114" s="281" t="s">
        <v>543</v>
      </c>
      <c r="AX114" s="281" t="s">
        <v>356</v>
      </c>
      <c r="AY114" s="278" t="s">
        <v>164</v>
      </c>
      <c r="BA114" s="280">
        <f>AU114+AV114</f>
        <v>0</v>
      </c>
      <c r="BB114" s="280">
        <f>G114/(100-BC114)*100</f>
        <v>0</v>
      </c>
      <c r="BC114" s="280">
        <v>0</v>
      </c>
      <c r="BD114" s="280">
        <f>L114</f>
        <v>1.6800000000000001E-3</v>
      </c>
      <c r="BF114" s="280">
        <f>F114*AM114</f>
        <v>0</v>
      </c>
      <c r="BG114" s="280">
        <f>F114*AN114</f>
        <v>0</v>
      </c>
      <c r="BH114" s="280">
        <f>F114*G114</f>
        <v>0</v>
      </c>
      <c r="BI114" s="280"/>
      <c r="BJ114" s="280">
        <v>87</v>
      </c>
      <c r="BU114" s="280" t="e">
        <f>#REF!</f>
        <v>#REF!</v>
      </c>
      <c r="BV114" s="277" t="s">
        <v>1003</v>
      </c>
    </row>
    <row r="115" spans="1:74" ht="54" customHeight="1" x14ac:dyDescent="0.3">
      <c r="A115" s="288"/>
      <c r="B115" s="289" t="s">
        <v>165</v>
      </c>
      <c r="C115" s="615" t="s">
        <v>1923</v>
      </c>
      <c r="D115" s="616"/>
      <c r="E115" s="616"/>
      <c r="F115" s="616"/>
      <c r="G115" s="616"/>
      <c r="H115" s="616"/>
      <c r="I115" s="616"/>
      <c r="J115" s="616"/>
      <c r="K115" s="616"/>
      <c r="L115" s="616"/>
      <c r="M115" s="617"/>
    </row>
    <row r="116" spans="1:74" ht="14.4" x14ac:dyDescent="0.3">
      <c r="A116" s="290" t="s">
        <v>329</v>
      </c>
      <c r="B116" s="275" t="s">
        <v>1004</v>
      </c>
      <c r="C116" s="613" t="s">
        <v>1005</v>
      </c>
      <c r="D116" s="614"/>
      <c r="E116" s="275" t="s">
        <v>365</v>
      </c>
      <c r="F116" s="280">
        <v>27</v>
      </c>
      <c r="G116" s="311">
        <v>0</v>
      </c>
      <c r="H116" s="280">
        <f>F116*AM116</f>
        <v>0</v>
      </c>
      <c r="I116" s="280">
        <f>F116*AN116</f>
        <v>0</v>
      </c>
      <c r="J116" s="280">
        <f>F116*G116</f>
        <v>0</v>
      </c>
      <c r="K116" s="280">
        <v>5.0000000000000002E-5</v>
      </c>
      <c r="L116" s="280">
        <f>F116*K116</f>
        <v>1.3500000000000001E-3</v>
      </c>
      <c r="M116" s="291" t="s">
        <v>472</v>
      </c>
      <c r="X116" s="280">
        <f>IF(AO116="5",BH116,0)</f>
        <v>0</v>
      </c>
      <c r="Z116" s="280">
        <f>IF(AO116="1",BF116,0)</f>
        <v>0</v>
      </c>
      <c r="AA116" s="280">
        <f>IF(AO116="1",BG116,0)</f>
        <v>0</v>
      </c>
      <c r="AB116" s="280">
        <f>IF(AO116="7",BF116,0)</f>
        <v>0</v>
      </c>
      <c r="AC116" s="280">
        <f>IF(AO116="7",BG116,0)</f>
        <v>0</v>
      </c>
      <c r="AD116" s="280">
        <f>IF(AO116="2",BF116,0)</f>
        <v>0</v>
      </c>
      <c r="AE116" s="280">
        <f>IF(AO116="2",BG116,0)</f>
        <v>0</v>
      </c>
      <c r="AF116" s="280">
        <f>IF(AO116="0",BH116,0)</f>
        <v>0</v>
      </c>
      <c r="AG116" s="278" t="s">
        <v>154</v>
      </c>
      <c r="AH116" s="280">
        <f>IF(AL116=0,J116,0)</f>
        <v>0</v>
      </c>
      <c r="AI116" s="280">
        <f>IF(AL116=15,J116,0)</f>
        <v>0</v>
      </c>
      <c r="AJ116" s="280">
        <f>IF(AL116=21,J116,0)</f>
        <v>0</v>
      </c>
      <c r="AL116" s="280">
        <v>15</v>
      </c>
      <c r="AM116" s="280">
        <f>G116*0.008443272</f>
        <v>0</v>
      </c>
      <c r="AN116" s="280">
        <f>G116*(1-0.008443272)</f>
        <v>0</v>
      </c>
      <c r="AO116" s="281" t="s">
        <v>157</v>
      </c>
      <c r="AT116" s="280">
        <f>AU116+AV116</f>
        <v>0</v>
      </c>
      <c r="AU116" s="280">
        <f>F116*AM116</f>
        <v>0</v>
      </c>
      <c r="AV116" s="280">
        <f>F116*AN116</f>
        <v>0</v>
      </c>
      <c r="AW116" s="281" t="s">
        <v>543</v>
      </c>
      <c r="AX116" s="281" t="s">
        <v>356</v>
      </c>
      <c r="AY116" s="278" t="s">
        <v>164</v>
      </c>
      <c r="BA116" s="280">
        <f>AU116+AV116</f>
        <v>0</v>
      </c>
      <c r="BB116" s="280">
        <f>G116/(100-BC116)*100</f>
        <v>0</v>
      </c>
      <c r="BC116" s="280">
        <v>0</v>
      </c>
      <c r="BD116" s="280">
        <f>L116</f>
        <v>1.3500000000000001E-3</v>
      </c>
      <c r="BF116" s="280">
        <f>F116*AM116</f>
        <v>0</v>
      </c>
      <c r="BG116" s="280">
        <f>F116*AN116</f>
        <v>0</v>
      </c>
      <c r="BH116" s="280">
        <f>F116*G116</f>
        <v>0</v>
      </c>
      <c r="BI116" s="280"/>
      <c r="BJ116" s="280">
        <v>87</v>
      </c>
      <c r="BU116" s="280" t="e">
        <f>#REF!</f>
        <v>#REF!</v>
      </c>
      <c r="BV116" s="277" t="s">
        <v>1005</v>
      </c>
    </row>
    <row r="117" spans="1:74" ht="40.5" customHeight="1" x14ac:dyDescent="0.3">
      <c r="A117" s="288"/>
      <c r="B117" s="289" t="s">
        <v>165</v>
      </c>
      <c r="C117" s="615" t="s">
        <v>1924</v>
      </c>
      <c r="D117" s="616"/>
      <c r="E117" s="616"/>
      <c r="F117" s="616"/>
      <c r="G117" s="616"/>
      <c r="H117" s="616"/>
      <c r="I117" s="616"/>
      <c r="J117" s="616"/>
      <c r="K117" s="616"/>
      <c r="L117" s="616"/>
      <c r="M117" s="617"/>
    </row>
    <row r="118" spans="1:74" ht="14.4" x14ac:dyDescent="0.3">
      <c r="A118" s="290" t="s">
        <v>332</v>
      </c>
      <c r="B118" s="275" t="s">
        <v>900</v>
      </c>
      <c r="C118" s="613" t="s">
        <v>901</v>
      </c>
      <c r="D118" s="614"/>
      <c r="E118" s="275" t="s">
        <v>365</v>
      </c>
      <c r="F118" s="280">
        <v>3</v>
      </c>
      <c r="G118" s="311">
        <v>0</v>
      </c>
      <c r="H118" s="280">
        <f>F118*AM118</f>
        <v>0</v>
      </c>
      <c r="I118" s="280">
        <f>F118*AN118</f>
        <v>0</v>
      </c>
      <c r="J118" s="280">
        <f>F118*G118</f>
        <v>0</v>
      </c>
      <c r="K118" s="280">
        <v>5.0000000000000002E-5</v>
      </c>
      <c r="L118" s="280">
        <f>F118*K118</f>
        <v>1.5000000000000001E-4</v>
      </c>
      <c r="M118" s="291" t="s">
        <v>472</v>
      </c>
      <c r="X118" s="280">
        <f>IF(AO118="5",BH118,0)</f>
        <v>0</v>
      </c>
      <c r="Z118" s="280">
        <f>IF(AO118="1",BF118,0)</f>
        <v>0</v>
      </c>
      <c r="AA118" s="280">
        <f>IF(AO118="1",BG118,0)</f>
        <v>0</v>
      </c>
      <c r="AB118" s="280">
        <f>IF(AO118="7",BF118,0)</f>
        <v>0</v>
      </c>
      <c r="AC118" s="280">
        <f>IF(AO118="7",BG118,0)</f>
        <v>0</v>
      </c>
      <c r="AD118" s="280">
        <f>IF(AO118="2",BF118,0)</f>
        <v>0</v>
      </c>
      <c r="AE118" s="280">
        <f>IF(AO118="2",BG118,0)</f>
        <v>0</v>
      </c>
      <c r="AF118" s="280">
        <f>IF(AO118="0",BH118,0)</f>
        <v>0</v>
      </c>
      <c r="AG118" s="278" t="s">
        <v>154</v>
      </c>
      <c r="AH118" s="280">
        <f>IF(AL118=0,J118,0)</f>
        <v>0</v>
      </c>
      <c r="AI118" s="280">
        <f>IF(AL118=15,J118,0)</f>
        <v>0</v>
      </c>
      <c r="AJ118" s="280">
        <f>IF(AL118=21,J118,0)</f>
        <v>0</v>
      </c>
      <c r="AL118" s="280">
        <v>15</v>
      </c>
      <c r="AM118" s="280">
        <f>G118*0.001921691</f>
        <v>0</v>
      </c>
      <c r="AN118" s="280">
        <f>G118*(1-0.001921691)</f>
        <v>0</v>
      </c>
      <c r="AO118" s="281" t="s">
        <v>157</v>
      </c>
      <c r="AT118" s="280">
        <f>AU118+AV118</f>
        <v>0</v>
      </c>
      <c r="AU118" s="280">
        <f>F118*AM118</f>
        <v>0</v>
      </c>
      <c r="AV118" s="280">
        <f>F118*AN118</f>
        <v>0</v>
      </c>
      <c r="AW118" s="281" t="s">
        <v>543</v>
      </c>
      <c r="AX118" s="281" t="s">
        <v>356</v>
      </c>
      <c r="AY118" s="278" t="s">
        <v>164</v>
      </c>
      <c r="BA118" s="280">
        <f>AU118+AV118</f>
        <v>0</v>
      </c>
      <c r="BB118" s="280">
        <f>G118/(100-BC118)*100</f>
        <v>0</v>
      </c>
      <c r="BC118" s="280">
        <v>0</v>
      </c>
      <c r="BD118" s="280">
        <f>L118</f>
        <v>1.5000000000000001E-4</v>
      </c>
      <c r="BF118" s="280">
        <f>F118*AM118</f>
        <v>0</v>
      </c>
      <c r="BG118" s="280">
        <f>F118*AN118</f>
        <v>0</v>
      </c>
      <c r="BH118" s="280">
        <f>F118*G118</f>
        <v>0</v>
      </c>
      <c r="BI118" s="280"/>
      <c r="BJ118" s="280">
        <v>87</v>
      </c>
      <c r="BU118" s="280" t="e">
        <f>#REF!</f>
        <v>#REF!</v>
      </c>
      <c r="BV118" s="277" t="s">
        <v>901</v>
      </c>
    </row>
    <row r="119" spans="1:74" ht="54" customHeight="1" x14ac:dyDescent="0.3">
      <c r="A119" s="288"/>
      <c r="B119" s="289" t="s">
        <v>165</v>
      </c>
      <c r="C119" s="615" t="s">
        <v>1925</v>
      </c>
      <c r="D119" s="616"/>
      <c r="E119" s="616"/>
      <c r="F119" s="616"/>
      <c r="G119" s="616"/>
      <c r="H119" s="616"/>
      <c r="I119" s="616"/>
      <c r="J119" s="616"/>
      <c r="K119" s="616"/>
      <c r="L119" s="616"/>
      <c r="M119" s="617"/>
    </row>
    <row r="120" spans="1:74" ht="14.4" x14ac:dyDescent="0.3">
      <c r="A120" s="290" t="s">
        <v>154</v>
      </c>
      <c r="B120" s="276" t="s">
        <v>360</v>
      </c>
      <c r="C120" s="624" t="s">
        <v>361</v>
      </c>
      <c r="D120" s="621"/>
      <c r="E120" s="275" t="s">
        <v>114</v>
      </c>
      <c r="F120" s="275" t="s">
        <v>114</v>
      </c>
      <c r="G120" s="275" t="s">
        <v>114</v>
      </c>
      <c r="H120" s="282">
        <f>SUM(H121:H141)</f>
        <v>0</v>
      </c>
      <c r="I120" s="282">
        <f>SUM(I121:I141)</f>
        <v>0</v>
      </c>
      <c r="J120" s="282">
        <f>SUM(J121:J141)</f>
        <v>0</v>
      </c>
      <c r="K120" s="279" t="s">
        <v>154</v>
      </c>
      <c r="L120" s="282">
        <f>SUM(L121:L141)</f>
        <v>0.14490999999999998</v>
      </c>
      <c r="M120" s="294" t="s">
        <v>154</v>
      </c>
      <c r="AG120" s="278" t="s">
        <v>154</v>
      </c>
      <c r="AQ120" s="274">
        <f>SUM(AH121:AH141)</f>
        <v>0</v>
      </c>
      <c r="AR120" s="274">
        <f>SUM(AI121:AI141)</f>
        <v>0</v>
      </c>
      <c r="AS120" s="274">
        <f>SUM(AJ121:AJ141)</f>
        <v>0</v>
      </c>
    </row>
    <row r="121" spans="1:74" ht="14.4" x14ac:dyDescent="0.3">
      <c r="A121" s="290" t="s">
        <v>337</v>
      </c>
      <c r="B121" s="275" t="s">
        <v>902</v>
      </c>
      <c r="C121" s="613" t="s">
        <v>903</v>
      </c>
      <c r="D121" s="614"/>
      <c r="E121" s="275" t="s">
        <v>365</v>
      </c>
      <c r="F121" s="280">
        <v>7</v>
      </c>
      <c r="G121" s="311">
        <v>0</v>
      </c>
      <c r="H121" s="280">
        <f>F121*AM121</f>
        <v>0</v>
      </c>
      <c r="I121" s="280">
        <f>F121*AN121</f>
        <v>0</v>
      </c>
      <c r="J121" s="280">
        <f>F121*G121</f>
        <v>0</v>
      </c>
      <c r="K121" s="280">
        <v>0</v>
      </c>
      <c r="L121" s="280">
        <f>F121*K121</f>
        <v>0</v>
      </c>
      <c r="M121" s="291" t="s">
        <v>472</v>
      </c>
      <c r="X121" s="280">
        <f>IF(AO121="5",BH121,0)</f>
        <v>0</v>
      </c>
      <c r="Z121" s="280">
        <f>IF(AO121="1",BF121,0)</f>
        <v>0</v>
      </c>
      <c r="AA121" s="280">
        <f>IF(AO121="1",BG121,0)</f>
        <v>0</v>
      </c>
      <c r="AB121" s="280">
        <f>IF(AO121="7",BF121,0)</f>
        <v>0</v>
      </c>
      <c r="AC121" s="280">
        <f>IF(AO121="7",BG121,0)</f>
        <v>0</v>
      </c>
      <c r="AD121" s="280">
        <f>IF(AO121="2",BF121,0)</f>
        <v>0</v>
      </c>
      <c r="AE121" s="280">
        <f>IF(AO121="2",BG121,0)</f>
        <v>0</v>
      </c>
      <c r="AF121" s="280">
        <f>IF(AO121="0",BH121,0)</f>
        <v>0</v>
      </c>
      <c r="AG121" s="278" t="s">
        <v>154</v>
      </c>
      <c r="AH121" s="280">
        <f>IF(AL121=0,J121,0)</f>
        <v>0</v>
      </c>
      <c r="AI121" s="280">
        <f>IF(AL121=15,J121,0)</f>
        <v>0</v>
      </c>
      <c r="AJ121" s="280">
        <f>IF(AL121=21,J121,0)</f>
        <v>0</v>
      </c>
      <c r="AL121" s="280">
        <v>15</v>
      </c>
      <c r="AM121" s="280">
        <f>G121*0</f>
        <v>0</v>
      </c>
      <c r="AN121" s="280">
        <f>G121*(1-0)</f>
        <v>0</v>
      </c>
      <c r="AO121" s="281" t="s">
        <v>157</v>
      </c>
      <c r="AT121" s="280">
        <f>AU121+AV121</f>
        <v>0</v>
      </c>
      <c r="AU121" s="280">
        <f>F121*AM121</f>
        <v>0</v>
      </c>
      <c r="AV121" s="280">
        <f>F121*AN121</f>
        <v>0</v>
      </c>
      <c r="AW121" s="281" t="s">
        <v>366</v>
      </c>
      <c r="AX121" s="281" t="s">
        <v>356</v>
      </c>
      <c r="AY121" s="278" t="s">
        <v>164</v>
      </c>
      <c r="BA121" s="280">
        <f>AU121+AV121</f>
        <v>0</v>
      </c>
      <c r="BB121" s="280">
        <f>G121/(100-BC121)*100</f>
        <v>0</v>
      </c>
      <c r="BC121" s="280">
        <v>0</v>
      </c>
      <c r="BD121" s="280">
        <f>L121</f>
        <v>0</v>
      </c>
      <c r="BF121" s="280">
        <f>F121*AM121</f>
        <v>0</v>
      </c>
      <c r="BG121" s="280">
        <f>F121*AN121</f>
        <v>0</v>
      </c>
      <c r="BH121" s="280">
        <f>F121*G121</f>
        <v>0</v>
      </c>
      <c r="BI121" s="280"/>
      <c r="BJ121" s="280">
        <v>89</v>
      </c>
      <c r="BU121" s="280" t="e">
        <f>#REF!</f>
        <v>#REF!</v>
      </c>
      <c r="BV121" s="277" t="s">
        <v>903</v>
      </c>
    </row>
    <row r="122" spans="1:74" ht="13.5" customHeight="1" x14ac:dyDescent="0.3">
      <c r="A122" s="288"/>
      <c r="B122" s="289" t="s">
        <v>165</v>
      </c>
      <c r="C122" s="615" t="s">
        <v>904</v>
      </c>
      <c r="D122" s="616"/>
      <c r="E122" s="616"/>
      <c r="F122" s="616"/>
      <c r="G122" s="616"/>
      <c r="H122" s="616"/>
      <c r="I122" s="616"/>
      <c r="J122" s="616"/>
      <c r="K122" s="616"/>
      <c r="L122" s="616"/>
      <c r="M122" s="617"/>
    </row>
    <row r="123" spans="1:74" ht="14.4" x14ac:dyDescent="0.3">
      <c r="A123" s="290" t="s">
        <v>341</v>
      </c>
      <c r="B123" s="275" t="s">
        <v>905</v>
      </c>
      <c r="C123" s="613" t="s">
        <v>906</v>
      </c>
      <c r="D123" s="614"/>
      <c r="E123" s="275" t="s">
        <v>365</v>
      </c>
      <c r="F123" s="280">
        <v>5</v>
      </c>
      <c r="G123" s="311">
        <v>0</v>
      </c>
      <c r="H123" s="280">
        <f>F123*AM123</f>
        <v>0</v>
      </c>
      <c r="I123" s="280">
        <f>F123*AN123</f>
        <v>0</v>
      </c>
      <c r="J123" s="280">
        <f>F123*G123</f>
        <v>0</v>
      </c>
      <c r="K123" s="280">
        <v>0</v>
      </c>
      <c r="L123" s="280">
        <f>F123*K123</f>
        <v>0</v>
      </c>
      <c r="M123" s="291" t="s">
        <v>472</v>
      </c>
      <c r="X123" s="280">
        <f>IF(AO123="5",BH123,0)</f>
        <v>0</v>
      </c>
      <c r="Z123" s="280">
        <f>IF(AO123="1",BF123,0)</f>
        <v>0</v>
      </c>
      <c r="AA123" s="280">
        <f>IF(AO123="1",BG123,0)</f>
        <v>0</v>
      </c>
      <c r="AB123" s="280">
        <f>IF(AO123="7",BF123,0)</f>
        <v>0</v>
      </c>
      <c r="AC123" s="280">
        <f>IF(AO123="7",BG123,0)</f>
        <v>0</v>
      </c>
      <c r="AD123" s="280">
        <f>IF(AO123="2",BF123,0)</f>
        <v>0</v>
      </c>
      <c r="AE123" s="280">
        <f>IF(AO123="2",BG123,0)</f>
        <v>0</v>
      </c>
      <c r="AF123" s="280">
        <f>IF(AO123="0",BH123,0)</f>
        <v>0</v>
      </c>
      <c r="AG123" s="278" t="s">
        <v>154</v>
      </c>
      <c r="AH123" s="280">
        <f>IF(AL123=0,J123,0)</f>
        <v>0</v>
      </c>
      <c r="AI123" s="280">
        <f>IF(AL123=15,J123,0)</f>
        <v>0</v>
      </c>
      <c r="AJ123" s="280">
        <f>IF(AL123=21,J123,0)</f>
        <v>0</v>
      </c>
      <c r="AL123" s="280">
        <v>15</v>
      </c>
      <c r="AM123" s="280">
        <f>G123*0</f>
        <v>0</v>
      </c>
      <c r="AN123" s="280">
        <f>G123*(1-0)</f>
        <v>0</v>
      </c>
      <c r="AO123" s="281" t="s">
        <v>157</v>
      </c>
      <c r="AT123" s="280">
        <f>AU123+AV123</f>
        <v>0</v>
      </c>
      <c r="AU123" s="280">
        <f>F123*AM123</f>
        <v>0</v>
      </c>
      <c r="AV123" s="280">
        <f>F123*AN123</f>
        <v>0</v>
      </c>
      <c r="AW123" s="281" t="s">
        <v>366</v>
      </c>
      <c r="AX123" s="281" t="s">
        <v>356</v>
      </c>
      <c r="AY123" s="278" t="s">
        <v>164</v>
      </c>
      <c r="BA123" s="280">
        <f>AU123+AV123</f>
        <v>0</v>
      </c>
      <c r="BB123" s="280">
        <f>G123/(100-BC123)*100</f>
        <v>0</v>
      </c>
      <c r="BC123" s="280">
        <v>0</v>
      </c>
      <c r="BD123" s="280">
        <f>L123</f>
        <v>0</v>
      </c>
      <c r="BF123" s="280">
        <f>F123*AM123</f>
        <v>0</v>
      </c>
      <c r="BG123" s="280">
        <f>F123*AN123</f>
        <v>0</v>
      </c>
      <c r="BH123" s="280">
        <f>F123*G123</f>
        <v>0</v>
      </c>
      <c r="BI123" s="280"/>
      <c r="BJ123" s="280">
        <v>89</v>
      </c>
      <c r="BU123" s="280" t="e">
        <f>#REF!</f>
        <v>#REF!</v>
      </c>
      <c r="BV123" s="277" t="s">
        <v>906</v>
      </c>
    </row>
    <row r="124" spans="1:74" ht="13.5" customHeight="1" x14ac:dyDescent="0.3">
      <c r="A124" s="288"/>
      <c r="B124" s="289" t="s">
        <v>165</v>
      </c>
      <c r="C124" s="615" t="s">
        <v>907</v>
      </c>
      <c r="D124" s="616"/>
      <c r="E124" s="616"/>
      <c r="F124" s="616"/>
      <c r="G124" s="616"/>
      <c r="H124" s="616"/>
      <c r="I124" s="616"/>
      <c r="J124" s="616"/>
      <c r="K124" s="616"/>
      <c r="L124" s="616"/>
      <c r="M124" s="617"/>
    </row>
    <row r="125" spans="1:74" ht="14.4" x14ac:dyDescent="0.3">
      <c r="A125" s="290" t="s">
        <v>346</v>
      </c>
      <c r="B125" s="275" t="s">
        <v>908</v>
      </c>
      <c r="C125" s="613" t="s">
        <v>909</v>
      </c>
      <c r="D125" s="614"/>
      <c r="E125" s="275" t="s">
        <v>365</v>
      </c>
      <c r="F125" s="280">
        <v>13</v>
      </c>
      <c r="G125" s="311">
        <v>0</v>
      </c>
      <c r="H125" s="280">
        <f>F125*AM125</f>
        <v>0</v>
      </c>
      <c r="I125" s="280">
        <f>F125*AN125</f>
        <v>0</v>
      </c>
      <c r="J125" s="280">
        <f>F125*G125</f>
        <v>0</v>
      </c>
      <c r="K125" s="280">
        <v>0</v>
      </c>
      <c r="L125" s="280">
        <f>F125*K125</f>
        <v>0</v>
      </c>
      <c r="M125" s="291" t="s">
        <v>472</v>
      </c>
      <c r="X125" s="280">
        <f>IF(AO125="5",BH125,0)</f>
        <v>0</v>
      </c>
      <c r="Z125" s="280">
        <f>IF(AO125="1",BF125,0)</f>
        <v>0</v>
      </c>
      <c r="AA125" s="280">
        <f>IF(AO125="1",BG125,0)</f>
        <v>0</v>
      </c>
      <c r="AB125" s="280">
        <f>IF(AO125="7",BF125,0)</f>
        <v>0</v>
      </c>
      <c r="AC125" s="280">
        <f>IF(AO125="7",BG125,0)</f>
        <v>0</v>
      </c>
      <c r="AD125" s="280">
        <f>IF(AO125="2",BF125,0)</f>
        <v>0</v>
      </c>
      <c r="AE125" s="280">
        <f>IF(AO125="2",BG125,0)</f>
        <v>0</v>
      </c>
      <c r="AF125" s="280">
        <f>IF(AO125="0",BH125,0)</f>
        <v>0</v>
      </c>
      <c r="AG125" s="278" t="s">
        <v>154</v>
      </c>
      <c r="AH125" s="280">
        <f>IF(AL125=0,J125,0)</f>
        <v>0</v>
      </c>
      <c r="AI125" s="280">
        <f>IF(AL125=15,J125,0)</f>
        <v>0</v>
      </c>
      <c r="AJ125" s="280">
        <f>IF(AL125=21,J125,0)</f>
        <v>0</v>
      </c>
      <c r="AL125" s="280">
        <v>15</v>
      </c>
      <c r="AM125" s="280">
        <f>G125*0</f>
        <v>0</v>
      </c>
      <c r="AN125" s="280">
        <f>G125*(1-0)</f>
        <v>0</v>
      </c>
      <c r="AO125" s="281" t="s">
        <v>157</v>
      </c>
      <c r="AT125" s="280">
        <f>AU125+AV125</f>
        <v>0</v>
      </c>
      <c r="AU125" s="280">
        <f>F125*AM125</f>
        <v>0</v>
      </c>
      <c r="AV125" s="280">
        <f>F125*AN125</f>
        <v>0</v>
      </c>
      <c r="AW125" s="281" t="s">
        <v>366</v>
      </c>
      <c r="AX125" s="281" t="s">
        <v>356</v>
      </c>
      <c r="AY125" s="278" t="s">
        <v>164</v>
      </c>
      <c r="BA125" s="280">
        <f>AU125+AV125</f>
        <v>0</v>
      </c>
      <c r="BB125" s="280">
        <f>G125/(100-BC125)*100</f>
        <v>0</v>
      </c>
      <c r="BC125" s="280">
        <v>0</v>
      </c>
      <c r="BD125" s="280">
        <f>L125</f>
        <v>0</v>
      </c>
      <c r="BF125" s="280">
        <f>F125*AM125</f>
        <v>0</v>
      </c>
      <c r="BG125" s="280">
        <f>F125*AN125</f>
        <v>0</v>
      </c>
      <c r="BH125" s="280">
        <f>F125*G125</f>
        <v>0</v>
      </c>
      <c r="BI125" s="280"/>
      <c r="BJ125" s="280">
        <v>89</v>
      </c>
      <c r="BU125" s="280" t="e">
        <f>#REF!</f>
        <v>#REF!</v>
      </c>
      <c r="BV125" s="277" t="s">
        <v>909</v>
      </c>
    </row>
    <row r="126" spans="1:74" ht="13.5" customHeight="1" x14ac:dyDescent="0.3">
      <c r="A126" s="288"/>
      <c r="B126" s="289" t="s">
        <v>165</v>
      </c>
      <c r="C126" s="615" t="s">
        <v>910</v>
      </c>
      <c r="D126" s="616"/>
      <c r="E126" s="616"/>
      <c r="F126" s="616"/>
      <c r="G126" s="616"/>
      <c r="H126" s="616"/>
      <c r="I126" s="616"/>
      <c r="J126" s="616"/>
      <c r="K126" s="616"/>
      <c r="L126" s="616"/>
      <c r="M126" s="617"/>
    </row>
    <row r="127" spans="1:74" ht="14.4" x14ac:dyDescent="0.3">
      <c r="A127" s="290" t="s">
        <v>352</v>
      </c>
      <c r="B127" s="275" t="s">
        <v>911</v>
      </c>
      <c r="C127" s="613" t="s">
        <v>912</v>
      </c>
      <c r="D127" s="614"/>
      <c r="E127" s="275" t="s">
        <v>365</v>
      </c>
      <c r="F127" s="280">
        <v>12</v>
      </c>
      <c r="G127" s="311">
        <v>0</v>
      </c>
      <c r="H127" s="280">
        <f>F127*AM127</f>
        <v>0</v>
      </c>
      <c r="I127" s="280">
        <f>F127*AN127</f>
        <v>0</v>
      </c>
      <c r="J127" s="280">
        <f>F127*G127</f>
        <v>0</v>
      </c>
      <c r="K127" s="280">
        <v>0</v>
      </c>
      <c r="L127" s="280">
        <f>F127*K127</f>
        <v>0</v>
      </c>
      <c r="M127" s="291" t="s">
        <v>472</v>
      </c>
      <c r="X127" s="280">
        <f>IF(AO127="5",BH127,0)</f>
        <v>0</v>
      </c>
      <c r="Z127" s="280">
        <f>IF(AO127="1",BF127,0)</f>
        <v>0</v>
      </c>
      <c r="AA127" s="280">
        <f>IF(AO127="1",BG127,0)</f>
        <v>0</v>
      </c>
      <c r="AB127" s="280">
        <f>IF(AO127="7",BF127,0)</f>
        <v>0</v>
      </c>
      <c r="AC127" s="280">
        <f>IF(AO127="7",BG127,0)</f>
        <v>0</v>
      </c>
      <c r="AD127" s="280">
        <f>IF(AO127="2",BF127,0)</f>
        <v>0</v>
      </c>
      <c r="AE127" s="280">
        <f>IF(AO127="2",BG127,0)</f>
        <v>0</v>
      </c>
      <c r="AF127" s="280">
        <f>IF(AO127="0",BH127,0)</f>
        <v>0</v>
      </c>
      <c r="AG127" s="278" t="s">
        <v>154</v>
      </c>
      <c r="AH127" s="280">
        <f>IF(AL127=0,J127,0)</f>
        <v>0</v>
      </c>
      <c r="AI127" s="280">
        <f>IF(AL127=15,J127,0)</f>
        <v>0</v>
      </c>
      <c r="AJ127" s="280">
        <f>IF(AL127=21,J127,0)</f>
        <v>0</v>
      </c>
      <c r="AL127" s="280">
        <v>15</v>
      </c>
      <c r="AM127" s="280">
        <f>G127*0</f>
        <v>0</v>
      </c>
      <c r="AN127" s="280">
        <f>G127*(1-0)</f>
        <v>0</v>
      </c>
      <c r="AO127" s="281" t="s">
        <v>157</v>
      </c>
      <c r="AT127" s="280">
        <f>AU127+AV127</f>
        <v>0</v>
      </c>
      <c r="AU127" s="280">
        <f>F127*AM127</f>
        <v>0</v>
      </c>
      <c r="AV127" s="280">
        <f>F127*AN127</f>
        <v>0</v>
      </c>
      <c r="AW127" s="281" t="s">
        <v>366</v>
      </c>
      <c r="AX127" s="281" t="s">
        <v>356</v>
      </c>
      <c r="AY127" s="278" t="s">
        <v>164</v>
      </c>
      <c r="BA127" s="280">
        <f>AU127+AV127</f>
        <v>0</v>
      </c>
      <c r="BB127" s="280">
        <f>G127/(100-BC127)*100</f>
        <v>0</v>
      </c>
      <c r="BC127" s="280">
        <v>0</v>
      </c>
      <c r="BD127" s="280">
        <f>L127</f>
        <v>0</v>
      </c>
      <c r="BF127" s="280">
        <f>F127*AM127</f>
        <v>0</v>
      </c>
      <c r="BG127" s="280">
        <f>F127*AN127</f>
        <v>0</v>
      </c>
      <c r="BH127" s="280">
        <f>F127*G127</f>
        <v>0</v>
      </c>
      <c r="BI127" s="280"/>
      <c r="BJ127" s="280">
        <v>89</v>
      </c>
      <c r="BU127" s="280" t="e">
        <f>#REF!</f>
        <v>#REF!</v>
      </c>
      <c r="BV127" s="277" t="s">
        <v>912</v>
      </c>
    </row>
    <row r="128" spans="1:74" ht="13.5" customHeight="1" x14ac:dyDescent="0.3">
      <c r="A128" s="288"/>
      <c r="B128" s="289" t="s">
        <v>165</v>
      </c>
      <c r="C128" s="615" t="s">
        <v>913</v>
      </c>
      <c r="D128" s="616"/>
      <c r="E128" s="616"/>
      <c r="F128" s="616"/>
      <c r="G128" s="616"/>
      <c r="H128" s="616"/>
      <c r="I128" s="616"/>
      <c r="J128" s="616"/>
      <c r="K128" s="616"/>
      <c r="L128" s="616"/>
      <c r="M128" s="617"/>
    </row>
    <row r="129" spans="1:74" ht="14.4" x14ac:dyDescent="0.3">
      <c r="A129" s="290" t="s">
        <v>357</v>
      </c>
      <c r="B129" s="275" t="s">
        <v>914</v>
      </c>
      <c r="C129" s="613" t="s">
        <v>915</v>
      </c>
      <c r="D129" s="614"/>
      <c r="E129" s="275" t="s">
        <v>365</v>
      </c>
      <c r="F129" s="280">
        <v>18</v>
      </c>
      <c r="G129" s="311">
        <v>0</v>
      </c>
      <c r="H129" s="280">
        <f>F129*AM129</f>
        <v>0</v>
      </c>
      <c r="I129" s="280">
        <f>F129*AN129</f>
        <v>0</v>
      </c>
      <c r="J129" s="280">
        <f>F129*G129</f>
        <v>0</v>
      </c>
      <c r="K129" s="280">
        <v>0</v>
      </c>
      <c r="L129" s="280">
        <f>F129*K129</f>
        <v>0</v>
      </c>
      <c r="M129" s="291" t="s">
        <v>472</v>
      </c>
      <c r="X129" s="280">
        <f>IF(AO129="5",BH129,0)</f>
        <v>0</v>
      </c>
      <c r="Z129" s="280">
        <f>IF(AO129="1",BF129,0)</f>
        <v>0</v>
      </c>
      <c r="AA129" s="280">
        <f>IF(AO129="1",BG129,0)</f>
        <v>0</v>
      </c>
      <c r="AB129" s="280">
        <f>IF(AO129="7",BF129,0)</f>
        <v>0</v>
      </c>
      <c r="AC129" s="280">
        <f>IF(AO129="7",BG129,0)</f>
        <v>0</v>
      </c>
      <c r="AD129" s="280">
        <f>IF(AO129="2",BF129,0)</f>
        <v>0</v>
      </c>
      <c r="AE129" s="280">
        <f>IF(AO129="2",BG129,0)</f>
        <v>0</v>
      </c>
      <c r="AF129" s="280">
        <f>IF(AO129="0",BH129,0)</f>
        <v>0</v>
      </c>
      <c r="AG129" s="278" t="s">
        <v>154</v>
      </c>
      <c r="AH129" s="280">
        <f>IF(AL129=0,J129,0)</f>
        <v>0</v>
      </c>
      <c r="AI129" s="280">
        <f>IF(AL129=15,J129,0)</f>
        <v>0</v>
      </c>
      <c r="AJ129" s="280">
        <f>IF(AL129=21,J129,0)</f>
        <v>0</v>
      </c>
      <c r="AL129" s="280">
        <v>15</v>
      </c>
      <c r="AM129" s="280">
        <f>G129*0</f>
        <v>0</v>
      </c>
      <c r="AN129" s="280">
        <f>G129*(1-0)</f>
        <v>0</v>
      </c>
      <c r="AO129" s="281" t="s">
        <v>157</v>
      </c>
      <c r="AT129" s="280">
        <f>AU129+AV129</f>
        <v>0</v>
      </c>
      <c r="AU129" s="280">
        <f>F129*AM129</f>
        <v>0</v>
      </c>
      <c r="AV129" s="280">
        <f>F129*AN129</f>
        <v>0</v>
      </c>
      <c r="AW129" s="281" t="s">
        <v>366</v>
      </c>
      <c r="AX129" s="281" t="s">
        <v>356</v>
      </c>
      <c r="AY129" s="278" t="s">
        <v>164</v>
      </c>
      <c r="BA129" s="280">
        <f>AU129+AV129</f>
        <v>0</v>
      </c>
      <c r="BB129" s="280">
        <f>G129/(100-BC129)*100</f>
        <v>0</v>
      </c>
      <c r="BC129" s="280">
        <v>0</v>
      </c>
      <c r="BD129" s="280">
        <f>L129</f>
        <v>0</v>
      </c>
      <c r="BF129" s="280">
        <f>F129*AM129</f>
        <v>0</v>
      </c>
      <c r="BG129" s="280">
        <f>F129*AN129</f>
        <v>0</v>
      </c>
      <c r="BH129" s="280">
        <f>F129*G129</f>
        <v>0</v>
      </c>
      <c r="BI129" s="280"/>
      <c r="BJ129" s="280">
        <v>89</v>
      </c>
      <c r="BU129" s="280" t="e">
        <f>#REF!</f>
        <v>#REF!</v>
      </c>
      <c r="BV129" s="277" t="s">
        <v>915</v>
      </c>
    </row>
    <row r="130" spans="1:74" ht="13.5" customHeight="1" x14ac:dyDescent="0.3">
      <c r="A130" s="288"/>
      <c r="B130" s="289" t="s">
        <v>165</v>
      </c>
      <c r="C130" s="615" t="s">
        <v>916</v>
      </c>
      <c r="D130" s="616"/>
      <c r="E130" s="616"/>
      <c r="F130" s="616"/>
      <c r="G130" s="616"/>
      <c r="H130" s="616"/>
      <c r="I130" s="616"/>
      <c r="J130" s="616"/>
      <c r="K130" s="616"/>
      <c r="L130" s="616"/>
      <c r="M130" s="617"/>
    </row>
    <row r="131" spans="1:74" ht="14.4" x14ac:dyDescent="0.3">
      <c r="A131" s="290" t="s">
        <v>362</v>
      </c>
      <c r="B131" s="275" t="s">
        <v>917</v>
      </c>
      <c r="C131" s="613" t="s">
        <v>918</v>
      </c>
      <c r="D131" s="614"/>
      <c r="E131" s="275" t="s">
        <v>365</v>
      </c>
      <c r="F131" s="280">
        <v>12</v>
      </c>
      <c r="G131" s="311">
        <v>0</v>
      </c>
      <c r="H131" s="280">
        <f>F131*AM131</f>
        <v>0</v>
      </c>
      <c r="I131" s="280">
        <f>F131*AN131</f>
        <v>0</v>
      </c>
      <c r="J131" s="280">
        <f>F131*G131</f>
        <v>0</v>
      </c>
      <c r="K131" s="280">
        <v>1.17E-2</v>
      </c>
      <c r="L131" s="280">
        <f>F131*K131</f>
        <v>0.1404</v>
      </c>
      <c r="M131" s="291" t="s">
        <v>472</v>
      </c>
      <c r="X131" s="280">
        <f>IF(AO131="5",BH131,0)</f>
        <v>0</v>
      </c>
      <c r="Z131" s="280">
        <f>IF(AO131="1",BF131,0)</f>
        <v>0</v>
      </c>
      <c r="AA131" s="280">
        <f>IF(AO131="1",BG131,0)</f>
        <v>0</v>
      </c>
      <c r="AB131" s="280">
        <f>IF(AO131="7",BF131,0)</f>
        <v>0</v>
      </c>
      <c r="AC131" s="280">
        <f>IF(AO131="7",BG131,0)</f>
        <v>0</v>
      </c>
      <c r="AD131" s="280">
        <f>IF(AO131="2",BF131,0)</f>
        <v>0</v>
      </c>
      <c r="AE131" s="280">
        <f>IF(AO131="2",BG131,0)</f>
        <v>0</v>
      </c>
      <c r="AF131" s="280">
        <f>IF(AO131="0",BH131,0)</f>
        <v>0</v>
      </c>
      <c r="AG131" s="278" t="s">
        <v>154</v>
      </c>
      <c r="AH131" s="280">
        <f>IF(AL131=0,J131,0)</f>
        <v>0</v>
      </c>
      <c r="AI131" s="280">
        <f>IF(AL131=15,J131,0)</f>
        <v>0</v>
      </c>
      <c r="AJ131" s="280">
        <f>IF(AL131=21,J131,0)</f>
        <v>0</v>
      </c>
      <c r="AL131" s="280">
        <v>15</v>
      </c>
      <c r="AM131" s="280">
        <f>G131*0.018124281</f>
        <v>0</v>
      </c>
      <c r="AN131" s="280">
        <f>G131*(1-0.018124281)</f>
        <v>0</v>
      </c>
      <c r="AO131" s="281" t="s">
        <v>157</v>
      </c>
      <c r="AT131" s="280">
        <f>AU131+AV131</f>
        <v>0</v>
      </c>
      <c r="AU131" s="280">
        <f>F131*AM131</f>
        <v>0</v>
      </c>
      <c r="AV131" s="280">
        <f>F131*AN131</f>
        <v>0</v>
      </c>
      <c r="AW131" s="281" t="s">
        <v>366</v>
      </c>
      <c r="AX131" s="281" t="s">
        <v>356</v>
      </c>
      <c r="AY131" s="278" t="s">
        <v>164</v>
      </c>
      <c r="BA131" s="280">
        <f>AU131+AV131</f>
        <v>0</v>
      </c>
      <c r="BB131" s="280">
        <f>G131/(100-BC131)*100</f>
        <v>0</v>
      </c>
      <c r="BC131" s="280">
        <v>0</v>
      </c>
      <c r="BD131" s="280">
        <f>L131</f>
        <v>0.1404</v>
      </c>
      <c r="BF131" s="280">
        <f>F131*AM131</f>
        <v>0</v>
      </c>
      <c r="BG131" s="280">
        <f>F131*AN131</f>
        <v>0</v>
      </c>
      <c r="BH131" s="280">
        <f>F131*G131</f>
        <v>0</v>
      </c>
      <c r="BI131" s="280"/>
      <c r="BJ131" s="280">
        <v>89</v>
      </c>
      <c r="BU131" s="280" t="e">
        <f>#REF!</f>
        <v>#REF!</v>
      </c>
      <c r="BV131" s="277" t="s">
        <v>918</v>
      </c>
    </row>
    <row r="132" spans="1:74" ht="13.5" customHeight="1" x14ac:dyDescent="0.3">
      <c r="A132" s="288"/>
      <c r="B132" s="289" t="s">
        <v>165</v>
      </c>
      <c r="C132" s="615" t="s">
        <v>919</v>
      </c>
      <c r="D132" s="616"/>
      <c r="E132" s="616"/>
      <c r="F132" s="616"/>
      <c r="G132" s="616"/>
      <c r="H132" s="616"/>
      <c r="I132" s="616"/>
      <c r="J132" s="616"/>
      <c r="K132" s="616"/>
      <c r="L132" s="616"/>
      <c r="M132" s="617"/>
    </row>
    <row r="133" spans="1:74" ht="14.4" x14ac:dyDescent="0.3">
      <c r="A133" s="290" t="s">
        <v>367</v>
      </c>
      <c r="B133" s="275" t="s">
        <v>920</v>
      </c>
      <c r="C133" s="613" t="s">
        <v>921</v>
      </c>
      <c r="D133" s="614"/>
      <c r="E133" s="275" t="s">
        <v>160</v>
      </c>
      <c r="F133" s="280">
        <v>312</v>
      </c>
      <c r="G133" s="311">
        <v>0</v>
      </c>
      <c r="H133" s="280">
        <f>F133*AM133</f>
        <v>0</v>
      </c>
      <c r="I133" s="280">
        <f>F133*AN133</f>
        <v>0</v>
      </c>
      <c r="J133" s="280">
        <f>F133*G133</f>
        <v>0</v>
      </c>
      <c r="K133" s="280">
        <v>0</v>
      </c>
      <c r="L133" s="280">
        <f>F133*K133</f>
        <v>0</v>
      </c>
      <c r="M133" s="291" t="s">
        <v>472</v>
      </c>
      <c r="X133" s="280">
        <f>IF(AO133="5",BH133,0)</f>
        <v>0</v>
      </c>
      <c r="Z133" s="280">
        <f>IF(AO133="1",BF133,0)</f>
        <v>0</v>
      </c>
      <c r="AA133" s="280">
        <f>IF(AO133="1",BG133,0)</f>
        <v>0</v>
      </c>
      <c r="AB133" s="280">
        <f>IF(AO133="7",BF133,0)</f>
        <v>0</v>
      </c>
      <c r="AC133" s="280">
        <f>IF(AO133="7",BG133,0)</f>
        <v>0</v>
      </c>
      <c r="AD133" s="280">
        <f>IF(AO133="2",BF133,0)</f>
        <v>0</v>
      </c>
      <c r="AE133" s="280">
        <f>IF(AO133="2",BG133,0)</f>
        <v>0</v>
      </c>
      <c r="AF133" s="280">
        <f>IF(AO133="0",BH133,0)</f>
        <v>0</v>
      </c>
      <c r="AG133" s="278" t="s">
        <v>154</v>
      </c>
      <c r="AH133" s="280">
        <f>IF(AL133=0,J133,0)</f>
        <v>0</v>
      </c>
      <c r="AI133" s="280">
        <f>IF(AL133=15,J133,0)</f>
        <v>0</v>
      </c>
      <c r="AJ133" s="280">
        <f>IF(AL133=21,J133,0)</f>
        <v>0</v>
      </c>
      <c r="AL133" s="280">
        <v>15</v>
      </c>
      <c r="AM133" s="280">
        <f>G133*0.00810545</f>
        <v>0</v>
      </c>
      <c r="AN133" s="280">
        <f>G133*(1-0.00810545)</f>
        <v>0</v>
      </c>
      <c r="AO133" s="281" t="s">
        <v>157</v>
      </c>
      <c r="AT133" s="280">
        <f>AU133+AV133</f>
        <v>0</v>
      </c>
      <c r="AU133" s="280">
        <f>F133*AM133</f>
        <v>0</v>
      </c>
      <c r="AV133" s="280">
        <f>F133*AN133</f>
        <v>0</v>
      </c>
      <c r="AW133" s="281" t="s">
        <v>366</v>
      </c>
      <c r="AX133" s="281" t="s">
        <v>356</v>
      </c>
      <c r="AY133" s="278" t="s">
        <v>164</v>
      </c>
      <c r="BA133" s="280">
        <f>AU133+AV133</f>
        <v>0</v>
      </c>
      <c r="BB133" s="280">
        <f>G133/(100-BC133)*100</f>
        <v>0</v>
      </c>
      <c r="BC133" s="280">
        <v>0</v>
      </c>
      <c r="BD133" s="280">
        <f>L133</f>
        <v>0</v>
      </c>
      <c r="BF133" s="280">
        <f>F133*AM133</f>
        <v>0</v>
      </c>
      <c r="BG133" s="280">
        <f>F133*AN133</f>
        <v>0</v>
      </c>
      <c r="BH133" s="280">
        <f>F133*G133</f>
        <v>0</v>
      </c>
      <c r="BI133" s="280"/>
      <c r="BJ133" s="280">
        <v>89</v>
      </c>
      <c r="BU133" s="280" t="e">
        <f>#REF!</f>
        <v>#REF!</v>
      </c>
      <c r="BV133" s="277" t="s">
        <v>921</v>
      </c>
    </row>
    <row r="134" spans="1:74" ht="40.5" customHeight="1" x14ac:dyDescent="0.3">
      <c r="A134" s="288"/>
      <c r="B134" s="289" t="s">
        <v>165</v>
      </c>
      <c r="C134" s="615" t="s">
        <v>1926</v>
      </c>
      <c r="D134" s="616"/>
      <c r="E134" s="616"/>
      <c r="F134" s="616"/>
      <c r="G134" s="616"/>
      <c r="H134" s="616"/>
      <c r="I134" s="616"/>
      <c r="J134" s="616"/>
      <c r="K134" s="616"/>
      <c r="L134" s="616"/>
      <c r="M134" s="617"/>
    </row>
    <row r="135" spans="1:74" ht="14.4" x14ac:dyDescent="0.3">
      <c r="A135" s="290" t="s">
        <v>305</v>
      </c>
      <c r="B135" s="275" t="s">
        <v>922</v>
      </c>
      <c r="C135" s="613" t="s">
        <v>923</v>
      </c>
      <c r="D135" s="614"/>
      <c r="E135" s="275" t="s">
        <v>924</v>
      </c>
      <c r="F135" s="280">
        <v>11</v>
      </c>
      <c r="G135" s="311">
        <v>0</v>
      </c>
      <c r="H135" s="280">
        <f>F135*AM135</f>
        <v>0</v>
      </c>
      <c r="I135" s="280">
        <f>F135*AN135</f>
        <v>0</v>
      </c>
      <c r="J135" s="280">
        <f>F135*G135</f>
        <v>0</v>
      </c>
      <c r="K135" s="280">
        <v>4.0999999999999999E-4</v>
      </c>
      <c r="L135" s="280">
        <f>F135*K135</f>
        <v>4.5100000000000001E-3</v>
      </c>
      <c r="M135" s="291" t="s">
        <v>472</v>
      </c>
      <c r="X135" s="280">
        <f>IF(AO135="5",BH135,0)</f>
        <v>0</v>
      </c>
      <c r="Z135" s="280">
        <f>IF(AO135="1",BF135,0)</f>
        <v>0</v>
      </c>
      <c r="AA135" s="280">
        <f>IF(AO135="1",BG135,0)</f>
        <v>0</v>
      </c>
      <c r="AB135" s="280">
        <f>IF(AO135="7",BF135,0)</f>
        <v>0</v>
      </c>
      <c r="AC135" s="280">
        <f>IF(AO135="7",BG135,0)</f>
        <v>0</v>
      </c>
      <c r="AD135" s="280">
        <f>IF(AO135="2",BF135,0)</f>
        <v>0</v>
      </c>
      <c r="AE135" s="280">
        <f>IF(AO135="2",BG135,0)</f>
        <v>0</v>
      </c>
      <c r="AF135" s="280">
        <f>IF(AO135="0",BH135,0)</f>
        <v>0</v>
      </c>
      <c r="AG135" s="278" t="s">
        <v>154</v>
      </c>
      <c r="AH135" s="280">
        <f>IF(AL135=0,J135,0)</f>
        <v>0</v>
      </c>
      <c r="AI135" s="280">
        <f>IF(AL135=15,J135,0)</f>
        <v>0</v>
      </c>
      <c r="AJ135" s="280">
        <f>IF(AL135=21,J135,0)</f>
        <v>0</v>
      </c>
      <c r="AL135" s="280">
        <v>15</v>
      </c>
      <c r="AM135" s="280">
        <f>G135*0.120871568</f>
        <v>0</v>
      </c>
      <c r="AN135" s="280">
        <f>G135*(1-0.120871568)</f>
        <v>0</v>
      </c>
      <c r="AO135" s="281" t="s">
        <v>157</v>
      </c>
      <c r="AT135" s="280">
        <f>AU135+AV135</f>
        <v>0</v>
      </c>
      <c r="AU135" s="280">
        <f>F135*AM135</f>
        <v>0</v>
      </c>
      <c r="AV135" s="280">
        <f>F135*AN135</f>
        <v>0</v>
      </c>
      <c r="AW135" s="281" t="s">
        <v>366</v>
      </c>
      <c r="AX135" s="281" t="s">
        <v>356</v>
      </c>
      <c r="AY135" s="278" t="s">
        <v>164</v>
      </c>
      <c r="BA135" s="280">
        <f>AU135+AV135</f>
        <v>0</v>
      </c>
      <c r="BB135" s="280">
        <f>G135/(100-BC135)*100</f>
        <v>0</v>
      </c>
      <c r="BC135" s="280">
        <v>0</v>
      </c>
      <c r="BD135" s="280">
        <f>L135</f>
        <v>4.5100000000000001E-3</v>
      </c>
      <c r="BF135" s="280">
        <f>F135*AM135</f>
        <v>0</v>
      </c>
      <c r="BG135" s="280">
        <f>F135*AN135</f>
        <v>0</v>
      </c>
      <c r="BH135" s="280">
        <f>F135*G135</f>
        <v>0</v>
      </c>
      <c r="BI135" s="280"/>
      <c r="BJ135" s="280">
        <v>89</v>
      </c>
      <c r="BU135" s="280" t="e">
        <f>#REF!</f>
        <v>#REF!</v>
      </c>
      <c r="BV135" s="277" t="s">
        <v>923</v>
      </c>
    </row>
    <row r="136" spans="1:74" ht="40.5" customHeight="1" x14ac:dyDescent="0.3">
      <c r="A136" s="292"/>
      <c r="B136" s="293" t="s">
        <v>165</v>
      </c>
      <c r="C136" s="618" t="s">
        <v>1927</v>
      </c>
      <c r="D136" s="619"/>
      <c r="E136" s="619"/>
      <c r="F136" s="619"/>
      <c r="G136" s="619"/>
      <c r="H136" s="619"/>
      <c r="I136" s="619"/>
      <c r="J136" s="619"/>
      <c r="K136" s="619"/>
      <c r="L136" s="619"/>
      <c r="M136" s="620"/>
    </row>
    <row r="137" spans="1:74" ht="14.4" x14ac:dyDescent="0.3">
      <c r="A137" s="284" t="s">
        <v>335</v>
      </c>
      <c r="B137" s="285" t="s">
        <v>1006</v>
      </c>
      <c r="C137" s="622" t="s">
        <v>1007</v>
      </c>
      <c r="D137" s="623"/>
      <c r="E137" s="285" t="s">
        <v>160</v>
      </c>
      <c r="F137" s="286">
        <v>312</v>
      </c>
      <c r="G137" s="311">
        <v>0</v>
      </c>
      <c r="H137" s="286">
        <f>F137*AM137</f>
        <v>0</v>
      </c>
      <c r="I137" s="286">
        <f>F137*AN137</f>
        <v>0</v>
      </c>
      <c r="J137" s="286">
        <f>F137*G137</f>
        <v>0</v>
      </c>
      <c r="K137" s="286">
        <v>0</v>
      </c>
      <c r="L137" s="286">
        <f>F137*K137</f>
        <v>0</v>
      </c>
      <c r="M137" s="287" t="s">
        <v>472</v>
      </c>
      <c r="X137" s="280">
        <f>IF(AO137="5",BH137,0)</f>
        <v>0</v>
      </c>
      <c r="Z137" s="280">
        <f>IF(AO137="1",BF137,0)</f>
        <v>0</v>
      </c>
      <c r="AA137" s="280">
        <f>IF(AO137="1",BG137,0)</f>
        <v>0</v>
      </c>
      <c r="AB137" s="280">
        <f>IF(AO137="7",BF137,0)</f>
        <v>0</v>
      </c>
      <c r="AC137" s="280">
        <f>IF(AO137="7",BG137,0)</f>
        <v>0</v>
      </c>
      <c r="AD137" s="280">
        <f>IF(AO137="2",BF137,0)</f>
        <v>0</v>
      </c>
      <c r="AE137" s="280">
        <f>IF(AO137="2",BG137,0)</f>
        <v>0</v>
      </c>
      <c r="AF137" s="280">
        <f>IF(AO137="0",BH137,0)</f>
        <v>0</v>
      </c>
      <c r="AG137" s="278" t="s">
        <v>154</v>
      </c>
      <c r="AH137" s="280">
        <f>IF(AL137=0,J137,0)</f>
        <v>0</v>
      </c>
      <c r="AI137" s="280">
        <f>IF(AL137=15,J137,0)</f>
        <v>0</v>
      </c>
      <c r="AJ137" s="280">
        <f>IF(AL137=21,J137,0)</f>
        <v>0</v>
      </c>
      <c r="AL137" s="280">
        <v>15</v>
      </c>
      <c r="AM137" s="280">
        <f>G137*0.134557596</f>
        <v>0</v>
      </c>
      <c r="AN137" s="280">
        <f>G137*(1-0.134557596)</f>
        <v>0</v>
      </c>
      <c r="AO137" s="281" t="s">
        <v>157</v>
      </c>
      <c r="AT137" s="280">
        <f>AU137+AV137</f>
        <v>0</v>
      </c>
      <c r="AU137" s="280">
        <f>F137*AM137</f>
        <v>0</v>
      </c>
      <c r="AV137" s="280">
        <f>F137*AN137</f>
        <v>0</v>
      </c>
      <c r="AW137" s="281" t="s">
        <v>366</v>
      </c>
      <c r="AX137" s="281" t="s">
        <v>356</v>
      </c>
      <c r="AY137" s="278" t="s">
        <v>164</v>
      </c>
      <c r="BA137" s="280">
        <f>AU137+AV137</f>
        <v>0</v>
      </c>
      <c r="BB137" s="280">
        <f>G137/(100-BC137)*100</f>
        <v>0</v>
      </c>
      <c r="BC137" s="280">
        <v>0</v>
      </c>
      <c r="BD137" s="280">
        <f>L137</f>
        <v>0</v>
      </c>
      <c r="BF137" s="280">
        <f>F137*AM137</f>
        <v>0</v>
      </c>
      <c r="BG137" s="280">
        <f>F137*AN137</f>
        <v>0</v>
      </c>
      <c r="BH137" s="280">
        <f>F137*G137</f>
        <v>0</v>
      </c>
      <c r="BI137" s="280"/>
      <c r="BJ137" s="280">
        <v>89</v>
      </c>
      <c r="BU137" s="280" t="e">
        <f>#REF!</f>
        <v>#REF!</v>
      </c>
      <c r="BV137" s="277" t="s">
        <v>1007</v>
      </c>
    </row>
    <row r="138" spans="1:74" ht="40.5" customHeight="1" x14ac:dyDescent="0.3">
      <c r="A138" s="288"/>
      <c r="B138" s="289" t="s">
        <v>165</v>
      </c>
      <c r="C138" s="615" t="s">
        <v>1928</v>
      </c>
      <c r="D138" s="616"/>
      <c r="E138" s="616"/>
      <c r="F138" s="616"/>
      <c r="G138" s="616"/>
      <c r="H138" s="616"/>
      <c r="I138" s="616"/>
      <c r="J138" s="616"/>
      <c r="K138" s="616"/>
      <c r="L138" s="616"/>
      <c r="M138" s="617"/>
    </row>
    <row r="139" spans="1:74" ht="14.4" x14ac:dyDescent="0.3">
      <c r="A139" s="290" t="s">
        <v>384</v>
      </c>
      <c r="B139" s="275" t="s">
        <v>927</v>
      </c>
      <c r="C139" s="613" t="s">
        <v>928</v>
      </c>
      <c r="D139" s="614"/>
      <c r="E139" s="275" t="s">
        <v>160</v>
      </c>
      <c r="F139" s="280">
        <v>312</v>
      </c>
      <c r="G139" s="311">
        <v>0</v>
      </c>
      <c r="H139" s="280">
        <f>F139*AM139</f>
        <v>0</v>
      </c>
      <c r="I139" s="280">
        <f>F139*AN139</f>
        <v>0</v>
      </c>
      <c r="J139" s="280">
        <f>F139*G139</f>
        <v>0</v>
      </c>
      <c r="K139" s="280">
        <v>0</v>
      </c>
      <c r="L139" s="280">
        <f>F139*K139</f>
        <v>0</v>
      </c>
      <c r="M139" s="291" t="s">
        <v>472</v>
      </c>
      <c r="X139" s="280">
        <f>IF(AO139="5",BH139,0)</f>
        <v>0</v>
      </c>
      <c r="Z139" s="280">
        <f>IF(AO139="1",BF139,0)</f>
        <v>0</v>
      </c>
      <c r="AA139" s="280">
        <f>IF(AO139="1",BG139,0)</f>
        <v>0</v>
      </c>
      <c r="AB139" s="280">
        <f>IF(AO139="7",BF139,0)</f>
        <v>0</v>
      </c>
      <c r="AC139" s="280">
        <f>IF(AO139="7",BG139,0)</f>
        <v>0</v>
      </c>
      <c r="AD139" s="280">
        <f>IF(AO139="2",BF139,0)</f>
        <v>0</v>
      </c>
      <c r="AE139" s="280">
        <f>IF(AO139="2",BG139,0)</f>
        <v>0</v>
      </c>
      <c r="AF139" s="280">
        <f>IF(AO139="0",BH139,0)</f>
        <v>0</v>
      </c>
      <c r="AG139" s="278" t="s">
        <v>154</v>
      </c>
      <c r="AH139" s="280">
        <f>IF(AL139=0,J139,0)</f>
        <v>0</v>
      </c>
      <c r="AI139" s="280">
        <f>IF(AL139=15,J139,0)</f>
        <v>0</v>
      </c>
      <c r="AJ139" s="280">
        <f>IF(AL139=21,J139,0)</f>
        <v>0</v>
      </c>
      <c r="AL139" s="280">
        <v>15</v>
      </c>
      <c r="AM139" s="280">
        <f>G139*0</f>
        <v>0</v>
      </c>
      <c r="AN139" s="280">
        <f>G139*(1-0)</f>
        <v>0</v>
      </c>
      <c r="AO139" s="281" t="s">
        <v>157</v>
      </c>
      <c r="AT139" s="280">
        <f>AU139+AV139</f>
        <v>0</v>
      </c>
      <c r="AU139" s="280">
        <f>F139*AM139</f>
        <v>0</v>
      </c>
      <c r="AV139" s="280">
        <f>F139*AN139</f>
        <v>0</v>
      </c>
      <c r="AW139" s="281" t="s">
        <v>366</v>
      </c>
      <c r="AX139" s="281" t="s">
        <v>356</v>
      </c>
      <c r="AY139" s="278" t="s">
        <v>164</v>
      </c>
      <c r="BA139" s="280">
        <f>AU139+AV139</f>
        <v>0</v>
      </c>
      <c r="BB139" s="280">
        <f>G139/(100-BC139)*100</f>
        <v>0</v>
      </c>
      <c r="BC139" s="280">
        <v>0</v>
      </c>
      <c r="BD139" s="280">
        <f>L139</f>
        <v>0</v>
      </c>
      <c r="BF139" s="280">
        <f>F139*AM139</f>
        <v>0</v>
      </c>
      <c r="BG139" s="280">
        <f>F139*AN139</f>
        <v>0</v>
      </c>
      <c r="BH139" s="280">
        <f>F139*G139</f>
        <v>0</v>
      </c>
      <c r="BI139" s="280"/>
      <c r="BJ139" s="280">
        <v>89</v>
      </c>
      <c r="BU139" s="280" t="e">
        <f>#REF!</f>
        <v>#REF!</v>
      </c>
      <c r="BV139" s="277" t="s">
        <v>928</v>
      </c>
    </row>
    <row r="140" spans="1:74" ht="40.5" customHeight="1" x14ac:dyDescent="0.3">
      <c r="A140" s="288"/>
      <c r="B140" s="289" t="s">
        <v>165</v>
      </c>
      <c r="C140" s="615" t="s">
        <v>1929</v>
      </c>
      <c r="D140" s="616"/>
      <c r="E140" s="616"/>
      <c r="F140" s="616"/>
      <c r="G140" s="616"/>
      <c r="H140" s="616"/>
      <c r="I140" s="616"/>
      <c r="J140" s="616"/>
      <c r="K140" s="616"/>
      <c r="L140" s="616"/>
      <c r="M140" s="617"/>
    </row>
    <row r="141" spans="1:74" ht="14.4" x14ac:dyDescent="0.3">
      <c r="A141" s="290" t="s">
        <v>344</v>
      </c>
      <c r="B141" s="275" t="s">
        <v>438</v>
      </c>
      <c r="C141" s="613" t="s">
        <v>439</v>
      </c>
      <c r="D141" s="614"/>
      <c r="E141" s="275" t="s">
        <v>160</v>
      </c>
      <c r="F141" s="280">
        <v>343.2</v>
      </c>
      <c r="G141" s="311">
        <v>0</v>
      </c>
      <c r="H141" s="280">
        <f>F141*AM141</f>
        <v>0</v>
      </c>
      <c r="I141" s="280">
        <f>F141*AN141</f>
        <v>0</v>
      </c>
      <c r="J141" s="280">
        <f>F141*G141</f>
        <v>0</v>
      </c>
      <c r="K141" s="280">
        <v>0</v>
      </c>
      <c r="L141" s="280">
        <f>F141*K141</f>
        <v>0</v>
      </c>
      <c r="M141" s="291" t="s">
        <v>472</v>
      </c>
      <c r="X141" s="280">
        <f>IF(AO141="5",BH141,0)</f>
        <v>0</v>
      </c>
      <c r="Z141" s="280">
        <f>IF(AO141="1",BF141,0)</f>
        <v>0</v>
      </c>
      <c r="AA141" s="280">
        <f>IF(AO141="1",BG141,0)</f>
        <v>0</v>
      </c>
      <c r="AB141" s="280">
        <f>IF(AO141="7",BF141,0)</f>
        <v>0</v>
      </c>
      <c r="AC141" s="280">
        <f>IF(AO141="7",BG141,0)</f>
        <v>0</v>
      </c>
      <c r="AD141" s="280">
        <f>IF(AO141="2",BF141,0)</f>
        <v>0</v>
      </c>
      <c r="AE141" s="280">
        <f>IF(AO141="2",BG141,0)</f>
        <v>0</v>
      </c>
      <c r="AF141" s="280">
        <f>IF(AO141="0",BH141,0)</f>
        <v>0</v>
      </c>
      <c r="AG141" s="278" t="s">
        <v>154</v>
      </c>
      <c r="AH141" s="280">
        <f>IF(AL141=0,J141,0)</f>
        <v>0</v>
      </c>
      <c r="AI141" s="280">
        <f>IF(AL141=15,J141,0)</f>
        <v>0</v>
      </c>
      <c r="AJ141" s="280">
        <f>IF(AL141=21,J141,0)</f>
        <v>0</v>
      </c>
      <c r="AL141" s="280">
        <v>15</v>
      </c>
      <c r="AM141" s="280">
        <f>G141*0.353992874</f>
        <v>0</v>
      </c>
      <c r="AN141" s="280">
        <f>G141*(1-0.353992874)</f>
        <v>0</v>
      </c>
      <c r="AO141" s="281" t="s">
        <v>157</v>
      </c>
      <c r="AT141" s="280">
        <f>AU141+AV141</f>
        <v>0</v>
      </c>
      <c r="AU141" s="280">
        <f>F141*AM141</f>
        <v>0</v>
      </c>
      <c r="AV141" s="280">
        <f>F141*AN141</f>
        <v>0</v>
      </c>
      <c r="AW141" s="281" t="s">
        <v>366</v>
      </c>
      <c r="AX141" s="281" t="s">
        <v>356</v>
      </c>
      <c r="AY141" s="278" t="s">
        <v>164</v>
      </c>
      <c r="BA141" s="280">
        <f>AU141+AV141</f>
        <v>0</v>
      </c>
      <c r="BB141" s="280">
        <f>G141/(100-BC141)*100</f>
        <v>0</v>
      </c>
      <c r="BC141" s="280">
        <v>0</v>
      </c>
      <c r="BD141" s="280">
        <f>L141</f>
        <v>0</v>
      </c>
      <c r="BF141" s="280">
        <f>F141*AM141</f>
        <v>0</v>
      </c>
      <c r="BG141" s="280">
        <f>F141*AN141</f>
        <v>0</v>
      </c>
      <c r="BH141" s="280">
        <f>F141*G141</f>
        <v>0</v>
      </c>
      <c r="BI141" s="280"/>
      <c r="BJ141" s="280">
        <v>89</v>
      </c>
      <c r="BU141" s="280" t="e">
        <f>#REF!</f>
        <v>#REF!</v>
      </c>
      <c r="BV141" s="277" t="s">
        <v>439</v>
      </c>
    </row>
    <row r="142" spans="1:74" ht="40.5" customHeight="1" x14ac:dyDescent="0.3">
      <c r="A142" s="288"/>
      <c r="B142" s="289" t="s">
        <v>165</v>
      </c>
      <c r="C142" s="615" t="s">
        <v>1930</v>
      </c>
      <c r="D142" s="616"/>
      <c r="E142" s="616"/>
      <c r="F142" s="616"/>
      <c r="G142" s="616"/>
      <c r="H142" s="616"/>
      <c r="I142" s="616"/>
      <c r="J142" s="616"/>
      <c r="K142" s="616"/>
      <c r="L142" s="616"/>
      <c r="M142" s="617"/>
    </row>
    <row r="143" spans="1:74" ht="14.4" x14ac:dyDescent="0.3">
      <c r="A143" s="290" t="s">
        <v>154</v>
      </c>
      <c r="B143" s="276" t="s">
        <v>370</v>
      </c>
      <c r="C143" s="624" t="s">
        <v>371</v>
      </c>
      <c r="D143" s="621"/>
      <c r="E143" s="275" t="s">
        <v>114</v>
      </c>
      <c r="F143" s="275" t="s">
        <v>114</v>
      </c>
      <c r="G143" s="275" t="s">
        <v>114</v>
      </c>
      <c r="H143" s="282">
        <f>SUM(H144:H144)</f>
        <v>0</v>
      </c>
      <c r="I143" s="282">
        <f>SUM(I144:I144)</f>
        <v>0</v>
      </c>
      <c r="J143" s="282">
        <f>SUM(J144:J144)</f>
        <v>0</v>
      </c>
      <c r="K143" s="279" t="s">
        <v>154</v>
      </c>
      <c r="L143" s="282">
        <f>SUM(L144:L144)</f>
        <v>0.21840000000000001</v>
      </c>
      <c r="M143" s="294" t="s">
        <v>154</v>
      </c>
      <c r="AG143" s="278" t="s">
        <v>154</v>
      </c>
      <c r="AQ143" s="274">
        <f>SUM(AH144:AH144)</f>
        <v>0</v>
      </c>
      <c r="AR143" s="274">
        <f>SUM(AI144:AI144)</f>
        <v>0</v>
      </c>
      <c r="AS143" s="274">
        <f>SUM(AJ144:AJ144)</f>
        <v>0</v>
      </c>
    </row>
    <row r="144" spans="1:74" ht="14.4" x14ac:dyDescent="0.3">
      <c r="A144" s="290" t="s">
        <v>390</v>
      </c>
      <c r="B144" s="275" t="s">
        <v>372</v>
      </c>
      <c r="C144" s="613" t="s">
        <v>373</v>
      </c>
      <c r="D144" s="614"/>
      <c r="E144" s="275" t="s">
        <v>160</v>
      </c>
      <c r="F144" s="280">
        <v>312</v>
      </c>
      <c r="G144" s="311">
        <v>0</v>
      </c>
      <c r="H144" s="280">
        <f>F144*AM144</f>
        <v>0</v>
      </c>
      <c r="I144" s="280">
        <f>F144*AN144</f>
        <v>0</v>
      </c>
      <c r="J144" s="280">
        <f>F144*G144</f>
        <v>0</v>
      </c>
      <c r="K144" s="280">
        <v>6.9999999999999999E-4</v>
      </c>
      <c r="L144" s="280">
        <f>F144*K144</f>
        <v>0.21840000000000001</v>
      </c>
      <c r="M144" s="291" t="s">
        <v>472</v>
      </c>
      <c r="X144" s="280">
        <f>IF(AO144="5",BH144,0)</f>
        <v>0</v>
      </c>
      <c r="Z144" s="280">
        <f>IF(AO144="1",BF144,0)</f>
        <v>0</v>
      </c>
      <c r="AA144" s="280">
        <f>IF(AO144="1",BG144,0)</f>
        <v>0</v>
      </c>
      <c r="AB144" s="280">
        <f>IF(AO144="7",BF144,0)</f>
        <v>0</v>
      </c>
      <c r="AC144" s="280">
        <f>IF(AO144="7",BG144,0)</f>
        <v>0</v>
      </c>
      <c r="AD144" s="280">
        <f>IF(AO144="2",BF144,0)</f>
        <v>0</v>
      </c>
      <c r="AE144" s="280">
        <f>IF(AO144="2",BG144,0)</f>
        <v>0</v>
      </c>
      <c r="AF144" s="280">
        <f>IF(AO144="0",BH144,0)</f>
        <v>0</v>
      </c>
      <c r="AG144" s="278" t="s">
        <v>154</v>
      </c>
      <c r="AH144" s="280">
        <f>IF(AL144=0,J144,0)</f>
        <v>0</v>
      </c>
      <c r="AI144" s="280">
        <f>IF(AL144=15,J144,0)</f>
        <v>0</v>
      </c>
      <c r="AJ144" s="280">
        <f>IF(AL144=21,J144,0)</f>
        <v>0</v>
      </c>
      <c r="AL144" s="280">
        <v>15</v>
      </c>
      <c r="AM144" s="280">
        <f>G144*0.071213655</f>
        <v>0</v>
      </c>
      <c r="AN144" s="280">
        <f>G144*(1-0.071213655)</f>
        <v>0</v>
      </c>
      <c r="AO144" s="281" t="s">
        <v>157</v>
      </c>
      <c r="AT144" s="280">
        <f>AU144+AV144</f>
        <v>0</v>
      </c>
      <c r="AU144" s="280">
        <f>F144*AM144</f>
        <v>0</v>
      </c>
      <c r="AV144" s="280">
        <f>F144*AN144</f>
        <v>0</v>
      </c>
      <c r="AW144" s="281" t="s">
        <v>374</v>
      </c>
      <c r="AX144" s="281" t="s">
        <v>375</v>
      </c>
      <c r="AY144" s="278" t="s">
        <v>164</v>
      </c>
      <c r="BA144" s="280">
        <f>AU144+AV144</f>
        <v>0</v>
      </c>
      <c r="BB144" s="280">
        <f>G144/(100-BC144)*100</f>
        <v>0</v>
      </c>
      <c r="BC144" s="280">
        <v>0</v>
      </c>
      <c r="BD144" s="280">
        <f>L144</f>
        <v>0.21840000000000001</v>
      </c>
      <c r="BF144" s="280">
        <f>F144*AM144</f>
        <v>0</v>
      </c>
      <c r="BG144" s="280">
        <f>F144*AN144</f>
        <v>0</v>
      </c>
      <c r="BH144" s="280">
        <f>F144*G144</f>
        <v>0</v>
      </c>
      <c r="BI144" s="280"/>
      <c r="BJ144" s="280">
        <v>93</v>
      </c>
      <c r="BU144" s="280" t="e">
        <f>#REF!</f>
        <v>#REF!</v>
      </c>
      <c r="BV144" s="277" t="s">
        <v>373</v>
      </c>
    </row>
    <row r="145" spans="1:74" ht="40.5" customHeight="1" x14ac:dyDescent="0.3">
      <c r="A145" s="288"/>
      <c r="B145" s="289" t="s">
        <v>165</v>
      </c>
      <c r="C145" s="615" t="s">
        <v>1931</v>
      </c>
      <c r="D145" s="616"/>
      <c r="E145" s="616"/>
      <c r="F145" s="616"/>
      <c r="G145" s="616"/>
      <c r="H145" s="616"/>
      <c r="I145" s="616"/>
      <c r="J145" s="616"/>
      <c r="K145" s="616"/>
      <c r="L145" s="616"/>
      <c r="M145" s="617"/>
    </row>
    <row r="146" spans="1:74" ht="14.4" x14ac:dyDescent="0.3">
      <c r="A146" s="290" t="s">
        <v>154</v>
      </c>
      <c r="B146" s="276" t="s">
        <v>376</v>
      </c>
      <c r="C146" s="624" t="s">
        <v>377</v>
      </c>
      <c r="D146" s="621"/>
      <c r="E146" s="275" t="s">
        <v>114</v>
      </c>
      <c r="F146" s="275" t="s">
        <v>114</v>
      </c>
      <c r="G146" s="275" t="s">
        <v>114</v>
      </c>
      <c r="H146" s="282">
        <f>SUM(H147:H147)</f>
        <v>0</v>
      </c>
      <c r="I146" s="282">
        <f>SUM(I147:I147)</f>
        <v>0</v>
      </c>
      <c r="J146" s="282">
        <f>SUM(J147:J147)</f>
        <v>0</v>
      </c>
      <c r="K146" s="279" t="s">
        <v>154</v>
      </c>
      <c r="L146" s="282">
        <f>SUM(L147:L147)</f>
        <v>0</v>
      </c>
      <c r="M146" s="294" t="s">
        <v>154</v>
      </c>
      <c r="AG146" s="278" t="s">
        <v>154</v>
      </c>
      <c r="AQ146" s="274">
        <f>SUM(AH147:AH147)</f>
        <v>0</v>
      </c>
      <c r="AR146" s="274">
        <f>SUM(AI147:AI147)</f>
        <v>0</v>
      </c>
      <c r="AS146" s="274">
        <f>SUM(AJ147:AJ147)</f>
        <v>0</v>
      </c>
    </row>
    <row r="147" spans="1:74" ht="14.4" x14ac:dyDescent="0.3">
      <c r="A147" s="290" t="s">
        <v>393</v>
      </c>
      <c r="B147" s="275" t="s">
        <v>378</v>
      </c>
      <c r="C147" s="613" t="s">
        <v>379</v>
      </c>
      <c r="D147" s="614"/>
      <c r="E147" s="275" t="s">
        <v>380</v>
      </c>
      <c r="F147" s="280">
        <v>520.86</v>
      </c>
      <c r="G147" s="311">
        <v>0</v>
      </c>
      <c r="H147" s="280">
        <f>F147*AM147</f>
        <v>0</v>
      </c>
      <c r="I147" s="280">
        <f>F147*AN147</f>
        <v>0</v>
      </c>
      <c r="J147" s="280">
        <f>F147*G147</f>
        <v>0</v>
      </c>
      <c r="K147" s="280">
        <v>0</v>
      </c>
      <c r="L147" s="280">
        <f>F147*K147</f>
        <v>0</v>
      </c>
      <c r="M147" s="291" t="s">
        <v>472</v>
      </c>
      <c r="X147" s="280">
        <f>IF(AO147="5",BH147,0)</f>
        <v>0</v>
      </c>
      <c r="Z147" s="280">
        <f>IF(AO147="1",BF147,0)</f>
        <v>0</v>
      </c>
      <c r="AA147" s="280">
        <f>IF(AO147="1",BG147,0)</f>
        <v>0</v>
      </c>
      <c r="AB147" s="280">
        <f>IF(AO147="7",BF147,0)</f>
        <v>0</v>
      </c>
      <c r="AC147" s="280">
        <f>IF(AO147="7",BG147,0)</f>
        <v>0</v>
      </c>
      <c r="AD147" s="280">
        <f>IF(AO147="2",BF147,0)</f>
        <v>0</v>
      </c>
      <c r="AE147" s="280">
        <f>IF(AO147="2",BG147,0)</f>
        <v>0</v>
      </c>
      <c r="AF147" s="280">
        <f>IF(AO147="0",BH147,0)</f>
        <v>0</v>
      </c>
      <c r="AG147" s="278" t="s">
        <v>154</v>
      </c>
      <c r="AH147" s="280">
        <f>IF(AL147=0,J147,0)</f>
        <v>0</v>
      </c>
      <c r="AI147" s="280">
        <f>IF(AL147=15,J147,0)</f>
        <v>0</v>
      </c>
      <c r="AJ147" s="280">
        <f>IF(AL147=21,J147,0)</f>
        <v>0</v>
      </c>
      <c r="AL147" s="280">
        <v>15</v>
      </c>
      <c r="AM147" s="280">
        <f>G147*0</f>
        <v>0</v>
      </c>
      <c r="AN147" s="280">
        <f>G147*(1-0)</f>
        <v>0</v>
      </c>
      <c r="AO147" s="281" t="s">
        <v>157</v>
      </c>
      <c r="AT147" s="280">
        <f>AU147+AV147</f>
        <v>0</v>
      </c>
      <c r="AU147" s="280">
        <f>F147*AM147</f>
        <v>0</v>
      </c>
      <c r="AV147" s="280">
        <f>F147*AN147</f>
        <v>0</v>
      </c>
      <c r="AW147" s="281" t="s">
        <v>381</v>
      </c>
      <c r="AX147" s="281" t="s">
        <v>375</v>
      </c>
      <c r="AY147" s="278" t="s">
        <v>164</v>
      </c>
      <c r="BA147" s="280">
        <f>AU147+AV147</f>
        <v>0</v>
      </c>
      <c r="BB147" s="280">
        <f>G147/(100-BC147)*100</f>
        <v>0</v>
      </c>
      <c r="BC147" s="280">
        <v>0</v>
      </c>
      <c r="BD147" s="280">
        <f>L147</f>
        <v>0</v>
      </c>
      <c r="BF147" s="280">
        <f>F147*AM147</f>
        <v>0</v>
      </c>
      <c r="BG147" s="280">
        <f>F147*AN147</f>
        <v>0</v>
      </c>
      <c r="BH147" s="280">
        <f>F147*G147</f>
        <v>0</v>
      </c>
      <c r="BI147" s="280"/>
      <c r="BJ147" s="280">
        <v>97</v>
      </c>
      <c r="BU147" s="280" t="e">
        <f>#REF!</f>
        <v>#REF!</v>
      </c>
      <c r="BV147" s="277" t="s">
        <v>379</v>
      </c>
    </row>
    <row r="148" spans="1:74" ht="27" customHeight="1" x14ac:dyDescent="0.3">
      <c r="A148" s="288"/>
      <c r="B148" s="289" t="s">
        <v>165</v>
      </c>
      <c r="C148" s="615" t="s">
        <v>1932</v>
      </c>
      <c r="D148" s="616"/>
      <c r="E148" s="616"/>
      <c r="F148" s="616"/>
      <c r="G148" s="616"/>
      <c r="H148" s="616"/>
      <c r="I148" s="616"/>
      <c r="J148" s="616"/>
      <c r="K148" s="616"/>
      <c r="L148" s="616"/>
      <c r="M148" s="617"/>
    </row>
    <row r="149" spans="1:74" ht="14.4" x14ac:dyDescent="0.3">
      <c r="A149" s="290" t="s">
        <v>154</v>
      </c>
      <c r="B149" s="276" t="s">
        <v>382</v>
      </c>
      <c r="C149" s="624" t="s">
        <v>383</v>
      </c>
      <c r="D149" s="621"/>
      <c r="E149" s="275" t="s">
        <v>114</v>
      </c>
      <c r="F149" s="275" t="s">
        <v>114</v>
      </c>
      <c r="G149" s="275" t="s">
        <v>114</v>
      </c>
      <c r="H149" s="282">
        <f>SUM(H150:H155)</f>
        <v>0</v>
      </c>
      <c r="I149" s="282">
        <f>SUM(I150:I155)</f>
        <v>0</v>
      </c>
      <c r="J149" s="282">
        <f>SUM(J150:J155)</f>
        <v>0</v>
      </c>
      <c r="K149" s="279" t="s">
        <v>154</v>
      </c>
      <c r="L149" s="282">
        <f>SUM(L150:L155)</f>
        <v>0</v>
      </c>
      <c r="M149" s="294" t="s">
        <v>154</v>
      </c>
      <c r="AG149" s="278" t="s">
        <v>154</v>
      </c>
      <c r="AQ149" s="274">
        <f>SUM(AH150:AH155)</f>
        <v>0</v>
      </c>
      <c r="AR149" s="274">
        <f>SUM(AI150:AI155)</f>
        <v>0</v>
      </c>
      <c r="AS149" s="274">
        <f>SUM(AJ150:AJ155)</f>
        <v>0</v>
      </c>
    </row>
    <row r="150" spans="1:74" ht="14.4" x14ac:dyDescent="0.3">
      <c r="A150" s="290" t="s">
        <v>396</v>
      </c>
      <c r="B150" s="275" t="s">
        <v>385</v>
      </c>
      <c r="C150" s="613" t="s">
        <v>386</v>
      </c>
      <c r="D150" s="614"/>
      <c r="E150" s="275" t="s">
        <v>380</v>
      </c>
      <c r="F150" s="280">
        <v>875.04</v>
      </c>
      <c r="G150" s="311">
        <v>0</v>
      </c>
      <c r="H150" s="280">
        <f>F150*AM150</f>
        <v>0</v>
      </c>
      <c r="I150" s="280">
        <f>F150*AN150</f>
        <v>0</v>
      </c>
      <c r="J150" s="280">
        <f>F150*G150</f>
        <v>0</v>
      </c>
      <c r="K150" s="280">
        <v>0</v>
      </c>
      <c r="L150" s="280">
        <f>F150*K150</f>
        <v>0</v>
      </c>
      <c r="M150" s="291" t="s">
        <v>472</v>
      </c>
      <c r="X150" s="280">
        <f>IF(AO150="5",BH150,0)</f>
        <v>0</v>
      </c>
      <c r="Z150" s="280">
        <f>IF(AO150="1",BF150,0)</f>
        <v>0</v>
      </c>
      <c r="AA150" s="280">
        <f>IF(AO150="1",BG150,0)</f>
        <v>0</v>
      </c>
      <c r="AB150" s="280">
        <f>IF(AO150="7",BF150,0)</f>
        <v>0</v>
      </c>
      <c r="AC150" s="280">
        <f>IF(AO150="7",BG150,0)</f>
        <v>0</v>
      </c>
      <c r="AD150" s="280">
        <f>IF(AO150="2",BF150,0)</f>
        <v>0</v>
      </c>
      <c r="AE150" s="280">
        <f>IF(AO150="2",BG150,0)</f>
        <v>0</v>
      </c>
      <c r="AF150" s="280">
        <f>IF(AO150="0",BH150,0)</f>
        <v>0</v>
      </c>
      <c r="AG150" s="278" t="s">
        <v>154</v>
      </c>
      <c r="AH150" s="280">
        <f>IF(AL150=0,J150,0)</f>
        <v>0</v>
      </c>
      <c r="AI150" s="280">
        <f>IF(AL150=15,J150,0)</f>
        <v>0</v>
      </c>
      <c r="AJ150" s="280">
        <f>IF(AL150=21,J150,0)</f>
        <v>0</v>
      </c>
      <c r="AL150" s="280">
        <v>15</v>
      </c>
      <c r="AM150" s="280">
        <f>G150*0</f>
        <v>0</v>
      </c>
      <c r="AN150" s="280">
        <f>G150*(1-0)</f>
        <v>0</v>
      </c>
      <c r="AO150" s="281" t="s">
        <v>177</v>
      </c>
      <c r="AT150" s="280">
        <f>AU150+AV150</f>
        <v>0</v>
      </c>
      <c r="AU150" s="280">
        <f>F150*AM150</f>
        <v>0</v>
      </c>
      <c r="AV150" s="280">
        <f>F150*AN150</f>
        <v>0</v>
      </c>
      <c r="AW150" s="281" t="s">
        <v>387</v>
      </c>
      <c r="AX150" s="281" t="s">
        <v>375</v>
      </c>
      <c r="AY150" s="278" t="s">
        <v>164</v>
      </c>
      <c r="BA150" s="280">
        <f>AU150+AV150</f>
        <v>0</v>
      </c>
      <c r="BB150" s="280">
        <f>G150/(100-BC150)*100</f>
        <v>0</v>
      </c>
      <c r="BC150" s="280">
        <v>0</v>
      </c>
      <c r="BD150" s="280">
        <f>L150</f>
        <v>0</v>
      </c>
      <c r="BF150" s="280">
        <f>F150*AM150</f>
        <v>0</v>
      </c>
      <c r="BG150" s="280">
        <f>F150*AN150</f>
        <v>0</v>
      </c>
      <c r="BH150" s="280">
        <f>F150*G150</f>
        <v>0</v>
      </c>
      <c r="BI150" s="280"/>
      <c r="BJ150" s="280"/>
      <c r="BU150" s="280" t="e">
        <f>#REF!</f>
        <v>#REF!</v>
      </c>
      <c r="BV150" s="277" t="s">
        <v>386</v>
      </c>
    </row>
    <row r="151" spans="1:74" ht="14.4" x14ac:dyDescent="0.3">
      <c r="A151" s="290" t="s">
        <v>401</v>
      </c>
      <c r="B151" s="275" t="s">
        <v>388</v>
      </c>
      <c r="C151" s="613" t="s">
        <v>389</v>
      </c>
      <c r="D151" s="614"/>
      <c r="E151" s="275" t="s">
        <v>380</v>
      </c>
      <c r="F151" s="280">
        <v>11979.78</v>
      </c>
      <c r="G151" s="311">
        <v>0</v>
      </c>
      <c r="H151" s="280">
        <f>F151*AM151</f>
        <v>0</v>
      </c>
      <c r="I151" s="280">
        <f>F151*AN151</f>
        <v>0</v>
      </c>
      <c r="J151" s="280">
        <f>F151*G151</f>
        <v>0</v>
      </c>
      <c r="K151" s="280">
        <v>0</v>
      </c>
      <c r="L151" s="280">
        <f>F151*K151</f>
        <v>0</v>
      </c>
      <c r="M151" s="291" t="s">
        <v>472</v>
      </c>
      <c r="X151" s="280">
        <f>IF(AO151="5",BH151,0)</f>
        <v>0</v>
      </c>
      <c r="Z151" s="280">
        <f>IF(AO151="1",BF151,0)</f>
        <v>0</v>
      </c>
      <c r="AA151" s="280">
        <f>IF(AO151="1",BG151,0)</f>
        <v>0</v>
      </c>
      <c r="AB151" s="280">
        <f>IF(AO151="7",BF151,0)</f>
        <v>0</v>
      </c>
      <c r="AC151" s="280">
        <f>IF(AO151="7",BG151,0)</f>
        <v>0</v>
      </c>
      <c r="AD151" s="280">
        <f>IF(AO151="2",BF151,0)</f>
        <v>0</v>
      </c>
      <c r="AE151" s="280">
        <f>IF(AO151="2",BG151,0)</f>
        <v>0</v>
      </c>
      <c r="AF151" s="280">
        <f>IF(AO151="0",BH151,0)</f>
        <v>0</v>
      </c>
      <c r="AG151" s="278" t="s">
        <v>154</v>
      </c>
      <c r="AH151" s="280">
        <f>IF(AL151=0,J151,0)</f>
        <v>0</v>
      </c>
      <c r="AI151" s="280">
        <f>IF(AL151=15,J151,0)</f>
        <v>0</v>
      </c>
      <c r="AJ151" s="280">
        <f>IF(AL151=21,J151,0)</f>
        <v>0</v>
      </c>
      <c r="AL151" s="280">
        <v>15</v>
      </c>
      <c r="AM151" s="280">
        <f>G151*0</f>
        <v>0</v>
      </c>
      <c r="AN151" s="280">
        <f>G151*(1-0)</f>
        <v>0</v>
      </c>
      <c r="AO151" s="281" t="s">
        <v>177</v>
      </c>
      <c r="AT151" s="280">
        <f>AU151+AV151</f>
        <v>0</v>
      </c>
      <c r="AU151" s="280">
        <f>F151*AM151</f>
        <v>0</v>
      </c>
      <c r="AV151" s="280">
        <f>F151*AN151</f>
        <v>0</v>
      </c>
      <c r="AW151" s="281" t="s">
        <v>387</v>
      </c>
      <c r="AX151" s="281" t="s">
        <v>375</v>
      </c>
      <c r="AY151" s="278" t="s">
        <v>164</v>
      </c>
      <c r="BA151" s="280">
        <f>AU151+AV151</f>
        <v>0</v>
      </c>
      <c r="BB151" s="280">
        <f>G151/(100-BC151)*100</f>
        <v>0</v>
      </c>
      <c r="BC151" s="280">
        <v>0</v>
      </c>
      <c r="BD151" s="280">
        <f>L151</f>
        <v>0</v>
      </c>
      <c r="BF151" s="280">
        <f>F151*AM151</f>
        <v>0</v>
      </c>
      <c r="BG151" s="280">
        <f>F151*AN151</f>
        <v>0</v>
      </c>
      <c r="BH151" s="280">
        <f>F151*G151</f>
        <v>0</v>
      </c>
      <c r="BI151" s="280"/>
      <c r="BJ151" s="280"/>
      <c r="BU151" s="280" t="e">
        <f>#REF!</f>
        <v>#REF!</v>
      </c>
      <c r="BV151" s="277" t="s">
        <v>389</v>
      </c>
    </row>
    <row r="152" spans="1:74" ht="40.5" customHeight="1" x14ac:dyDescent="0.3">
      <c r="A152" s="288"/>
      <c r="B152" s="289" t="s">
        <v>165</v>
      </c>
      <c r="C152" s="615" t="s">
        <v>1933</v>
      </c>
      <c r="D152" s="616"/>
      <c r="E152" s="616"/>
      <c r="F152" s="616"/>
      <c r="G152" s="616"/>
      <c r="H152" s="616"/>
      <c r="I152" s="616"/>
      <c r="J152" s="616"/>
      <c r="K152" s="616"/>
      <c r="L152" s="616"/>
      <c r="M152" s="617"/>
    </row>
    <row r="153" spans="1:74" ht="14.4" x14ac:dyDescent="0.3">
      <c r="A153" s="290" t="s">
        <v>405</v>
      </c>
      <c r="B153" s="275" t="s">
        <v>391</v>
      </c>
      <c r="C153" s="613" t="s">
        <v>392</v>
      </c>
      <c r="D153" s="614"/>
      <c r="E153" s="275" t="s">
        <v>380</v>
      </c>
      <c r="F153" s="280">
        <v>173.62</v>
      </c>
      <c r="G153" s="311">
        <v>0</v>
      </c>
      <c r="H153" s="280">
        <f>F153*AM153</f>
        <v>0</v>
      </c>
      <c r="I153" s="280">
        <f>F153*AN153</f>
        <v>0</v>
      </c>
      <c r="J153" s="280">
        <f>F153*G153</f>
        <v>0</v>
      </c>
      <c r="K153" s="280">
        <v>0</v>
      </c>
      <c r="L153" s="280">
        <f>F153*K153</f>
        <v>0</v>
      </c>
      <c r="M153" s="291" t="s">
        <v>472</v>
      </c>
      <c r="X153" s="280">
        <f>IF(AO153="5",BH153,0)</f>
        <v>0</v>
      </c>
      <c r="Z153" s="280">
        <f>IF(AO153="1",BF153,0)</f>
        <v>0</v>
      </c>
      <c r="AA153" s="280">
        <f>IF(AO153="1",BG153,0)</f>
        <v>0</v>
      </c>
      <c r="AB153" s="280">
        <f>IF(AO153="7",BF153,0)</f>
        <v>0</v>
      </c>
      <c r="AC153" s="280">
        <f>IF(AO153="7",BG153,0)</f>
        <v>0</v>
      </c>
      <c r="AD153" s="280">
        <f>IF(AO153="2",BF153,0)</f>
        <v>0</v>
      </c>
      <c r="AE153" s="280">
        <f>IF(AO153="2",BG153,0)</f>
        <v>0</v>
      </c>
      <c r="AF153" s="280">
        <f>IF(AO153="0",BH153,0)</f>
        <v>0</v>
      </c>
      <c r="AG153" s="278" t="s">
        <v>154</v>
      </c>
      <c r="AH153" s="280">
        <f>IF(AL153=0,J153,0)</f>
        <v>0</v>
      </c>
      <c r="AI153" s="280">
        <f>IF(AL153=15,J153,0)</f>
        <v>0</v>
      </c>
      <c r="AJ153" s="280">
        <f>IF(AL153=21,J153,0)</f>
        <v>0</v>
      </c>
      <c r="AL153" s="280">
        <v>15</v>
      </c>
      <c r="AM153" s="280">
        <f>G153*0</f>
        <v>0</v>
      </c>
      <c r="AN153" s="280">
        <f>G153*(1-0)</f>
        <v>0</v>
      </c>
      <c r="AO153" s="281" t="s">
        <v>177</v>
      </c>
      <c r="AT153" s="280">
        <f>AU153+AV153</f>
        <v>0</v>
      </c>
      <c r="AU153" s="280">
        <f>F153*AM153</f>
        <v>0</v>
      </c>
      <c r="AV153" s="280">
        <f>F153*AN153</f>
        <v>0</v>
      </c>
      <c r="AW153" s="281" t="s">
        <v>387</v>
      </c>
      <c r="AX153" s="281" t="s">
        <v>375</v>
      </c>
      <c r="AY153" s="278" t="s">
        <v>164</v>
      </c>
      <c r="BA153" s="280">
        <f>AU153+AV153</f>
        <v>0</v>
      </c>
      <c r="BB153" s="280">
        <f>G153/(100-BC153)*100</f>
        <v>0</v>
      </c>
      <c r="BC153" s="280">
        <v>0</v>
      </c>
      <c r="BD153" s="280">
        <f>L153</f>
        <v>0</v>
      </c>
      <c r="BF153" s="280">
        <f>F153*AM153</f>
        <v>0</v>
      </c>
      <c r="BG153" s="280">
        <f>F153*AN153</f>
        <v>0</v>
      </c>
      <c r="BH153" s="280">
        <f>F153*G153</f>
        <v>0</v>
      </c>
      <c r="BI153" s="280"/>
      <c r="BJ153" s="280"/>
      <c r="BU153" s="280" t="e">
        <f>#REF!</f>
        <v>#REF!</v>
      </c>
      <c r="BV153" s="277" t="s">
        <v>392</v>
      </c>
    </row>
    <row r="154" spans="1:74" ht="40.5" customHeight="1" x14ac:dyDescent="0.3">
      <c r="A154" s="288"/>
      <c r="B154" s="289" t="s">
        <v>165</v>
      </c>
      <c r="C154" s="615" t="s">
        <v>1934</v>
      </c>
      <c r="D154" s="616"/>
      <c r="E154" s="616"/>
      <c r="F154" s="616"/>
      <c r="G154" s="616"/>
      <c r="H154" s="616"/>
      <c r="I154" s="616"/>
      <c r="J154" s="616"/>
      <c r="K154" s="616"/>
      <c r="L154" s="616"/>
      <c r="M154" s="617"/>
    </row>
    <row r="155" spans="1:74" ht="26.4" x14ac:dyDescent="0.3">
      <c r="A155" s="290" t="s">
        <v>408</v>
      </c>
      <c r="B155" s="275" t="s">
        <v>385</v>
      </c>
      <c r="C155" s="613" t="s">
        <v>443</v>
      </c>
      <c r="D155" s="614"/>
      <c r="E155" s="275" t="s">
        <v>380</v>
      </c>
      <c r="F155" s="280">
        <v>1695.39</v>
      </c>
      <c r="G155" s="311">
        <v>0</v>
      </c>
      <c r="H155" s="280">
        <f>F155*AM155</f>
        <v>0</v>
      </c>
      <c r="I155" s="280">
        <f>F155*AN155</f>
        <v>0</v>
      </c>
      <c r="J155" s="280">
        <f>F155*G155</f>
        <v>0</v>
      </c>
      <c r="K155" s="280">
        <v>0</v>
      </c>
      <c r="L155" s="280">
        <f>F155*K155</f>
        <v>0</v>
      </c>
      <c r="M155" s="291" t="s">
        <v>472</v>
      </c>
      <c r="X155" s="280">
        <f>IF(AO155="5",BH155,0)</f>
        <v>0</v>
      </c>
      <c r="Z155" s="280">
        <f>IF(AO155="1",BF155,0)</f>
        <v>0</v>
      </c>
      <c r="AA155" s="280">
        <f>IF(AO155="1",BG155,0)</f>
        <v>0</v>
      </c>
      <c r="AB155" s="280">
        <f>IF(AO155="7",BF155,0)</f>
        <v>0</v>
      </c>
      <c r="AC155" s="280">
        <f>IF(AO155="7",BG155,0)</f>
        <v>0</v>
      </c>
      <c r="AD155" s="280">
        <f>IF(AO155="2",BF155,0)</f>
        <v>0</v>
      </c>
      <c r="AE155" s="280">
        <f>IF(AO155="2",BG155,0)</f>
        <v>0</v>
      </c>
      <c r="AF155" s="280">
        <f>IF(AO155="0",BH155,0)</f>
        <v>0</v>
      </c>
      <c r="AG155" s="278" t="s">
        <v>154</v>
      </c>
      <c r="AH155" s="280">
        <f>IF(AL155=0,J155,0)</f>
        <v>0</v>
      </c>
      <c r="AI155" s="280">
        <f>IF(AL155=15,J155,0)</f>
        <v>0</v>
      </c>
      <c r="AJ155" s="280">
        <f>IF(AL155=21,J155,0)</f>
        <v>0</v>
      </c>
      <c r="AL155" s="280">
        <v>15</v>
      </c>
      <c r="AM155" s="280">
        <f>G155*0</f>
        <v>0</v>
      </c>
      <c r="AN155" s="280">
        <f>G155*(1-0)</f>
        <v>0</v>
      </c>
      <c r="AO155" s="281" t="s">
        <v>177</v>
      </c>
      <c r="AT155" s="280">
        <f>AU155+AV155</f>
        <v>0</v>
      </c>
      <c r="AU155" s="280">
        <f>F155*AM155</f>
        <v>0</v>
      </c>
      <c r="AV155" s="280">
        <f>F155*AN155</f>
        <v>0</v>
      </c>
      <c r="AW155" s="281" t="s">
        <v>387</v>
      </c>
      <c r="AX155" s="281" t="s">
        <v>375</v>
      </c>
      <c r="AY155" s="278" t="s">
        <v>164</v>
      </c>
      <c r="BA155" s="280">
        <f>AU155+AV155</f>
        <v>0</v>
      </c>
      <c r="BB155" s="280">
        <f>G155/(100-BC155)*100</f>
        <v>0</v>
      </c>
      <c r="BC155" s="280">
        <v>0</v>
      </c>
      <c r="BD155" s="280">
        <f>L155</f>
        <v>0</v>
      </c>
      <c r="BF155" s="280">
        <f>F155*AM155</f>
        <v>0</v>
      </c>
      <c r="BG155" s="280">
        <f>F155*AN155</f>
        <v>0</v>
      </c>
      <c r="BH155" s="280">
        <f>F155*G155</f>
        <v>0</v>
      </c>
      <c r="BI155" s="280"/>
      <c r="BJ155" s="280"/>
      <c r="BU155" s="280" t="e">
        <f>#REF!</f>
        <v>#REF!</v>
      </c>
      <c r="BV155" s="277" t="s">
        <v>443</v>
      </c>
    </row>
    <row r="156" spans="1:74" ht="14.4" x14ac:dyDescent="0.3">
      <c r="A156" s="290" t="s">
        <v>154</v>
      </c>
      <c r="B156" s="276" t="s">
        <v>399</v>
      </c>
      <c r="C156" s="624" t="s">
        <v>400</v>
      </c>
      <c r="D156" s="621"/>
      <c r="E156" s="275" t="s">
        <v>114</v>
      </c>
      <c r="F156" s="275" t="s">
        <v>114</v>
      </c>
      <c r="G156" s="275" t="s">
        <v>114</v>
      </c>
      <c r="H156" s="282">
        <f>SUM(H157:H159)</f>
        <v>0</v>
      </c>
      <c r="I156" s="282">
        <f>SUM(I157:I159)</f>
        <v>0</v>
      </c>
      <c r="J156" s="282">
        <f>SUM(J157:J159)</f>
        <v>0</v>
      </c>
      <c r="K156" s="279" t="s">
        <v>154</v>
      </c>
      <c r="L156" s="282">
        <f>SUM(L157:L159)</f>
        <v>0</v>
      </c>
      <c r="M156" s="294" t="s">
        <v>154</v>
      </c>
      <c r="AG156" s="278" t="s">
        <v>154</v>
      </c>
      <c r="AQ156" s="274">
        <f>SUM(AH157:AH159)</f>
        <v>0</v>
      </c>
      <c r="AR156" s="274">
        <f>SUM(AI157:AI159)</f>
        <v>0</v>
      </c>
      <c r="AS156" s="274">
        <f>SUM(AJ157:AJ159)</f>
        <v>0</v>
      </c>
    </row>
    <row r="157" spans="1:74" ht="14.4" x14ac:dyDescent="0.3">
      <c r="A157" s="290" t="s">
        <v>413</v>
      </c>
      <c r="B157" s="275" t="s">
        <v>402</v>
      </c>
      <c r="C157" s="613" t="s">
        <v>403</v>
      </c>
      <c r="D157" s="614"/>
      <c r="E157" s="275" t="s">
        <v>380</v>
      </c>
      <c r="F157" s="280">
        <v>8.94</v>
      </c>
      <c r="G157" s="311">
        <v>0</v>
      </c>
      <c r="H157" s="280">
        <f>F157*AM157</f>
        <v>0</v>
      </c>
      <c r="I157" s="280">
        <f>F157*AN157</f>
        <v>0</v>
      </c>
      <c r="J157" s="280">
        <f>F157*G157</f>
        <v>0</v>
      </c>
      <c r="K157" s="280">
        <v>0</v>
      </c>
      <c r="L157" s="280">
        <f>F157*K157</f>
        <v>0</v>
      </c>
      <c r="M157" s="291" t="s">
        <v>472</v>
      </c>
      <c r="X157" s="280">
        <f>IF(AO157="5",BH157,0)</f>
        <v>0</v>
      </c>
      <c r="Z157" s="280">
        <f>IF(AO157="1",BF157,0)</f>
        <v>0</v>
      </c>
      <c r="AA157" s="280">
        <f>IF(AO157="1",BG157,0)</f>
        <v>0</v>
      </c>
      <c r="AB157" s="280">
        <f>IF(AO157="7",BF157,0)</f>
        <v>0</v>
      </c>
      <c r="AC157" s="280">
        <f>IF(AO157="7",BG157,0)</f>
        <v>0</v>
      </c>
      <c r="AD157" s="280">
        <f>IF(AO157="2",BF157,0)</f>
        <v>0</v>
      </c>
      <c r="AE157" s="280">
        <f>IF(AO157="2",BG157,0)</f>
        <v>0</v>
      </c>
      <c r="AF157" s="280">
        <f>IF(AO157="0",BH157,0)</f>
        <v>0</v>
      </c>
      <c r="AG157" s="278" t="s">
        <v>154</v>
      </c>
      <c r="AH157" s="280">
        <f>IF(AL157=0,J157,0)</f>
        <v>0</v>
      </c>
      <c r="AI157" s="280">
        <f>IF(AL157=15,J157,0)</f>
        <v>0</v>
      </c>
      <c r="AJ157" s="280">
        <f>IF(AL157=21,J157,0)</f>
        <v>0</v>
      </c>
      <c r="AL157" s="280">
        <v>15</v>
      </c>
      <c r="AM157" s="280">
        <f>G157*0</f>
        <v>0</v>
      </c>
      <c r="AN157" s="280">
        <f>G157*(1-0)</f>
        <v>0</v>
      </c>
      <c r="AO157" s="281" t="s">
        <v>177</v>
      </c>
      <c r="AT157" s="280">
        <f>AU157+AV157</f>
        <v>0</v>
      </c>
      <c r="AU157" s="280">
        <f>F157*AM157</f>
        <v>0</v>
      </c>
      <c r="AV157" s="280">
        <f>F157*AN157</f>
        <v>0</v>
      </c>
      <c r="AW157" s="281" t="s">
        <v>404</v>
      </c>
      <c r="AX157" s="281" t="s">
        <v>375</v>
      </c>
      <c r="AY157" s="278" t="s">
        <v>164</v>
      </c>
      <c r="BA157" s="280">
        <f>AU157+AV157</f>
        <v>0</v>
      </c>
      <c r="BB157" s="280">
        <f>G157/(100-BC157)*100</f>
        <v>0</v>
      </c>
      <c r="BC157" s="280">
        <v>0</v>
      </c>
      <c r="BD157" s="280">
        <f>L157</f>
        <v>0</v>
      </c>
      <c r="BF157" s="280">
        <f>F157*AM157</f>
        <v>0</v>
      </c>
      <c r="BG157" s="280">
        <f>F157*AN157</f>
        <v>0</v>
      </c>
      <c r="BH157" s="280">
        <f>F157*G157</f>
        <v>0</v>
      </c>
      <c r="BI157" s="280"/>
      <c r="BJ157" s="280"/>
      <c r="BU157" s="280" t="e">
        <f>#REF!</f>
        <v>#REF!</v>
      </c>
      <c r="BV157" s="277" t="s">
        <v>403</v>
      </c>
    </row>
    <row r="158" spans="1:74" ht="14.4" x14ac:dyDescent="0.3">
      <c r="A158" s="290" t="s">
        <v>419</v>
      </c>
      <c r="B158" s="275" t="s">
        <v>406</v>
      </c>
      <c r="C158" s="613" t="s">
        <v>407</v>
      </c>
      <c r="D158" s="614"/>
      <c r="E158" s="275" t="s">
        <v>380</v>
      </c>
      <c r="F158" s="280">
        <v>584.52</v>
      </c>
      <c r="G158" s="311">
        <v>0</v>
      </c>
      <c r="H158" s="280">
        <f>F158*AM158</f>
        <v>0</v>
      </c>
      <c r="I158" s="280">
        <f>F158*AN158</f>
        <v>0</v>
      </c>
      <c r="J158" s="280">
        <f>F158*G158</f>
        <v>0</v>
      </c>
      <c r="K158" s="280">
        <v>0</v>
      </c>
      <c r="L158" s="280">
        <f>F158*K158</f>
        <v>0</v>
      </c>
      <c r="M158" s="291" t="s">
        <v>472</v>
      </c>
      <c r="X158" s="280">
        <f>IF(AO158="5",BH158,0)</f>
        <v>0</v>
      </c>
      <c r="Z158" s="280">
        <f>IF(AO158="1",BF158,0)</f>
        <v>0</v>
      </c>
      <c r="AA158" s="280">
        <f>IF(AO158="1",BG158,0)</f>
        <v>0</v>
      </c>
      <c r="AB158" s="280">
        <f>IF(AO158="7",BF158,0)</f>
        <v>0</v>
      </c>
      <c r="AC158" s="280">
        <f>IF(AO158="7",BG158,0)</f>
        <v>0</v>
      </c>
      <c r="AD158" s="280">
        <f>IF(AO158="2",BF158,0)</f>
        <v>0</v>
      </c>
      <c r="AE158" s="280">
        <f>IF(AO158="2",BG158,0)</f>
        <v>0</v>
      </c>
      <c r="AF158" s="280">
        <f>IF(AO158="0",BH158,0)</f>
        <v>0</v>
      </c>
      <c r="AG158" s="278" t="s">
        <v>154</v>
      </c>
      <c r="AH158" s="280">
        <f>IF(AL158=0,J158,0)</f>
        <v>0</v>
      </c>
      <c r="AI158" s="280">
        <f>IF(AL158=15,J158,0)</f>
        <v>0</v>
      </c>
      <c r="AJ158" s="280">
        <f>IF(AL158=21,J158,0)</f>
        <v>0</v>
      </c>
      <c r="AL158" s="280">
        <v>15</v>
      </c>
      <c r="AM158" s="280">
        <f>G158*0</f>
        <v>0</v>
      </c>
      <c r="AN158" s="280">
        <f>G158*(1-0)</f>
        <v>0</v>
      </c>
      <c r="AO158" s="281" t="s">
        <v>177</v>
      </c>
      <c r="AT158" s="280">
        <f>AU158+AV158</f>
        <v>0</v>
      </c>
      <c r="AU158" s="280">
        <f>F158*AM158</f>
        <v>0</v>
      </c>
      <c r="AV158" s="280">
        <f>F158*AN158</f>
        <v>0</v>
      </c>
      <c r="AW158" s="281" t="s">
        <v>404</v>
      </c>
      <c r="AX158" s="281" t="s">
        <v>375</v>
      </c>
      <c r="AY158" s="278" t="s">
        <v>164</v>
      </c>
      <c r="BA158" s="280">
        <f>AU158+AV158</f>
        <v>0</v>
      </c>
      <c r="BB158" s="280">
        <f>G158/(100-BC158)*100</f>
        <v>0</v>
      </c>
      <c r="BC158" s="280">
        <v>0</v>
      </c>
      <c r="BD158" s="280">
        <f>L158</f>
        <v>0</v>
      </c>
      <c r="BF158" s="280">
        <f>F158*AM158</f>
        <v>0</v>
      </c>
      <c r="BG158" s="280">
        <f>F158*AN158</f>
        <v>0</v>
      </c>
      <c r="BH158" s="280">
        <f>F158*G158</f>
        <v>0</v>
      </c>
      <c r="BI158" s="280"/>
      <c r="BJ158" s="280"/>
      <c r="BU158" s="280" t="e">
        <f>#REF!</f>
        <v>#REF!</v>
      </c>
      <c r="BV158" s="277" t="s">
        <v>407</v>
      </c>
    </row>
    <row r="159" spans="1:74" ht="14.4" x14ac:dyDescent="0.3">
      <c r="A159" s="290" t="s">
        <v>548</v>
      </c>
      <c r="B159" s="275" t="s">
        <v>409</v>
      </c>
      <c r="C159" s="613" t="s">
        <v>410</v>
      </c>
      <c r="D159" s="614"/>
      <c r="E159" s="275" t="s">
        <v>380</v>
      </c>
      <c r="F159" s="280">
        <v>54.21</v>
      </c>
      <c r="G159" s="311">
        <v>0</v>
      </c>
      <c r="H159" s="280">
        <f>F159*AM159</f>
        <v>0</v>
      </c>
      <c r="I159" s="280">
        <f>F159*AN159</f>
        <v>0</v>
      </c>
      <c r="J159" s="280">
        <f>F159*G159</f>
        <v>0</v>
      </c>
      <c r="K159" s="280">
        <v>0</v>
      </c>
      <c r="L159" s="280">
        <f>F159*K159</f>
        <v>0</v>
      </c>
      <c r="M159" s="291" t="s">
        <v>472</v>
      </c>
      <c r="X159" s="280">
        <f>IF(AO159="5",BH159,0)</f>
        <v>0</v>
      </c>
      <c r="Z159" s="280">
        <f>IF(AO159="1",BF159,0)</f>
        <v>0</v>
      </c>
      <c r="AA159" s="280">
        <f>IF(AO159="1",BG159,0)</f>
        <v>0</v>
      </c>
      <c r="AB159" s="280">
        <f>IF(AO159="7",BF159,0)</f>
        <v>0</v>
      </c>
      <c r="AC159" s="280">
        <f>IF(AO159="7",BG159,0)</f>
        <v>0</v>
      </c>
      <c r="AD159" s="280">
        <f>IF(AO159="2",BF159,0)</f>
        <v>0</v>
      </c>
      <c r="AE159" s="280">
        <f>IF(AO159="2",BG159,0)</f>
        <v>0</v>
      </c>
      <c r="AF159" s="280">
        <f>IF(AO159="0",BH159,0)</f>
        <v>0</v>
      </c>
      <c r="AG159" s="278" t="s">
        <v>154</v>
      </c>
      <c r="AH159" s="280">
        <f>IF(AL159=0,J159,0)</f>
        <v>0</v>
      </c>
      <c r="AI159" s="280">
        <f>IF(AL159=15,J159,0)</f>
        <v>0</v>
      </c>
      <c r="AJ159" s="280">
        <f>IF(AL159=21,J159,0)</f>
        <v>0</v>
      </c>
      <c r="AL159" s="280">
        <v>15</v>
      </c>
      <c r="AM159" s="280">
        <f>G159*0</f>
        <v>0</v>
      </c>
      <c r="AN159" s="280">
        <f>G159*(1-0)</f>
        <v>0</v>
      </c>
      <c r="AO159" s="281" t="s">
        <v>177</v>
      </c>
      <c r="AT159" s="280">
        <f>AU159+AV159</f>
        <v>0</v>
      </c>
      <c r="AU159" s="280">
        <f>F159*AM159</f>
        <v>0</v>
      </c>
      <c r="AV159" s="280">
        <f>F159*AN159</f>
        <v>0</v>
      </c>
      <c r="AW159" s="281" t="s">
        <v>404</v>
      </c>
      <c r="AX159" s="281" t="s">
        <v>375</v>
      </c>
      <c r="AY159" s="278" t="s">
        <v>164</v>
      </c>
      <c r="BA159" s="280">
        <f>AU159+AV159</f>
        <v>0</v>
      </c>
      <c r="BB159" s="280">
        <f>G159/(100-BC159)*100</f>
        <v>0</v>
      </c>
      <c r="BC159" s="280">
        <v>0</v>
      </c>
      <c r="BD159" s="280">
        <f>L159</f>
        <v>0</v>
      </c>
      <c r="BF159" s="280">
        <f>F159*AM159</f>
        <v>0</v>
      </c>
      <c r="BG159" s="280">
        <f>F159*AN159</f>
        <v>0</v>
      </c>
      <c r="BH159" s="280">
        <f>F159*G159</f>
        <v>0</v>
      </c>
      <c r="BI159" s="280"/>
      <c r="BJ159" s="280"/>
      <c r="BU159" s="280" t="e">
        <f>#REF!</f>
        <v>#REF!</v>
      </c>
      <c r="BV159" s="277" t="s">
        <v>410</v>
      </c>
    </row>
    <row r="160" spans="1:74" ht="14.4" x14ac:dyDescent="0.3">
      <c r="A160" s="290" t="s">
        <v>154</v>
      </c>
      <c r="B160" s="276" t="s">
        <v>1383</v>
      </c>
      <c r="C160" s="624" t="s">
        <v>449</v>
      </c>
      <c r="D160" s="621"/>
      <c r="E160" s="275" t="s">
        <v>114</v>
      </c>
      <c r="F160" s="275" t="s">
        <v>114</v>
      </c>
      <c r="G160" s="275" t="s">
        <v>114</v>
      </c>
      <c r="H160" s="282">
        <f>SUM(H161:H196)</f>
        <v>0</v>
      </c>
      <c r="I160" s="282">
        <f>SUM(I161:I196)</f>
        <v>0</v>
      </c>
      <c r="J160" s="282">
        <f>SUM(J161:J196)</f>
        <v>0</v>
      </c>
      <c r="K160" s="279" t="s">
        <v>154</v>
      </c>
      <c r="L160" s="282">
        <f>SUM(L161:L196)</f>
        <v>53.867244800000002</v>
      </c>
      <c r="M160" s="294" t="s">
        <v>154</v>
      </c>
      <c r="AG160" s="278" t="s">
        <v>154</v>
      </c>
      <c r="AQ160" s="274">
        <f>SUM(AH161:AH196)</f>
        <v>0</v>
      </c>
      <c r="AR160" s="274">
        <f>SUM(AI161:AI196)</f>
        <v>0</v>
      </c>
      <c r="AS160" s="274">
        <f>SUM(AJ161:AJ196)</f>
        <v>0</v>
      </c>
    </row>
    <row r="161" spans="1:74" ht="14.4" x14ac:dyDescent="0.3">
      <c r="A161" s="290" t="s">
        <v>551</v>
      </c>
      <c r="B161" s="275" t="s">
        <v>1008</v>
      </c>
      <c r="C161" s="613" t="s">
        <v>1009</v>
      </c>
      <c r="D161" s="614"/>
      <c r="E161" s="275" t="s">
        <v>365</v>
      </c>
      <c r="F161" s="280">
        <v>42.9</v>
      </c>
      <c r="G161" s="311">
        <v>0</v>
      </c>
      <c r="H161" s="280">
        <f>F161*AM161</f>
        <v>0</v>
      </c>
      <c r="I161" s="280">
        <f>F161*AN161</f>
        <v>0</v>
      </c>
      <c r="J161" s="280">
        <f>F161*G161</f>
        <v>0</v>
      </c>
      <c r="K161" s="280">
        <v>0.14879999999999999</v>
      </c>
      <c r="L161" s="280">
        <f>F161*K161</f>
        <v>6.383519999999999</v>
      </c>
      <c r="M161" s="291" t="s">
        <v>472</v>
      </c>
      <c r="X161" s="280">
        <f>IF(AO161="5",BH161,0)</f>
        <v>0</v>
      </c>
      <c r="Z161" s="280">
        <f>IF(AO161="1",BF161,0)</f>
        <v>0</v>
      </c>
      <c r="AA161" s="280">
        <f>IF(AO161="1",BG161,0)</f>
        <v>0</v>
      </c>
      <c r="AB161" s="280">
        <f>IF(AO161="7",BF161,0)</f>
        <v>0</v>
      </c>
      <c r="AC161" s="280">
        <f>IF(AO161="7",BG161,0)</f>
        <v>0</v>
      </c>
      <c r="AD161" s="280">
        <f>IF(AO161="2",BF161,0)</f>
        <v>0</v>
      </c>
      <c r="AE161" s="280">
        <f>IF(AO161="2",BG161,0)</f>
        <v>0</v>
      </c>
      <c r="AF161" s="280">
        <f>IF(AO161="0",BH161,0)</f>
        <v>0</v>
      </c>
      <c r="AG161" s="278" t="s">
        <v>154</v>
      </c>
      <c r="AH161" s="280">
        <f>IF(AL161=0,J161,0)</f>
        <v>0</v>
      </c>
      <c r="AI161" s="280">
        <f>IF(AL161=15,J161,0)</f>
        <v>0</v>
      </c>
      <c r="AJ161" s="280">
        <f>IF(AL161=21,J161,0)</f>
        <v>0</v>
      </c>
      <c r="AL161" s="280">
        <v>15</v>
      </c>
      <c r="AM161" s="280">
        <f>G161*1</f>
        <v>0</v>
      </c>
      <c r="AN161" s="280">
        <f>G161*(1-1)</f>
        <v>0</v>
      </c>
      <c r="AO161" s="281" t="s">
        <v>453</v>
      </c>
      <c r="AT161" s="280">
        <f>AU161+AV161</f>
        <v>0</v>
      </c>
      <c r="AU161" s="280">
        <f>F161*AM161</f>
        <v>0</v>
      </c>
      <c r="AV161" s="280">
        <f>F161*AN161</f>
        <v>0</v>
      </c>
      <c r="AW161" s="281" t="s">
        <v>454</v>
      </c>
      <c r="AX161" s="281" t="s">
        <v>455</v>
      </c>
      <c r="AY161" s="278" t="s">
        <v>164</v>
      </c>
      <c r="BA161" s="280">
        <f>AU161+AV161</f>
        <v>0</v>
      </c>
      <c r="BB161" s="280">
        <f>G161/(100-BC161)*100</f>
        <v>0</v>
      </c>
      <c r="BC161" s="280">
        <v>0</v>
      </c>
      <c r="BD161" s="280">
        <f>L161</f>
        <v>6.383519999999999</v>
      </c>
      <c r="BF161" s="280">
        <f>F161*AM161</f>
        <v>0</v>
      </c>
      <c r="BG161" s="280">
        <f>F161*AN161</f>
        <v>0</v>
      </c>
      <c r="BH161" s="280">
        <f>F161*G161</f>
        <v>0</v>
      </c>
      <c r="BI161" s="280"/>
      <c r="BJ161" s="280"/>
      <c r="BU161" s="280" t="e">
        <f>#REF!</f>
        <v>#REF!</v>
      </c>
      <c r="BV161" s="277" t="s">
        <v>1009</v>
      </c>
    </row>
    <row r="162" spans="1:74" ht="67.5" customHeight="1" x14ac:dyDescent="0.3">
      <c r="A162" s="288"/>
      <c r="B162" s="289" t="s">
        <v>165</v>
      </c>
      <c r="C162" s="615" t="s">
        <v>1935</v>
      </c>
      <c r="D162" s="616"/>
      <c r="E162" s="616"/>
      <c r="F162" s="616"/>
      <c r="G162" s="616"/>
      <c r="H162" s="616"/>
      <c r="I162" s="616"/>
      <c r="J162" s="616"/>
      <c r="K162" s="616"/>
      <c r="L162" s="616"/>
      <c r="M162" s="617"/>
    </row>
    <row r="163" spans="1:74" ht="14.4" x14ac:dyDescent="0.3">
      <c r="A163" s="290" t="s">
        <v>555</v>
      </c>
      <c r="B163" s="275" t="s">
        <v>1010</v>
      </c>
      <c r="C163" s="613" t="s">
        <v>1011</v>
      </c>
      <c r="D163" s="614"/>
      <c r="E163" s="275" t="s">
        <v>365</v>
      </c>
      <c r="F163" s="280">
        <v>28.6</v>
      </c>
      <c r="G163" s="311">
        <v>0</v>
      </c>
      <c r="H163" s="280">
        <f>F163*AM163</f>
        <v>0</v>
      </c>
      <c r="I163" s="280">
        <f>F163*AN163</f>
        <v>0</v>
      </c>
      <c r="J163" s="280">
        <f>F163*G163</f>
        <v>0</v>
      </c>
      <c r="K163" s="280">
        <v>7.4399999999999994E-2</v>
      </c>
      <c r="L163" s="280">
        <f>F163*K163</f>
        <v>2.12784</v>
      </c>
      <c r="M163" s="291" t="s">
        <v>472</v>
      </c>
      <c r="X163" s="280">
        <f>IF(AO163="5",BH163,0)</f>
        <v>0</v>
      </c>
      <c r="Z163" s="280">
        <f>IF(AO163="1",BF163,0)</f>
        <v>0</v>
      </c>
      <c r="AA163" s="280">
        <f>IF(AO163="1",BG163,0)</f>
        <v>0</v>
      </c>
      <c r="AB163" s="280">
        <f>IF(AO163="7",BF163,0)</f>
        <v>0</v>
      </c>
      <c r="AC163" s="280">
        <f>IF(AO163="7",BG163,0)</f>
        <v>0</v>
      </c>
      <c r="AD163" s="280">
        <f>IF(AO163="2",BF163,0)</f>
        <v>0</v>
      </c>
      <c r="AE163" s="280">
        <f>IF(AO163="2",BG163,0)</f>
        <v>0</v>
      </c>
      <c r="AF163" s="280">
        <f>IF(AO163="0",BH163,0)</f>
        <v>0</v>
      </c>
      <c r="AG163" s="278" t="s">
        <v>154</v>
      </c>
      <c r="AH163" s="280">
        <f>IF(AL163=0,J163,0)</f>
        <v>0</v>
      </c>
      <c r="AI163" s="280">
        <f>IF(AL163=15,J163,0)</f>
        <v>0</v>
      </c>
      <c r="AJ163" s="280">
        <f>IF(AL163=21,J163,0)</f>
        <v>0</v>
      </c>
      <c r="AL163" s="280">
        <v>15</v>
      </c>
      <c r="AM163" s="280">
        <f>G163*1</f>
        <v>0</v>
      </c>
      <c r="AN163" s="280">
        <f>G163*(1-1)</f>
        <v>0</v>
      </c>
      <c r="AO163" s="281" t="s">
        <v>453</v>
      </c>
      <c r="AT163" s="280">
        <f>AU163+AV163</f>
        <v>0</v>
      </c>
      <c r="AU163" s="280">
        <f>F163*AM163</f>
        <v>0</v>
      </c>
      <c r="AV163" s="280">
        <f>F163*AN163</f>
        <v>0</v>
      </c>
      <c r="AW163" s="281" t="s">
        <v>454</v>
      </c>
      <c r="AX163" s="281" t="s">
        <v>455</v>
      </c>
      <c r="AY163" s="278" t="s">
        <v>164</v>
      </c>
      <c r="BA163" s="280">
        <f>AU163+AV163</f>
        <v>0</v>
      </c>
      <c r="BB163" s="280">
        <f>G163/(100-BC163)*100</f>
        <v>0</v>
      </c>
      <c r="BC163" s="280">
        <v>0</v>
      </c>
      <c r="BD163" s="280">
        <f>L163</f>
        <v>2.12784</v>
      </c>
      <c r="BF163" s="280">
        <f>F163*AM163</f>
        <v>0</v>
      </c>
      <c r="BG163" s="280">
        <f>F163*AN163</f>
        <v>0</v>
      </c>
      <c r="BH163" s="280">
        <f>F163*G163</f>
        <v>0</v>
      </c>
      <c r="BI163" s="280"/>
      <c r="BJ163" s="280"/>
      <c r="BU163" s="280" t="e">
        <f>#REF!</f>
        <v>#REF!</v>
      </c>
      <c r="BV163" s="277" t="s">
        <v>1011</v>
      </c>
    </row>
    <row r="164" spans="1:74" ht="67.5" customHeight="1" x14ac:dyDescent="0.3">
      <c r="A164" s="288"/>
      <c r="B164" s="289" t="s">
        <v>165</v>
      </c>
      <c r="C164" s="615" t="s">
        <v>1936</v>
      </c>
      <c r="D164" s="616"/>
      <c r="E164" s="616"/>
      <c r="F164" s="616"/>
      <c r="G164" s="616"/>
      <c r="H164" s="616"/>
      <c r="I164" s="616"/>
      <c r="J164" s="616"/>
      <c r="K164" s="616"/>
      <c r="L164" s="616"/>
      <c r="M164" s="617"/>
    </row>
    <row r="165" spans="1:74" ht="14.4" x14ac:dyDescent="0.3">
      <c r="A165" s="290" t="s">
        <v>559</v>
      </c>
      <c r="B165" s="275" t="s">
        <v>1010</v>
      </c>
      <c r="C165" s="613" t="s">
        <v>1011</v>
      </c>
      <c r="D165" s="614"/>
      <c r="E165" s="275" t="s">
        <v>365</v>
      </c>
      <c r="F165" s="280">
        <v>3</v>
      </c>
      <c r="G165" s="311">
        <v>0</v>
      </c>
      <c r="H165" s="280">
        <f>F165*AM165</f>
        <v>0</v>
      </c>
      <c r="I165" s="280">
        <f>F165*AN165</f>
        <v>0</v>
      </c>
      <c r="J165" s="280">
        <f>F165*G165</f>
        <v>0</v>
      </c>
      <c r="K165" s="280">
        <v>7.4399999999999994E-2</v>
      </c>
      <c r="L165" s="280">
        <f>F165*K165</f>
        <v>0.22319999999999998</v>
      </c>
      <c r="M165" s="291" t="s">
        <v>472</v>
      </c>
      <c r="X165" s="280">
        <f>IF(AO165="5",BH165,0)</f>
        <v>0</v>
      </c>
      <c r="Z165" s="280">
        <f>IF(AO165="1",BF165,0)</f>
        <v>0</v>
      </c>
      <c r="AA165" s="280">
        <f>IF(AO165="1",BG165,0)</f>
        <v>0</v>
      </c>
      <c r="AB165" s="280">
        <f>IF(AO165="7",BF165,0)</f>
        <v>0</v>
      </c>
      <c r="AC165" s="280">
        <f>IF(AO165="7",BG165,0)</f>
        <v>0</v>
      </c>
      <c r="AD165" s="280">
        <f>IF(AO165="2",BF165,0)</f>
        <v>0</v>
      </c>
      <c r="AE165" s="280">
        <f>IF(AO165="2",BG165,0)</f>
        <v>0</v>
      </c>
      <c r="AF165" s="280">
        <f>IF(AO165="0",BH165,0)</f>
        <v>0</v>
      </c>
      <c r="AG165" s="278" t="s">
        <v>154</v>
      </c>
      <c r="AH165" s="280">
        <f>IF(AL165=0,J165,0)</f>
        <v>0</v>
      </c>
      <c r="AI165" s="280">
        <f>IF(AL165=15,J165,0)</f>
        <v>0</v>
      </c>
      <c r="AJ165" s="280">
        <f>IF(AL165=21,J165,0)</f>
        <v>0</v>
      </c>
      <c r="AL165" s="280">
        <v>15</v>
      </c>
      <c r="AM165" s="280">
        <f>G165*1</f>
        <v>0</v>
      </c>
      <c r="AN165" s="280">
        <f>G165*(1-1)</f>
        <v>0</v>
      </c>
      <c r="AO165" s="281" t="s">
        <v>453</v>
      </c>
      <c r="AT165" s="280">
        <f>AU165+AV165</f>
        <v>0</v>
      </c>
      <c r="AU165" s="280">
        <f>F165*AM165</f>
        <v>0</v>
      </c>
      <c r="AV165" s="280">
        <f>F165*AN165</f>
        <v>0</v>
      </c>
      <c r="AW165" s="281" t="s">
        <v>454</v>
      </c>
      <c r="AX165" s="281" t="s">
        <v>455</v>
      </c>
      <c r="AY165" s="278" t="s">
        <v>164</v>
      </c>
      <c r="BA165" s="280">
        <f>AU165+AV165</f>
        <v>0</v>
      </c>
      <c r="BB165" s="280">
        <f>G165/(100-BC165)*100</f>
        <v>0</v>
      </c>
      <c r="BC165" s="280">
        <v>0</v>
      </c>
      <c r="BD165" s="280">
        <f>L165</f>
        <v>0.22319999999999998</v>
      </c>
      <c r="BF165" s="280">
        <f>F165*AM165</f>
        <v>0</v>
      </c>
      <c r="BG165" s="280">
        <f>F165*AN165</f>
        <v>0</v>
      </c>
      <c r="BH165" s="280">
        <f>F165*G165</f>
        <v>0</v>
      </c>
      <c r="BI165" s="280"/>
      <c r="BJ165" s="280"/>
      <c r="BU165" s="280" t="e">
        <f>#REF!</f>
        <v>#REF!</v>
      </c>
      <c r="BV165" s="277" t="s">
        <v>1011</v>
      </c>
    </row>
    <row r="166" spans="1:74" ht="67.5" customHeight="1" x14ac:dyDescent="0.3">
      <c r="A166" s="288"/>
      <c r="B166" s="289" t="s">
        <v>165</v>
      </c>
      <c r="C166" s="615" t="s">
        <v>1937</v>
      </c>
      <c r="D166" s="616"/>
      <c r="E166" s="616"/>
      <c r="F166" s="616"/>
      <c r="G166" s="616"/>
      <c r="H166" s="616"/>
      <c r="I166" s="616"/>
      <c r="J166" s="616"/>
      <c r="K166" s="616"/>
      <c r="L166" s="616"/>
      <c r="M166" s="617"/>
    </row>
    <row r="167" spans="1:74" ht="14.4" x14ac:dyDescent="0.3">
      <c r="A167" s="290" t="s">
        <v>562</v>
      </c>
      <c r="B167" s="275" t="s">
        <v>1012</v>
      </c>
      <c r="C167" s="613" t="s">
        <v>1013</v>
      </c>
      <c r="D167" s="614"/>
      <c r="E167" s="275" t="s">
        <v>365</v>
      </c>
      <c r="F167" s="280">
        <v>14</v>
      </c>
      <c r="G167" s="311">
        <v>0</v>
      </c>
      <c r="H167" s="280">
        <f>F167*AM167</f>
        <v>0</v>
      </c>
      <c r="I167" s="280">
        <f>F167*AN167</f>
        <v>0</v>
      </c>
      <c r="J167" s="280">
        <f>F167*G167</f>
        <v>0</v>
      </c>
      <c r="K167" s="280">
        <v>1.46E-2</v>
      </c>
      <c r="L167" s="280">
        <f>F167*K167</f>
        <v>0.2044</v>
      </c>
      <c r="M167" s="291" t="s">
        <v>472</v>
      </c>
      <c r="X167" s="280">
        <f>IF(AO167="5",BH167,0)</f>
        <v>0</v>
      </c>
      <c r="Z167" s="280">
        <f>IF(AO167="1",BF167,0)</f>
        <v>0</v>
      </c>
      <c r="AA167" s="280">
        <f>IF(AO167="1",BG167,0)</f>
        <v>0</v>
      </c>
      <c r="AB167" s="280">
        <f>IF(AO167="7",BF167,0)</f>
        <v>0</v>
      </c>
      <c r="AC167" s="280">
        <f>IF(AO167="7",BG167,0)</f>
        <v>0</v>
      </c>
      <c r="AD167" s="280">
        <f>IF(AO167="2",BF167,0)</f>
        <v>0</v>
      </c>
      <c r="AE167" s="280">
        <f>IF(AO167="2",BG167,0)</f>
        <v>0</v>
      </c>
      <c r="AF167" s="280">
        <f>IF(AO167="0",BH167,0)</f>
        <v>0</v>
      </c>
      <c r="AG167" s="278" t="s">
        <v>154</v>
      </c>
      <c r="AH167" s="280">
        <f>IF(AL167=0,J167,0)</f>
        <v>0</v>
      </c>
      <c r="AI167" s="280">
        <f>IF(AL167=15,J167,0)</f>
        <v>0</v>
      </c>
      <c r="AJ167" s="280">
        <f>IF(AL167=21,J167,0)</f>
        <v>0</v>
      </c>
      <c r="AL167" s="280">
        <v>15</v>
      </c>
      <c r="AM167" s="280">
        <f>G167*1</f>
        <v>0</v>
      </c>
      <c r="AN167" s="280">
        <f>G167*(1-1)</f>
        <v>0</v>
      </c>
      <c r="AO167" s="281" t="s">
        <v>453</v>
      </c>
      <c r="AT167" s="280">
        <f>AU167+AV167</f>
        <v>0</v>
      </c>
      <c r="AU167" s="280">
        <f>F167*AM167</f>
        <v>0</v>
      </c>
      <c r="AV167" s="280">
        <f>F167*AN167</f>
        <v>0</v>
      </c>
      <c r="AW167" s="281" t="s">
        <v>454</v>
      </c>
      <c r="AX167" s="281" t="s">
        <v>455</v>
      </c>
      <c r="AY167" s="278" t="s">
        <v>164</v>
      </c>
      <c r="BA167" s="280">
        <f>AU167+AV167</f>
        <v>0</v>
      </c>
      <c r="BB167" s="280">
        <f>G167/(100-BC167)*100</f>
        <v>0</v>
      </c>
      <c r="BC167" s="280">
        <v>0</v>
      </c>
      <c r="BD167" s="280">
        <f>L167</f>
        <v>0.2044</v>
      </c>
      <c r="BF167" s="280">
        <f>F167*AM167</f>
        <v>0</v>
      </c>
      <c r="BG167" s="280">
        <f>F167*AN167</f>
        <v>0</v>
      </c>
      <c r="BH167" s="280">
        <f>F167*G167</f>
        <v>0</v>
      </c>
      <c r="BI167" s="280"/>
      <c r="BJ167" s="280"/>
      <c r="BU167" s="280" t="e">
        <f>#REF!</f>
        <v>#REF!</v>
      </c>
      <c r="BV167" s="277" t="s">
        <v>1013</v>
      </c>
    </row>
    <row r="168" spans="1:74" ht="40.5" customHeight="1" x14ac:dyDescent="0.3">
      <c r="A168" s="288"/>
      <c r="B168" s="289" t="s">
        <v>165</v>
      </c>
      <c r="C168" s="615" t="s">
        <v>1938</v>
      </c>
      <c r="D168" s="616"/>
      <c r="E168" s="616"/>
      <c r="F168" s="616"/>
      <c r="G168" s="616"/>
      <c r="H168" s="616"/>
      <c r="I168" s="616"/>
      <c r="J168" s="616"/>
      <c r="K168" s="616"/>
      <c r="L168" s="616"/>
      <c r="M168" s="617"/>
    </row>
    <row r="169" spans="1:74" ht="14.4" x14ac:dyDescent="0.3">
      <c r="A169" s="290" t="s">
        <v>566</v>
      </c>
      <c r="B169" s="275" t="s">
        <v>1014</v>
      </c>
      <c r="C169" s="613" t="s">
        <v>1015</v>
      </c>
      <c r="D169" s="614"/>
      <c r="E169" s="275" t="s">
        <v>365</v>
      </c>
      <c r="F169" s="280">
        <v>7</v>
      </c>
      <c r="G169" s="311">
        <v>0</v>
      </c>
      <c r="H169" s="280">
        <f>F169*AM169</f>
        <v>0</v>
      </c>
      <c r="I169" s="280">
        <f>F169*AN169</f>
        <v>0</v>
      </c>
      <c r="J169" s="280">
        <f>F169*G169</f>
        <v>0</v>
      </c>
      <c r="K169" s="280">
        <v>1.2999999999999999E-2</v>
      </c>
      <c r="L169" s="280">
        <f>F169*K169</f>
        <v>9.0999999999999998E-2</v>
      </c>
      <c r="M169" s="291" t="s">
        <v>472</v>
      </c>
      <c r="X169" s="280">
        <f>IF(AO169="5",BH169,0)</f>
        <v>0</v>
      </c>
      <c r="Z169" s="280">
        <f>IF(AO169="1",BF169,0)</f>
        <v>0</v>
      </c>
      <c r="AA169" s="280">
        <f>IF(AO169="1",BG169,0)</f>
        <v>0</v>
      </c>
      <c r="AB169" s="280">
        <f>IF(AO169="7",BF169,0)</f>
        <v>0</v>
      </c>
      <c r="AC169" s="280">
        <f>IF(AO169="7",BG169,0)</f>
        <v>0</v>
      </c>
      <c r="AD169" s="280">
        <f>IF(AO169="2",BF169,0)</f>
        <v>0</v>
      </c>
      <c r="AE169" s="280">
        <f>IF(AO169="2",BG169,0)</f>
        <v>0</v>
      </c>
      <c r="AF169" s="280">
        <f>IF(AO169="0",BH169,0)</f>
        <v>0</v>
      </c>
      <c r="AG169" s="278" t="s">
        <v>154</v>
      </c>
      <c r="AH169" s="280">
        <f>IF(AL169=0,J169,0)</f>
        <v>0</v>
      </c>
      <c r="AI169" s="280">
        <f>IF(AL169=15,J169,0)</f>
        <v>0</v>
      </c>
      <c r="AJ169" s="280">
        <f>IF(AL169=21,J169,0)</f>
        <v>0</v>
      </c>
      <c r="AL169" s="280">
        <v>15</v>
      </c>
      <c r="AM169" s="280">
        <f>G169*1</f>
        <v>0</v>
      </c>
      <c r="AN169" s="280">
        <f>G169*(1-1)</f>
        <v>0</v>
      </c>
      <c r="AO169" s="281" t="s">
        <v>453</v>
      </c>
      <c r="AT169" s="280">
        <f>AU169+AV169</f>
        <v>0</v>
      </c>
      <c r="AU169" s="280">
        <f>F169*AM169</f>
        <v>0</v>
      </c>
      <c r="AV169" s="280">
        <f>F169*AN169</f>
        <v>0</v>
      </c>
      <c r="AW169" s="281" t="s">
        <v>454</v>
      </c>
      <c r="AX169" s="281" t="s">
        <v>455</v>
      </c>
      <c r="AY169" s="278" t="s">
        <v>164</v>
      </c>
      <c r="BA169" s="280">
        <f>AU169+AV169</f>
        <v>0</v>
      </c>
      <c r="BB169" s="280">
        <f>G169/(100-BC169)*100</f>
        <v>0</v>
      </c>
      <c r="BC169" s="280">
        <v>0</v>
      </c>
      <c r="BD169" s="280">
        <f>L169</f>
        <v>9.0999999999999998E-2</v>
      </c>
      <c r="BF169" s="280">
        <f>F169*AM169</f>
        <v>0</v>
      </c>
      <c r="BG169" s="280">
        <f>F169*AN169</f>
        <v>0</v>
      </c>
      <c r="BH169" s="280">
        <f>F169*G169</f>
        <v>0</v>
      </c>
      <c r="BI169" s="280"/>
      <c r="BJ169" s="280"/>
      <c r="BU169" s="280" t="e">
        <f>#REF!</f>
        <v>#REF!</v>
      </c>
      <c r="BV169" s="277" t="s">
        <v>1015</v>
      </c>
    </row>
    <row r="170" spans="1:74" ht="40.5" customHeight="1" x14ac:dyDescent="0.3">
      <c r="A170" s="292"/>
      <c r="B170" s="293" t="s">
        <v>165</v>
      </c>
      <c r="C170" s="618" t="s">
        <v>1939</v>
      </c>
      <c r="D170" s="619"/>
      <c r="E170" s="619"/>
      <c r="F170" s="619"/>
      <c r="G170" s="619"/>
      <c r="H170" s="619"/>
      <c r="I170" s="619"/>
      <c r="J170" s="619"/>
      <c r="K170" s="619"/>
      <c r="L170" s="619"/>
      <c r="M170" s="620"/>
    </row>
    <row r="171" spans="1:74" ht="14.4" x14ac:dyDescent="0.3">
      <c r="A171" s="284" t="s">
        <v>570</v>
      </c>
      <c r="B171" s="285" t="s">
        <v>1016</v>
      </c>
      <c r="C171" s="622" t="s">
        <v>1017</v>
      </c>
      <c r="D171" s="623"/>
      <c r="E171" s="285" t="s">
        <v>365</v>
      </c>
      <c r="F171" s="286">
        <v>2.0299999999999998</v>
      </c>
      <c r="G171" s="311">
        <v>0</v>
      </c>
      <c r="H171" s="286">
        <f>F171*AM171</f>
        <v>0</v>
      </c>
      <c r="I171" s="286">
        <f>F171*AN171</f>
        <v>0</v>
      </c>
      <c r="J171" s="286">
        <f>F171*G171</f>
        <v>0</v>
      </c>
      <c r="K171" s="286">
        <v>9.9399999999999992E-3</v>
      </c>
      <c r="L171" s="286">
        <f>F171*K171</f>
        <v>2.0178199999999997E-2</v>
      </c>
      <c r="M171" s="287" t="s">
        <v>472</v>
      </c>
      <c r="X171" s="280">
        <f>IF(AO171="5",BH171,0)</f>
        <v>0</v>
      </c>
      <c r="Z171" s="280">
        <f>IF(AO171="1",BF171,0)</f>
        <v>0</v>
      </c>
      <c r="AA171" s="280">
        <f>IF(AO171="1",BG171,0)</f>
        <v>0</v>
      </c>
      <c r="AB171" s="280">
        <f>IF(AO171="7",BF171,0)</f>
        <v>0</v>
      </c>
      <c r="AC171" s="280">
        <f>IF(AO171="7",BG171,0)</f>
        <v>0</v>
      </c>
      <c r="AD171" s="280">
        <f>IF(AO171="2",BF171,0)</f>
        <v>0</v>
      </c>
      <c r="AE171" s="280">
        <f>IF(AO171="2",BG171,0)</f>
        <v>0</v>
      </c>
      <c r="AF171" s="280">
        <f>IF(AO171="0",BH171,0)</f>
        <v>0</v>
      </c>
      <c r="AG171" s="278" t="s">
        <v>154</v>
      </c>
      <c r="AH171" s="280">
        <f>IF(AL171=0,J171,0)</f>
        <v>0</v>
      </c>
      <c r="AI171" s="280">
        <f>IF(AL171=15,J171,0)</f>
        <v>0</v>
      </c>
      <c r="AJ171" s="280">
        <f>IF(AL171=21,J171,0)</f>
        <v>0</v>
      </c>
      <c r="AL171" s="280">
        <v>15</v>
      </c>
      <c r="AM171" s="280">
        <f>G171*1</f>
        <v>0</v>
      </c>
      <c r="AN171" s="280">
        <f>G171*(1-1)</f>
        <v>0</v>
      </c>
      <c r="AO171" s="281" t="s">
        <v>453</v>
      </c>
      <c r="AT171" s="280">
        <f>AU171+AV171</f>
        <v>0</v>
      </c>
      <c r="AU171" s="280">
        <f>F171*AM171</f>
        <v>0</v>
      </c>
      <c r="AV171" s="280">
        <f>F171*AN171</f>
        <v>0</v>
      </c>
      <c r="AW171" s="281" t="s">
        <v>454</v>
      </c>
      <c r="AX171" s="281" t="s">
        <v>455</v>
      </c>
      <c r="AY171" s="278" t="s">
        <v>164</v>
      </c>
      <c r="BA171" s="280">
        <f>AU171+AV171</f>
        <v>0</v>
      </c>
      <c r="BB171" s="280">
        <f>G171/(100-BC171)*100</f>
        <v>0</v>
      </c>
      <c r="BC171" s="280">
        <v>0</v>
      </c>
      <c r="BD171" s="280">
        <f>L171</f>
        <v>2.0178199999999997E-2</v>
      </c>
      <c r="BF171" s="280">
        <f>F171*AM171</f>
        <v>0</v>
      </c>
      <c r="BG171" s="280">
        <f>F171*AN171</f>
        <v>0</v>
      </c>
      <c r="BH171" s="280">
        <f>F171*G171</f>
        <v>0</v>
      </c>
      <c r="BI171" s="280"/>
      <c r="BJ171" s="280"/>
      <c r="BU171" s="280" t="e">
        <f>#REF!</f>
        <v>#REF!</v>
      </c>
      <c r="BV171" s="277" t="s">
        <v>1017</v>
      </c>
    </row>
    <row r="172" spans="1:74" ht="54" customHeight="1" x14ac:dyDescent="0.3">
      <c r="A172" s="288"/>
      <c r="B172" s="289" t="s">
        <v>165</v>
      </c>
      <c r="C172" s="615" t="s">
        <v>1940</v>
      </c>
      <c r="D172" s="616"/>
      <c r="E172" s="616"/>
      <c r="F172" s="616"/>
      <c r="G172" s="616"/>
      <c r="H172" s="616"/>
      <c r="I172" s="616"/>
      <c r="J172" s="616"/>
      <c r="K172" s="616"/>
      <c r="L172" s="616"/>
      <c r="M172" s="617"/>
    </row>
    <row r="173" spans="1:74" ht="14.4" x14ac:dyDescent="0.3">
      <c r="A173" s="290" t="s">
        <v>573</v>
      </c>
      <c r="B173" s="275" t="s">
        <v>1018</v>
      </c>
      <c r="C173" s="613" t="s">
        <v>1019</v>
      </c>
      <c r="D173" s="614"/>
      <c r="E173" s="275" t="s">
        <v>365</v>
      </c>
      <c r="F173" s="280">
        <v>4.0599999999999996</v>
      </c>
      <c r="G173" s="311">
        <v>0</v>
      </c>
      <c r="H173" s="280">
        <f>F173*AM173</f>
        <v>0</v>
      </c>
      <c r="I173" s="280">
        <f>F173*AN173</f>
        <v>0</v>
      </c>
      <c r="J173" s="280">
        <f>F173*G173</f>
        <v>0</v>
      </c>
      <c r="K173" s="280">
        <v>1.554E-2</v>
      </c>
      <c r="L173" s="280">
        <f>F173*K173</f>
        <v>6.3092399999999993E-2</v>
      </c>
      <c r="M173" s="291" t="s">
        <v>472</v>
      </c>
      <c r="X173" s="280">
        <f>IF(AO173="5",BH173,0)</f>
        <v>0</v>
      </c>
      <c r="Z173" s="280">
        <f>IF(AO173="1",BF173,0)</f>
        <v>0</v>
      </c>
      <c r="AA173" s="280">
        <f>IF(AO173="1",BG173,0)</f>
        <v>0</v>
      </c>
      <c r="AB173" s="280">
        <f>IF(AO173="7",BF173,0)</f>
        <v>0</v>
      </c>
      <c r="AC173" s="280">
        <f>IF(AO173="7",BG173,0)</f>
        <v>0</v>
      </c>
      <c r="AD173" s="280">
        <f>IF(AO173="2",BF173,0)</f>
        <v>0</v>
      </c>
      <c r="AE173" s="280">
        <f>IF(AO173="2",BG173,0)</f>
        <v>0</v>
      </c>
      <c r="AF173" s="280">
        <f>IF(AO173="0",BH173,0)</f>
        <v>0</v>
      </c>
      <c r="AG173" s="278" t="s">
        <v>154</v>
      </c>
      <c r="AH173" s="280">
        <f>IF(AL173=0,J173,0)</f>
        <v>0</v>
      </c>
      <c r="AI173" s="280">
        <f>IF(AL173=15,J173,0)</f>
        <v>0</v>
      </c>
      <c r="AJ173" s="280">
        <f>IF(AL173=21,J173,0)</f>
        <v>0</v>
      </c>
      <c r="AL173" s="280">
        <v>15</v>
      </c>
      <c r="AM173" s="280">
        <f>G173*1</f>
        <v>0</v>
      </c>
      <c r="AN173" s="280">
        <f>G173*(1-1)</f>
        <v>0</v>
      </c>
      <c r="AO173" s="281" t="s">
        <v>453</v>
      </c>
      <c r="AT173" s="280">
        <f>AU173+AV173</f>
        <v>0</v>
      </c>
      <c r="AU173" s="280">
        <f>F173*AM173</f>
        <v>0</v>
      </c>
      <c r="AV173" s="280">
        <f>F173*AN173</f>
        <v>0</v>
      </c>
      <c r="AW173" s="281" t="s">
        <v>454</v>
      </c>
      <c r="AX173" s="281" t="s">
        <v>455</v>
      </c>
      <c r="AY173" s="278" t="s">
        <v>164</v>
      </c>
      <c r="BA173" s="280">
        <f>AU173+AV173</f>
        <v>0</v>
      </c>
      <c r="BB173" s="280">
        <f>G173/(100-BC173)*100</f>
        <v>0</v>
      </c>
      <c r="BC173" s="280">
        <v>0</v>
      </c>
      <c r="BD173" s="280">
        <f>L173</f>
        <v>6.3092399999999993E-2</v>
      </c>
      <c r="BF173" s="280">
        <f>F173*AM173</f>
        <v>0</v>
      </c>
      <c r="BG173" s="280">
        <f>F173*AN173</f>
        <v>0</v>
      </c>
      <c r="BH173" s="280">
        <f>F173*G173</f>
        <v>0</v>
      </c>
      <c r="BI173" s="280"/>
      <c r="BJ173" s="280"/>
      <c r="BU173" s="280" t="e">
        <f>#REF!</f>
        <v>#REF!</v>
      </c>
      <c r="BV173" s="277" t="s">
        <v>1019</v>
      </c>
    </row>
    <row r="174" spans="1:74" ht="54" customHeight="1" x14ac:dyDescent="0.3">
      <c r="A174" s="288"/>
      <c r="B174" s="289" t="s">
        <v>165</v>
      </c>
      <c r="C174" s="615" t="s">
        <v>1941</v>
      </c>
      <c r="D174" s="616"/>
      <c r="E174" s="616"/>
      <c r="F174" s="616"/>
      <c r="G174" s="616"/>
      <c r="H174" s="616"/>
      <c r="I174" s="616"/>
      <c r="J174" s="616"/>
      <c r="K174" s="616"/>
      <c r="L174" s="616"/>
      <c r="M174" s="617"/>
    </row>
    <row r="175" spans="1:74" ht="14.4" x14ac:dyDescent="0.3">
      <c r="A175" s="290" t="s">
        <v>576</v>
      </c>
      <c r="B175" s="275" t="s">
        <v>939</v>
      </c>
      <c r="C175" s="613" t="s">
        <v>1020</v>
      </c>
      <c r="D175" s="614"/>
      <c r="E175" s="275" t="s">
        <v>365</v>
      </c>
      <c r="F175" s="280">
        <v>6.09</v>
      </c>
      <c r="G175" s="311">
        <v>0</v>
      </c>
      <c r="H175" s="280">
        <f>F175*AM175</f>
        <v>0</v>
      </c>
      <c r="I175" s="280">
        <f>F175*AN175</f>
        <v>0</v>
      </c>
      <c r="J175" s="280">
        <f>F175*G175</f>
        <v>0</v>
      </c>
      <c r="K175" s="280">
        <v>2E-3</v>
      </c>
      <c r="L175" s="280">
        <f>F175*K175</f>
        <v>1.218E-2</v>
      </c>
      <c r="M175" s="291" t="s">
        <v>472</v>
      </c>
      <c r="X175" s="280">
        <f>IF(AO175="5",BH175,0)</f>
        <v>0</v>
      </c>
      <c r="Z175" s="280">
        <f>IF(AO175="1",BF175,0)</f>
        <v>0</v>
      </c>
      <c r="AA175" s="280">
        <f>IF(AO175="1",BG175,0)</f>
        <v>0</v>
      </c>
      <c r="AB175" s="280">
        <f>IF(AO175="7",BF175,0)</f>
        <v>0</v>
      </c>
      <c r="AC175" s="280">
        <f>IF(AO175="7",BG175,0)</f>
        <v>0</v>
      </c>
      <c r="AD175" s="280">
        <f>IF(AO175="2",BF175,0)</f>
        <v>0</v>
      </c>
      <c r="AE175" s="280">
        <f>IF(AO175="2",BG175,0)</f>
        <v>0</v>
      </c>
      <c r="AF175" s="280">
        <f>IF(AO175="0",BH175,0)</f>
        <v>0</v>
      </c>
      <c r="AG175" s="278" t="s">
        <v>154</v>
      </c>
      <c r="AH175" s="280">
        <f>IF(AL175=0,J175,0)</f>
        <v>0</v>
      </c>
      <c r="AI175" s="280">
        <f>IF(AL175=15,J175,0)</f>
        <v>0</v>
      </c>
      <c r="AJ175" s="280">
        <f>IF(AL175=21,J175,0)</f>
        <v>0</v>
      </c>
      <c r="AL175" s="280">
        <v>15</v>
      </c>
      <c r="AM175" s="280">
        <f>G175*1</f>
        <v>0</v>
      </c>
      <c r="AN175" s="280">
        <f>G175*(1-1)</f>
        <v>0</v>
      </c>
      <c r="AO175" s="281" t="s">
        <v>453</v>
      </c>
      <c r="AT175" s="280">
        <f>AU175+AV175</f>
        <v>0</v>
      </c>
      <c r="AU175" s="280">
        <f>F175*AM175</f>
        <v>0</v>
      </c>
      <c r="AV175" s="280">
        <f>F175*AN175</f>
        <v>0</v>
      </c>
      <c r="AW175" s="281" t="s">
        <v>454</v>
      </c>
      <c r="AX175" s="281" t="s">
        <v>455</v>
      </c>
      <c r="AY175" s="278" t="s">
        <v>164</v>
      </c>
      <c r="BA175" s="280">
        <f>AU175+AV175</f>
        <v>0</v>
      </c>
      <c r="BB175" s="280">
        <f>G175/(100-BC175)*100</f>
        <v>0</v>
      </c>
      <c r="BC175" s="280">
        <v>0</v>
      </c>
      <c r="BD175" s="280">
        <f>L175</f>
        <v>1.218E-2</v>
      </c>
      <c r="BF175" s="280">
        <f>F175*AM175</f>
        <v>0</v>
      </c>
      <c r="BG175" s="280">
        <f>F175*AN175</f>
        <v>0</v>
      </c>
      <c r="BH175" s="280">
        <f>F175*G175</f>
        <v>0</v>
      </c>
      <c r="BI175" s="280"/>
      <c r="BJ175" s="280"/>
      <c r="BU175" s="280" t="e">
        <f>#REF!</f>
        <v>#REF!</v>
      </c>
      <c r="BV175" s="277" t="s">
        <v>1020</v>
      </c>
    </row>
    <row r="176" spans="1:74" ht="54" customHeight="1" x14ac:dyDescent="0.3">
      <c r="A176" s="288"/>
      <c r="B176" s="289" t="s">
        <v>165</v>
      </c>
      <c r="C176" s="615" t="s">
        <v>1942</v>
      </c>
      <c r="D176" s="616"/>
      <c r="E176" s="616"/>
      <c r="F176" s="616"/>
      <c r="G176" s="616"/>
      <c r="H176" s="616"/>
      <c r="I176" s="616"/>
      <c r="J176" s="616"/>
      <c r="K176" s="616"/>
      <c r="L176" s="616"/>
      <c r="M176" s="617"/>
    </row>
    <row r="177" spans="1:74" ht="14.4" x14ac:dyDescent="0.3">
      <c r="A177" s="290" t="s">
        <v>580</v>
      </c>
      <c r="B177" s="275" t="s">
        <v>1021</v>
      </c>
      <c r="C177" s="613" t="s">
        <v>1022</v>
      </c>
      <c r="D177" s="614"/>
      <c r="E177" s="275" t="s">
        <v>365</v>
      </c>
      <c r="F177" s="280">
        <v>15.23</v>
      </c>
      <c r="G177" s="311">
        <v>0</v>
      </c>
      <c r="H177" s="280">
        <f>F177*AM177</f>
        <v>0</v>
      </c>
      <c r="I177" s="280">
        <f>F177*AN177</f>
        <v>0</v>
      </c>
      <c r="J177" s="280">
        <f>F177*G177</f>
        <v>0</v>
      </c>
      <c r="K177" s="280">
        <v>7.5399999999999998E-3</v>
      </c>
      <c r="L177" s="280">
        <f>F177*K177</f>
        <v>0.1148342</v>
      </c>
      <c r="M177" s="291" t="s">
        <v>472</v>
      </c>
      <c r="X177" s="280">
        <f>IF(AO177="5",BH177,0)</f>
        <v>0</v>
      </c>
      <c r="Z177" s="280">
        <f>IF(AO177="1",BF177,0)</f>
        <v>0</v>
      </c>
      <c r="AA177" s="280">
        <f>IF(AO177="1",BG177,0)</f>
        <v>0</v>
      </c>
      <c r="AB177" s="280">
        <f>IF(AO177="7",BF177,0)</f>
        <v>0</v>
      </c>
      <c r="AC177" s="280">
        <f>IF(AO177="7",BG177,0)</f>
        <v>0</v>
      </c>
      <c r="AD177" s="280">
        <f>IF(AO177="2",BF177,0)</f>
        <v>0</v>
      </c>
      <c r="AE177" s="280">
        <f>IF(AO177="2",BG177,0)</f>
        <v>0</v>
      </c>
      <c r="AF177" s="280">
        <f>IF(AO177="0",BH177,0)</f>
        <v>0</v>
      </c>
      <c r="AG177" s="278" t="s">
        <v>154</v>
      </c>
      <c r="AH177" s="280">
        <f>IF(AL177=0,J177,0)</f>
        <v>0</v>
      </c>
      <c r="AI177" s="280">
        <f>IF(AL177=15,J177,0)</f>
        <v>0</v>
      </c>
      <c r="AJ177" s="280">
        <f>IF(AL177=21,J177,0)</f>
        <v>0</v>
      </c>
      <c r="AL177" s="280">
        <v>15</v>
      </c>
      <c r="AM177" s="280">
        <f>G177*1</f>
        <v>0</v>
      </c>
      <c r="AN177" s="280">
        <f>G177*(1-1)</f>
        <v>0</v>
      </c>
      <c r="AO177" s="281" t="s">
        <v>453</v>
      </c>
      <c r="AT177" s="280">
        <f>AU177+AV177</f>
        <v>0</v>
      </c>
      <c r="AU177" s="280">
        <f>F177*AM177</f>
        <v>0</v>
      </c>
      <c r="AV177" s="280">
        <f>F177*AN177</f>
        <v>0</v>
      </c>
      <c r="AW177" s="281" t="s">
        <v>454</v>
      </c>
      <c r="AX177" s="281" t="s">
        <v>455</v>
      </c>
      <c r="AY177" s="278" t="s">
        <v>164</v>
      </c>
      <c r="BA177" s="280">
        <f>AU177+AV177</f>
        <v>0</v>
      </c>
      <c r="BB177" s="280">
        <f>G177/(100-BC177)*100</f>
        <v>0</v>
      </c>
      <c r="BC177" s="280">
        <v>0</v>
      </c>
      <c r="BD177" s="280">
        <f>L177</f>
        <v>0.1148342</v>
      </c>
      <c r="BF177" s="280">
        <f>F177*AM177</f>
        <v>0</v>
      </c>
      <c r="BG177" s="280">
        <f>F177*AN177</f>
        <v>0</v>
      </c>
      <c r="BH177" s="280">
        <f>F177*G177</f>
        <v>0</v>
      </c>
      <c r="BI177" s="280"/>
      <c r="BJ177" s="280"/>
      <c r="BU177" s="280" t="e">
        <f>#REF!</f>
        <v>#REF!</v>
      </c>
      <c r="BV177" s="277" t="s">
        <v>1022</v>
      </c>
    </row>
    <row r="178" spans="1:74" ht="54" customHeight="1" x14ac:dyDescent="0.3">
      <c r="A178" s="288"/>
      <c r="B178" s="289" t="s">
        <v>165</v>
      </c>
      <c r="C178" s="615" t="s">
        <v>1943</v>
      </c>
      <c r="D178" s="616"/>
      <c r="E178" s="616"/>
      <c r="F178" s="616"/>
      <c r="G178" s="616"/>
      <c r="H178" s="616"/>
      <c r="I178" s="616"/>
      <c r="J178" s="616"/>
      <c r="K178" s="616"/>
      <c r="L178" s="616"/>
      <c r="M178" s="617"/>
    </row>
    <row r="179" spans="1:74" ht="14.4" x14ac:dyDescent="0.3">
      <c r="A179" s="290" t="s">
        <v>584</v>
      </c>
      <c r="B179" s="275" t="s">
        <v>972</v>
      </c>
      <c r="C179" s="613" t="s">
        <v>973</v>
      </c>
      <c r="D179" s="614"/>
      <c r="E179" s="275" t="s">
        <v>365</v>
      </c>
      <c r="F179" s="280">
        <v>4</v>
      </c>
      <c r="G179" s="311">
        <v>0</v>
      </c>
      <c r="H179" s="280">
        <f t="shared" ref="H179:H192" si="0">F179*AM179</f>
        <v>0</v>
      </c>
      <c r="I179" s="280">
        <f t="shared" ref="I179:I192" si="1">F179*AN179</f>
        <v>0</v>
      </c>
      <c r="J179" s="280">
        <f t="shared" ref="J179:J192" si="2">F179*G179</f>
        <v>0</v>
      </c>
      <c r="K179" s="280">
        <v>0.08</v>
      </c>
      <c r="L179" s="280">
        <f t="shared" ref="L179:L192" si="3">F179*K179</f>
        <v>0.32</v>
      </c>
      <c r="M179" s="291" t="s">
        <v>472</v>
      </c>
      <c r="X179" s="280">
        <f t="shared" ref="X179:X192" si="4">IF(AO179="5",BH179,0)</f>
        <v>0</v>
      </c>
      <c r="Z179" s="280">
        <f t="shared" ref="Z179:Z192" si="5">IF(AO179="1",BF179,0)</f>
        <v>0</v>
      </c>
      <c r="AA179" s="280">
        <f t="shared" ref="AA179:AA192" si="6">IF(AO179="1",BG179,0)</f>
        <v>0</v>
      </c>
      <c r="AB179" s="280">
        <f t="shared" ref="AB179:AB192" si="7">IF(AO179="7",BF179,0)</f>
        <v>0</v>
      </c>
      <c r="AC179" s="280">
        <f t="shared" ref="AC179:AC192" si="8">IF(AO179="7",BG179,0)</f>
        <v>0</v>
      </c>
      <c r="AD179" s="280">
        <f t="shared" ref="AD179:AD192" si="9">IF(AO179="2",BF179,0)</f>
        <v>0</v>
      </c>
      <c r="AE179" s="280">
        <f t="shared" ref="AE179:AE192" si="10">IF(AO179="2",BG179,0)</f>
        <v>0</v>
      </c>
      <c r="AF179" s="280">
        <f t="shared" ref="AF179:AF192" si="11">IF(AO179="0",BH179,0)</f>
        <v>0</v>
      </c>
      <c r="AG179" s="278" t="s">
        <v>154</v>
      </c>
      <c r="AH179" s="280">
        <f t="shared" ref="AH179:AH192" si="12">IF(AL179=0,J179,0)</f>
        <v>0</v>
      </c>
      <c r="AI179" s="280">
        <f t="shared" ref="AI179:AI192" si="13">IF(AL179=15,J179,0)</f>
        <v>0</v>
      </c>
      <c r="AJ179" s="280">
        <f t="shared" ref="AJ179:AJ192" si="14">IF(AL179=21,J179,0)</f>
        <v>0</v>
      </c>
      <c r="AL179" s="280">
        <v>15</v>
      </c>
      <c r="AM179" s="280">
        <f t="shared" ref="AM179:AM192" si="15">G179*1</f>
        <v>0</v>
      </c>
      <c r="AN179" s="280">
        <f t="shared" ref="AN179:AN192" si="16">G179*(1-1)</f>
        <v>0</v>
      </c>
      <c r="AO179" s="281" t="s">
        <v>453</v>
      </c>
      <c r="AT179" s="280">
        <f t="shared" ref="AT179:AT192" si="17">AU179+AV179</f>
        <v>0</v>
      </c>
      <c r="AU179" s="280">
        <f t="shared" ref="AU179:AU192" si="18">F179*AM179</f>
        <v>0</v>
      </c>
      <c r="AV179" s="280">
        <f t="shared" ref="AV179:AV192" si="19">F179*AN179</f>
        <v>0</v>
      </c>
      <c r="AW179" s="281" t="s">
        <v>454</v>
      </c>
      <c r="AX179" s="281" t="s">
        <v>455</v>
      </c>
      <c r="AY179" s="278" t="s">
        <v>164</v>
      </c>
      <c r="BA179" s="280">
        <f t="shared" ref="BA179:BA192" si="20">AU179+AV179</f>
        <v>0</v>
      </c>
      <c r="BB179" s="280">
        <f t="shared" ref="BB179:BB192" si="21">G179/(100-BC179)*100</f>
        <v>0</v>
      </c>
      <c r="BC179" s="280">
        <v>0</v>
      </c>
      <c r="BD179" s="280">
        <f t="shared" ref="BD179:BD192" si="22">L179</f>
        <v>0.32</v>
      </c>
      <c r="BF179" s="280">
        <f t="shared" ref="BF179:BF192" si="23">F179*AM179</f>
        <v>0</v>
      </c>
      <c r="BG179" s="280">
        <f t="shared" ref="BG179:BG192" si="24">F179*AN179</f>
        <v>0</v>
      </c>
      <c r="BH179" s="280">
        <f t="shared" ref="BH179:BH192" si="25">F179*G179</f>
        <v>0</v>
      </c>
      <c r="BI179" s="280"/>
      <c r="BJ179" s="280"/>
      <c r="BU179" s="280" t="e">
        <f>#REF!</f>
        <v>#REF!</v>
      </c>
      <c r="BV179" s="277" t="s">
        <v>973</v>
      </c>
    </row>
    <row r="180" spans="1:74" ht="14.4" x14ac:dyDescent="0.3">
      <c r="A180" s="290" t="s">
        <v>585</v>
      </c>
      <c r="B180" s="275" t="s">
        <v>943</v>
      </c>
      <c r="C180" s="613" t="s">
        <v>944</v>
      </c>
      <c r="D180" s="614"/>
      <c r="E180" s="275" t="s">
        <v>365</v>
      </c>
      <c r="F180" s="280">
        <v>6</v>
      </c>
      <c r="G180" s="311">
        <v>0</v>
      </c>
      <c r="H180" s="280">
        <f t="shared" si="0"/>
        <v>0</v>
      </c>
      <c r="I180" s="280">
        <f t="shared" si="1"/>
        <v>0</v>
      </c>
      <c r="J180" s="280">
        <f t="shared" si="2"/>
        <v>0</v>
      </c>
      <c r="K180" s="280">
        <v>6.8000000000000005E-2</v>
      </c>
      <c r="L180" s="280">
        <f t="shared" si="3"/>
        <v>0.40800000000000003</v>
      </c>
      <c r="M180" s="291" t="s">
        <v>472</v>
      </c>
      <c r="X180" s="280">
        <f t="shared" si="4"/>
        <v>0</v>
      </c>
      <c r="Z180" s="280">
        <f t="shared" si="5"/>
        <v>0</v>
      </c>
      <c r="AA180" s="280">
        <f t="shared" si="6"/>
        <v>0</v>
      </c>
      <c r="AB180" s="280">
        <f t="shared" si="7"/>
        <v>0</v>
      </c>
      <c r="AC180" s="280">
        <f t="shared" si="8"/>
        <v>0</v>
      </c>
      <c r="AD180" s="280">
        <f t="shared" si="9"/>
        <v>0</v>
      </c>
      <c r="AE180" s="280">
        <f t="shared" si="10"/>
        <v>0</v>
      </c>
      <c r="AF180" s="280">
        <f t="shared" si="11"/>
        <v>0</v>
      </c>
      <c r="AG180" s="278" t="s">
        <v>154</v>
      </c>
      <c r="AH180" s="280">
        <f t="shared" si="12"/>
        <v>0</v>
      </c>
      <c r="AI180" s="280">
        <f t="shared" si="13"/>
        <v>0</v>
      </c>
      <c r="AJ180" s="280">
        <f t="shared" si="14"/>
        <v>0</v>
      </c>
      <c r="AL180" s="280">
        <v>15</v>
      </c>
      <c r="AM180" s="280">
        <f t="shared" si="15"/>
        <v>0</v>
      </c>
      <c r="AN180" s="280">
        <f t="shared" si="16"/>
        <v>0</v>
      </c>
      <c r="AO180" s="281" t="s">
        <v>453</v>
      </c>
      <c r="AT180" s="280">
        <f t="shared" si="17"/>
        <v>0</v>
      </c>
      <c r="AU180" s="280">
        <f t="shared" si="18"/>
        <v>0</v>
      </c>
      <c r="AV180" s="280">
        <f t="shared" si="19"/>
        <v>0</v>
      </c>
      <c r="AW180" s="281" t="s">
        <v>454</v>
      </c>
      <c r="AX180" s="281" t="s">
        <v>455</v>
      </c>
      <c r="AY180" s="278" t="s">
        <v>164</v>
      </c>
      <c r="BA180" s="280">
        <f t="shared" si="20"/>
        <v>0</v>
      </c>
      <c r="BB180" s="280">
        <f t="shared" si="21"/>
        <v>0</v>
      </c>
      <c r="BC180" s="280">
        <v>0</v>
      </c>
      <c r="BD180" s="280">
        <f t="shared" si="22"/>
        <v>0.40800000000000003</v>
      </c>
      <c r="BF180" s="280">
        <f t="shared" si="23"/>
        <v>0</v>
      </c>
      <c r="BG180" s="280">
        <f t="shared" si="24"/>
        <v>0</v>
      </c>
      <c r="BH180" s="280">
        <f t="shared" si="25"/>
        <v>0</v>
      </c>
      <c r="BI180" s="280"/>
      <c r="BJ180" s="280"/>
      <c r="BU180" s="280" t="e">
        <f>#REF!</f>
        <v>#REF!</v>
      </c>
      <c r="BV180" s="277" t="s">
        <v>944</v>
      </c>
    </row>
    <row r="181" spans="1:74" ht="14.4" x14ac:dyDescent="0.3">
      <c r="A181" s="290" t="s">
        <v>589</v>
      </c>
      <c r="B181" s="275" t="s">
        <v>945</v>
      </c>
      <c r="C181" s="613" t="s">
        <v>946</v>
      </c>
      <c r="D181" s="614"/>
      <c r="E181" s="275" t="s">
        <v>365</v>
      </c>
      <c r="F181" s="280">
        <v>4</v>
      </c>
      <c r="G181" s="311">
        <v>0</v>
      </c>
      <c r="H181" s="280">
        <f t="shared" si="0"/>
        <v>0</v>
      </c>
      <c r="I181" s="280">
        <f t="shared" si="1"/>
        <v>0</v>
      </c>
      <c r="J181" s="280">
        <f t="shared" si="2"/>
        <v>0</v>
      </c>
      <c r="K181" s="280">
        <v>5.0999999999999997E-2</v>
      </c>
      <c r="L181" s="280">
        <f t="shared" si="3"/>
        <v>0.20399999999999999</v>
      </c>
      <c r="M181" s="291" t="s">
        <v>472</v>
      </c>
      <c r="X181" s="280">
        <f t="shared" si="4"/>
        <v>0</v>
      </c>
      <c r="Z181" s="280">
        <f t="shared" si="5"/>
        <v>0</v>
      </c>
      <c r="AA181" s="280">
        <f t="shared" si="6"/>
        <v>0</v>
      </c>
      <c r="AB181" s="280">
        <f t="shared" si="7"/>
        <v>0</v>
      </c>
      <c r="AC181" s="280">
        <f t="shared" si="8"/>
        <v>0</v>
      </c>
      <c r="AD181" s="280">
        <f t="shared" si="9"/>
        <v>0</v>
      </c>
      <c r="AE181" s="280">
        <f t="shared" si="10"/>
        <v>0</v>
      </c>
      <c r="AF181" s="280">
        <f t="shared" si="11"/>
        <v>0</v>
      </c>
      <c r="AG181" s="278" t="s">
        <v>154</v>
      </c>
      <c r="AH181" s="280">
        <f t="shared" si="12"/>
        <v>0</v>
      </c>
      <c r="AI181" s="280">
        <f t="shared" si="13"/>
        <v>0</v>
      </c>
      <c r="AJ181" s="280">
        <f t="shared" si="14"/>
        <v>0</v>
      </c>
      <c r="AL181" s="280">
        <v>15</v>
      </c>
      <c r="AM181" s="280">
        <f t="shared" si="15"/>
        <v>0</v>
      </c>
      <c r="AN181" s="280">
        <f t="shared" si="16"/>
        <v>0</v>
      </c>
      <c r="AO181" s="281" t="s">
        <v>453</v>
      </c>
      <c r="AT181" s="280">
        <f t="shared" si="17"/>
        <v>0</v>
      </c>
      <c r="AU181" s="280">
        <f t="shared" si="18"/>
        <v>0</v>
      </c>
      <c r="AV181" s="280">
        <f t="shared" si="19"/>
        <v>0</v>
      </c>
      <c r="AW181" s="281" t="s">
        <v>454</v>
      </c>
      <c r="AX181" s="281" t="s">
        <v>455</v>
      </c>
      <c r="AY181" s="278" t="s">
        <v>164</v>
      </c>
      <c r="BA181" s="280">
        <f t="shared" si="20"/>
        <v>0</v>
      </c>
      <c r="BB181" s="280">
        <f t="shared" si="21"/>
        <v>0</v>
      </c>
      <c r="BC181" s="280">
        <v>0</v>
      </c>
      <c r="BD181" s="280">
        <f t="shared" si="22"/>
        <v>0.20399999999999999</v>
      </c>
      <c r="BF181" s="280">
        <f t="shared" si="23"/>
        <v>0</v>
      </c>
      <c r="BG181" s="280">
        <f t="shared" si="24"/>
        <v>0</v>
      </c>
      <c r="BH181" s="280">
        <f t="shared" si="25"/>
        <v>0</v>
      </c>
      <c r="BI181" s="280"/>
      <c r="BJ181" s="280"/>
      <c r="BU181" s="280" t="e">
        <f>#REF!</f>
        <v>#REF!</v>
      </c>
      <c r="BV181" s="277" t="s">
        <v>946</v>
      </c>
    </row>
    <row r="182" spans="1:74" ht="14.4" x14ac:dyDescent="0.3">
      <c r="A182" s="290" t="s">
        <v>593</v>
      </c>
      <c r="B182" s="275" t="s">
        <v>947</v>
      </c>
      <c r="C182" s="613" t="s">
        <v>948</v>
      </c>
      <c r="D182" s="614"/>
      <c r="E182" s="275" t="s">
        <v>365</v>
      </c>
      <c r="F182" s="280">
        <v>3</v>
      </c>
      <c r="G182" s="311">
        <v>0</v>
      </c>
      <c r="H182" s="280">
        <f t="shared" si="0"/>
        <v>0</v>
      </c>
      <c r="I182" s="280">
        <f t="shared" si="1"/>
        <v>0</v>
      </c>
      <c r="J182" s="280">
        <f t="shared" si="2"/>
        <v>0</v>
      </c>
      <c r="K182" s="280">
        <v>3.9E-2</v>
      </c>
      <c r="L182" s="280">
        <f t="shared" si="3"/>
        <v>0.11699999999999999</v>
      </c>
      <c r="M182" s="291" t="s">
        <v>472</v>
      </c>
      <c r="X182" s="280">
        <f t="shared" si="4"/>
        <v>0</v>
      </c>
      <c r="Z182" s="280">
        <f t="shared" si="5"/>
        <v>0</v>
      </c>
      <c r="AA182" s="280">
        <f t="shared" si="6"/>
        <v>0</v>
      </c>
      <c r="AB182" s="280">
        <f t="shared" si="7"/>
        <v>0</v>
      </c>
      <c r="AC182" s="280">
        <f t="shared" si="8"/>
        <v>0</v>
      </c>
      <c r="AD182" s="280">
        <f t="shared" si="9"/>
        <v>0</v>
      </c>
      <c r="AE182" s="280">
        <f t="shared" si="10"/>
        <v>0</v>
      </c>
      <c r="AF182" s="280">
        <f t="shared" si="11"/>
        <v>0</v>
      </c>
      <c r="AG182" s="278" t="s">
        <v>154</v>
      </c>
      <c r="AH182" s="280">
        <f t="shared" si="12"/>
        <v>0</v>
      </c>
      <c r="AI182" s="280">
        <f t="shared" si="13"/>
        <v>0</v>
      </c>
      <c r="AJ182" s="280">
        <f t="shared" si="14"/>
        <v>0</v>
      </c>
      <c r="AL182" s="280">
        <v>15</v>
      </c>
      <c r="AM182" s="280">
        <f t="shared" si="15"/>
        <v>0</v>
      </c>
      <c r="AN182" s="280">
        <f t="shared" si="16"/>
        <v>0</v>
      </c>
      <c r="AO182" s="281" t="s">
        <v>453</v>
      </c>
      <c r="AT182" s="280">
        <f t="shared" si="17"/>
        <v>0</v>
      </c>
      <c r="AU182" s="280">
        <f t="shared" si="18"/>
        <v>0</v>
      </c>
      <c r="AV182" s="280">
        <f t="shared" si="19"/>
        <v>0</v>
      </c>
      <c r="AW182" s="281" t="s">
        <v>454</v>
      </c>
      <c r="AX182" s="281" t="s">
        <v>455</v>
      </c>
      <c r="AY182" s="278" t="s">
        <v>164</v>
      </c>
      <c r="BA182" s="280">
        <f t="shared" si="20"/>
        <v>0</v>
      </c>
      <c r="BB182" s="280">
        <f t="shared" si="21"/>
        <v>0</v>
      </c>
      <c r="BC182" s="280">
        <v>0</v>
      </c>
      <c r="BD182" s="280">
        <f t="shared" si="22"/>
        <v>0.11699999999999999</v>
      </c>
      <c r="BF182" s="280">
        <f t="shared" si="23"/>
        <v>0</v>
      </c>
      <c r="BG182" s="280">
        <f t="shared" si="24"/>
        <v>0</v>
      </c>
      <c r="BH182" s="280">
        <f t="shared" si="25"/>
        <v>0</v>
      </c>
      <c r="BI182" s="280"/>
      <c r="BJ182" s="280"/>
      <c r="BU182" s="280" t="e">
        <f>#REF!</f>
        <v>#REF!</v>
      </c>
      <c r="BV182" s="277" t="s">
        <v>948</v>
      </c>
    </row>
    <row r="183" spans="1:74" ht="14.4" x14ac:dyDescent="0.3">
      <c r="A183" s="290" t="s">
        <v>597</v>
      </c>
      <c r="B183" s="275" t="s">
        <v>1023</v>
      </c>
      <c r="C183" s="613" t="s">
        <v>1024</v>
      </c>
      <c r="D183" s="614"/>
      <c r="E183" s="275" t="s">
        <v>365</v>
      </c>
      <c r="F183" s="280">
        <v>1</v>
      </c>
      <c r="G183" s="311">
        <v>0</v>
      </c>
      <c r="H183" s="280">
        <f t="shared" si="0"/>
        <v>0</v>
      </c>
      <c r="I183" s="280">
        <f t="shared" si="1"/>
        <v>0</v>
      </c>
      <c r="J183" s="280">
        <f t="shared" si="2"/>
        <v>0</v>
      </c>
      <c r="K183" s="280">
        <v>2.4E-2</v>
      </c>
      <c r="L183" s="280">
        <f t="shared" si="3"/>
        <v>2.4E-2</v>
      </c>
      <c r="M183" s="291" t="s">
        <v>472</v>
      </c>
      <c r="X183" s="280">
        <f t="shared" si="4"/>
        <v>0</v>
      </c>
      <c r="Z183" s="280">
        <f t="shared" si="5"/>
        <v>0</v>
      </c>
      <c r="AA183" s="280">
        <f t="shared" si="6"/>
        <v>0</v>
      </c>
      <c r="AB183" s="280">
        <f t="shared" si="7"/>
        <v>0</v>
      </c>
      <c r="AC183" s="280">
        <f t="shared" si="8"/>
        <v>0</v>
      </c>
      <c r="AD183" s="280">
        <f t="shared" si="9"/>
        <v>0</v>
      </c>
      <c r="AE183" s="280">
        <f t="shared" si="10"/>
        <v>0</v>
      </c>
      <c r="AF183" s="280">
        <f t="shared" si="11"/>
        <v>0</v>
      </c>
      <c r="AG183" s="278" t="s">
        <v>154</v>
      </c>
      <c r="AH183" s="280">
        <f t="shared" si="12"/>
        <v>0</v>
      </c>
      <c r="AI183" s="280">
        <f t="shared" si="13"/>
        <v>0</v>
      </c>
      <c r="AJ183" s="280">
        <f t="shared" si="14"/>
        <v>0</v>
      </c>
      <c r="AL183" s="280">
        <v>15</v>
      </c>
      <c r="AM183" s="280">
        <f t="shared" si="15"/>
        <v>0</v>
      </c>
      <c r="AN183" s="280">
        <f t="shared" si="16"/>
        <v>0</v>
      </c>
      <c r="AO183" s="281" t="s">
        <v>453</v>
      </c>
      <c r="AT183" s="280">
        <f t="shared" si="17"/>
        <v>0</v>
      </c>
      <c r="AU183" s="280">
        <f t="shared" si="18"/>
        <v>0</v>
      </c>
      <c r="AV183" s="280">
        <f t="shared" si="19"/>
        <v>0</v>
      </c>
      <c r="AW183" s="281" t="s">
        <v>454</v>
      </c>
      <c r="AX183" s="281" t="s">
        <v>455</v>
      </c>
      <c r="AY183" s="278" t="s">
        <v>164</v>
      </c>
      <c r="BA183" s="280">
        <f t="shared" si="20"/>
        <v>0</v>
      </c>
      <c r="BB183" s="280">
        <f t="shared" si="21"/>
        <v>0</v>
      </c>
      <c r="BC183" s="280">
        <v>0</v>
      </c>
      <c r="BD183" s="280">
        <f t="shared" si="22"/>
        <v>2.4E-2</v>
      </c>
      <c r="BF183" s="280">
        <f t="shared" si="23"/>
        <v>0</v>
      </c>
      <c r="BG183" s="280">
        <f t="shared" si="24"/>
        <v>0</v>
      </c>
      <c r="BH183" s="280">
        <f t="shared" si="25"/>
        <v>0</v>
      </c>
      <c r="BI183" s="280"/>
      <c r="BJ183" s="280"/>
      <c r="BU183" s="280" t="e">
        <f>#REF!</f>
        <v>#REF!</v>
      </c>
      <c r="BV183" s="277" t="s">
        <v>1024</v>
      </c>
    </row>
    <row r="184" spans="1:74" ht="14.4" x14ac:dyDescent="0.3">
      <c r="A184" s="290" t="s">
        <v>350</v>
      </c>
      <c r="B184" s="275" t="s">
        <v>949</v>
      </c>
      <c r="C184" s="613" t="s">
        <v>950</v>
      </c>
      <c r="D184" s="614"/>
      <c r="E184" s="275" t="s">
        <v>365</v>
      </c>
      <c r="F184" s="280">
        <v>11</v>
      </c>
      <c r="G184" s="311">
        <v>0</v>
      </c>
      <c r="H184" s="280">
        <f t="shared" si="0"/>
        <v>0</v>
      </c>
      <c r="I184" s="280">
        <f t="shared" si="1"/>
        <v>0</v>
      </c>
      <c r="J184" s="280">
        <f t="shared" si="2"/>
        <v>0</v>
      </c>
      <c r="K184" s="280">
        <v>0.58499999999999996</v>
      </c>
      <c r="L184" s="280">
        <f t="shared" si="3"/>
        <v>6.4349999999999996</v>
      </c>
      <c r="M184" s="291" t="s">
        <v>472</v>
      </c>
      <c r="X184" s="280">
        <f t="shared" si="4"/>
        <v>0</v>
      </c>
      <c r="Z184" s="280">
        <f t="shared" si="5"/>
        <v>0</v>
      </c>
      <c r="AA184" s="280">
        <f t="shared" si="6"/>
        <v>0</v>
      </c>
      <c r="AB184" s="280">
        <f t="shared" si="7"/>
        <v>0</v>
      </c>
      <c r="AC184" s="280">
        <f t="shared" si="8"/>
        <v>0</v>
      </c>
      <c r="AD184" s="280">
        <f t="shared" si="9"/>
        <v>0</v>
      </c>
      <c r="AE184" s="280">
        <f t="shared" si="10"/>
        <v>0</v>
      </c>
      <c r="AF184" s="280">
        <f t="shared" si="11"/>
        <v>0</v>
      </c>
      <c r="AG184" s="278" t="s">
        <v>154</v>
      </c>
      <c r="AH184" s="280">
        <f t="shared" si="12"/>
        <v>0</v>
      </c>
      <c r="AI184" s="280">
        <f t="shared" si="13"/>
        <v>0</v>
      </c>
      <c r="AJ184" s="280">
        <f t="shared" si="14"/>
        <v>0</v>
      </c>
      <c r="AL184" s="280">
        <v>15</v>
      </c>
      <c r="AM184" s="280">
        <f t="shared" si="15"/>
        <v>0</v>
      </c>
      <c r="AN184" s="280">
        <f t="shared" si="16"/>
        <v>0</v>
      </c>
      <c r="AO184" s="281" t="s">
        <v>453</v>
      </c>
      <c r="AT184" s="280">
        <f t="shared" si="17"/>
        <v>0</v>
      </c>
      <c r="AU184" s="280">
        <f t="shared" si="18"/>
        <v>0</v>
      </c>
      <c r="AV184" s="280">
        <f t="shared" si="19"/>
        <v>0</v>
      </c>
      <c r="AW184" s="281" t="s">
        <v>454</v>
      </c>
      <c r="AX184" s="281" t="s">
        <v>455</v>
      </c>
      <c r="AY184" s="278" t="s">
        <v>164</v>
      </c>
      <c r="BA184" s="280">
        <f t="shared" si="20"/>
        <v>0</v>
      </c>
      <c r="BB184" s="280">
        <f t="shared" si="21"/>
        <v>0</v>
      </c>
      <c r="BC184" s="280">
        <v>0</v>
      </c>
      <c r="BD184" s="280">
        <f t="shared" si="22"/>
        <v>6.4349999999999996</v>
      </c>
      <c r="BF184" s="280">
        <f t="shared" si="23"/>
        <v>0</v>
      </c>
      <c r="BG184" s="280">
        <f t="shared" si="24"/>
        <v>0</v>
      </c>
      <c r="BH184" s="280">
        <f t="shared" si="25"/>
        <v>0</v>
      </c>
      <c r="BI184" s="280"/>
      <c r="BJ184" s="280"/>
      <c r="BU184" s="280" t="e">
        <f>#REF!</f>
        <v>#REF!</v>
      </c>
      <c r="BV184" s="277" t="s">
        <v>950</v>
      </c>
    </row>
    <row r="185" spans="1:74" ht="14.4" x14ac:dyDescent="0.3">
      <c r="A185" s="290" t="s">
        <v>601</v>
      </c>
      <c r="B185" s="275" t="s">
        <v>1025</v>
      </c>
      <c r="C185" s="613" t="s">
        <v>1026</v>
      </c>
      <c r="D185" s="614"/>
      <c r="E185" s="275" t="s">
        <v>365</v>
      </c>
      <c r="F185" s="280">
        <v>1</v>
      </c>
      <c r="G185" s="311">
        <v>0</v>
      </c>
      <c r="H185" s="280">
        <f t="shared" si="0"/>
        <v>0</v>
      </c>
      <c r="I185" s="280">
        <f t="shared" si="1"/>
        <v>0</v>
      </c>
      <c r="J185" s="280">
        <f t="shared" si="2"/>
        <v>0</v>
      </c>
      <c r="K185" s="280">
        <v>0.43</v>
      </c>
      <c r="L185" s="280">
        <f t="shared" si="3"/>
        <v>0.43</v>
      </c>
      <c r="M185" s="291" t="s">
        <v>472</v>
      </c>
      <c r="X185" s="280">
        <f t="shared" si="4"/>
        <v>0</v>
      </c>
      <c r="Z185" s="280">
        <f t="shared" si="5"/>
        <v>0</v>
      </c>
      <c r="AA185" s="280">
        <f t="shared" si="6"/>
        <v>0</v>
      </c>
      <c r="AB185" s="280">
        <f t="shared" si="7"/>
        <v>0</v>
      </c>
      <c r="AC185" s="280">
        <f t="shared" si="8"/>
        <v>0</v>
      </c>
      <c r="AD185" s="280">
        <f t="shared" si="9"/>
        <v>0</v>
      </c>
      <c r="AE185" s="280">
        <f t="shared" si="10"/>
        <v>0</v>
      </c>
      <c r="AF185" s="280">
        <f t="shared" si="11"/>
        <v>0</v>
      </c>
      <c r="AG185" s="278" t="s">
        <v>154</v>
      </c>
      <c r="AH185" s="280">
        <f t="shared" si="12"/>
        <v>0</v>
      </c>
      <c r="AI185" s="280">
        <f t="shared" si="13"/>
        <v>0</v>
      </c>
      <c r="AJ185" s="280">
        <f t="shared" si="14"/>
        <v>0</v>
      </c>
      <c r="AL185" s="280">
        <v>15</v>
      </c>
      <c r="AM185" s="280">
        <f t="shared" si="15"/>
        <v>0</v>
      </c>
      <c r="AN185" s="280">
        <f t="shared" si="16"/>
        <v>0</v>
      </c>
      <c r="AO185" s="281" t="s">
        <v>453</v>
      </c>
      <c r="AT185" s="280">
        <f t="shared" si="17"/>
        <v>0</v>
      </c>
      <c r="AU185" s="280">
        <f t="shared" si="18"/>
        <v>0</v>
      </c>
      <c r="AV185" s="280">
        <f t="shared" si="19"/>
        <v>0</v>
      </c>
      <c r="AW185" s="281" t="s">
        <v>454</v>
      </c>
      <c r="AX185" s="281" t="s">
        <v>455</v>
      </c>
      <c r="AY185" s="278" t="s">
        <v>164</v>
      </c>
      <c r="BA185" s="280">
        <f t="shared" si="20"/>
        <v>0</v>
      </c>
      <c r="BB185" s="280">
        <f t="shared" si="21"/>
        <v>0</v>
      </c>
      <c r="BC185" s="280">
        <v>0</v>
      </c>
      <c r="BD185" s="280">
        <f t="shared" si="22"/>
        <v>0.43</v>
      </c>
      <c r="BF185" s="280">
        <f t="shared" si="23"/>
        <v>0</v>
      </c>
      <c r="BG185" s="280">
        <f t="shared" si="24"/>
        <v>0</v>
      </c>
      <c r="BH185" s="280">
        <f t="shared" si="25"/>
        <v>0</v>
      </c>
      <c r="BI185" s="280"/>
      <c r="BJ185" s="280"/>
      <c r="BU185" s="280" t="e">
        <f>#REF!</f>
        <v>#REF!</v>
      </c>
      <c r="BV185" s="277" t="s">
        <v>1026</v>
      </c>
    </row>
    <row r="186" spans="1:74" ht="14.4" x14ac:dyDescent="0.3">
      <c r="A186" s="290" t="s">
        <v>529</v>
      </c>
      <c r="B186" s="275" t="s">
        <v>951</v>
      </c>
      <c r="C186" s="613" t="s">
        <v>952</v>
      </c>
      <c r="D186" s="614"/>
      <c r="E186" s="275" t="s">
        <v>365</v>
      </c>
      <c r="F186" s="280">
        <v>3</v>
      </c>
      <c r="G186" s="311">
        <v>0</v>
      </c>
      <c r="H186" s="280">
        <f t="shared" si="0"/>
        <v>0</v>
      </c>
      <c r="I186" s="280">
        <f t="shared" si="1"/>
        <v>0</v>
      </c>
      <c r="J186" s="280">
        <f t="shared" si="2"/>
        <v>0</v>
      </c>
      <c r="K186" s="280">
        <v>0.5</v>
      </c>
      <c r="L186" s="280">
        <f t="shared" si="3"/>
        <v>1.5</v>
      </c>
      <c r="M186" s="291" t="s">
        <v>472</v>
      </c>
      <c r="X186" s="280">
        <f t="shared" si="4"/>
        <v>0</v>
      </c>
      <c r="Z186" s="280">
        <f t="shared" si="5"/>
        <v>0</v>
      </c>
      <c r="AA186" s="280">
        <f t="shared" si="6"/>
        <v>0</v>
      </c>
      <c r="AB186" s="280">
        <f t="shared" si="7"/>
        <v>0</v>
      </c>
      <c r="AC186" s="280">
        <f t="shared" si="8"/>
        <v>0</v>
      </c>
      <c r="AD186" s="280">
        <f t="shared" si="9"/>
        <v>0</v>
      </c>
      <c r="AE186" s="280">
        <f t="shared" si="10"/>
        <v>0</v>
      </c>
      <c r="AF186" s="280">
        <f t="shared" si="11"/>
        <v>0</v>
      </c>
      <c r="AG186" s="278" t="s">
        <v>154</v>
      </c>
      <c r="AH186" s="280">
        <f t="shared" si="12"/>
        <v>0</v>
      </c>
      <c r="AI186" s="280">
        <f t="shared" si="13"/>
        <v>0</v>
      </c>
      <c r="AJ186" s="280">
        <f t="shared" si="14"/>
        <v>0</v>
      </c>
      <c r="AL186" s="280">
        <v>15</v>
      </c>
      <c r="AM186" s="280">
        <f t="shared" si="15"/>
        <v>0</v>
      </c>
      <c r="AN186" s="280">
        <f t="shared" si="16"/>
        <v>0</v>
      </c>
      <c r="AO186" s="281" t="s">
        <v>453</v>
      </c>
      <c r="AT186" s="280">
        <f t="shared" si="17"/>
        <v>0</v>
      </c>
      <c r="AU186" s="280">
        <f t="shared" si="18"/>
        <v>0</v>
      </c>
      <c r="AV186" s="280">
        <f t="shared" si="19"/>
        <v>0</v>
      </c>
      <c r="AW186" s="281" t="s">
        <v>454</v>
      </c>
      <c r="AX186" s="281" t="s">
        <v>455</v>
      </c>
      <c r="AY186" s="278" t="s">
        <v>164</v>
      </c>
      <c r="BA186" s="280">
        <f t="shared" si="20"/>
        <v>0</v>
      </c>
      <c r="BB186" s="280">
        <f t="shared" si="21"/>
        <v>0</v>
      </c>
      <c r="BC186" s="280">
        <v>0</v>
      </c>
      <c r="BD186" s="280">
        <f t="shared" si="22"/>
        <v>1.5</v>
      </c>
      <c r="BF186" s="280">
        <f t="shared" si="23"/>
        <v>0</v>
      </c>
      <c r="BG186" s="280">
        <f t="shared" si="24"/>
        <v>0</v>
      </c>
      <c r="BH186" s="280">
        <f t="shared" si="25"/>
        <v>0</v>
      </c>
      <c r="BI186" s="280"/>
      <c r="BJ186" s="280"/>
      <c r="BU186" s="280" t="e">
        <f>#REF!</f>
        <v>#REF!</v>
      </c>
      <c r="BV186" s="277" t="s">
        <v>952</v>
      </c>
    </row>
    <row r="187" spans="1:74" ht="14.4" x14ac:dyDescent="0.3">
      <c r="A187" s="290" t="s">
        <v>607</v>
      </c>
      <c r="B187" s="275" t="s">
        <v>953</v>
      </c>
      <c r="C187" s="613" t="s">
        <v>954</v>
      </c>
      <c r="D187" s="614"/>
      <c r="E187" s="275" t="s">
        <v>365</v>
      </c>
      <c r="F187" s="280">
        <v>10</v>
      </c>
      <c r="G187" s="311">
        <v>0</v>
      </c>
      <c r="H187" s="280">
        <f t="shared" si="0"/>
        <v>0</v>
      </c>
      <c r="I187" s="280">
        <f t="shared" si="1"/>
        <v>0</v>
      </c>
      <c r="J187" s="280">
        <f t="shared" si="2"/>
        <v>0</v>
      </c>
      <c r="K187" s="280">
        <v>1</v>
      </c>
      <c r="L187" s="280">
        <f t="shared" si="3"/>
        <v>10</v>
      </c>
      <c r="M187" s="291" t="s">
        <v>472</v>
      </c>
      <c r="X187" s="280">
        <f t="shared" si="4"/>
        <v>0</v>
      </c>
      <c r="Z187" s="280">
        <f t="shared" si="5"/>
        <v>0</v>
      </c>
      <c r="AA187" s="280">
        <f t="shared" si="6"/>
        <v>0</v>
      </c>
      <c r="AB187" s="280">
        <f t="shared" si="7"/>
        <v>0</v>
      </c>
      <c r="AC187" s="280">
        <f t="shared" si="8"/>
        <v>0</v>
      </c>
      <c r="AD187" s="280">
        <f t="shared" si="9"/>
        <v>0</v>
      </c>
      <c r="AE187" s="280">
        <f t="shared" si="10"/>
        <v>0</v>
      </c>
      <c r="AF187" s="280">
        <f t="shared" si="11"/>
        <v>0</v>
      </c>
      <c r="AG187" s="278" t="s">
        <v>154</v>
      </c>
      <c r="AH187" s="280">
        <f t="shared" si="12"/>
        <v>0</v>
      </c>
      <c r="AI187" s="280">
        <f t="shared" si="13"/>
        <v>0</v>
      </c>
      <c r="AJ187" s="280">
        <f t="shared" si="14"/>
        <v>0</v>
      </c>
      <c r="AL187" s="280">
        <v>15</v>
      </c>
      <c r="AM187" s="280">
        <f t="shared" si="15"/>
        <v>0</v>
      </c>
      <c r="AN187" s="280">
        <f t="shared" si="16"/>
        <v>0</v>
      </c>
      <c r="AO187" s="281" t="s">
        <v>453</v>
      </c>
      <c r="AT187" s="280">
        <f t="shared" si="17"/>
        <v>0</v>
      </c>
      <c r="AU187" s="280">
        <f t="shared" si="18"/>
        <v>0</v>
      </c>
      <c r="AV187" s="280">
        <f t="shared" si="19"/>
        <v>0</v>
      </c>
      <c r="AW187" s="281" t="s">
        <v>454</v>
      </c>
      <c r="AX187" s="281" t="s">
        <v>455</v>
      </c>
      <c r="AY187" s="278" t="s">
        <v>164</v>
      </c>
      <c r="BA187" s="280">
        <f t="shared" si="20"/>
        <v>0</v>
      </c>
      <c r="BB187" s="280">
        <f t="shared" si="21"/>
        <v>0</v>
      </c>
      <c r="BC187" s="280">
        <v>0</v>
      </c>
      <c r="BD187" s="280">
        <f t="shared" si="22"/>
        <v>10</v>
      </c>
      <c r="BF187" s="280">
        <f t="shared" si="23"/>
        <v>0</v>
      </c>
      <c r="BG187" s="280">
        <f t="shared" si="24"/>
        <v>0</v>
      </c>
      <c r="BH187" s="280">
        <f t="shared" si="25"/>
        <v>0</v>
      </c>
      <c r="BI187" s="280"/>
      <c r="BJ187" s="280"/>
      <c r="BU187" s="280" t="e">
        <f>#REF!</f>
        <v>#REF!</v>
      </c>
      <c r="BV187" s="277" t="s">
        <v>954</v>
      </c>
    </row>
    <row r="188" spans="1:74" ht="14.4" x14ac:dyDescent="0.3">
      <c r="A188" s="290" t="s">
        <v>539</v>
      </c>
      <c r="B188" s="275" t="s">
        <v>955</v>
      </c>
      <c r="C188" s="613" t="s">
        <v>956</v>
      </c>
      <c r="D188" s="614"/>
      <c r="E188" s="275" t="s">
        <v>365</v>
      </c>
      <c r="F188" s="280">
        <v>3</v>
      </c>
      <c r="G188" s="311">
        <v>0</v>
      </c>
      <c r="H188" s="280">
        <f t="shared" si="0"/>
        <v>0</v>
      </c>
      <c r="I188" s="280">
        <f t="shared" si="1"/>
        <v>0</v>
      </c>
      <c r="J188" s="280">
        <f t="shared" si="2"/>
        <v>0</v>
      </c>
      <c r="K188" s="280">
        <v>1.6</v>
      </c>
      <c r="L188" s="280">
        <f t="shared" si="3"/>
        <v>4.8000000000000007</v>
      </c>
      <c r="M188" s="291" t="s">
        <v>472</v>
      </c>
      <c r="X188" s="280">
        <f t="shared" si="4"/>
        <v>0</v>
      </c>
      <c r="Z188" s="280">
        <f t="shared" si="5"/>
        <v>0</v>
      </c>
      <c r="AA188" s="280">
        <f t="shared" si="6"/>
        <v>0</v>
      </c>
      <c r="AB188" s="280">
        <f t="shared" si="7"/>
        <v>0</v>
      </c>
      <c r="AC188" s="280">
        <f t="shared" si="8"/>
        <v>0</v>
      </c>
      <c r="AD188" s="280">
        <f t="shared" si="9"/>
        <v>0</v>
      </c>
      <c r="AE188" s="280">
        <f t="shared" si="10"/>
        <v>0</v>
      </c>
      <c r="AF188" s="280">
        <f t="shared" si="11"/>
        <v>0</v>
      </c>
      <c r="AG188" s="278" t="s">
        <v>154</v>
      </c>
      <c r="AH188" s="280">
        <f t="shared" si="12"/>
        <v>0</v>
      </c>
      <c r="AI188" s="280">
        <f t="shared" si="13"/>
        <v>0</v>
      </c>
      <c r="AJ188" s="280">
        <f t="shared" si="14"/>
        <v>0</v>
      </c>
      <c r="AL188" s="280">
        <v>15</v>
      </c>
      <c r="AM188" s="280">
        <f t="shared" si="15"/>
        <v>0</v>
      </c>
      <c r="AN188" s="280">
        <f t="shared" si="16"/>
        <v>0</v>
      </c>
      <c r="AO188" s="281" t="s">
        <v>453</v>
      </c>
      <c r="AT188" s="280">
        <f t="shared" si="17"/>
        <v>0</v>
      </c>
      <c r="AU188" s="280">
        <f t="shared" si="18"/>
        <v>0</v>
      </c>
      <c r="AV188" s="280">
        <f t="shared" si="19"/>
        <v>0</v>
      </c>
      <c r="AW188" s="281" t="s">
        <v>454</v>
      </c>
      <c r="AX188" s="281" t="s">
        <v>455</v>
      </c>
      <c r="AY188" s="278" t="s">
        <v>164</v>
      </c>
      <c r="BA188" s="280">
        <f t="shared" si="20"/>
        <v>0</v>
      </c>
      <c r="BB188" s="280">
        <f t="shared" si="21"/>
        <v>0</v>
      </c>
      <c r="BC188" s="280">
        <v>0</v>
      </c>
      <c r="BD188" s="280">
        <f t="shared" si="22"/>
        <v>4.8000000000000007</v>
      </c>
      <c r="BF188" s="280">
        <f t="shared" si="23"/>
        <v>0</v>
      </c>
      <c r="BG188" s="280">
        <f t="shared" si="24"/>
        <v>0</v>
      </c>
      <c r="BH188" s="280">
        <f t="shared" si="25"/>
        <v>0</v>
      </c>
      <c r="BI188" s="280"/>
      <c r="BJ188" s="280"/>
      <c r="BU188" s="280" t="e">
        <f>#REF!</f>
        <v>#REF!</v>
      </c>
      <c r="BV188" s="277" t="s">
        <v>956</v>
      </c>
    </row>
    <row r="189" spans="1:74" ht="14.4" x14ac:dyDescent="0.3">
      <c r="A189" s="290" t="s">
        <v>613</v>
      </c>
      <c r="B189" s="275" t="s">
        <v>957</v>
      </c>
      <c r="C189" s="613" t="s">
        <v>958</v>
      </c>
      <c r="D189" s="614"/>
      <c r="E189" s="275" t="s">
        <v>365</v>
      </c>
      <c r="F189" s="280">
        <v>2</v>
      </c>
      <c r="G189" s="311">
        <v>0</v>
      </c>
      <c r="H189" s="280">
        <f t="shared" si="0"/>
        <v>0</v>
      </c>
      <c r="I189" s="280">
        <f t="shared" si="1"/>
        <v>0</v>
      </c>
      <c r="J189" s="280">
        <f t="shared" si="2"/>
        <v>0</v>
      </c>
      <c r="K189" s="280">
        <v>1.87</v>
      </c>
      <c r="L189" s="280">
        <f t="shared" si="3"/>
        <v>3.74</v>
      </c>
      <c r="M189" s="291" t="s">
        <v>472</v>
      </c>
      <c r="X189" s="280">
        <f t="shared" si="4"/>
        <v>0</v>
      </c>
      <c r="Z189" s="280">
        <f t="shared" si="5"/>
        <v>0</v>
      </c>
      <c r="AA189" s="280">
        <f t="shared" si="6"/>
        <v>0</v>
      </c>
      <c r="AB189" s="280">
        <f t="shared" si="7"/>
        <v>0</v>
      </c>
      <c r="AC189" s="280">
        <f t="shared" si="8"/>
        <v>0</v>
      </c>
      <c r="AD189" s="280">
        <f t="shared" si="9"/>
        <v>0</v>
      </c>
      <c r="AE189" s="280">
        <f t="shared" si="10"/>
        <v>0</v>
      </c>
      <c r="AF189" s="280">
        <f t="shared" si="11"/>
        <v>0</v>
      </c>
      <c r="AG189" s="278" t="s">
        <v>154</v>
      </c>
      <c r="AH189" s="280">
        <f t="shared" si="12"/>
        <v>0</v>
      </c>
      <c r="AI189" s="280">
        <f t="shared" si="13"/>
        <v>0</v>
      </c>
      <c r="AJ189" s="280">
        <f t="shared" si="14"/>
        <v>0</v>
      </c>
      <c r="AL189" s="280">
        <v>15</v>
      </c>
      <c r="AM189" s="280">
        <f t="shared" si="15"/>
        <v>0</v>
      </c>
      <c r="AN189" s="280">
        <f t="shared" si="16"/>
        <v>0</v>
      </c>
      <c r="AO189" s="281" t="s">
        <v>453</v>
      </c>
      <c r="AT189" s="280">
        <f t="shared" si="17"/>
        <v>0</v>
      </c>
      <c r="AU189" s="280">
        <f t="shared" si="18"/>
        <v>0</v>
      </c>
      <c r="AV189" s="280">
        <f t="shared" si="19"/>
        <v>0</v>
      </c>
      <c r="AW189" s="281" t="s">
        <v>454</v>
      </c>
      <c r="AX189" s="281" t="s">
        <v>455</v>
      </c>
      <c r="AY189" s="278" t="s">
        <v>164</v>
      </c>
      <c r="BA189" s="280">
        <f t="shared" si="20"/>
        <v>0</v>
      </c>
      <c r="BB189" s="280">
        <f t="shared" si="21"/>
        <v>0</v>
      </c>
      <c r="BC189" s="280">
        <v>0</v>
      </c>
      <c r="BD189" s="280">
        <f t="shared" si="22"/>
        <v>3.74</v>
      </c>
      <c r="BF189" s="280">
        <f t="shared" si="23"/>
        <v>0</v>
      </c>
      <c r="BG189" s="280">
        <f t="shared" si="24"/>
        <v>0</v>
      </c>
      <c r="BH189" s="280">
        <f t="shared" si="25"/>
        <v>0</v>
      </c>
      <c r="BI189" s="280"/>
      <c r="BJ189" s="280"/>
      <c r="BU189" s="280" t="e">
        <f>#REF!</f>
        <v>#REF!</v>
      </c>
      <c r="BV189" s="277" t="s">
        <v>958</v>
      </c>
    </row>
    <row r="190" spans="1:74" ht="14.4" x14ac:dyDescent="0.3">
      <c r="A190" s="290" t="s">
        <v>360</v>
      </c>
      <c r="B190" s="275" t="s">
        <v>959</v>
      </c>
      <c r="C190" s="613" t="s">
        <v>960</v>
      </c>
      <c r="D190" s="614"/>
      <c r="E190" s="275" t="s">
        <v>365</v>
      </c>
      <c r="F190" s="280">
        <v>7</v>
      </c>
      <c r="G190" s="311">
        <v>0</v>
      </c>
      <c r="H190" s="280">
        <f t="shared" si="0"/>
        <v>0</v>
      </c>
      <c r="I190" s="280">
        <f t="shared" si="1"/>
        <v>0</v>
      </c>
      <c r="J190" s="280">
        <f t="shared" si="2"/>
        <v>0</v>
      </c>
      <c r="K190" s="280">
        <v>2.1</v>
      </c>
      <c r="L190" s="280">
        <f t="shared" si="3"/>
        <v>14.700000000000001</v>
      </c>
      <c r="M190" s="291" t="s">
        <v>472</v>
      </c>
      <c r="X190" s="280">
        <f t="shared" si="4"/>
        <v>0</v>
      </c>
      <c r="Z190" s="280">
        <f t="shared" si="5"/>
        <v>0</v>
      </c>
      <c r="AA190" s="280">
        <f t="shared" si="6"/>
        <v>0</v>
      </c>
      <c r="AB190" s="280">
        <f t="shared" si="7"/>
        <v>0</v>
      </c>
      <c r="AC190" s="280">
        <f t="shared" si="8"/>
        <v>0</v>
      </c>
      <c r="AD190" s="280">
        <f t="shared" si="9"/>
        <v>0</v>
      </c>
      <c r="AE190" s="280">
        <f t="shared" si="10"/>
        <v>0</v>
      </c>
      <c r="AF190" s="280">
        <f t="shared" si="11"/>
        <v>0</v>
      </c>
      <c r="AG190" s="278" t="s">
        <v>154</v>
      </c>
      <c r="AH190" s="280">
        <f t="shared" si="12"/>
        <v>0</v>
      </c>
      <c r="AI190" s="280">
        <f t="shared" si="13"/>
        <v>0</v>
      </c>
      <c r="AJ190" s="280">
        <f t="shared" si="14"/>
        <v>0</v>
      </c>
      <c r="AL190" s="280">
        <v>15</v>
      </c>
      <c r="AM190" s="280">
        <f t="shared" si="15"/>
        <v>0</v>
      </c>
      <c r="AN190" s="280">
        <f t="shared" si="16"/>
        <v>0</v>
      </c>
      <c r="AO190" s="281" t="s">
        <v>453</v>
      </c>
      <c r="AT190" s="280">
        <f t="shared" si="17"/>
        <v>0</v>
      </c>
      <c r="AU190" s="280">
        <f t="shared" si="18"/>
        <v>0</v>
      </c>
      <c r="AV190" s="280">
        <f t="shared" si="19"/>
        <v>0</v>
      </c>
      <c r="AW190" s="281" t="s">
        <v>454</v>
      </c>
      <c r="AX190" s="281" t="s">
        <v>455</v>
      </c>
      <c r="AY190" s="278" t="s">
        <v>164</v>
      </c>
      <c r="BA190" s="280">
        <f t="shared" si="20"/>
        <v>0</v>
      </c>
      <c r="BB190" s="280">
        <f t="shared" si="21"/>
        <v>0</v>
      </c>
      <c r="BC190" s="280">
        <v>0</v>
      </c>
      <c r="BD190" s="280">
        <f t="shared" si="22"/>
        <v>14.700000000000001</v>
      </c>
      <c r="BF190" s="280">
        <f t="shared" si="23"/>
        <v>0</v>
      </c>
      <c r="BG190" s="280">
        <f t="shared" si="24"/>
        <v>0</v>
      </c>
      <c r="BH190" s="280">
        <f t="shared" si="25"/>
        <v>0</v>
      </c>
      <c r="BI190" s="280"/>
      <c r="BJ190" s="280"/>
      <c r="BU190" s="280" t="e">
        <f>#REF!</f>
        <v>#REF!</v>
      </c>
      <c r="BV190" s="277" t="s">
        <v>960</v>
      </c>
    </row>
    <row r="191" spans="1:74" ht="14.4" x14ac:dyDescent="0.3">
      <c r="A191" s="290" t="s">
        <v>615</v>
      </c>
      <c r="B191" s="275" t="s">
        <v>961</v>
      </c>
      <c r="C191" s="613" t="s">
        <v>962</v>
      </c>
      <c r="D191" s="614"/>
      <c r="E191" s="275" t="s">
        <v>365</v>
      </c>
      <c r="F191" s="280">
        <v>25</v>
      </c>
      <c r="G191" s="311">
        <v>0</v>
      </c>
      <c r="H191" s="280">
        <f t="shared" si="0"/>
        <v>0</v>
      </c>
      <c r="I191" s="280">
        <f t="shared" si="1"/>
        <v>0</v>
      </c>
      <c r="J191" s="280">
        <f t="shared" si="2"/>
        <v>0</v>
      </c>
      <c r="K191" s="280">
        <v>2E-3</v>
      </c>
      <c r="L191" s="280">
        <f t="shared" si="3"/>
        <v>0.05</v>
      </c>
      <c r="M191" s="291" t="s">
        <v>472</v>
      </c>
      <c r="X191" s="280">
        <f t="shared" si="4"/>
        <v>0</v>
      </c>
      <c r="Z191" s="280">
        <f t="shared" si="5"/>
        <v>0</v>
      </c>
      <c r="AA191" s="280">
        <f t="shared" si="6"/>
        <v>0</v>
      </c>
      <c r="AB191" s="280">
        <f t="shared" si="7"/>
        <v>0</v>
      </c>
      <c r="AC191" s="280">
        <f t="shared" si="8"/>
        <v>0</v>
      </c>
      <c r="AD191" s="280">
        <f t="shared" si="9"/>
        <v>0</v>
      </c>
      <c r="AE191" s="280">
        <f t="shared" si="10"/>
        <v>0</v>
      </c>
      <c r="AF191" s="280">
        <f t="shared" si="11"/>
        <v>0</v>
      </c>
      <c r="AG191" s="278" t="s">
        <v>154</v>
      </c>
      <c r="AH191" s="280">
        <f t="shared" si="12"/>
        <v>0</v>
      </c>
      <c r="AI191" s="280">
        <f t="shared" si="13"/>
        <v>0</v>
      </c>
      <c r="AJ191" s="280">
        <f t="shared" si="14"/>
        <v>0</v>
      </c>
      <c r="AL191" s="280">
        <v>15</v>
      </c>
      <c r="AM191" s="280">
        <f t="shared" si="15"/>
        <v>0</v>
      </c>
      <c r="AN191" s="280">
        <f t="shared" si="16"/>
        <v>0</v>
      </c>
      <c r="AO191" s="281" t="s">
        <v>453</v>
      </c>
      <c r="AT191" s="280">
        <f t="shared" si="17"/>
        <v>0</v>
      </c>
      <c r="AU191" s="280">
        <f t="shared" si="18"/>
        <v>0</v>
      </c>
      <c r="AV191" s="280">
        <f t="shared" si="19"/>
        <v>0</v>
      </c>
      <c r="AW191" s="281" t="s">
        <v>454</v>
      </c>
      <c r="AX191" s="281" t="s">
        <v>455</v>
      </c>
      <c r="AY191" s="278" t="s">
        <v>164</v>
      </c>
      <c r="BA191" s="280">
        <f t="shared" si="20"/>
        <v>0</v>
      </c>
      <c r="BB191" s="280">
        <f t="shared" si="21"/>
        <v>0</v>
      </c>
      <c r="BC191" s="280">
        <v>0</v>
      </c>
      <c r="BD191" s="280">
        <f t="shared" si="22"/>
        <v>0.05</v>
      </c>
      <c r="BF191" s="280">
        <f t="shared" si="23"/>
        <v>0</v>
      </c>
      <c r="BG191" s="280">
        <f t="shared" si="24"/>
        <v>0</v>
      </c>
      <c r="BH191" s="280">
        <f t="shared" si="25"/>
        <v>0</v>
      </c>
      <c r="BI191" s="280"/>
      <c r="BJ191" s="280"/>
      <c r="BU191" s="280" t="e">
        <f>#REF!</f>
        <v>#REF!</v>
      </c>
      <c r="BV191" s="277" t="s">
        <v>962</v>
      </c>
    </row>
    <row r="192" spans="1:74" ht="14.4" x14ac:dyDescent="0.3">
      <c r="A192" s="290" t="s">
        <v>616</v>
      </c>
      <c r="B192" s="275" t="s">
        <v>963</v>
      </c>
      <c r="C192" s="613" t="s">
        <v>964</v>
      </c>
      <c r="D192" s="614"/>
      <c r="E192" s="275" t="s">
        <v>365</v>
      </c>
      <c r="F192" s="280">
        <v>4</v>
      </c>
      <c r="G192" s="311">
        <v>0</v>
      </c>
      <c r="H192" s="280">
        <f t="shared" si="0"/>
        <v>0</v>
      </c>
      <c r="I192" s="280">
        <f t="shared" si="1"/>
        <v>0</v>
      </c>
      <c r="J192" s="280">
        <f t="shared" si="2"/>
        <v>0</v>
      </c>
      <c r="K192" s="280">
        <v>0.158</v>
      </c>
      <c r="L192" s="280">
        <f t="shared" si="3"/>
        <v>0.63200000000000001</v>
      </c>
      <c r="M192" s="291" t="s">
        <v>472</v>
      </c>
      <c r="X192" s="280">
        <f t="shared" si="4"/>
        <v>0</v>
      </c>
      <c r="Z192" s="280">
        <f t="shared" si="5"/>
        <v>0</v>
      </c>
      <c r="AA192" s="280">
        <f t="shared" si="6"/>
        <v>0</v>
      </c>
      <c r="AB192" s="280">
        <f t="shared" si="7"/>
        <v>0</v>
      </c>
      <c r="AC192" s="280">
        <f t="shared" si="8"/>
        <v>0</v>
      </c>
      <c r="AD192" s="280">
        <f t="shared" si="9"/>
        <v>0</v>
      </c>
      <c r="AE192" s="280">
        <f t="shared" si="10"/>
        <v>0</v>
      </c>
      <c r="AF192" s="280">
        <f t="shared" si="11"/>
        <v>0</v>
      </c>
      <c r="AG192" s="278" t="s">
        <v>154</v>
      </c>
      <c r="AH192" s="280">
        <f t="shared" si="12"/>
        <v>0</v>
      </c>
      <c r="AI192" s="280">
        <f t="shared" si="13"/>
        <v>0</v>
      </c>
      <c r="AJ192" s="280">
        <f t="shared" si="14"/>
        <v>0</v>
      </c>
      <c r="AL192" s="280">
        <v>15</v>
      </c>
      <c r="AM192" s="280">
        <f t="shared" si="15"/>
        <v>0</v>
      </c>
      <c r="AN192" s="280">
        <f t="shared" si="16"/>
        <v>0</v>
      </c>
      <c r="AO192" s="281" t="s">
        <v>453</v>
      </c>
      <c r="AT192" s="280">
        <f t="shared" si="17"/>
        <v>0</v>
      </c>
      <c r="AU192" s="280">
        <f t="shared" si="18"/>
        <v>0</v>
      </c>
      <c r="AV192" s="280">
        <f t="shared" si="19"/>
        <v>0</v>
      </c>
      <c r="AW192" s="281" t="s">
        <v>454</v>
      </c>
      <c r="AX192" s="281" t="s">
        <v>455</v>
      </c>
      <c r="AY192" s="278" t="s">
        <v>164</v>
      </c>
      <c r="BA192" s="280">
        <f t="shared" si="20"/>
        <v>0</v>
      </c>
      <c r="BB192" s="280">
        <f t="shared" si="21"/>
        <v>0</v>
      </c>
      <c r="BC192" s="280">
        <v>0</v>
      </c>
      <c r="BD192" s="280">
        <f t="shared" si="22"/>
        <v>0.63200000000000001</v>
      </c>
      <c r="BF192" s="280">
        <f t="shared" si="23"/>
        <v>0</v>
      </c>
      <c r="BG192" s="280">
        <f t="shared" si="24"/>
        <v>0</v>
      </c>
      <c r="BH192" s="280">
        <f t="shared" si="25"/>
        <v>0</v>
      </c>
      <c r="BI192" s="280"/>
      <c r="BJ192" s="280"/>
      <c r="BU192" s="280" t="e">
        <f>#REF!</f>
        <v>#REF!</v>
      </c>
      <c r="BV192" s="277" t="s">
        <v>964</v>
      </c>
    </row>
    <row r="193" spans="1:74" ht="27" customHeight="1" x14ac:dyDescent="0.3">
      <c r="A193" s="288"/>
      <c r="B193" s="289" t="s">
        <v>165</v>
      </c>
      <c r="C193" s="615" t="s">
        <v>965</v>
      </c>
      <c r="D193" s="616"/>
      <c r="E193" s="616"/>
      <c r="F193" s="616"/>
      <c r="G193" s="616"/>
      <c r="H193" s="616"/>
      <c r="I193" s="616"/>
      <c r="J193" s="616"/>
      <c r="K193" s="616"/>
      <c r="L193" s="616"/>
      <c r="M193" s="617"/>
    </row>
    <row r="194" spans="1:74" ht="14.4" x14ac:dyDescent="0.3">
      <c r="A194" s="290" t="s">
        <v>617</v>
      </c>
      <c r="B194" s="275" t="s">
        <v>966</v>
      </c>
      <c r="C194" s="613" t="s">
        <v>967</v>
      </c>
      <c r="D194" s="614"/>
      <c r="E194" s="275" t="s">
        <v>365</v>
      </c>
      <c r="F194" s="280">
        <v>8</v>
      </c>
      <c r="G194" s="311">
        <v>0</v>
      </c>
      <c r="H194" s="280">
        <f>F194*AM194</f>
        <v>0</v>
      </c>
      <c r="I194" s="280">
        <f>F194*AN194</f>
        <v>0</v>
      </c>
      <c r="J194" s="280">
        <f>F194*G194</f>
        <v>0</v>
      </c>
      <c r="K194" s="280">
        <v>0.158</v>
      </c>
      <c r="L194" s="280">
        <f>F194*K194</f>
        <v>1.264</v>
      </c>
      <c r="M194" s="291" t="s">
        <v>472</v>
      </c>
      <c r="X194" s="280">
        <f>IF(AO194="5",BH194,0)</f>
        <v>0</v>
      </c>
      <c r="Z194" s="280">
        <f>IF(AO194="1",BF194,0)</f>
        <v>0</v>
      </c>
      <c r="AA194" s="280">
        <f>IF(AO194="1",BG194,0)</f>
        <v>0</v>
      </c>
      <c r="AB194" s="280">
        <f>IF(AO194="7",BF194,0)</f>
        <v>0</v>
      </c>
      <c r="AC194" s="280">
        <f>IF(AO194="7",BG194,0)</f>
        <v>0</v>
      </c>
      <c r="AD194" s="280">
        <f>IF(AO194="2",BF194,0)</f>
        <v>0</v>
      </c>
      <c r="AE194" s="280">
        <f>IF(AO194="2",BG194,0)</f>
        <v>0</v>
      </c>
      <c r="AF194" s="280">
        <f>IF(AO194="0",BH194,0)</f>
        <v>0</v>
      </c>
      <c r="AG194" s="278" t="s">
        <v>154</v>
      </c>
      <c r="AH194" s="280">
        <f>IF(AL194=0,J194,0)</f>
        <v>0</v>
      </c>
      <c r="AI194" s="280">
        <f>IF(AL194=15,J194,0)</f>
        <v>0</v>
      </c>
      <c r="AJ194" s="280">
        <f>IF(AL194=21,J194,0)</f>
        <v>0</v>
      </c>
      <c r="AL194" s="280">
        <v>15</v>
      </c>
      <c r="AM194" s="280">
        <f>G194*1</f>
        <v>0</v>
      </c>
      <c r="AN194" s="280">
        <f>G194*(1-1)</f>
        <v>0</v>
      </c>
      <c r="AO194" s="281" t="s">
        <v>453</v>
      </c>
      <c r="AT194" s="280">
        <f>AU194+AV194</f>
        <v>0</v>
      </c>
      <c r="AU194" s="280">
        <f>F194*AM194</f>
        <v>0</v>
      </c>
      <c r="AV194" s="280">
        <f>F194*AN194</f>
        <v>0</v>
      </c>
      <c r="AW194" s="281" t="s">
        <v>454</v>
      </c>
      <c r="AX194" s="281" t="s">
        <v>455</v>
      </c>
      <c r="AY194" s="278" t="s">
        <v>164</v>
      </c>
      <c r="BA194" s="280">
        <f>AU194+AV194</f>
        <v>0</v>
      </c>
      <c r="BB194" s="280">
        <f>G194/(100-BC194)*100</f>
        <v>0</v>
      </c>
      <c r="BC194" s="280">
        <v>0</v>
      </c>
      <c r="BD194" s="280">
        <f>L194</f>
        <v>1.264</v>
      </c>
      <c r="BF194" s="280">
        <f>F194*AM194</f>
        <v>0</v>
      </c>
      <c r="BG194" s="280">
        <f>F194*AN194</f>
        <v>0</v>
      </c>
      <c r="BH194" s="280">
        <f>F194*G194</f>
        <v>0</v>
      </c>
      <c r="BI194" s="280"/>
      <c r="BJ194" s="280"/>
      <c r="BU194" s="280" t="e">
        <f>#REF!</f>
        <v>#REF!</v>
      </c>
      <c r="BV194" s="277" t="s">
        <v>967</v>
      </c>
    </row>
    <row r="195" spans="1:74" ht="27" customHeight="1" x14ac:dyDescent="0.3">
      <c r="A195" s="288"/>
      <c r="B195" s="289" t="s">
        <v>165</v>
      </c>
      <c r="C195" s="615" t="s">
        <v>968</v>
      </c>
      <c r="D195" s="616"/>
      <c r="E195" s="616"/>
      <c r="F195" s="616"/>
      <c r="G195" s="616"/>
      <c r="H195" s="616"/>
      <c r="I195" s="616"/>
      <c r="J195" s="616"/>
      <c r="K195" s="616"/>
      <c r="L195" s="616"/>
      <c r="M195" s="617"/>
    </row>
    <row r="196" spans="1:74" ht="14.4" x14ac:dyDescent="0.3">
      <c r="A196" s="290" t="s">
        <v>370</v>
      </c>
      <c r="B196" s="275" t="s">
        <v>969</v>
      </c>
      <c r="C196" s="613" t="s">
        <v>970</v>
      </c>
      <c r="D196" s="614"/>
      <c r="E196" s="275" t="s">
        <v>471</v>
      </c>
      <c r="F196" s="280">
        <v>3</v>
      </c>
      <c r="G196" s="311">
        <v>0</v>
      </c>
      <c r="H196" s="280">
        <f>F196*AM196</f>
        <v>0</v>
      </c>
      <c r="I196" s="280">
        <f>F196*AN196</f>
        <v>0</v>
      </c>
      <c r="J196" s="280">
        <f>F196*G196</f>
        <v>0</v>
      </c>
      <c r="K196" s="280">
        <v>1E-3</v>
      </c>
      <c r="L196" s="280">
        <f>F196*K196</f>
        <v>3.0000000000000001E-3</v>
      </c>
      <c r="M196" s="291" t="s">
        <v>472</v>
      </c>
      <c r="X196" s="280">
        <f>IF(AO196="5",BH196,0)</f>
        <v>0</v>
      </c>
      <c r="Z196" s="280">
        <f>IF(AO196="1",BF196,0)</f>
        <v>0</v>
      </c>
      <c r="AA196" s="280">
        <f>IF(AO196="1",BG196,0)</f>
        <v>0</v>
      </c>
      <c r="AB196" s="280">
        <f>IF(AO196="7",BF196,0)</f>
        <v>0</v>
      </c>
      <c r="AC196" s="280">
        <f>IF(AO196="7",BG196,0)</f>
        <v>0</v>
      </c>
      <c r="AD196" s="280">
        <f>IF(AO196="2",BF196,0)</f>
        <v>0</v>
      </c>
      <c r="AE196" s="280">
        <f>IF(AO196="2",BG196,0)</f>
        <v>0</v>
      </c>
      <c r="AF196" s="280">
        <f>IF(AO196="0",BH196,0)</f>
        <v>0</v>
      </c>
      <c r="AG196" s="278" t="s">
        <v>154</v>
      </c>
      <c r="AH196" s="280">
        <f>IF(AL196=0,J196,0)</f>
        <v>0</v>
      </c>
      <c r="AI196" s="280">
        <f>IF(AL196=15,J196,0)</f>
        <v>0</v>
      </c>
      <c r="AJ196" s="280">
        <f>IF(AL196=21,J196,0)</f>
        <v>0</v>
      </c>
      <c r="AL196" s="280">
        <v>15</v>
      </c>
      <c r="AM196" s="280">
        <f>G196*1</f>
        <v>0</v>
      </c>
      <c r="AN196" s="280">
        <f>G196*(1-1)</f>
        <v>0</v>
      </c>
      <c r="AO196" s="281" t="s">
        <v>453</v>
      </c>
      <c r="AT196" s="280">
        <f>AU196+AV196</f>
        <v>0</v>
      </c>
      <c r="AU196" s="280">
        <f>F196*AM196</f>
        <v>0</v>
      </c>
      <c r="AV196" s="280">
        <f>F196*AN196</f>
        <v>0</v>
      </c>
      <c r="AW196" s="281" t="s">
        <v>454</v>
      </c>
      <c r="AX196" s="281" t="s">
        <v>455</v>
      </c>
      <c r="AY196" s="278" t="s">
        <v>164</v>
      </c>
      <c r="BA196" s="280">
        <f>AU196+AV196</f>
        <v>0</v>
      </c>
      <c r="BB196" s="280">
        <f>G196/(100-BC196)*100</f>
        <v>0</v>
      </c>
      <c r="BC196" s="280">
        <v>0</v>
      </c>
      <c r="BD196" s="280">
        <f>L196</f>
        <v>3.0000000000000001E-3</v>
      </c>
      <c r="BF196" s="280">
        <f>F196*AM196</f>
        <v>0</v>
      </c>
      <c r="BG196" s="280">
        <f>F196*AN196</f>
        <v>0</v>
      </c>
      <c r="BH196" s="280">
        <f>F196*G196</f>
        <v>0</v>
      </c>
      <c r="BI196" s="280"/>
      <c r="BJ196" s="280"/>
      <c r="BU196" s="280" t="e">
        <f>#REF!</f>
        <v>#REF!</v>
      </c>
      <c r="BV196" s="277" t="s">
        <v>970</v>
      </c>
    </row>
    <row r="197" spans="1:74" ht="13.5" customHeight="1" x14ac:dyDescent="0.3">
      <c r="A197" s="292"/>
      <c r="B197" s="293" t="s">
        <v>165</v>
      </c>
      <c r="C197" s="618" t="s">
        <v>971</v>
      </c>
      <c r="D197" s="619"/>
      <c r="E197" s="619"/>
      <c r="F197" s="619"/>
      <c r="G197" s="619"/>
      <c r="H197" s="619"/>
      <c r="I197" s="619"/>
      <c r="J197" s="619"/>
      <c r="K197" s="619"/>
      <c r="L197" s="619"/>
      <c r="M197" s="620"/>
    </row>
    <row r="198" spans="1:74" ht="14.4" x14ac:dyDescent="0.3">
      <c r="H198" s="621" t="s">
        <v>423</v>
      </c>
      <c r="I198" s="621"/>
      <c r="J198" s="282">
        <f>J12+J15+J28+J31+J48+J53+J70+J76+J81+J87+J90+J93+J108+J111+J120+J143+J146+J149+J156+J160</f>
        <v>0</v>
      </c>
    </row>
    <row r="199" spans="1:74" ht="14.4" x14ac:dyDescent="0.3">
      <c r="A199" s="283" t="s">
        <v>165</v>
      </c>
    </row>
    <row r="200" spans="1:74" ht="13.5" customHeight="1" x14ac:dyDescent="0.3">
      <c r="A200" s="613" t="s">
        <v>1387</v>
      </c>
      <c r="B200" s="614"/>
      <c r="C200" s="614"/>
      <c r="D200" s="614"/>
      <c r="E200" s="614"/>
      <c r="F200" s="614"/>
      <c r="G200" s="614"/>
      <c r="H200" s="614"/>
      <c r="I200" s="614"/>
      <c r="J200" s="614"/>
      <c r="K200" s="614"/>
      <c r="L200" s="614"/>
      <c r="M200" s="614"/>
    </row>
    <row r="201" spans="1:74" ht="15" customHeight="1" x14ac:dyDescent="0.3">
      <c r="A201" s="549" t="s">
        <v>1163</v>
      </c>
      <c r="B201" s="550"/>
      <c r="C201" s="550"/>
      <c r="D201" s="550"/>
      <c r="E201" s="550"/>
      <c r="F201" s="550"/>
      <c r="G201" s="550"/>
      <c r="H201" s="550"/>
      <c r="I201" s="550"/>
      <c r="J201" s="550"/>
      <c r="K201" s="550"/>
      <c r="L201" s="550"/>
      <c r="M201" s="550"/>
    </row>
  </sheetData>
  <sheetProtection algorithmName="SHA-512" hashValue="bMohec25zSaBoa3xcPG6olSpKJusm2hWgzl79qfnsPdpGGg8xAGpK7xdGgWwPcfCukxCtE0LqRAjaMgb9RDRSQ==" saltValue="nMtIvS/k7pVFukclRHQ+sA==" spinCount="100000" sheet="1" objects="1" scenarios="1" formatCells="0" formatColumns="0" formatRows="0" insertColumns="0" insertRows="0" insertHyperlinks="0"/>
  <mergeCells count="218">
    <mergeCell ref="A4:B5"/>
    <mergeCell ref="C4:D5"/>
    <mergeCell ref="E4:F5"/>
    <mergeCell ref="G4:G5"/>
    <mergeCell ref="H4:H5"/>
    <mergeCell ref="I4:M5"/>
    <mergeCell ref="A1:M1"/>
    <mergeCell ref="A2:B3"/>
    <mergeCell ref="C2:D3"/>
    <mergeCell ref="E2:F3"/>
    <mergeCell ref="G2:G3"/>
    <mergeCell ref="H2:H3"/>
    <mergeCell ref="I2:M3"/>
    <mergeCell ref="A8:B9"/>
    <mergeCell ref="C8:D9"/>
    <mergeCell ref="E8:F9"/>
    <mergeCell ref="G8:G9"/>
    <mergeCell ref="H8:H9"/>
    <mergeCell ref="I8:M9"/>
    <mergeCell ref="A6:B7"/>
    <mergeCell ref="C6:D7"/>
    <mergeCell ref="E6:F7"/>
    <mergeCell ref="G6:G7"/>
    <mergeCell ref="H6:H7"/>
    <mergeCell ref="I6:M7"/>
    <mergeCell ref="C14:M14"/>
    <mergeCell ref="C15:D15"/>
    <mergeCell ref="C16:D16"/>
    <mergeCell ref="C17:M17"/>
    <mergeCell ref="C18:D18"/>
    <mergeCell ref="C19:M19"/>
    <mergeCell ref="C10:D10"/>
    <mergeCell ref="H10:J10"/>
    <mergeCell ref="K10:L10"/>
    <mergeCell ref="C11:D11"/>
    <mergeCell ref="C12:D12"/>
    <mergeCell ref="C13:D13"/>
    <mergeCell ref="C26:D26"/>
    <mergeCell ref="C27:M27"/>
    <mergeCell ref="C28:D28"/>
    <mergeCell ref="C29:D29"/>
    <mergeCell ref="C30:M30"/>
    <mergeCell ref="C31:D31"/>
    <mergeCell ref="C20:D20"/>
    <mergeCell ref="C21:M21"/>
    <mergeCell ref="C22:D22"/>
    <mergeCell ref="C23:M23"/>
    <mergeCell ref="C24:D24"/>
    <mergeCell ref="C25:M25"/>
    <mergeCell ref="C38:D38"/>
    <mergeCell ref="C39:M39"/>
    <mergeCell ref="C40:D40"/>
    <mergeCell ref="C41:M41"/>
    <mergeCell ref="C42:D42"/>
    <mergeCell ref="C43:M43"/>
    <mergeCell ref="C32:D32"/>
    <mergeCell ref="C33:M33"/>
    <mergeCell ref="C34:D34"/>
    <mergeCell ref="C35:M35"/>
    <mergeCell ref="C36:D36"/>
    <mergeCell ref="C37:M37"/>
    <mergeCell ref="C50:M50"/>
    <mergeCell ref="C51:D51"/>
    <mergeCell ref="C52:M52"/>
    <mergeCell ref="C53:D53"/>
    <mergeCell ref="C54:D54"/>
    <mergeCell ref="C55:M55"/>
    <mergeCell ref="C44:D44"/>
    <mergeCell ref="C45:M45"/>
    <mergeCell ref="C46:D46"/>
    <mergeCell ref="C47:M47"/>
    <mergeCell ref="C48:D48"/>
    <mergeCell ref="C49:D49"/>
    <mergeCell ref="C62:D62"/>
    <mergeCell ref="C63:M63"/>
    <mergeCell ref="C64:D64"/>
    <mergeCell ref="C65:M65"/>
    <mergeCell ref="C66:D66"/>
    <mergeCell ref="C67:M67"/>
    <mergeCell ref="C56:D56"/>
    <mergeCell ref="C57:M57"/>
    <mergeCell ref="C58:D58"/>
    <mergeCell ref="C59:M59"/>
    <mergeCell ref="C60:D60"/>
    <mergeCell ref="C61:M61"/>
    <mergeCell ref="C74:D74"/>
    <mergeCell ref="C75:M75"/>
    <mergeCell ref="C76:D76"/>
    <mergeCell ref="C77:D77"/>
    <mergeCell ref="C78:M78"/>
    <mergeCell ref="C79:D79"/>
    <mergeCell ref="C68:D68"/>
    <mergeCell ref="C69:M69"/>
    <mergeCell ref="C70:D70"/>
    <mergeCell ref="C71:D71"/>
    <mergeCell ref="C72:M72"/>
    <mergeCell ref="C73:D73"/>
    <mergeCell ref="C86:D86"/>
    <mergeCell ref="C87:D87"/>
    <mergeCell ref="C88:D88"/>
    <mergeCell ref="C89:M89"/>
    <mergeCell ref="C90:D90"/>
    <mergeCell ref="C91:D91"/>
    <mergeCell ref="C80:M80"/>
    <mergeCell ref="C81:D81"/>
    <mergeCell ref="C82:D82"/>
    <mergeCell ref="C83:M83"/>
    <mergeCell ref="C84:D84"/>
    <mergeCell ref="C85:M85"/>
    <mergeCell ref="C98:D98"/>
    <mergeCell ref="C99:M99"/>
    <mergeCell ref="C100:D100"/>
    <mergeCell ref="C101:M101"/>
    <mergeCell ref="C102:D102"/>
    <mergeCell ref="C103:M103"/>
    <mergeCell ref="C92:M92"/>
    <mergeCell ref="C93:D93"/>
    <mergeCell ref="C94:D94"/>
    <mergeCell ref="C95:M95"/>
    <mergeCell ref="C96:D96"/>
    <mergeCell ref="C97:M97"/>
    <mergeCell ref="C110:M110"/>
    <mergeCell ref="C111:D111"/>
    <mergeCell ref="C112:D112"/>
    <mergeCell ref="C113:M113"/>
    <mergeCell ref="C114:D114"/>
    <mergeCell ref="C115:M115"/>
    <mergeCell ref="C104:D104"/>
    <mergeCell ref="C105:M105"/>
    <mergeCell ref="C106:D106"/>
    <mergeCell ref="C107:M107"/>
    <mergeCell ref="C108:D108"/>
    <mergeCell ref="C109:D109"/>
    <mergeCell ref="C122:M122"/>
    <mergeCell ref="C123:D123"/>
    <mergeCell ref="C124:M124"/>
    <mergeCell ref="C125:D125"/>
    <mergeCell ref="C126:M126"/>
    <mergeCell ref="C127:D127"/>
    <mergeCell ref="C116:D116"/>
    <mergeCell ref="C117:M117"/>
    <mergeCell ref="C118:D118"/>
    <mergeCell ref="C119:M119"/>
    <mergeCell ref="C120:D120"/>
    <mergeCell ref="C121:D121"/>
    <mergeCell ref="C134:M134"/>
    <mergeCell ref="C135:D135"/>
    <mergeCell ref="C136:M136"/>
    <mergeCell ref="C137:D137"/>
    <mergeCell ref="C138:M138"/>
    <mergeCell ref="C139:D139"/>
    <mergeCell ref="C128:M128"/>
    <mergeCell ref="C129:D129"/>
    <mergeCell ref="C130:M130"/>
    <mergeCell ref="C131:D131"/>
    <mergeCell ref="C132:M132"/>
    <mergeCell ref="C133:D133"/>
    <mergeCell ref="C146:D146"/>
    <mergeCell ref="C147:D147"/>
    <mergeCell ref="C148:M148"/>
    <mergeCell ref="C149:D149"/>
    <mergeCell ref="C150:D150"/>
    <mergeCell ref="C151:D151"/>
    <mergeCell ref="C140:M140"/>
    <mergeCell ref="C141:D141"/>
    <mergeCell ref="C142:M142"/>
    <mergeCell ref="C143:D143"/>
    <mergeCell ref="C144:D144"/>
    <mergeCell ref="C145:M145"/>
    <mergeCell ref="C158:D158"/>
    <mergeCell ref="C159:D159"/>
    <mergeCell ref="C160:D160"/>
    <mergeCell ref="C161:D161"/>
    <mergeCell ref="C162:M162"/>
    <mergeCell ref="C163:D163"/>
    <mergeCell ref="C152:M152"/>
    <mergeCell ref="C153:D153"/>
    <mergeCell ref="C154:M154"/>
    <mergeCell ref="C155:D155"/>
    <mergeCell ref="C156:D156"/>
    <mergeCell ref="C157:D157"/>
    <mergeCell ref="C170:M170"/>
    <mergeCell ref="C171:D171"/>
    <mergeCell ref="C172:M172"/>
    <mergeCell ref="C173:D173"/>
    <mergeCell ref="C174:M174"/>
    <mergeCell ref="C175:D175"/>
    <mergeCell ref="C164:M164"/>
    <mergeCell ref="C165:D165"/>
    <mergeCell ref="C166:M166"/>
    <mergeCell ref="C167:D167"/>
    <mergeCell ref="C168:M168"/>
    <mergeCell ref="C169:D169"/>
    <mergeCell ref="C182:D182"/>
    <mergeCell ref="C183:D183"/>
    <mergeCell ref="C184:D184"/>
    <mergeCell ref="C185:D185"/>
    <mergeCell ref="C186:D186"/>
    <mergeCell ref="C187:D187"/>
    <mergeCell ref="C176:M176"/>
    <mergeCell ref="C177:D177"/>
    <mergeCell ref="C178:M178"/>
    <mergeCell ref="C179:D179"/>
    <mergeCell ref="C180:D180"/>
    <mergeCell ref="C181:D181"/>
    <mergeCell ref="A201:M201"/>
    <mergeCell ref="C194:D194"/>
    <mergeCell ref="C195:M195"/>
    <mergeCell ref="C196:D196"/>
    <mergeCell ref="C197:M197"/>
    <mergeCell ref="H198:I198"/>
    <mergeCell ref="A200:M200"/>
    <mergeCell ref="C188:D188"/>
    <mergeCell ref="C189:D189"/>
    <mergeCell ref="C190:D190"/>
    <mergeCell ref="C191:D191"/>
    <mergeCell ref="C192:D192"/>
    <mergeCell ref="C193:M193"/>
  </mergeCells>
  <pageMargins left="0.78740157480314965" right="0.39370078740157483" top="0.39370078740157483" bottom="0.39370078740157483" header="0" footer="0.39370078740157483"/>
  <pageSetup paperSize="9" scale="57" fitToHeight="0" orientation="landscape" r:id="rId1"/>
  <headerFooter>
    <oddFooter>&amp;L&amp;A&amp;C&amp;F&amp;Rstran &amp;N / strana &amp;P</oddFooter>
  </headerFooter>
  <rowBreaks count="6" manualBreakCount="6">
    <brk id="27" max="12" man="1"/>
    <brk id="52" max="12" man="1"/>
    <brk id="80" max="12" man="1"/>
    <brk id="103" max="12" man="1"/>
    <brk id="136" max="12" man="1"/>
    <brk id="170" max="12" man="1"/>
  </row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491D6-EDC2-4B49-82E6-287151428120}">
  <sheetPr codeName="List14">
    <pageSetUpPr fitToPage="1"/>
  </sheetPr>
  <dimension ref="A1:BV187"/>
  <sheetViews>
    <sheetView view="pageBreakPreview" zoomScale="55" zoomScaleNormal="10" zoomScaleSheetLayoutView="55" workbookViewId="0">
      <pane ySplit="11" topLeftCell="A12" activePane="bottomLeft" state="frozen"/>
      <selection pane="bottomLeft" activeCell="G13" sqref="G13"/>
    </sheetView>
  </sheetViews>
  <sheetFormatPr defaultColWidth="12.109375" defaultRowHeight="15" customHeight="1" x14ac:dyDescent="0.3"/>
  <cols>
    <col min="1" max="1" width="5.6640625" style="221" customWidth="1"/>
    <col min="2" max="2" width="16.6640625" style="221" customWidth="1"/>
    <col min="3" max="3" width="81.33203125" style="221" customWidth="1"/>
    <col min="4" max="4" width="12.6640625" style="221" customWidth="1"/>
    <col min="5" max="5" width="8.6640625" style="221" customWidth="1"/>
    <col min="6" max="6" width="10.6640625" style="221" customWidth="1"/>
    <col min="7" max="13" width="14.6640625" style="221" customWidth="1"/>
    <col min="14" max="73" width="12.109375" style="221"/>
    <col min="74" max="74" width="78.5546875" style="221" hidden="1" customWidth="1"/>
    <col min="75" max="16384" width="12.109375" style="221"/>
  </cols>
  <sheetData>
    <row r="1" spans="1:74" ht="54.75" customHeight="1" thickBot="1" x14ac:dyDescent="0.35">
      <c r="A1" s="523" t="s">
        <v>2303</v>
      </c>
      <c r="B1" s="524"/>
      <c r="C1" s="524"/>
      <c r="D1" s="524"/>
      <c r="E1" s="524"/>
      <c r="F1" s="524"/>
      <c r="G1" s="524"/>
      <c r="H1" s="524"/>
      <c r="I1" s="524"/>
      <c r="J1" s="524"/>
      <c r="K1" s="524"/>
      <c r="L1" s="524"/>
      <c r="M1" s="525"/>
      <c r="AQ1" s="222">
        <f>SUM(AH1:AH2)</f>
        <v>0</v>
      </c>
      <c r="AR1" s="222">
        <f>SUM(AI1:AI2)</f>
        <v>0</v>
      </c>
      <c r="AS1" s="222">
        <f>SUM(AJ1:AJ2)</f>
        <v>0</v>
      </c>
    </row>
    <row r="2" spans="1:74" ht="15" customHeight="1" x14ac:dyDescent="0.3">
      <c r="A2" s="601" t="s">
        <v>112</v>
      </c>
      <c r="B2" s="602"/>
      <c r="C2" s="603" t="s">
        <v>68</v>
      </c>
      <c r="D2" s="555"/>
      <c r="E2" s="612" t="s">
        <v>113</v>
      </c>
      <c r="F2" s="612"/>
      <c r="G2" s="604" t="s">
        <v>1156</v>
      </c>
      <c r="H2" s="605" t="s">
        <v>457</v>
      </c>
      <c r="I2" s="605" t="s">
        <v>69</v>
      </c>
      <c r="J2" s="605"/>
      <c r="K2" s="605"/>
      <c r="L2" s="605"/>
      <c r="M2" s="606"/>
    </row>
    <row r="3" spans="1:74" ht="14.4" x14ac:dyDescent="0.3">
      <c r="A3" s="520"/>
      <c r="B3" s="519"/>
      <c r="C3" s="527"/>
      <c r="D3" s="527"/>
      <c r="E3" s="565"/>
      <c r="F3" s="565"/>
      <c r="G3" s="522"/>
      <c r="H3" s="551"/>
      <c r="I3" s="551"/>
      <c r="J3" s="551"/>
      <c r="K3" s="551"/>
      <c r="L3" s="551"/>
      <c r="M3" s="552"/>
    </row>
    <row r="4" spans="1:74" ht="15" customHeight="1" x14ac:dyDescent="0.3">
      <c r="A4" s="518" t="s">
        <v>115</v>
      </c>
      <c r="B4" s="519"/>
      <c r="C4" s="521" t="s">
        <v>96</v>
      </c>
      <c r="D4" s="519"/>
      <c r="E4" s="565" t="s">
        <v>116</v>
      </c>
      <c r="F4" s="565"/>
      <c r="G4" s="522" t="s">
        <v>1156</v>
      </c>
      <c r="H4" s="551" t="s">
        <v>458</v>
      </c>
      <c r="I4" s="551" t="s">
        <v>1157</v>
      </c>
      <c r="J4" s="551"/>
      <c r="K4" s="551"/>
      <c r="L4" s="551"/>
      <c r="M4" s="552"/>
    </row>
    <row r="5" spans="1:74" ht="14.4" x14ac:dyDescent="0.3">
      <c r="A5" s="520"/>
      <c r="B5" s="519"/>
      <c r="C5" s="519"/>
      <c r="D5" s="519"/>
      <c r="E5" s="565"/>
      <c r="F5" s="565"/>
      <c r="G5" s="522"/>
      <c r="H5" s="551"/>
      <c r="I5" s="551"/>
      <c r="J5" s="551"/>
      <c r="K5" s="551"/>
      <c r="L5" s="551"/>
      <c r="M5" s="552"/>
    </row>
    <row r="6" spans="1:74" ht="15" customHeight="1" x14ac:dyDescent="0.3">
      <c r="A6" s="518" t="s">
        <v>117</v>
      </c>
      <c r="B6" s="519"/>
      <c r="C6" s="521" t="s">
        <v>459</v>
      </c>
      <c r="D6" s="519"/>
      <c r="E6" s="565" t="s">
        <v>119</v>
      </c>
      <c r="F6" s="565"/>
      <c r="G6" s="522" t="s">
        <v>1156</v>
      </c>
      <c r="H6" s="551" t="s">
        <v>460</v>
      </c>
      <c r="I6" s="551" t="s">
        <v>461</v>
      </c>
      <c r="J6" s="551"/>
      <c r="K6" s="551"/>
      <c r="L6" s="551"/>
      <c r="M6" s="552"/>
    </row>
    <row r="7" spans="1:74" ht="14.4" x14ac:dyDescent="0.3">
      <c r="A7" s="520"/>
      <c r="B7" s="519"/>
      <c r="C7" s="519"/>
      <c r="D7" s="519"/>
      <c r="E7" s="565"/>
      <c r="F7" s="565"/>
      <c r="G7" s="522"/>
      <c r="H7" s="551"/>
      <c r="I7" s="551"/>
      <c r="J7" s="551"/>
      <c r="K7" s="551"/>
      <c r="L7" s="551"/>
      <c r="M7" s="552"/>
    </row>
    <row r="8" spans="1:74" ht="14.4" x14ac:dyDescent="0.3">
      <c r="A8" s="518" t="s">
        <v>120</v>
      </c>
      <c r="B8" s="519"/>
      <c r="C8" s="521" t="s">
        <v>996</v>
      </c>
      <c r="D8" s="519"/>
      <c r="E8" s="565" t="s">
        <v>122</v>
      </c>
      <c r="F8" s="565"/>
      <c r="G8" s="522" t="s">
        <v>1155</v>
      </c>
      <c r="H8" s="551" t="s">
        <v>462</v>
      </c>
      <c r="I8" s="551" t="s">
        <v>1158</v>
      </c>
      <c r="J8" s="551"/>
      <c r="K8" s="551"/>
      <c r="L8" s="551"/>
      <c r="M8" s="552"/>
    </row>
    <row r="9" spans="1:74" thickBot="1" x14ac:dyDescent="0.35">
      <c r="A9" s="607"/>
      <c r="B9" s="533"/>
      <c r="C9" s="533"/>
      <c r="D9" s="533"/>
      <c r="E9" s="576"/>
      <c r="F9" s="576"/>
      <c r="G9" s="534"/>
      <c r="H9" s="553"/>
      <c r="I9" s="553"/>
      <c r="J9" s="553"/>
      <c r="K9" s="553"/>
      <c r="L9" s="553"/>
      <c r="M9" s="554"/>
    </row>
    <row r="10" spans="1:74" ht="14.4" x14ac:dyDescent="0.3">
      <c r="A10" s="246" t="s">
        <v>123</v>
      </c>
      <c r="B10" s="247" t="s">
        <v>124</v>
      </c>
      <c r="C10" s="555" t="s">
        <v>125</v>
      </c>
      <c r="D10" s="556"/>
      <c r="E10" s="247" t="s">
        <v>126</v>
      </c>
      <c r="F10" s="248" t="s">
        <v>127</v>
      </c>
      <c r="G10" s="249" t="s">
        <v>128</v>
      </c>
      <c r="H10" s="557" t="s">
        <v>129</v>
      </c>
      <c r="I10" s="558"/>
      <c r="J10" s="559"/>
      <c r="K10" s="558" t="s">
        <v>130</v>
      </c>
      <c r="L10" s="558"/>
      <c r="M10" s="250" t="s">
        <v>131</v>
      </c>
      <c r="BI10" s="229" t="s">
        <v>132</v>
      </c>
      <c r="BJ10" s="230" t="s">
        <v>133</v>
      </c>
      <c r="BU10" s="230" t="s">
        <v>134</v>
      </c>
    </row>
    <row r="11" spans="1:74" thickBot="1" x14ac:dyDescent="0.35">
      <c r="A11" s="251" t="s">
        <v>114</v>
      </c>
      <c r="B11" s="252" t="s">
        <v>114</v>
      </c>
      <c r="C11" s="528" t="s">
        <v>135</v>
      </c>
      <c r="D11" s="529"/>
      <c r="E11" s="252" t="s">
        <v>114</v>
      </c>
      <c r="F11" s="252" t="s">
        <v>114</v>
      </c>
      <c r="G11" s="253" t="s">
        <v>136</v>
      </c>
      <c r="H11" s="254" t="s">
        <v>137</v>
      </c>
      <c r="I11" s="255" t="s">
        <v>138</v>
      </c>
      <c r="J11" s="256" t="s">
        <v>139</v>
      </c>
      <c r="K11" s="255" t="s">
        <v>140</v>
      </c>
      <c r="L11" s="253" t="s">
        <v>139</v>
      </c>
      <c r="M11" s="257" t="s">
        <v>141</v>
      </c>
      <c r="X11" s="229" t="s">
        <v>142</v>
      </c>
      <c r="Y11" s="229" t="s">
        <v>143</v>
      </c>
      <c r="Z11" s="229" t="s">
        <v>144</v>
      </c>
      <c r="AA11" s="229" t="s">
        <v>145</v>
      </c>
      <c r="AB11" s="229" t="s">
        <v>146</v>
      </c>
      <c r="AC11" s="229" t="s">
        <v>147</v>
      </c>
      <c r="AD11" s="229" t="s">
        <v>148</v>
      </c>
      <c r="AE11" s="229" t="s">
        <v>149</v>
      </c>
      <c r="AF11" s="229" t="s">
        <v>150</v>
      </c>
      <c r="BF11" s="229" t="s">
        <v>151</v>
      </c>
      <c r="BG11" s="229" t="s">
        <v>152</v>
      </c>
      <c r="BH11" s="229" t="s">
        <v>153</v>
      </c>
    </row>
    <row r="12" spans="1:74" ht="14.4" x14ac:dyDescent="0.3">
      <c r="A12" s="239" t="s">
        <v>154</v>
      </c>
      <c r="B12" s="224" t="s">
        <v>155</v>
      </c>
      <c r="C12" s="526" t="s">
        <v>156</v>
      </c>
      <c r="D12" s="527"/>
      <c r="E12" s="223" t="s">
        <v>114</v>
      </c>
      <c r="F12" s="223" t="s">
        <v>114</v>
      </c>
      <c r="G12" s="223" t="s">
        <v>114</v>
      </c>
      <c r="H12" s="235">
        <f>SUM(H13:H25)</f>
        <v>0</v>
      </c>
      <c r="I12" s="235">
        <f>SUM(I13:I25)</f>
        <v>0</v>
      </c>
      <c r="J12" s="235">
        <f>SUM(J13:J25)</f>
        <v>0</v>
      </c>
      <c r="K12" s="230" t="s">
        <v>154</v>
      </c>
      <c r="L12" s="235">
        <f>SUM(L13:L25)</f>
        <v>11.6884789</v>
      </c>
      <c r="M12" s="243" t="s">
        <v>154</v>
      </c>
      <c r="AG12" s="229" t="s">
        <v>154</v>
      </c>
      <c r="AQ12" s="222">
        <f>SUM(AH13:AH25)</f>
        <v>0</v>
      </c>
      <c r="AR12" s="222">
        <f>SUM(AI13:AI25)</f>
        <v>0</v>
      </c>
      <c r="AS12" s="222">
        <f>SUM(AJ13:AJ25)</f>
        <v>0</v>
      </c>
    </row>
    <row r="13" spans="1:74" ht="14.4" x14ac:dyDescent="0.3">
      <c r="A13" s="239" t="s">
        <v>157</v>
      </c>
      <c r="B13" s="223" t="s">
        <v>167</v>
      </c>
      <c r="C13" s="521" t="s">
        <v>168</v>
      </c>
      <c r="D13" s="519"/>
      <c r="E13" s="223" t="s">
        <v>160</v>
      </c>
      <c r="F13" s="233">
        <v>3.9</v>
      </c>
      <c r="G13" s="311">
        <v>0</v>
      </c>
      <c r="H13" s="233">
        <f>F13*AM13</f>
        <v>0</v>
      </c>
      <c r="I13" s="233">
        <f>F13*AN13</f>
        <v>0</v>
      </c>
      <c r="J13" s="233">
        <f>F13*G13</f>
        <v>0</v>
      </c>
      <c r="K13" s="233">
        <v>8.6899999999999998E-3</v>
      </c>
      <c r="L13" s="233">
        <f>F13*K13</f>
        <v>3.3890999999999998E-2</v>
      </c>
      <c r="M13" s="240" t="s">
        <v>472</v>
      </c>
      <c r="X13" s="233">
        <f>IF(AO13="5",BH13,0)</f>
        <v>0</v>
      </c>
      <c r="Z13" s="233">
        <f>IF(AO13="1",BF13,0)</f>
        <v>0</v>
      </c>
      <c r="AA13" s="233">
        <f>IF(AO13="1",BG13,0)</f>
        <v>0</v>
      </c>
      <c r="AB13" s="233">
        <f>IF(AO13="7",BF13,0)</f>
        <v>0</v>
      </c>
      <c r="AC13" s="233">
        <f>IF(AO13="7",BG13,0)</f>
        <v>0</v>
      </c>
      <c r="AD13" s="233">
        <f>IF(AO13="2",BF13,0)</f>
        <v>0</v>
      </c>
      <c r="AE13" s="233">
        <f>IF(AO13="2",BG13,0)</f>
        <v>0</v>
      </c>
      <c r="AF13" s="233">
        <f>IF(AO13="0",BH13,0)</f>
        <v>0</v>
      </c>
      <c r="AG13" s="229" t="s">
        <v>154</v>
      </c>
      <c r="AH13" s="233">
        <f>IF(AL13=0,J13,0)</f>
        <v>0</v>
      </c>
      <c r="AI13" s="233">
        <f>IF(AL13=15,J13,0)</f>
        <v>0</v>
      </c>
      <c r="AJ13" s="233">
        <f>IF(AL13=21,J13,0)</f>
        <v>0</v>
      </c>
      <c r="AL13" s="233">
        <v>15</v>
      </c>
      <c r="AM13" s="233">
        <f>G13*0.063874674</f>
        <v>0</v>
      </c>
      <c r="AN13" s="233">
        <f>G13*(1-0.063874674)</f>
        <v>0</v>
      </c>
      <c r="AO13" s="234" t="s">
        <v>157</v>
      </c>
      <c r="AT13" s="233">
        <f>AU13+AV13</f>
        <v>0</v>
      </c>
      <c r="AU13" s="233">
        <f>F13*AM13</f>
        <v>0</v>
      </c>
      <c r="AV13" s="233">
        <f>F13*AN13</f>
        <v>0</v>
      </c>
      <c r="AW13" s="234" t="s">
        <v>162</v>
      </c>
      <c r="AX13" s="234" t="s">
        <v>163</v>
      </c>
      <c r="AY13" s="229" t="s">
        <v>164</v>
      </c>
      <c r="BA13" s="233">
        <f>AU13+AV13</f>
        <v>0</v>
      </c>
      <c r="BB13" s="233">
        <f>G13/(100-BC13)*100</f>
        <v>0</v>
      </c>
      <c r="BC13" s="233">
        <v>0</v>
      </c>
      <c r="BD13" s="233">
        <f>L13</f>
        <v>3.3890999999999998E-2</v>
      </c>
      <c r="BF13" s="233">
        <f>F13*AM13</f>
        <v>0</v>
      </c>
      <c r="BG13" s="233">
        <f>F13*AN13</f>
        <v>0</v>
      </c>
      <c r="BH13" s="233">
        <f>F13*G13</f>
        <v>0</v>
      </c>
      <c r="BI13" s="233"/>
      <c r="BJ13" s="233">
        <v>11</v>
      </c>
      <c r="BU13" s="233" t="e">
        <f>#REF!</f>
        <v>#REF!</v>
      </c>
      <c r="BV13" s="225" t="s">
        <v>168</v>
      </c>
    </row>
    <row r="14" spans="1:74" ht="40.5" customHeight="1" x14ac:dyDescent="0.3">
      <c r="A14" s="241"/>
      <c r="B14" s="242" t="s">
        <v>165</v>
      </c>
      <c r="C14" s="530" t="s">
        <v>1944</v>
      </c>
      <c r="D14" s="531"/>
      <c r="E14" s="531"/>
      <c r="F14" s="531"/>
      <c r="G14" s="531"/>
      <c r="H14" s="531"/>
      <c r="I14" s="531"/>
      <c r="J14" s="531"/>
      <c r="K14" s="531"/>
      <c r="L14" s="531"/>
      <c r="M14" s="532"/>
    </row>
    <row r="15" spans="1:74" ht="14.4" x14ac:dyDescent="0.3">
      <c r="A15" s="239" t="s">
        <v>166</v>
      </c>
      <c r="B15" s="223" t="s">
        <v>158</v>
      </c>
      <c r="C15" s="521" t="s">
        <v>159</v>
      </c>
      <c r="D15" s="519"/>
      <c r="E15" s="223" t="s">
        <v>160</v>
      </c>
      <c r="F15" s="233">
        <v>2.92</v>
      </c>
      <c r="G15" s="311">
        <v>0</v>
      </c>
      <c r="H15" s="233">
        <f>F15*AM15</f>
        <v>0</v>
      </c>
      <c r="I15" s="233">
        <f>F15*AN15</f>
        <v>0</v>
      </c>
      <c r="J15" s="233">
        <f>F15*G15</f>
        <v>0</v>
      </c>
      <c r="K15" s="233">
        <v>2.478E-2</v>
      </c>
      <c r="L15" s="233">
        <f>F15*K15</f>
        <v>7.2357599999999994E-2</v>
      </c>
      <c r="M15" s="240" t="s">
        <v>472</v>
      </c>
      <c r="X15" s="233">
        <f>IF(AO15="5",BH15,0)</f>
        <v>0</v>
      </c>
      <c r="Z15" s="233">
        <f>IF(AO15="1",BF15,0)</f>
        <v>0</v>
      </c>
      <c r="AA15" s="233">
        <f>IF(AO15="1",BG15,0)</f>
        <v>0</v>
      </c>
      <c r="AB15" s="233">
        <f>IF(AO15="7",BF15,0)</f>
        <v>0</v>
      </c>
      <c r="AC15" s="233">
        <f>IF(AO15="7",BG15,0)</f>
        <v>0</v>
      </c>
      <c r="AD15" s="233">
        <f>IF(AO15="2",BF15,0)</f>
        <v>0</v>
      </c>
      <c r="AE15" s="233">
        <f>IF(AO15="2",BG15,0)</f>
        <v>0</v>
      </c>
      <c r="AF15" s="233">
        <f>IF(AO15="0",BH15,0)</f>
        <v>0</v>
      </c>
      <c r="AG15" s="229" t="s">
        <v>154</v>
      </c>
      <c r="AH15" s="233">
        <f>IF(AL15=0,J15,0)</f>
        <v>0</v>
      </c>
      <c r="AI15" s="233">
        <f>IF(AL15=15,J15,0)</f>
        <v>0</v>
      </c>
      <c r="AJ15" s="233">
        <f>IF(AL15=21,J15,0)</f>
        <v>0</v>
      </c>
      <c r="AL15" s="233">
        <v>15</v>
      </c>
      <c r="AM15" s="233">
        <f>G15*0.071410313</f>
        <v>0</v>
      </c>
      <c r="AN15" s="233">
        <f>G15*(1-0.071410313)</f>
        <v>0</v>
      </c>
      <c r="AO15" s="234" t="s">
        <v>157</v>
      </c>
      <c r="AT15" s="233">
        <f>AU15+AV15</f>
        <v>0</v>
      </c>
      <c r="AU15" s="233">
        <f>F15*AM15</f>
        <v>0</v>
      </c>
      <c r="AV15" s="233">
        <f>F15*AN15</f>
        <v>0</v>
      </c>
      <c r="AW15" s="234" t="s">
        <v>162</v>
      </c>
      <c r="AX15" s="234" t="s">
        <v>163</v>
      </c>
      <c r="AY15" s="229" t="s">
        <v>164</v>
      </c>
      <c r="BA15" s="233">
        <f>AU15+AV15</f>
        <v>0</v>
      </c>
      <c r="BB15" s="233">
        <f>G15/(100-BC15)*100</f>
        <v>0</v>
      </c>
      <c r="BC15" s="233">
        <v>0</v>
      </c>
      <c r="BD15" s="233">
        <f>L15</f>
        <v>7.2357599999999994E-2</v>
      </c>
      <c r="BF15" s="233">
        <f>F15*AM15</f>
        <v>0</v>
      </c>
      <c r="BG15" s="233">
        <f>F15*AN15</f>
        <v>0</v>
      </c>
      <c r="BH15" s="233">
        <f>F15*G15</f>
        <v>0</v>
      </c>
      <c r="BI15" s="233"/>
      <c r="BJ15" s="233">
        <v>11</v>
      </c>
      <c r="BU15" s="233" t="e">
        <f>#REF!</f>
        <v>#REF!</v>
      </c>
      <c r="BV15" s="225" t="s">
        <v>159</v>
      </c>
    </row>
    <row r="16" spans="1:74" ht="40.5" customHeight="1" x14ac:dyDescent="0.3">
      <c r="A16" s="241"/>
      <c r="B16" s="242" t="s">
        <v>165</v>
      </c>
      <c r="C16" s="530" t="s">
        <v>1945</v>
      </c>
      <c r="D16" s="531"/>
      <c r="E16" s="531"/>
      <c r="F16" s="531"/>
      <c r="G16" s="531"/>
      <c r="H16" s="531"/>
      <c r="I16" s="531"/>
      <c r="J16" s="531"/>
      <c r="K16" s="531"/>
      <c r="L16" s="531"/>
      <c r="M16" s="532"/>
    </row>
    <row r="17" spans="1:74" ht="14.4" x14ac:dyDescent="0.3">
      <c r="A17" s="239" t="s">
        <v>169</v>
      </c>
      <c r="B17" s="223" t="s">
        <v>170</v>
      </c>
      <c r="C17" s="521" t="s">
        <v>171</v>
      </c>
      <c r="D17" s="519"/>
      <c r="E17" s="223" t="s">
        <v>172</v>
      </c>
      <c r="F17" s="233">
        <v>32</v>
      </c>
      <c r="G17" s="311">
        <v>0</v>
      </c>
      <c r="H17" s="233">
        <f>F17*AM17</f>
        <v>0</v>
      </c>
      <c r="I17" s="233">
        <f>F17*AN17</f>
        <v>0</v>
      </c>
      <c r="J17" s="233">
        <f>F17*G17</f>
        <v>0</v>
      </c>
      <c r="K17" s="233">
        <v>0</v>
      </c>
      <c r="L17" s="233">
        <f>F17*K17</f>
        <v>0</v>
      </c>
      <c r="M17" s="240" t="s">
        <v>472</v>
      </c>
      <c r="X17" s="233">
        <f>IF(AO17="5",BH17,0)</f>
        <v>0</v>
      </c>
      <c r="Z17" s="233">
        <f>IF(AO17="1",BF17,0)</f>
        <v>0</v>
      </c>
      <c r="AA17" s="233">
        <f>IF(AO17="1",BG17,0)</f>
        <v>0</v>
      </c>
      <c r="AB17" s="233">
        <f>IF(AO17="7",BF17,0)</f>
        <v>0</v>
      </c>
      <c r="AC17" s="233">
        <f>IF(AO17="7",BG17,0)</f>
        <v>0</v>
      </c>
      <c r="AD17" s="233">
        <f>IF(AO17="2",BF17,0)</f>
        <v>0</v>
      </c>
      <c r="AE17" s="233">
        <f>IF(AO17="2",BG17,0)</f>
        <v>0</v>
      </c>
      <c r="AF17" s="233">
        <f>IF(AO17="0",BH17,0)</f>
        <v>0</v>
      </c>
      <c r="AG17" s="229" t="s">
        <v>154</v>
      </c>
      <c r="AH17" s="233">
        <f>IF(AL17=0,J17,0)</f>
        <v>0</v>
      </c>
      <c r="AI17" s="233">
        <f>IF(AL17=15,J17,0)</f>
        <v>0</v>
      </c>
      <c r="AJ17" s="233">
        <f>IF(AL17=21,J17,0)</f>
        <v>0</v>
      </c>
      <c r="AL17" s="233">
        <v>15</v>
      </c>
      <c r="AM17" s="233">
        <f>G17*0</f>
        <v>0</v>
      </c>
      <c r="AN17" s="233">
        <f>G17*(1-0)</f>
        <v>0</v>
      </c>
      <c r="AO17" s="234" t="s">
        <v>157</v>
      </c>
      <c r="AT17" s="233">
        <f>AU17+AV17</f>
        <v>0</v>
      </c>
      <c r="AU17" s="233">
        <f>F17*AM17</f>
        <v>0</v>
      </c>
      <c r="AV17" s="233">
        <f>F17*AN17</f>
        <v>0</v>
      </c>
      <c r="AW17" s="234" t="s">
        <v>162</v>
      </c>
      <c r="AX17" s="234" t="s">
        <v>163</v>
      </c>
      <c r="AY17" s="229" t="s">
        <v>164</v>
      </c>
      <c r="BA17" s="233">
        <f>AU17+AV17</f>
        <v>0</v>
      </c>
      <c r="BB17" s="233">
        <f>G17/(100-BC17)*100</f>
        <v>0</v>
      </c>
      <c r="BC17" s="233">
        <v>0</v>
      </c>
      <c r="BD17" s="233">
        <f>L17</f>
        <v>0</v>
      </c>
      <c r="BF17" s="233">
        <f>F17*AM17</f>
        <v>0</v>
      </c>
      <c r="BG17" s="233">
        <f>F17*AN17</f>
        <v>0</v>
      </c>
      <c r="BH17" s="233">
        <f>F17*G17</f>
        <v>0</v>
      </c>
      <c r="BI17" s="233"/>
      <c r="BJ17" s="233">
        <v>11</v>
      </c>
      <c r="BU17" s="233" t="e">
        <f>#REF!</f>
        <v>#REF!</v>
      </c>
      <c r="BV17" s="225" t="s">
        <v>171</v>
      </c>
    </row>
    <row r="18" spans="1:74" ht="40.5" customHeight="1" x14ac:dyDescent="0.3">
      <c r="A18" s="241"/>
      <c r="B18" s="242" t="s">
        <v>165</v>
      </c>
      <c r="C18" s="530" t="s">
        <v>1946</v>
      </c>
      <c r="D18" s="531"/>
      <c r="E18" s="531"/>
      <c r="F18" s="531"/>
      <c r="G18" s="531"/>
      <c r="H18" s="531"/>
      <c r="I18" s="531"/>
      <c r="J18" s="531"/>
      <c r="K18" s="531"/>
      <c r="L18" s="531"/>
      <c r="M18" s="532"/>
    </row>
    <row r="19" spans="1:74" ht="14.4" x14ac:dyDescent="0.3">
      <c r="A19" s="239" t="s">
        <v>173</v>
      </c>
      <c r="B19" s="223" t="s">
        <v>174</v>
      </c>
      <c r="C19" s="521" t="s">
        <v>175</v>
      </c>
      <c r="D19" s="519"/>
      <c r="E19" s="223" t="s">
        <v>176</v>
      </c>
      <c r="F19" s="233">
        <v>4</v>
      </c>
      <c r="G19" s="311">
        <v>0</v>
      </c>
      <c r="H19" s="233">
        <f>F19*AM19</f>
        <v>0</v>
      </c>
      <c r="I19" s="233">
        <f>F19*AN19</f>
        <v>0</v>
      </c>
      <c r="J19" s="233">
        <f>F19*G19</f>
        <v>0</v>
      </c>
      <c r="K19" s="233">
        <v>0</v>
      </c>
      <c r="L19" s="233">
        <f>F19*K19</f>
        <v>0</v>
      </c>
      <c r="M19" s="240" t="s">
        <v>472</v>
      </c>
      <c r="X19" s="233">
        <f>IF(AO19="5",BH19,0)</f>
        <v>0</v>
      </c>
      <c r="Z19" s="233">
        <f>IF(AO19="1",BF19,0)</f>
        <v>0</v>
      </c>
      <c r="AA19" s="233">
        <f>IF(AO19="1",BG19,0)</f>
        <v>0</v>
      </c>
      <c r="AB19" s="233">
        <f>IF(AO19="7",BF19,0)</f>
        <v>0</v>
      </c>
      <c r="AC19" s="233">
        <f>IF(AO19="7",BG19,0)</f>
        <v>0</v>
      </c>
      <c r="AD19" s="233">
        <f>IF(AO19="2",BF19,0)</f>
        <v>0</v>
      </c>
      <c r="AE19" s="233">
        <f>IF(AO19="2",BG19,0)</f>
        <v>0</v>
      </c>
      <c r="AF19" s="233">
        <f>IF(AO19="0",BH19,0)</f>
        <v>0</v>
      </c>
      <c r="AG19" s="229" t="s">
        <v>154</v>
      </c>
      <c r="AH19" s="233">
        <f>IF(AL19=0,J19,0)</f>
        <v>0</v>
      </c>
      <c r="AI19" s="233">
        <f>IF(AL19=15,J19,0)</f>
        <v>0</v>
      </c>
      <c r="AJ19" s="233">
        <f>IF(AL19=21,J19,0)</f>
        <v>0</v>
      </c>
      <c r="AL19" s="233">
        <v>15</v>
      </c>
      <c r="AM19" s="233">
        <f>G19*0</f>
        <v>0</v>
      </c>
      <c r="AN19" s="233">
        <f>G19*(1-0)</f>
        <v>0</v>
      </c>
      <c r="AO19" s="234" t="s">
        <v>157</v>
      </c>
      <c r="AT19" s="233">
        <f>AU19+AV19</f>
        <v>0</v>
      </c>
      <c r="AU19" s="233">
        <f>F19*AM19</f>
        <v>0</v>
      </c>
      <c r="AV19" s="233">
        <f>F19*AN19</f>
        <v>0</v>
      </c>
      <c r="AW19" s="234" t="s">
        <v>162</v>
      </c>
      <c r="AX19" s="234" t="s">
        <v>163</v>
      </c>
      <c r="AY19" s="229" t="s">
        <v>164</v>
      </c>
      <c r="BA19" s="233">
        <f>AU19+AV19</f>
        <v>0</v>
      </c>
      <c r="BB19" s="233">
        <f>G19/(100-BC19)*100</f>
        <v>0</v>
      </c>
      <c r="BC19" s="233">
        <v>0</v>
      </c>
      <c r="BD19" s="233">
        <f>L19</f>
        <v>0</v>
      </c>
      <c r="BF19" s="233">
        <f>F19*AM19</f>
        <v>0</v>
      </c>
      <c r="BG19" s="233">
        <f>F19*AN19</f>
        <v>0</v>
      </c>
      <c r="BH19" s="233">
        <f>F19*G19</f>
        <v>0</v>
      </c>
      <c r="BI19" s="233"/>
      <c r="BJ19" s="233">
        <v>11</v>
      </c>
      <c r="BU19" s="233" t="e">
        <f>#REF!</f>
        <v>#REF!</v>
      </c>
      <c r="BV19" s="225" t="s">
        <v>175</v>
      </c>
    </row>
    <row r="20" spans="1:74" ht="40.5" customHeight="1" x14ac:dyDescent="0.3">
      <c r="A20" s="241"/>
      <c r="B20" s="242" t="s">
        <v>165</v>
      </c>
      <c r="C20" s="530" t="s">
        <v>1887</v>
      </c>
      <c r="D20" s="531"/>
      <c r="E20" s="531"/>
      <c r="F20" s="531"/>
      <c r="G20" s="531"/>
      <c r="H20" s="531"/>
      <c r="I20" s="531"/>
      <c r="J20" s="531"/>
      <c r="K20" s="531"/>
      <c r="L20" s="531"/>
      <c r="M20" s="532"/>
    </row>
    <row r="21" spans="1:74" ht="14.4" x14ac:dyDescent="0.3">
      <c r="A21" s="239" t="s">
        <v>177</v>
      </c>
      <c r="B21" s="223" t="s">
        <v>178</v>
      </c>
      <c r="C21" s="521" t="s">
        <v>179</v>
      </c>
      <c r="D21" s="519"/>
      <c r="E21" s="223" t="s">
        <v>180</v>
      </c>
      <c r="F21" s="233">
        <v>5.53</v>
      </c>
      <c r="G21" s="311">
        <v>0</v>
      </c>
      <c r="H21" s="233">
        <f>F21*AM21</f>
        <v>0</v>
      </c>
      <c r="I21" s="233">
        <f>F21*AN21</f>
        <v>0</v>
      </c>
      <c r="J21" s="233">
        <f>F21*G21</f>
        <v>0</v>
      </c>
      <c r="K21" s="233">
        <v>0.90051000000000003</v>
      </c>
      <c r="L21" s="233">
        <f>F21*K21</f>
        <v>4.9798203000000001</v>
      </c>
      <c r="M21" s="240" t="s">
        <v>472</v>
      </c>
      <c r="X21" s="233">
        <f>IF(AO21="5",BH21,0)</f>
        <v>0</v>
      </c>
      <c r="Z21" s="233">
        <f>IF(AO21="1",BF21,0)</f>
        <v>0</v>
      </c>
      <c r="AA21" s="233">
        <f>IF(AO21="1",BG21,0)</f>
        <v>0</v>
      </c>
      <c r="AB21" s="233">
        <f>IF(AO21="7",BF21,0)</f>
        <v>0</v>
      </c>
      <c r="AC21" s="233">
        <f>IF(AO21="7",BG21,0)</f>
        <v>0</v>
      </c>
      <c r="AD21" s="233">
        <f>IF(AO21="2",BF21,0)</f>
        <v>0</v>
      </c>
      <c r="AE21" s="233">
        <f>IF(AO21="2",BG21,0)</f>
        <v>0</v>
      </c>
      <c r="AF21" s="233">
        <f>IF(AO21="0",BH21,0)</f>
        <v>0</v>
      </c>
      <c r="AG21" s="229" t="s">
        <v>154</v>
      </c>
      <c r="AH21" s="233">
        <f>IF(AL21=0,J21,0)</f>
        <v>0</v>
      </c>
      <c r="AI21" s="233">
        <f>IF(AL21=15,J21,0)</f>
        <v>0</v>
      </c>
      <c r="AJ21" s="233">
        <f>IF(AL21=21,J21,0)</f>
        <v>0</v>
      </c>
      <c r="AL21" s="233">
        <v>15</v>
      </c>
      <c r="AM21" s="233">
        <f>G21*0.022140679</f>
        <v>0</v>
      </c>
      <c r="AN21" s="233">
        <f>G21*(1-0.022140679)</f>
        <v>0</v>
      </c>
      <c r="AO21" s="234" t="s">
        <v>157</v>
      </c>
      <c r="AT21" s="233">
        <f>AU21+AV21</f>
        <v>0</v>
      </c>
      <c r="AU21" s="233">
        <f>F21*AM21</f>
        <v>0</v>
      </c>
      <c r="AV21" s="233">
        <f>F21*AN21</f>
        <v>0</v>
      </c>
      <c r="AW21" s="234" t="s">
        <v>162</v>
      </c>
      <c r="AX21" s="234" t="s">
        <v>163</v>
      </c>
      <c r="AY21" s="229" t="s">
        <v>164</v>
      </c>
      <c r="BA21" s="233">
        <f>AU21+AV21</f>
        <v>0</v>
      </c>
      <c r="BB21" s="233">
        <f>G21/(100-BC21)*100</f>
        <v>0</v>
      </c>
      <c r="BC21" s="233">
        <v>0</v>
      </c>
      <c r="BD21" s="233">
        <f>L21</f>
        <v>4.9798203000000001</v>
      </c>
      <c r="BF21" s="233">
        <f>F21*AM21</f>
        <v>0</v>
      </c>
      <c r="BG21" s="233">
        <f>F21*AN21</f>
        <v>0</v>
      </c>
      <c r="BH21" s="233">
        <f>F21*G21</f>
        <v>0</v>
      </c>
      <c r="BI21" s="233"/>
      <c r="BJ21" s="233">
        <v>11</v>
      </c>
      <c r="BU21" s="233" t="e">
        <f>#REF!</f>
        <v>#REF!</v>
      </c>
      <c r="BV21" s="225" t="s">
        <v>179</v>
      </c>
    </row>
    <row r="22" spans="1:74" ht="162" customHeight="1" x14ac:dyDescent="0.3">
      <c r="A22" s="241"/>
      <c r="B22" s="242" t="s">
        <v>165</v>
      </c>
      <c r="C22" s="530" t="s">
        <v>1947</v>
      </c>
      <c r="D22" s="531"/>
      <c r="E22" s="531"/>
      <c r="F22" s="531"/>
      <c r="G22" s="531"/>
      <c r="H22" s="531"/>
      <c r="I22" s="531"/>
      <c r="J22" s="531"/>
      <c r="K22" s="531"/>
      <c r="L22" s="531"/>
      <c r="M22" s="532"/>
    </row>
    <row r="23" spans="1:74" ht="14.4" x14ac:dyDescent="0.3">
      <c r="A23" s="239" t="s">
        <v>181</v>
      </c>
      <c r="B23" s="223" t="s">
        <v>185</v>
      </c>
      <c r="C23" s="521" t="s">
        <v>979</v>
      </c>
      <c r="D23" s="519"/>
      <c r="E23" s="223" t="s">
        <v>180</v>
      </c>
      <c r="F23" s="233">
        <v>4.09</v>
      </c>
      <c r="G23" s="311">
        <v>0</v>
      </c>
      <c r="H23" s="233">
        <f>F23*AM23</f>
        <v>0</v>
      </c>
      <c r="I23" s="233">
        <f>F23*AN23</f>
        <v>0</v>
      </c>
      <c r="J23" s="233">
        <f>F23*G23</f>
        <v>0</v>
      </c>
      <c r="K23" s="233">
        <v>1.105</v>
      </c>
      <c r="L23" s="233">
        <f>F23*K23</f>
        <v>4.51945</v>
      </c>
      <c r="M23" s="240" t="s">
        <v>472</v>
      </c>
      <c r="X23" s="233">
        <f>IF(AO23="5",BH23,0)</f>
        <v>0</v>
      </c>
      <c r="Z23" s="233">
        <f>IF(AO23="1",BF23,0)</f>
        <v>0</v>
      </c>
      <c r="AA23" s="233">
        <f>IF(AO23="1",BG23,0)</f>
        <v>0</v>
      </c>
      <c r="AB23" s="233">
        <f>IF(AO23="7",BF23,0)</f>
        <v>0</v>
      </c>
      <c r="AC23" s="233">
        <f>IF(AO23="7",BG23,0)</f>
        <v>0</v>
      </c>
      <c r="AD23" s="233">
        <f>IF(AO23="2",BF23,0)</f>
        <v>0</v>
      </c>
      <c r="AE23" s="233">
        <f>IF(AO23="2",BG23,0)</f>
        <v>0</v>
      </c>
      <c r="AF23" s="233">
        <f>IF(AO23="0",BH23,0)</f>
        <v>0</v>
      </c>
      <c r="AG23" s="229" t="s">
        <v>154</v>
      </c>
      <c r="AH23" s="233">
        <f>IF(AL23=0,J23,0)</f>
        <v>0</v>
      </c>
      <c r="AI23" s="233">
        <f>IF(AL23=15,J23,0)</f>
        <v>0</v>
      </c>
      <c r="AJ23" s="233">
        <f>IF(AL23=21,J23,0)</f>
        <v>0</v>
      </c>
      <c r="AL23" s="233">
        <v>15</v>
      </c>
      <c r="AM23" s="233">
        <f>G23*0</f>
        <v>0</v>
      </c>
      <c r="AN23" s="233">
        <f>G23*(1-0)</f>
        <v>0</v>
      </c>
      <c r="AO23" s="234" t="s">
        <v>157</v>
      </c>
      <c r="AT23" s="233">
        <f>AU23+AV23</f>
        <v>0</v>
      </c>
      <c r="AU23" s="233">
        <f>F23*AM23</f>
        <v>0</v>
      </c>
      <c r="AV23" s="233">
        <f>F23*AN23</f>
        <v>0</v>
      </c>
      <c r="AW23" s="234" t="s">
        <v>162</v>
      </c>
      <c r="AX23" s="234" t="s">
        <v>163</v>
      </c>
      <c r="AY23" s="229" t="s">
        <v>164</v>
      </c>
      <c r="BA23" s="233">
        <f>AU23+AV23</f>
        <v>0</v>
      </c>
      <c r="BB23" s="233">
        <f>G23/(100-BC23)*100</f>
        <v>0</v>
      </c>
      <c r="BC23" s="233">
        <v>0</v>
      </c>
      <c r="BD23" s="233">
        <f>L23</f>
        <v>4.51945</v>
      </c>
      <c r="BF23" s="233">
        <f>F23*AM23</f>
        <v>0</v>
      </c>
      <c r="BG23" s="233">
        <f>F23*AN23</f>
        <v>0</v>
      </c>
      <c r="BH23" s="233">
        <f>F23*G23</f>
        <v>0</v>
      </c>
      <c r="BI23" s="233"/>
      <c r="BJ23" s="233">
        <v>11</v>
      </c>
      <c r="BU23" s="233" t="e">
        <f>#REF!</f>
        <v>#REF!</v>
      </c>
      <c r="BV23" s="225" t="s">
        <v>979</v>
      </c>
    </row>
    <row r="24" spans="1:74" ht="121.5" customHeight="1" x14ac:dyDescent="0.3">
      <c r="A24" s="241"/>
      <c r="B24" s="242" t="s">
        <v>165</v>
      </c>
      <c r="C24" s="530" t="s">
        <v>1948</v>
      </c>
      <c r="D24" s="531"/>
      <c r="E24" s="531"/>
      <c r="F24" s="531"/>
      <c r="G24" s="531"/>
      <c r="H24" s="531"/>
      <c r="I24" s="531"/>
      <c r="J24" s="531"/>
      <c r="K24" s="531"/>
      <c r="L24" s="531"/>
      <c r="M24" s="532"/>
    </row>
    <row r="25" spans="1:74" ht="14.4" x14ac:dyDescent="0.3">
      <c r="A25" s="239" t="s">
        <v>184</v>
      </c>
      <c r="B25" s="223" t="s">
        <v>476</v>
      </c>
      <c r="C25" s="521" t="s">
        <v>477</v>
      </c>
      <c r="D25" s="519"/>
      <c r="E25" s="223" t="s">
        <v>180</v>
      </c>
      <c r="F25" s="233">
        <v>5.26</v>
      </c>
      <c r="G25" s="311">
        <v>0</v>
      </c>
      <c r="H25" s="233">
        <f>F25*AM25</f>
        <v>0</v>
      </c>
      <c r="I25" s="233">
        <f>F25*AN25</f>
        <v>0</v>
      </c>
      <c r="J25" s="233">
        <f>F25*G25</f>
        <v>0</v>
      </c>
      <c r="K25" s="233">
        <v>0.39600000000000002</v>
      </c>
      <c r="L25" s="233">
        <f>F25*K25</f>
        <v>2.0829599999999999</v>
      </c>
      <c r="M25" s="240" t="s">
        <v>472</v>
      </c>
      <c r="X25" s="233">
        <f>IF(AO25="5",BH25,0)</f>
        <v>0</v>
      </c>
      <c r="Z25" s="233">
        <f>IF(AO25="1",BF25,0)</f>
        <v>0</v>
      </c>
      <c r="AA25" s="233">
        <f>IF(AO25="1",BG25,0)</f>
        <v>0</v>
      </c>
      <c r="AB25" s="233">
        <f>IF(AO25="7",BF25,0)</f>
        <v>0</v>
      </c>
      <c r="AC25" s="233">
        <f>IF(AO25="7",BG25,0)</f>
        <v>0</v>
      </c>
      <c r="AD25" s="233">
        <f>IF(AO25="2",BF25,0)</f>
        <v>0</v>
      </c>
      <c r="AE25" s="233">
        <f>IF(AO25="2",BG25,0)</f>
        <v>0</v>
      </c>
      <c r="AF25" s="233">
        <f>IF(AO25="0",BH25,0)</f>
        <v>0</v>
      </c>
      <c r="AG25" s="229" t="s">
        <v>154</v>
      </c>
      <c r="AH25" s="233">
        <f>IF(AL25=0,J25,0)</f>
        <v>0</v>
      </c>
      <c r="AI25" s="233">
        <f>IF(AL25=15,J25,0)</f>
        <v>0</v>
      </c>
      <c r="AJ25" s="233">
        <f>IF(AL25=21,J25,0)</f>
        <v>0</v>
      </c>
      <c r="AL25" s="233">
        <v>15</v>
      </c>
      <c r="AM25" s="233">
        <f>G25*0</f>
        <v>0</v>
      </c>
      <c r="AN25" s="233">
        <f>G25*(1-0)</f>
        <v>0</v>
      </c>
      <c r="AO25" s="234" t="s">
        <v>157</v>
      </c>
      <c r="AT25" s="233">
        <f>AU25+AV25</f>
        <v>0</v>
      </c>
      <c r="AU25" s="233">
        <f>F25*AM25</f>
        <v>0</v>
      </c>
      <c r="AV25" s="233">
        <f>F25*AN25</f>
        <v>0</v>
      </c>
      <c r="AW25" s="234" t="s">
        <v>162</v>
      </c>
      <c r="AX25" s="234" t="s">
        <v>163</v>
      </c>
      <c r="AY25" s="229" t="s">
        <v>164</v>
      </c>
      <c r="BA25" s="233">
        <f>AU25+AV25</f>
        <v>0</v>
      </c>
      <c r="BB25" s="233">
        <f>G25/(100-BC25)*100</f>
        <v>0</v>
      </c>
      <c r="BC25" s="233">
        <v>0</v>
      </c>
      <c r="BD25" s="233">
        <f>L25</f>
        <v>2.0829599999999999</v>
      </c>
      <c r="BF25" s="233">
        <f>F25*AM25</f>
        <v>0</v>
      </c>
      <c r="BG25" s="233">
        <f>F25*AN25</f>
        <v>0</v>
      </c>
      <c r="BH25" s="233">
        <f>F25*G25</f>
        <v>0</v>
      </c>
      <c r="BI25" s="233"/>
      <c r="BJ25" s="233">
        <v>11</v>
      </c>
      <c r="BU25" s="233" t="e">
        <f>#REF!</f>
        <v>#REF!</v>
      </c>
      <c r="BV25" s="225" t="s">
        <v>477</v>
      </c>
    </row>
    <row r="26" spans="1:74" ht="67.5" customHeight="1" x14ac:dyDescent="0.3">
      <c r="A26" s="241"/>
      <c r="B26" s="242" t="s">
        <v>165</v>
      </c>
      <c r="C26" s="530" t="s">
        <v>1949</v>
      </c>
      <c r="D26" s="531"/>
      <c r="E26" s="531"/>
      <c r="F26" s="531"/>
      <c r="G26" s="531"/>
      <c r="H26" s="531"/>
      <c r="I26" s="531"/>
      <c r="J26" s="531"/>
      <c r="K26" s="531"/>
      <c r="L26" s="531"/>
      <c r="M26" s="532"/>
    </row>
    <row r="27" spans="1:74" ht="14.4" x14ac:dyDescent="0.3">
      <c r="A27" s="239" t="s">
        <v>154</v>
      </c>
      <c r="B27" s="224" t="s">
        <v>191</v>
      </c>
      <c r="C27" s="526" t="s">
        <v>192</v>
      </c>
      <c r="D27" s="527"/>
      <c r="E27" s="223" t="s">
        <v>114</v>
      </c>
      <c r="F27" s="223" t="s">
        <v>114</v>
      </c>
      <c r="G27" s="223" t="s">
        <v>114</v>
      </c>
      <c r="H27" s="235">
        <f>SUM(H28:H30)</f>
        <v>0</v>
      </c>
      <c r="I27" s="235">
        <f>SUM(I28:I30)</f>
        <v>0</v>
      </c>
      <c r="J27" s="235">
        <f>SUM(J28:J30)</f>
        <v>0</v>
      </c>
      <c r="K27" s="230" t="s">
        <v>154</v>
      </c>
      <c r="L27" s="235">
        <f>SUM(L28:L30)</f>
        <v>0</v>
      </c>
      <c r="M27" s="243" t="s">
        <v>154</v>
      </c>
      <c r="AG27" s="229" t="s">
        <v>154</v>
      </c>
      <c r="AQ27" s="222">
        <f>SUM(AH28:AH30)</f>
        <v>0</v>
      </c>
      <c r="AR27" s="222">
        <f>SUM(AI28:AI30)</f>
        <v>0</v>
      </c>
      <c r="AS27" s="222">
        <f>SUM(AJ28:AJ30)</f>
        <v>0</v>
      </c>
    </row>
    <row r="28" spans="1:74" ht="14.4" x14ac:dyDescent="0.3">
      <c r="A28" s="239" t="s">
        <v>187</v>
      </c>
      <c r="B28" s="223" t="s">
        <v>194</v>
      </c>
      <c r="C28" s="521" t="s">
        <v>195</v>
      </c>
      <c r="D28" s="519"/>
      <c r="E28" s="223" t="s">
        <v>196</v>
      </c>
      <c r="F28" s="233">
        <v>5.45</v>
      </c>
      <c r="G28" s="311">
        <v>0</v>
      </c>
      <c r="H28" s="233">
        <f>F28*AM28</f>
        <v>0</v>
      </c>
      <c r="I28" s="233">
        <f>F28*AN28</f>
        <v>0</v>
      </c>
      <c r="J28" s="233">
        <f>F28*G28</f>
        <v>0</v>
      </c>
      <c r="K28" s="233">
        <v>0</v>
      </c>
      <c r="L28" s="233">
        <f>F28*K28</f>
        <v>0</v>
      </c>
      <c r="M28" s="240" t="s">
        <v>472</v>
      </c>
      <c r="X28" s="233">
        <f>IF(AO28="5",BH28,0)</f>
        <v>0</v>
      </c>
      <c r="Z28" s="233">
        <f>IF(AO28="1",BF28,0)</f>
        <v>0</v>
      </c>
      <c r="AA28" s="233">
        <f>IF(AO28="1",BG28,0)</f>
        <v>0</v>
      </c>
      <c r="AB28" s="233">
        <f>IF(AO28="7",BF28,0)</f>
        <v>0</v>
      </c>
      <c r="AC28" s="233">
        <f>IF(AO28="7",BG28,0)</f>
        <v>0</v>
      </c>
      <c r="AD28" s="233">
        <f>IF(AO28="2",BF28,0)</f>
        <v>0</v>
      </c>
      <c r="AE28" s="233">
        <f>IF(AO28="2",BG28,0)</f>
        <v>0</v>
      </c>
      <c r="AF28" s="233">
        <f>IF(AO28="0",BH28,0)</f>
        <v>0</v>
      </c>
      <c r="AG28" s="229" t="s">
        <v>154</v>
      </c>
      <c r="AH28" s="233">
        <f>IF(AL28=0,J28,0)</f>
        <v>0</v>
      </c>
      <c r="AI28" s="233">
        <f>IF(AL28=15,J28,0)</f>
        <v>0</v>
      </c>
      <c r="AJ28" s="233">
        <f>IF(AL28=21,J28,0)</f>
        <v>0</v>
      </c>
      <c r="AL28" s="233">
        <v>15</v>
      </c>
      <c r="AM28" s="233">
        <f>G28*0</f>
        <v>0</v>
      </c>
      <c r="AN28" s="233">
        <f>G28*(1-0)</f>
        <v>0</v>
      </c>
      <c r="AO28" s="234" t="s">
        <v>157</v>
      </c>
      <c r="AT28" s="233">
        <f>AU28+AV28</f>
        <v>0</v>
      </c>
      <c r="AU28" s="233">
        <f>F28*AM28</f>
        <v>0</v>
      </c>
      <c r="AV28" s="233">
        <f>F28*AN28</f>
        <v>0</v>
      </c>
      <c r="AW28" s="234" t="s">
        <v>197</v>
      </c>
      <c r="AX28" s="234" t="s">
        <v>163</v>
      </c>
      <c r="AY28" s="229" t="s">
        <v>164</v>
      </c>
      <c r="BA28" s="233">
        <f>AU28+AV28</f>
        <v>0</v>
      </c>
      <c r="BB28" s="233">
        <f>G28/(100-BC28)*100</f>
        <v>0</v>
      </c>
      <c r="BC28" s="233">
        <v>0</v>
      </c>
      <c r="BD28" s="233">
        <f>L28</f>
        <v>0</v>
      </c>
      <c r="BF28" s="233">
        <f>F28*AM28</f>
        <v>0</v>
      </c>
      <c r="BG28" s="233">
        <f>F28*AN28</f>
        <v>0</v>
      </c>
      <c r="BH28" s="233">
        <f>F28*G28</f>
        <v>0</v>
      </c>
      <c r="BI28" s="233"/>
      <c r="BJ28" s="233">
        <v>12</v>
      </c>
      <c r="BU28" s="233" t="e">
        <f>#REF!</f>
        <v>#REF!</v>
      </c>
      <c r="BV28" s="225" t="s">
        <v>195</v>
      </c>
    </row>
    <row r="29" spans="1:74" ht="40.5" customHeight="1" x14ac:dyDescent="0.3">
      <c r="A29" s="241"/>
      <c r="B29" s="242" t="s">
        <v>165</v>
      </c>
      <c r="C29" s="530" t="s">
        <v>1950</v>
      </c>
      <c r="D29" s="531"/>
      <c r="E29" s="531"/>
      <c r="F29" s="531"/>
      <c r="G29" s="531"/>
      <c r="H29" s="531"/>
      <c r="I29" s="531"/>
      <c r="J29" s="531"/>
      <c r="K29" s="531"/>
      <c r="L29" s="531"/>
      <c r="M29" s="532"/>
    </row>
    <row r="30" spans="1:74" ht="14.4" x14ac:dyDescent="0.3">
      <c r="A30" s="239" t="s">
        <v>193</v>
      </c>
      <c r="B30" s="223" t="s">
        <v>199</v>
      </c>
      <c r="C30" s="521" t="s">
        <v>200</v>
      </c>
      <c r="D30" s="519"/>
      <c r="E30" s="223" t="s">
        <v>196</v>
      </c>
      <c r="F30" s="233">
        <v>1</v>
      </c>
      <c r="G30" s="311">
        <v>0</v>
      </c>
      <c r="H30" s="233">
        <f>F30*AM30</f>
        <v>0</v>
      </c>
      <c r="I30" s="233">
        <f>F30*AN30</f>
        <v>0</v>
      </c>
      <c r="J30" s="233">
        <f>F30*G30</f>
        <v>0</v>
      </c>
      <c r="K30" s="233">
        <v>0</v>
      </c>
      <c r="L30" s="233">
        <f>F30*K30</f>
        <v>0</v>
      </c>
      <c r="M30" s="240" t="s">
        <v>472</v>
      </c>
      <c r="X30" s="233">
        <f>IF(AO30="5",BH30,0)</f>
        <v>0</v>
      </c>
      <c r="Z30" s="233">
        <f>IF(AO30="1",BF30,0)</f>
        <v>0</v>
      </c>
      <c r="AA30" s="233">
        <f>IF(AO30="1",BG30,0)</f>
        <v>0</v>
      </c>
      <c r="AB30" s="233">
        <f>IF(AO30="7",BF30,0)</f>
        <v>0</v>
      </c>
      <c r="AC30" s="233">
        <f>IF(AO30="7",BG30,0)</f>
        <v>0</v>
      </c>
      <c r="AD30" s="233">
        <f>IF(AO30="2",BF30,0)</f>
        <v>0</v>
      </c>
      <c r="AE30" s="233">
        <f>IF(AO30="2",BG30,0)</f>
        <v>0</v>
      </c>
      <c r="AF30" s="233">
        <f>IF(AO30="0",BH30,0)</f>
        <v>0</v>
      </c>
      <c r="AG30" s="229" t="s">
        <v>154</v>
      </c>
      <c r="AH30" s="233">
        <f>IF(AL30=0,J30,0)</f>
        <v>0</v>
      </c>
      <c r="AI30" s="233">
        <f>IF(AL30=15,J30,0)</f>
        <v>0</v>
      </c>
      <c r="AJ30" s="233">
        <f>IF(AL30=21,J30,0)</f>
        <v>0</v>
      </c>
      <c r="AL30" s="233">
        <v>15</v>
      </c>
      <c r="AM30" s="233">
        <f>G30*0</f>
        <v>0</v>
      </c>
      <c r="AN30" s="233">
        <f>G30*(1-0)</f>
        <v>0</v>
      </c>
      <c r="AO30" s="234" t="s">
        <v>157</v>
      </c>
      <c r="AT30" s="233">
        <f>AU30+AV30</f>
        <v>0</v>
      </c>
      <c r="AU30" s="233">
        <f>F30*AM30</f>
        <v>0</v>
      </c>
      <c r="AV30" s="233">
        <f>F30*AN30</f>
        <v>0</v>
      </c>
      <c r="AW30" s="234" t="s">
        <v>197</v>
      </c>
      <c r="AX30" s="234" t="s">
        <v>163</v>
      </c>
      <c r="AY30" s="229" t="s">
        <v>164</v>
      </c>
      <c r="BA30" s="233">
        <f>AU30+AV30</f>
        <v>0</v>
      </c>
      <c r="BB30" s="233">
        <f>G30/(100-BC30)*100</f>
        <v>0</v>
      </c>
      <c r="BC30" s="233">
        <v>0</v>
      </c>
      <c r="BD30" s="233">
        <f>L30</f>
        <v>0</v>
      </c>
      <c r="BF30" s="233">
        <f>F30*AM30</f>
        <v>0</v>
      </c>
      <c r="BG30" s="233">
        <f>F30*AN30</f>
        <v>0</v>
      </c>
      <c r="BH30" s="233">
        <f>F30*G30</f>
        <v>0</v>
      </c>
      <c r="BI30" s="233"/>
      <c r="BJ30" s="233">
        <v>12</v>
      </c>
      <c r="BU30" s="233" t="e">
        <f>#REF!</f>
        <v>#REF!</v>
      </c>
      <c r="BV30" s="225" t="s">
        <v>200</v>
      </c>
    </row>
    <row r="31" spans="1:74" ht="13.5" customHeight="1" x14ac:dyDescent="0.3">
      <c r="A31" s="244"/>
      <c r="B31" s="245" t="s">
        <v>165</v>
      </c>
      <c r="C31" s="540" t="s">
        <v>480</v>
      </c>
      <c r="D31" s="541"/>
      <c r="E31" s="541"/>
      <c r="F31" s="541"/>
      <c r="G31" s="541"/>
      <c r="H31" s="541"/>
      <c r="I31" s="541"/>
      <c r="J31" s="541"/>
      <c r="K31" s="541"/>
      <c r="L31" s="541"/>
      <c r="M31" s="542"/>
    </row>
    <row r="32" spans="1:74" ht="14.4" x14ac:dyDescent="0.3">
      <c r="A32" s="237" t="s">
        <v>154</v>
      </c>
      <c r="B32" s="260" t="s">
        <v>201</v>
      </c>
      <c r="C32" s="545" t="s">
        <v>202</v>
      </c>
      <c r="D32" s="546"/>
      <c r="E32" s="238" t="s">
        <v>114</v>
      </c>
      <c r="F32" s="238" t="s">
        <v>114</v>
      </c>
      <c r="G32" s="238" t="s">
        <v>114</v>
      </c>
      <c r="H32" s="261">
        <f>SUM(H33:H47)</f>
        <v>0</v>
      </c>
      <c r="I32" s="261">
        <f>SUM(I33:I47)</f>
        <v>0</v>
      </c>
      <c r="J32" s="261">
        <f>SUM(J33:J47)</f>
        <v>0</v>
      </c>
      <c r="K32" s="262" t="s">
        <v>154</v>
      </c>
      <c r="L32" s="261">
        <f>SUM(L33:L47)</f>
        <v>0</v>
      </c>
      <c r="M32" s="263" t="s">
        <v>154</v>
      </c>
      <c r="AG32" s="229" t="s">
        <v>154</v>
      </c>
      <c r="AQ32" s="222">
        <f>SUM(AH33:AH47)</f>
        <v>0</v>
      </c>
      <c r="AR32" s="222">
        <f>SUM(AI33:AI47)</f>
        <v>0</v>
      </c>
      <c r="AS32" s="222">
        <f>SUM(AJ33:AJ47)</f>
        <v>0</v>
      </c>
    </row>
    <row r="33" spans="1:74" ht="14.4" x14ac:dyDescent="0.3">
      <c r="A33" s="239" t="s">
        <v>198</v>
      </c>
      <c r="B33" s="223" t="s">
        <v>203</v>
      </c>
      <c r="C33" s="521" t="s">
        <v>204</v>
      </c>
      <c r="D33" s="519"/>
      <c r="E33" s="223" t="s">
        <v>196</v>
      </c>
      <c r="F33" s="233">
        <v>38.64</v>
      </c>
      <c r="G33" s="311">
        <v>0</v>
      </c>
      <c r="H33" s="233">
        <f>F33*AM33</f>
        <v>0</v>
      </c>
      <c r="I33" s="233">
        <f>F33*AN33</f>
        <v>0</v>
      </c>
      <c r="J33" s="233">
        <f>F33*G33</f>
        <v>0</v>
      </c>
      <c r="K33" s="233">
        <v>0</v>
      </c>
      <c r="L33" s="233">
        <f>F33*K33</f>
        <v>0</v>
      </c>
      <c r="M33" s="240" t="s">
        <v>472</v>
      </c>
      <c r="X33" s="233">
        <f>IF(AO33="5",BH33,0)</f>
        <v>0</v>
      </c>
      <c r="Z33" s="233">
        <f>IF(AO33="1",BF33,0)</f>
        <v>0</v>
      </c>
      <c r="AA33" s="233">
        <f>IF(AO33="1",BG33,0)</f>
        <v>0</v>
      </c>
      <c r="AB33" s="233">
        <f>IF(AO33="7",BF33,0)</f>
        <v>0</v>
      </c>
      <c r="AC33" s="233">
        <f>IF(AO33="7",BG33,0)</f>
        <v>0</v>
      </c>
      <c r="AD33" s="233">
        <f>IF(AO33="2",BF33,0)</f>
        <v>0</v>
      </c>
      <c r="AE33" s="233">
        <f>IF(AO33="2",BG33,0)</f>
        <v>0</v>
      </c>
      <c r="AF33" s="233">
        <f>IF(AO33="0",BH33,0)</f>
        <v>0</v>
      </c>
      <c r="AG33" s="229" t="s">
        <v>154</v>
      </c>
      <c r="AH33" s="233">
        <f>IF(AL33=0,J33,0)</f>
        <v>0</v>
      </c>
      <c r="AI33" s="233">
        <f>IF(AL33=15,J33,0)</f>
        <v>0</v>
      </c>
      <c r="AJ33" s="233">
        <f>IF(AL33=21,J33,0)</f>
        <v>0</v>
      </c>
      <c r="AL33" s="233">
        <v>15</v>
      </c>
      <c r="AM33" s="233">
        <f>G33*0</f>
        <v>0</v>
      </c>
      <c r="AN33" s="233">
        <f>G33*(1-0)</f>
        <v>0</v>
      </c>
      <c r="AO33" s="234" t="s">
        <v>157</v>
      </c>
      <c r="AT33" s="233">
        <f>AU33+AV33</f>
        <v>0</v>
      </c>
      <c r="AU33" s="233">
        <f>F33*AM33</f>
        <v>0</v>
      </c>
      <c r="AV33" s="233">
        <f>F33*AN33</f>
        <v>0</v>
      </c>
      <c r="AW33" s="234" t="s">
        <v>205</v>
      </c>
      <c r="AX33" s="234" t="s">
        <v>163</v>
      </c>
      <c r="AY33" s="229" t="s">
        <v>164</v>
      </c>
      <c r="BA33" s="233">
        <f>AU33+AV33</f>
        <v>0</v>
      </c>
      <c r="BB33" s="233">
        <f>G33/(100-BC33)*100</f>
        <v>0</v>
      </c>
      <c r="BC33" s="233">
        <v>0</v>
      </c>
      <c r="BD33" s="233">
        <f>L33</f>
        <v>0</v>
      </c>
      <c r="BF33" s="233">
        <f>F33*AM33</f>
        <v>0</v>
      </c>
      <c r="BG33" s="233">
        <f>F33*AN33</f>
        <v>0</v>
      </c>
      <c r="BH33" s="233">
        <f>F33*G33</f>
        <v>0</v>
      </c>
      <c r="BI33" s="233"/>
      <c r="BJ33" s="233">
        <v>13</v>
      </c>
      <c r="BU33" s="233" t="e">
        <f>#REF!</f>
        <v>#REF!</v>
      </c>
      <c r="BV33" s="225" t="s">
        <v>204</v>
      </c>
    </row>
    <row r="34" spans="1:74" ht="94.5" customHeight="1" x14ac:dyDescent="0.3">
      <c r="A34" s="241"/>
      <c r="B34" s="242" t="s">
        <v>165</v>
      </c>
      <c r="C34" s="530" t="s">
        <v>1951</v>
      </c>
      <c r="D34" s="531"/>
      <c r="E34" s="531"/>
      <c r="F34" s="531"/>
      <c r="G34" s="531"/>
      <c r="H34" s="531"/>
      <c r="I34" s="531"/>
      <c r="J34" s="531"/>
      <c r="K34" s="531"/>
      <c r="L34" s="531"/>
      <c r="M34" s="532"/>
    </row>
    <row r="35" spans="1:74" ht="14.4" x14ac:dyDescent="0.3">
      <c r="A35" s="239" t="s">
        <v>155</v>
      </c>
      <c r="B35" s="223" t="s">
        <v>206</v>
      </c>
      <c r="C35" s="521" t="s">
        <v>481</v>
      </c>
      <c r="D35" s="519"/>
      <c r="E35" s="223" t="s">
        <v>196</v>
      </c>
      <c r="F35" s="233">
        <v>19.32</v>
      </c>
      <c r="G35" s="311">
        <v>0</v>
      </c>
      <c r="H35" s="233">
        <f>F35*AM35</f>
        <v>0</v>
      </c>
      <c r="I35" s="233">
        <f>F35*AN35</f>
        <v>0</v>
      </c>
      <c r="J35" s="233">
        <f>F35*G35</f>
        <v>0</v>
      </c>
      <c r="K35" s="233">
        <v>0</v>
      </c>
      <c r="L35" s="233">
        <f>F35*K35</f>
        <v>0</v>
      </c>
      <c r="M35" s="240" t="s">
        <v>472</v>
      </c>
      <c r="X35" s="233">
        <f>IF(AO35="5",BH35,0)</f>
        <v>0</v>
      </c>
      <c r="Z35" s="233">
        <f>IF(AO35="1",BF35,0)</f>
        <v>0</v>
      </c>
      <c r="AA35" s="233">
        <f>IF(AO35="1",BG35,0)</f>
        <v>0</v>
      </c>
      <c r="AB35" s="233">
        <f>IF(AO35="7",BF35,0)</f>
        <v>0</v>
      </c>
      <c r="AC35" s="233">
        <f>IF(AO35="7",BG35,0)</f>
        <v>0</v>
      </c>
      <c r="AD35" s="233">
        <f>IF(AO35="2",BF35,0)</f>
        <v>0</v>
      </c>
      <c r="AE35" s="233">
        <f>IF(AO35="2",BG35,0)</f>
        <v>0</v>
      </c>
      <c r="AF35" s="233">
        <f>IF(AO35="0",BH35,0)</f>
        <v>0</v>
      </c>
      <c r="AG35" s="229" t="s">
        <v>154</v>
      </c>
      <c r="AH35" s="233">
        <f>IF(AL35=0,J35,0)</f>
        <v>0</v>
      </c>
      <c r="AI35" s="233">
        <f>IF(AL35=15,J35,0)</f>
        <v>0</v>
      </c>
      <c r="AJ35" s="233">
        <f>IF(AL35=21,J35,0)</f>
        <v>0</v>
      </c>
      <c r="AL35" s="233">
        <v>15</v>
      </c>
      <c r="AM35" s="233">
        <f>G35*0</f>
        <v>0</v>
      </c>
      <c r="AN35" s="233">
        <f>G35*(1-0)</f>
        <v>0</v>
      </c>
      <c r="AO35" s="234" t="s">
        <v>157</v>
      </c>
      <c r="AT35" s="233">
        <f>AU35+AV35</f>
        <v>0</v>
      </c>
      <c r="AU35" s="233">
        <f>F35*AM35</f>
        <v>0</v>
      </c>
      <c r="AV35" s="233">
        <f>F35*AN35</f>
        <v>0</v>
      </c>
      <c r="AW35" s="234" t="s">
        <v>205</v>
      </c>
      <c r="AX35" s="234" t="s">
        <v>163</v>
      </c>
      <c r="AY35" s="229" t="s">
        <v>164</v>
      </c>
      <c r="BA35" s="233">
        <f>AU35+AV35</f>
        <v>0</v>
      </c>
      <c r="BB35" s="233">
        <f>G35/(100-BC35)*100</f>
        <v>0</v>
      </c>
      <c r="BC35" s="233">
        <v>0</v>
      </c>
      <c r="BD35" s="233">
        <f>L35</f>
        <v>0</v>
      </c>
      <c r="BF35" s="233">
        <f>F35*AM35</f>
        <v>0</v>
      </c>
      <c r="BG35" s="233">
        <f>F35*AN35</f>
        <v>0</v>
      </c>
      <c r="BH35" s="233">
        <f>F35*G35</f>
        <v>0</v>
      </c>
      <c r="BI35" s="233"/>
      <c r="BJ35" s="233">
        <v>13</v>
      </c>
      <c r="BU35" s="233" t="e">
        <f>#REF!</f>
        <v>#REF!</v>
      </c>
      <c r="BV35" s="225" t="s">
        <v>481</v>
      </c>
    </row>
    <row r="36" spans="1:74" ht="40.5" customHeight="1" x14ac:dyDescent="0.3">
      <c r="A36" s="241"/>
      <c r="B36" s="242" t="s">
        <v>165</v>
      </c>
      <c r="C36" s="530" t="s">
        <v>1952</v>
      </c>
      <c r="D36" s="531"/>
      <c r="E36" s="531"/>
      <c r="F36" s="531"/>
      <c r="G36" s="531"/>
      <c r="H36" s="531"/>
      <c r="I36" s="531"/>
      <c r="J36" s="531"/>
      <c r="K36" s="531"/>
      <c r="L36" s="531"/>
      <c r="M36" s="532"/>
    </row>
    <row r="37" spans="1:74" ht="14.4" x14ac:dyDescent="0.3">
      <c r="A37" s="239" t="s">
        <v>191</v>
      </c>
      <c r="B37" s="223" t="s">
        <v>208</v>
      </c>
      <c r="C37" s="521" t="s">
        <v>209</v>
      </c>
      <c r="D37" s="519"/>
      <c r="E37" s="223" t="s">
        <v>196</v>
      </c>
      <c r="F37" s="233">
        <v>30.91</v>
      </c>
      <c r="G37" s="311">
        <v>0</v>
      </c>
      <c r="H37" s="233">
        <f>F37*AM37</f>
        <v>0</v>
      </c>
      <c r="I37" s="233">
        <f>F37*AN37</f>
        <v>0</v>
      </c>
      <c r="J37" s="233">
        <f>F37*G37</f>
        <v>0</v>
      </c>
      <c r="K37" s="233">
        <v>0</v>
      </c>
      <c r="L37" s="233">
        <f>F37*K37</f>
        <v>0</v>
      </c>
      <c r="M37" s="240" t="s">
        <v>472</v>
      </c>
      <c r="X37" s="233">
        <f>IF(AO37="5",BH37,0)</f>
        <v>0</v>
      </c>
      <c r="Z37" s="233">
        <f>IF(AO37="1",BF37,0)</f>
        <v>0</v>
      </c>
      <c r="AA37" s="233">
        <f>IF(AO37="1",BG37,0)</f>
        <v>0</v>
      </c>
      <c r="AB37" s="233">
        <f>IF(AO37="7",BF37,0)</f>
        <v>0</v>
      </c>
      <c r="AC37" s="233">
        <f>IF(AO37="7",BG37,0)</f>
        <v>0</v>
      </c>
      <c r="AD37" s="233">
        <f>IF(AO37="2",BF37,0)</f>
        <v>0</v>
      </c>
      <c r="AE37" s="233">
        <f>IF(AO37="2",BG37,0)</f>
        <v>0</v>
      </c>
      <c r="AF37" s="233">
        <f>IF(AO37="0",BH37,0)</f>
        <v>0</v>
      </c>
      <c r="AG37" s="229" t="s">
        <v>154</v>
      </c>
      <c r="AH37" s="233">
        <f>IF(AL37=0,J37,0)</f>
        <v>0</v>
      </c>
      <c r="AI37" s="233">
        <f>IF(AL37=15,J37,0)</f>
        <v>0</v>
      </c>
      <c r="AJ37" s="233">
        <f>IF(AL37=21,J37,0)</f>
        <v>0</v>
      </c>
      <c r="AL37" s="233">
        <v>15</v>
      </c>
      <c r="AM37" s="233">
        <f>G37*0</f>
        <v>0</v>
      </c>
      <c r="AN37" s="233">
        <f>G37*(1-0)</f>
        <v>0</v>
      </c>
      <c r="AO37" s="234" t="s">
        <v>157</v>
      </c>
      <c r="AT37" s="233">
        <f>AU37+AV37</f>
        <v>0</v>
      </c>
      <c r="AU37" s="233">
        <f>F37*AM37</f>
        <v>0</v>
      </c>
      <c r="AV37" s="233">
        <f>F37*AN37</f>
        <v>0</v>
      </c>
      <c r="AW37" s="234" t="s">
        <v>205</v>
      </c>
      <c r="AX37" s="234" t="s">
        <v>163</v>
      </c>
      <c r="AY37" s="229" t="s">
        <v>164</v>
      </c>
      <c r="BA37" s="233">
        <f>AU37+AV37</f>
        <v>0</v>
      </c>
      <c r="BB37" s="233">
        <f>G37/(100-BC37)*100</f>
        <v>0</v>
      </c>
      <c r="BC37" s="233">
        <v>0</v>
      </c>
      <c r="BD37" s="233">
        <f>L37</f>
        <v>0</v>
      </c>
      <c r="BF37" s="233">
        <f>F37*AM37</f>
        <v>0</v>
      </c>
      <c r="BG37" s="233">
        <f>F37*AN37</f>
        <v>0</v>
      </c>
      <c r="BH37" s="233">
        <f>F37*G37</f>
        <v>0</v>
      </c>
      <c r="BI37" s="233"/>
      <c r="BJ37" s="233">
        <v>13</v>
      </c>
      <c r="BU37" s="233" t="e">
        <f>#REF!</f>
        <v>#REF!</v>
      </c>
      <c r="BV37" s="225" t="s">
        <v>209</v>
      </c>
    </row>
    <row r="38" spans="1:74" ht="94.5" customHeight="1" x14ac:dyDescent="0.3">
      <c r="A38" s="241"/>
      <c r="B38" s="242" t="s">
        <v>165</v>
      </c>
      <c r="C38" s="530" t="s">
        <v>1953</v>
      </c>
      <c r="D38" s="531"/>
      <c r="E38" s="531"/>
      <c r="F38" s="531"/>
      <c r="G38" s="531"/>
      <c r="H38" s="531"/>
      <c r="I38" s="531"/>
      <c r="J38" s="531"/>
      <c r="K38" s="531"/>
      <c r="L38" s="531"/>
      <c r="M38" s="532"/>
    </row>
    <row r="39" spans="1:74" ht="14.4" x14ac:dyDescent="0.3">
      <c r="A39" s="239" t="s">
        <v>201</v>
      </c>
      <c r="B39" s="223" t="s">
        <v>211</v>
      </c>
      <c r="C39" s="521" t="s">
        <v>482</v>
      </c>
      <c r="D39" s="519"/>
      <c r="E39" s="223" t="s">
        <v>196</v>
      </c>
      <c r="F39" s="233">
        <v>7.73</v>
      </c>
      <c r="G39" s="311">
        <v>0</v>
      </c>
      <c r="H39" s="233">
        <f>F39*AM39</f>
        <v>0</v>
      </c>
      <c r="I39" s="233">
        <f>F39*AN39</f>
        <v>0</v>
      </c>
      <c r="J39" s="233">
        <f>F39*G39</f>
        <v>0</v>
      </c>
      <c r="K39" s="233">
        <v>0</v>
      </c>
      <c r="L39" s="233">
        <f>F39*K39</f>
        <v>0</v>
      </c>
      <c r="M39" s="240" t="s">
        <v>472</v>
      </c>
      <c r="X39" s="233">
        <f>IF(AO39="5",BH39,0)</f>
        <v>0</v>
      </c>
      <c r="Z39" s="233">
        <f>IF(AO39="1",BF39,0)</f>
        <v>0</v>
      </c>
      <c r="AA39" s="233">
        <f>IF(AO39="1",BG39,0)</f>
        <v>0</v>
      </c>
      <c r="AB39" s="233">
        <f>IF(AO39="7",BF39,0)</f>
        <v>0</v>
      </c>
      <c r="AC39" s="233">
        <f>IF(AO39="7",BG39,0)</f>
        <v>0</v>
      </c>
      <c r="AD39" s="233">
        <f>IF(AO39="2",BF39,0)</f>
        <v>0</v>
      </c>
      <c r="AE39" s="233">
        <f>IF(AO39="2",BG39,0)</f>
        <v>0</v>
      </c>
      <c r="AF39" s="233">
        <f>IF(AO39="0",BH39,0)</f>
        <v>0</v>
      </c>
      <c r="AG39" s="229" t="s">
        <v>154</v>
      </c>
      <c r="AH39" s="233">
        <f>IF(AL39=0,J39,0)</f>
        <v>0</v>
      </c>
      <c r="AI39" s="233">
        <f>IF(AL39=15,J39,0)</f>
        <v>0</v>
      </c>
      <c r="AJ39" s="233">
        <f>IF(AL39=21,J39,0)</f>
        <v>0</v>
      </c>
      <c r="AL39" s="233">
        <v>15</v>
      </c>
      <c r="AM39" s="233">
        <f>G39*0</f>
        <v>0</v>
      </c>
      <c r="AN39" s="233">
        <f>G39*(1-0)</f>
        <v>0</v>
      </c>
      <c r="AO39" s="234" t="s">
        <v>157</v>
      </c>
      <c r="AT39" s="233">
        <f>AU39+AV39</f>
        <v>0</v>
      </c>
      <c r="AU39" s="233">
        <f>F39*AM39</f>
        <v>0</v>
      </c>
      <c r="AV39" s="233">
        <f>F39*AN39</f>
        <v>0</v>
      </c>
      <c r="AW39" s="234" t="s">
        <v>205</v>
      </c>
      <c r="AX39" s="234" t="s">
        <v>163</v>
      </c>
      <c r="AY39" s="229" t="s">
        <v>164</v>
      </c>
      <c r="BA39" s="233">
        <f>AU39+AV39</f>
        <v>0</v>
      </c>
      <c r="BB39" s="233">
        <f>G39/(100-BC39)*100</f>
        <v>0</v>
      </c>
      <c r="BC39" s="233">
        <v>0</v>
      </c>
      <c r="BD39" s="233">
        <f>L39</f>
        <v>0</v>
      </c>
      <c r="BF39" s="233">
        <f>F39*AM39</f>
        <v>0</v>
      </c>
      <c r="BG39" s="233">
        <f>F39*AN39</f>
        <v>0</v>
      </c>
      <c r="BH39" s="233">
        <f>F39*G39</f>
        <v>0</v>
      </c>
      <c r="BI39" s="233"/>
      <c r="BJ39" s="233">
        <v>13</v>
      </c>
      <c r="BU39" s="233" t="e">
        <f>#REF!</f>
        <v>#REF!</v>
      </c>
      <c r="BV39" s="225" t="s">
        <v>482</v>
      </c>
    </row>
    <row r="40" spans="1:74" ht="40.5" customHeight="1" x14ac:dyDescent="0.3">
      <c r="A40" s="241"/>
      <c r="B40" s="242" t="s">
        <v>165</v>
      </c>
      <c r="C40" s="530" t="s">
        <v>1954</v>
      </c>
      <c r="D40" s="531"/>
      <c r="E40" s="531"/>
      <c r="F40" s="531"/>
      <c r="G40" s="531"/>
      <c r="H40" s="531"/>
      <c r="I40" s="531"/>
      <c r="J40" s="531"/>
      <c r="K40" s="531"/>
      <c r="L40" s="531"/>
      <c r="M40" s="532"/>
    </row>
    <row r="41" spans="1:74" ht="14.4" x14ac:dyDescent="0.3">
      <c r="A41" s="239" t="s">
        <v>210</v>
      </c>
      <c r="B41" s="223" t="s">
        <v>213</v>
      </c>
      <c r="C41" s="521" t="s">
        <v>214</v>
      </c>
      <c r="D41" s="519"/>
      <c r="E41" s="223" t="s">
        <v>196</v>
      </c>
      <c r="F41" s="233">
        <v>7.73</v>
      </c>
      <c r="G41" s="311">
        <v>0</v>
      </c>
      <c r="H41" s="233">
        <f>F41*AM41</f>
        <v>0</v>
      </c>
      <c r="I41" s="233">
        <f>F41*AN41</f>
        <v>0</v>
      </c>
      <c r="J41" s="233">
        <f>F41*G41</f>
        <v>0</v>
      </c>
      <c r="K41" s="233">
        <v>0</v>
      </c>
      <c r="L41" s="233">
        <f>F41*K41</f>
        <v>0</v>
      </c>
      <c r="M41" s="240" t="s">
        <v>472</v>
      </c>
      <c r="X41" s="233">
        <f>IF(AO41="5",BH41,0)</f>
        <v>0</v>
      </c>
      <c r="Z41" s="233">
        <f>IF(AO41="1",BF41,0)</f>
        <v>0</v>
      </c>
      <c r="AA41" s="233">
        <f>IF(AO41="1",BG41,0)</f>
        <v>0</v>
      </c>
      <c r="AB41" s="233">
        <f>IF(AO41="7",BF41,0)</f>
        <v>0</v>
      </c>
      <c r="AC41" s="233">
        <f>IF(AO41="7",BG41,0)</f>
        <v>0</v>
      </c>
      <c r="AD41" s="233">
        <f>IF(AO41="2",BF41,0)</f>
        <v>0</v>
      </c>
      <c r="AE41" s="233">
        <f>IF(AO41="2",BG41,0)</f>
        <v>0</v>
      </c>
      <c r="AF41" s="233">
        <f>IF(AO41="0",BH41,0)</f>
        <v>0</v>
      </c>
      <c r="AG41" s="229" t="s">
        <v>154</v>
      </c>
      <c r="AH41" s="233">
        <f>IF(AL41=0,J41,0)</f>
        <v>0</v>
      </c>
      <c r="AI41" s="233">
        <f>IF(AL41=15,J41,0)</f>
        <v>0</v>
      </c>
      <c r="AJ41" s="233">
        <f>IF(AL41=21,J41,0)</f>
        <v>0</v>
      </c>
      <c r="AL41" s="233">
        <v>15</v>
      </c>
      <c r="AM41" s="233">
        <f>G41*0</f>
        <v>0</v>
      </c>
      <c r="AN41" s="233">
        <f>G41*(1-0)</f>
        <v>0</v>
      </c>
      <c r="AO41" s="234" t="s">
        <v>157</v>
      </c>
      <c r="AT41" s="233">
        <f>AU41+AV41</f>
        <v>0</v>
      </c>
      <c r="AU41" s="233">
        <f>F41*AM41</f>
        <v>0</v>
      </c>
      <c r="AV41" s="233">
        <f>F41*AN41</f>
        <v>0</v>
      </c>
      <c r="AW41" s="234" t="s">
        <v>205</v>
      </c>
      <c r="AX41" s="234" t="s">
        <v>163</v>
      </c>
      <c r="AY41" s="229" t="s">
        <v>164</v>
      </c>
      <c r="BA41" s="233">
        <f>AU41+AV41</f>
        <v>0</v>
      </c>
      <c r="BB41" s="233">
        <f>G41/(100-BC41)*100</f>
        <v>0</v>
      </c>
      <c r="BC41" s="233">
        <v>0</v>
      </c>
      <c r="BD41" s="233">
        <f>L41</f>
        <v>0</v>
      </c>
      <c r="BF41" s="233">
        <f>F41*AM41</f>
        <v>0</v>
      </c>
      <c r="BG41" s="233">
        <f>F41*AN41</f>
        <v>0</v>
      </c>
      <c r="BH41" s="233">
        <f>F41*G41</f>
        <v>0</v>
      </c>
      <c r="BI41" s="233"/>
      <c r="BJ41" s="233">
        <v>13</v>
      </c>
      <c r="BU41" s="233" t="e">
        <f>#REF!</f>
        <v>#REF!</v>
      </c>
      <c r="BV41" s="225" t="s">
        <v>214</v>
      </c>
    </row>
    <row r="42" spans="1:74" ht="108" customHeight="1" x14ac:dyDescent="0.3">
      <c r="A42" s="241"/>
      <c r="B42" s="242" t="s">
        <v>165</v>
      </c>
      <c r="C42" s="530" t="s">
        <v>1955</v>
      </c>
      <c r="D42" s="531"/>
      <c r="E42" s="531"/>
      <c r="F42" s="531"/>
      <c r="G42" s="531"/>
      <c r="H42" s="531"/>
      <c r="I42" s="531"/>
      <c r="J42" s="531"/>
      <c r="K42" s="531"/>
      <c r="L42" s="531"/>
      <c r="M42" s="532"/>
    </row>
    <row r="43" spans="1:74" ht="14.4" x14ac:dyDescent="0.3">
      <c r="A43" s="239" t="s">
        <v>161</v>
      </c>
      <c r="B43" s="223" t="s">
        <v>216</v>
      </c>
      <c r="C43" s="521" t="s">
        <v>217</v>
      </c>
      <c r="D43" s="519"/>
      <c r="E43" s="223" t="s">
        <v>196</v>
      </c>
      <c r="F43" s="233">
        <v>2</v>
      </c>
      <c r="G43" s="311">
        <v>0</v>
      </c>
      <c r="H43" s="233">
        <f>F43*AM43</f>
        <v>0</v>
      </c>
      <c r="I43" s="233">
        <f>F43*AN43</f>
        <v>0</v>
      </c>
      <c r="J43" s="233">
        <f>F43*G43</f>
        <v>0</v>
      </c>
      <c r="K43" s="233">
        <v>0</v>
      </c>
      <c r="L43" s="233">
        <f>F43*K43</f>
        <v>0</v>
      </c>
      <c r="M43" s="240" t="s">
        <v>472</v>
      </c>
      <c r="X43" s="233">
        <f>IF(AO43="5",BH43,0)</f>
        <v>0</v>
      </c>
      <c r="Z43" s="233">
        <f>IF(AO43="1",BF43,0)</f>
        <v>0</v>
      </c>
      <c r="AA43" s="233">
        <f>IF(AO43="1",BG43,0)</f>
        <v>0</v>
      </c>
      <c r="AB43" s="233">
        <f>IF(AO43="7",BF43,0)</f>
        <v>0</v>
      </c>
      <c r="AC43" s="233">
        <f>IF(AO43="7",BG43,0)</f>
        <v>0</v>
      </c>
      <c r="AD43" s="233">
        <f>IF(AO43="2",BF43,0)</f>
        <v>0</v>
      </c>
      <c r="AE43" s="233">
        <f>IF(AO43="2",BG43,0)</f>
        <v>0</v>
      </c>
      <c r="AF43" s="233">
        <f>IF(AO43="0",BH43,0)</f>
        <v>0</v>
      </c>
      <c r="AG43" s="229" t="s">
        <v>154</v>
      </c>
      <c r="AH43" s="233">
        <f>IF(AL43=0,J43,0)</f>
        <v>0</v>
      </c>
      <c r="AI43" s="233">
        <f>IF(AL43=15,J43,0)</f>
        <v>0</v>
      </c>
      <c r="AJ43" s="233">
        <f>IF(AL43=21,J43,0)</f>
        <v>0</v>
      </c>
      <c r="AL43" s="233">
        <v>15</v>
      </c>
      <c r="AM43" s="233">
        <f>G43*0</f>
        <v>0</v>
      </c>
      <c r="AN43" s="233">
        <f>G43*(1-0)</f>
        <v>0</v>
      </c>
      <c r="AO43" s="234" t="s">
        <v>157</v>
      </c>
      <c r="AT43" s="233">
        <f>AU43+AV43</f>
        <v>0</v>
      </c>
      <c r="AU43" s="233">
        <f>F43*AM43</f>
        <v>0</v>
      </c>
      <c r="AV43" s="233">
        <f>F43*AN43</f>
        <v>0</v>
      </c>
      <c r="AW43" s="234" t="s">
        <v>205</v>
      </c>
      <c r="AX43" s="234" t="s">
        <v>163</v>
      </c>
      <c r="AY43" s="229" t="s">
        <v>164</v>
      </c>
      <c r="BA43" s="233">
        <f>AU43+AV43</f>
        <v>0</v>
      </c>
      <c r="BB43" s="233">
        <f>G43/(100-BC43)*100</f>
        <v>0</v>
      </c>
      <c r="BC43" s="233">
        <v>0</v>
      </c>
      <c r="BD43" s="233">
        <f>L43</f>
        <v>0</v>
      </c>
      <c r="BF43" s="233">
        <f>F43*AM43</f>
        <v>0</v>
      </c>
      <c r="BG43" s="233">
        <f>F43*AN43</f>
        <v>0</v>
      </c>
      <c r="BH43" s="233">
        <f>F43*G43</f>
        <v>0</v>
      </c>
      <c r="BI43" s="233"/>
      <c r="BJ43" s="233">
        <v>13</v>
      </c>
      <c r="BU43" s="233" t="e">
        <f>#REF!</f>
        <v>#REF!</v>
      </c>
      <c r="BV43" s="225" t="s">
        <v>217</v>
      </c>
    </row>
    <row r="44" spans="1:74" ht="13.5" customHeight="1" x14ac:dyDescent="0.3">
      <c r="A44" s="241"/>
      <c r="B44" s="242" t="s">
        <v>165</v>
      </c>
      <c r="C44" s="530" t="s">
        <v>218</v>
      </c>
      <c r="D44" s="531"/>
      <c r="E44" s="531"/>
      <c r="F44" s="531"/>
      <c r="G44" s="531"/>
      <c r="H44" s="531"/>
      <c r="I44" s="531"/>
      <c r="J44" s="531"/>
      <c r="K44" s="531"/>
      <c r="L44" s="531"/>
      <c r="M44" s="532"/>
    </row>
    <row r="45" spans="1:74" ht="14.4" x14ac:dyDescent="0.3">
      <c r="A45" s="239" t="s">
        <v>215</v>
      </c>
      <c r="B45" s="223" t="s">
        <v>483</v>
      </c>
      <c r="C45" s="521" t="s">
        <v>484</v>
      </c>
      <c r="D45" s="519"/>
      <c r="E45" s="223" t="s">
        <v>196</v>
      </c>
      <c r="F45" s="233">
        <v>2.75</v>
      </c>
      <c r="G45" s="311">
        <v>0</v>
      </c>
      <c r="H45" s="233">
        <f>F45*AM45</f>
        <v>0</v>
      </c>
      <c r="I45" s="233">
        <f>F45*AN45</f>
        <v>0</v>
      </c>
      <c r="J45" s="233">
        <f>F45*G45</f>
        <v>0</v>
      </c>
      <c r="K45" s="233">
        <v>0</v>
      </c>
      <c r="L45" s="233">
        <f>F45*K45</f>
        <v>0</v>
      </c>
      <c r="M45" s="240" t="s">
        <v>472</v>
      </c>
      <c r="X45" s="233">
        <f>IF(AO45="5",BH45,0)</f>
        <v>0</v>
      </c>
      <c r="Z45" s="233">
        <f>IF(AO45="1",BF45,0)</f>
        <v>0</v>
      </c>
      <c r="AA45" s="233">
        <f>IF(AO45="1",BG45,0)</f>
        <v>0</v>
      </c>
      <c r="AB45" s="233">
        <f>IF(AO45="7",BF45,0)</f>
        <v>0</v>
      </c>
      <c r="AC45" s="233">
        <f>IF(AO45="7",BG45,0)</f>
        <v>0</v>
      </c>
      <c r="AD45" s="233">
        <f>IF(AO45="2",BF45,0)</f>
        <v>0</v>
      </c>
      <c r="AE45" s="233">
        <f>IF(AO45="2",BG45,0)</f>
        <v>0</v>
      </c>
      <c r="AF45" s="233">
        <f>IF(AO45="0",BH45,0)</f>
        <v>0</v>
      </c>
      <c r="AG45" s="229" t="s">
        <v>154</v>
      </c>
      <c r="AH45" s="233">
        <f>IF(AL45=0,J45,0)</f>
        <v>0</v>
      </c>
      <c r="AI45" s="233">
        <f>IF(AL45=15,J45,0)</f>
        <v>0</v>
      </c>
      <c r="AJ45" s="233">
        <f>IF(AL45=21,J45,0)</f>
        <v>0</v>
      </c>
      <c r="AL45" s="233">
        <v>15</v>
      </c>
      <c r="AM45" s="233">
        <f>G45*0</f>
        <v>0</v>
      </c>
      <c r="AN45" s="233">
        <f>G45*(1-0)</f>
        <v>0</v>
      </c>
      <c r="AO45" s="234" t="s">
        <v>157</v>
      </c>
      <c r="AT45" s="233">
        <f>AU45+AV45</f>
        <v>0</v>
      </c>
      <c r="AU45" s="233">
        <f>F45*AM45</f>
        <v>0</v>
      </c>
      <c r="AV45" s="233">
        <f>F45*AN45</f>
        <v>0</v>
      </c>
      <c r="AW45" s="234" t="s">
        <v>205</v>
      </c>
      <c r="AX45" s="234" t="s">
        <v>163</v>
      </c>
      <c r="AY45" s="229" t="s">
        <v>164</v>
      </c>
      <c r="BA45" s="233">
        <f>AU45+AV45</f>
        <v>0</v>
      </c>
      <c r="BB45" s="233">
        <f>G45/(100-BC45)*100</f>
        <v>0</v>
      </c>
      <c r="BC45" s="233">
        <v>0</v>
      </c>
      <c r="BD45" s="233">
        <f>L45</f>
        <v>0</v>
      </c>
      <c r="BF45" s="233">
        <f>F45*AM45</f>
        <v>0</v>
      </c>
      <c r="BG45" s="233">
        <f>F45*AN45</f>
        <v>0</v>
      </c>
      <c r="BH45" s="233">
        <f>F45*G45</f>
        <v>0</v>
      </c>
      <c r="BI45" s="233"/>
      <c r="BJ45" s="233">
        <v>13</v>
      </c>
      <c r="BU45" s="233" t="e">
        <f>#REF!</f>
        <v>#REF!</v>
      </c>
      <c r="BV45" s="225" t="s">
        <v>484</v>
      </c>
    </row>
    <row r="46" spans="1:74" ht="40.5" customHeight="1" x14ac:dyDescent="0.3">
      <c r="A46" s="241"/>
      <c r="B46" s="242" t="s">
        <v>165</v>
      </c>
      <c r="C46" s="530" t="s">
        <v>1956</v>
      </c>
      <c r="D46" s="531"/>
      <c r="E46" s="531"/>
      <c r="F46" s="531"/>
      <c r="G46" s="531"/>
      <c r="H46" s="531"/>
      <c r="I46" s="531"/>
      <c r="J46" s="531"/>
      <c r="K46" s="531"/>
      <c r="L46" s="531"/>
      <c r="M46" s="532"/>
    </row>
    <row r="47" spans="1:74" ht="14.4" x14ac:dyDescent="0.3">
      <c r="A47" s="239" t="s">
        <v>220</v>
      </c>
      <c r="B47" s="223" t="s">
        <v>888</v>
      </c>
      <c r="C47" s="521" t="s">
        <v>889</v>
      </c>
      <c r="D47" s="519"/>
      <c r="E47" s="223" t="s">
        <v>196</v>
      </c>
      <c r="F47" s="233">
        <v>82.03</v>
      </c>
      <c r="G47" s="311">
        <v>0</v>
      </c>
      <c r="H47" s="233">
        <f>F47*AM47</f>
        <v>0</v>
      </c>
      <c r="I47" s="233">
        <f>F47*AN47</f>
        <v>0</v>
      </c>
      <c r="J47" s="233">
        <f>F47*G47</f>
        <v>0</v>
      </c>
      <c r="K47" s="233">
        <v>0</v>
      </c>
      <c r="L47" s="233">
        <f>F47*K47</f>
        <v>0</v>
      </c>
      <c r="M47" s="240" t="s">
        <v>472</v>
      </c>
      <c r="X47" s="233">
        <f>IF(AO47="5",BH47,0)</f>
        <v>0</v>
      </c>
      <c r="Z47" s="233">
        <f>IF(AO47="1",BF47,0)</f>
        <v>0</v>
      </c>
      <c r="AA47" s="233">
        <f>IF(AO47="1",BG47,0)</f>
        <v>0</v>
      </c>
      <c r="AB47" s="233">
        <f>IF(AO47="7",BF47,0)</f>
        <v>0</v>
      </c>
      <c r="AC47" s="233">
        <f>IF(AO47="7",BG47,0)</f>
        <v>0</v>
      </c>
      <c r="AD47" s="233">
        <f>IF(AO47="2",BF47,0)</f>
        <v>0</v>
      </c>
      <c r="AE47" s="233">
        <f>IF(AO47="2",BG47,0)</f>
        <v>0</v>
      </c>
      <c r="AF47" s="233">
        <f>IF(AO47="0",BH47,0)</f>
        <v>0</v>
      </c>
      <c r="AG47" s="229" t="s">
        <v>154</v>
      </c>
      <c r="AH47" s="233">
        <f>IF(AL47=0,J47,0)</f>
        <v>0</v>
      </c>
      <c r="AI47" s="233">
        <f>IF(AL47=15,J47,0)</f>
        <v>0</v>
      </c>
      <c r="AJ47" s="233">
        <f>IF(AL47=21,J47,0)</f>
        <v>0</v>
      </c>
      <c r="AL47" s="233">
        <v>15</v>
      </c>
      <c r="AM47" s="233">
        <f>G47*0</f>
        <v>0</v>
      </c>
      <c r="AN47" s="233">
        <f>G47*(1-0)</f>
        <v>0</v>
      </c>
      <c r="AO47" s="234" t="s">
        <v>157</v>
      </c>
      <c r="AT47" s="233">
        <f>AU47+AV47</f>
        <v>0</v>
      </c>
      <c r="AU47" s="233">
        <f>F47*AM47</f>
        <v>0</v>
      </c>
      <c r="AV47" s="233">
        <f>F47*AN47</f>
        <v>0</v>
      </c>
      <c r="AW47" s="234" t="s">
        <v>205</v>
      </c>
      <c r="AX47" s="234" t="s">
        <v>163</v>
      </c>
      <c r="AY47" s="229" t="s">
        <v>164</v>
      </c>
      <c r="BA47" s="233">
        <f>AU47+AV47</f>
        <v>0</v>
      </c>
      <c r="BB47" s="233">
        <f>G47/(100-BC47)*100</f>
        <v>0</v>
      </c>
      <c r="BC47" s="233">
        <v>0</v>
      </c>
      <c r="BD47" s="233">
        <f>L47</f>
        <v>0</v>
      </c>
      <c r="BF47" s="233">
        <f>F47*AM47</f>
        <v>0</v>
      </c>
      <c r="BG47" s="233">
        <f>F47*AN47</f>
        <v>0</v>
      </c>
      <c r="BH47" s="233">
        <f>F47*G47</f>
        <v>0</v>
      </c>
      <c r="BI47" s="233"/>
      <c r="BJ47" s="233">
        <v>13</v>
      </c>
      <c r="BU47" s="233" t="e">
        <f>#REF!</f>
        <v>#REF!</v>
      </c>
      <c r="BV47" s="225" t="s">
        <v>889</v>
      </c>
    </row>
    <row r="48" spans="1:74" ht="40.5" customHeight="1" x14ac:dyDescent="0.3">
      <c r="A48" s="241"/>
      <c r="B48" s="242" t="s">
        <v>165</v>
      </c>
      <c r="C48" s="530" t="s">
        <v>1957</v>
      </c>
      <c r="D48" s="531"/>
      <c r="E48" s="531"/>
      <c r="F48" s="531"/>
      <c r="G48" s="531"/>
      <c r="H48" s="531"/>
      <c r="I48" s="531"/>
      <c r="J48" s="531"/>
      <c r="K48" s="531"/>
      <c r="L48" s="531"/>
      <c r="M48" s="532"/>
    </row>
    <row r="49" spans="1:74" ht="14.4" x14ac:dyDescent="0.3">
      <c r="A49" s="239" t="s">
        <v>154</v>
      </c>
      <c r="B49" s="224" t="s">
        <v>161</v>
      </c>
      <c r="C49" s="526" t="s">
        <v>219</v>
      </c>
      <c r="D49" s="527"/>
      <c r="E49" s="223" t="s">
        <v>114</v>
      </c>
      <c r="F49" s="223" t="s">
        <v>114</v>
      </c>
      <c r="G49" s="223" t="s">
        <v>114</v>
      </c>
      <c r="H49" s="235">
        <f>SUM(H50:H52)</f>
        <v>0</v>
      </c>
      <c r="I49" s="235">
        <f>SUM(I50:I52)</f>
        <v>0</v>
      </c>
      <c r="J49" s="235">
        <f>SUM(J50:J52)</f>
        <v>0</v>
      </c>
      <c r="K49" s="230" t="s">
        <v>154</v>
      </c>
      <c r="L49" s="235">
        <f>SUM(L50:L52)</f>
        <v>8.7771600000000005E-2</v>
      </c>
      <c r="M49" s="243" t="s">
        <v>154</v>
      </c>
      <c r="AG49" s="229" t="s">
        <v>154</v>
      </c>
      <c r="AQ49" s="222">
        <f>SUM(AH50:AH52)</f>
        <v>0</v>
      </c>
      <c r="AR49" s="222">
        <f>SUM(AI50:AI52)</f>
        <v>0</v>
      </c>
      <c r="AS49" s="222">
        <f>SUM(AJ50:AJ52)</f>
        <v>0</v>
      </c>
    </row>
    <row r="50" spans="1:74" ht="14.4" x14ac:dyDescent="0.3">
      <c r="A50" s="239" t="s">
        <v>224</v>
      </c>
      <c r="B50" s="223" t="s">
        <v>221</v>
      </c>
      <c r="C50" s="521" t="s">
        <v>222</v>
      </c>
      <c r="D50" s="519"/>
      <c r="E50" s="223" t="s">
        <v>180</v>
      </c>
      <c r="F50" s="233">
        <v>102.06</v>
      </c>
      <c r="G50" s="311">
        <v>0</v>
      </c>
      <c r="H50" s="233">
        <f>F50*AM50</f>
        <v>0</v>
      </c>
      <c r="I50" s="233">
        <f>F50*AN50</f>
        <v>0</v>
      </c>
      <c r="J50" s="233">
        <f>F50*G50</f>
        <v>0</v>
      </c>
      <c r="K50" s="233">
        <v>8.5999999999999998E-4</v>
      </c>
      <c r="L50" s="233">
        <f>F50*K50</f>
        <v>8.7771600000000005E-2</v>
      </c>
      <c r="M50" s="240" t="s">
        <v>472</v>
      </c>
      <c r="X50" s="233">
        <f>IF(AO50="5",BH50,0)</f>
        <v>0</v>
      </c>
      <c r="Z50" s="233">
        <f>IF(AO50="1",BF50,0)</f>
        <v>0</v>
      </c>
      <c r="AA50" s="233">
        <f>IF(AO50="1",BG50,0)</f>
        <v>0</v>
      </c>
      <c r="AB50" s="233">
        <f>IF(AO50="7",BF50,0)</f>
        <v>0</v>
      </c>
      <c r="AC50" s="233">
        <f>IF(AO50="7",BG50,0)</f>
        <v>0</v>
      </c>
      <c r="AD50" s="233">
        <f>IF(AO50="2",BF50,0)</f>
        <v>0</v>
      </c>
      <c r="AE50" s="233">
        <f>IF(AO50="2",BG50,0)</f>
        <v>0</v>
      </c>
      <c r="AF50" s="233">
        <f>IF(AO50="0",BH50,0)</f>
        <v>0</v>
      </c>
      <c r="AG50" s="229" t="s">
        <v>154</v>
      </c>
      <c r="AH50" s="233">
        <f>IF(AL50=0,J50,0)</f>
        <v>0</v>
      </c>
      <c r="AI50" s="233">
        <f>IF(AL50=15,J50,0)</f>
        <v>0</v>
      </c>
      <c r="AJ50" s="233">
        <f>IF(AL50=21,J50,0)</f>
        <v>0</v>
      </c>
      <c r="AL50" s="233">
        <v>15</v>
      </c>
      <c r="AM50" s="233">
        <f>G50*0.083527453</f>
        <v>0</v>
      </c>
      <c r="AN50" s="233">
        <f>G50*(1-0.083527453)</f>
        <v>0</v>
      </c>
      <c r="AO50" s="234" t="s">
        <v>157</v>
      </c>
      <c r="AT50" s="233">
        <f>AU50+AV50</f>
        <v>0</v>
      </c>
      <c r="AU50" s="233">
        <f>F50*AM50</f>
        <v>0</v>
      </c>
      <c r="AV50" s="233">
        <f>F50*AN50</f>
        <v>0</v>
      </c>
      <c r="AW50" s="234" t="s">
        <v>223</v>
      </c>
      <c r="AX50" s="234" t="s">
        <v>163</v>
      </c>
      <c r="AY50" s="229" t="s">
        <v>164</v>
      </c>
      <c r="BA50" s="233">
        <f>AU50+AV50</f>
        <v>0</v>
      </c>
      <c r="BB50" s="233">
        <f>G50/(100-BC50)*100</f>
        <v>0</v>
      </c>
      <c r="BC50" s="233">
        <v>0</v>
      </c>
      <c r="BD50" s="233">
        <f>L50</f>
        <v>8.7771600000000005E-2</v>
      </c>
      <c r="BF50" s="233">
        <f>F50*AM50</f>
        <v>0</v>
      </c>
      <c r="BG50" s="233">
        <f>F50*AN50</f>
        <v>0</v>
      </c>
      <c r="BH50" s="233">
        <f>F50*G50</f>
        <v>0</v>
      </c>
      <c r="BI50" s="233"/>
      <c r="BJ50" s="233">
        <v>15</v>
      </c>
      <c r="BU50" s="233" t="e">
        <f>#REF!</f>
        <v>#REF!</v>
      </c>
      <c r="BV50" s="225" t="s">
        <v>222</v>
      </c>
    </row>
    <row r="51" spans="1:74" ht="40.5" customHeight="1" x14ac:dyDescent="0.3">
      <c r="A51" s="241"/>
      <c r="B51" s="242" t="s">
        <v>165</v>
      </c>
      <c r="C51" s="530" t="s">
        <v>1958</v>
      </c>
      <c r="D51" s="531"/>
      <c r="E51" s="531"/>
      <c r="F51" s="531"/>
      <c r="G51" s="531"/>
      <c r="H51" s="531"/>
      <c r="I51" s="531"/>
      <c r="J51" s="531"/>
      <c r="K51" s="531"/>
      <c r="L51" s="531"/>
      <c r="M51" s="532"/>
    </row>
    <row r="52" spans="1:74" ht="14.4" x14ac:dyDescent="0.3">
      <c r="A52" s="239" t="s">
        <v>228</v>
      </c>
      <c r="B52" s="223" t="s">
        <v>225</v>
      </c>
      <c r="C52" s="521" t="s">
        <v>226</v>
      </c>
      <c r="D52" s="519"/>
      <c r="E52" s="223" t="s">
        <v>180</v>
      </c>
      <c r="F52" s="233">
        <v>102.06</v>
      </c>
      <c r="G52" s="311">
        <v>0</v>
      </c>
      <c r="H52" s="233">
        <f>F52*AM52</f>
        <v>0</v>
      </c>
      <c r="I52" s="233">
        <f>F52*AN52</f>
        <v>0</v>
      </c>
      <c r="J52" s="233">
        <f>F52*G52</f>
        <v>0</v>
      </c>
      <c r="K52" s="233">
        <v>0</v>
      </c>
      <c r="L52" s="233">
        <f>F52*K52</f>
        <v>0</v>
      </c>
      <c r="M52" s="240" t="s">
        <v>472</v>
      </c>
      <c r="X52" s="233">
        <f>IF(AO52="5",BH52,0)</f>
        <v>0</v>
      </c>
      <c r="Z52" s="233">
        <f>IF(AO52="1",BF52,0)</f>
        <v>0</v>
      </c>
      <c r="AA52" s="233">
        <f>IF(AO52="1",BG52,0)</f>
        <v>0</v>
      </c>
      <c r="AB52" s="233">
        <f>IF(AO52="7",BF52,0)</f>
        <v>0</v>
      </c>
      <c r="AC52" s="233">
        <f>IF(AO52="7",BG52,0)</f>
        <v>0</v>
      </c>
      <c r="AD52" s="233">
        <f>IF(AO52="2",BF52,0)</f>
        <v>0</v>
      </c>
      <c r="AE52" s="233">
        <f>IF(AO52="2",BG52,0)</f>
        <v>0</v>
      </c>
      <c r="AF52" s="233">
        <f>IF(AO52="0",BH52,0)</f>
        <v>0</v>
      </c>
      <c r="AG52" s="229" t="s">
        <v>154</v>
      </c>
      <c r="AH52" s="233">
        <f>IF(AL52=0,J52,0)</f>
        <v>0</v>
      </c>
      <c r="AI52" s="233">
        <f>IF(AL52=15,J52,0)</f>
        <v>0</v>
      </c>
      <c r="AJ52" s="233">
        <f>IF(AL52=21,J52,0)</f>
        <v>0</v>
      </c>
      <c r="AL52" s="233">
        <v>15</v>
      </c>
      <c r="AM52" s="233">
        <f>G52*0</f>
        <v>0</v>
      </c>
      <c r="AN52" s="233">
        <f>G52*(1-0)</f>
        <v>0</v>
      </c>
      <c r="AO52" s="234" t="s">
        <v>157</v>
      </c>
      <c r="AT52" s="233">
        <f>AU52+AV52</f>
        <v>0</v>
      </c>
      <c r="AU52" s="233">
        <f>F52*AM52</f>
        <v>0</v>
      </c>
      <c r="AV52" s="233">
        <f>F52*AN52</f>
        <v>0</v>
      </c>
      <c r="AW52" s="234" t="s">
        <v>223</v>
      </c>
      <c r="AX52" s="234" t="s">
        <v>163</v>
      </c>
      <c r="AY52" s="229" t="s">
        <v>164</v>
      </c>
      <c r="BA52" s="233">
        <f>AU52+AV52</f>
        <v>0</v>
      </c>
      <c r="BB52" s="233">
        <f>G52/(100-BC52)*100</f>
        <v>0</v>
      </c>
      <c r="BC52" s="233">
        <v>0</v>
      </c>
      <c r="BD52" s="233">
        <f>L52</f>
        <v>0</v>
      </c>
      <c r="BF52" s="233">
        <f>F52*AM52</f>
        <v>0</v>
      </c>
      <c r="BG52" s="233">
        <f>F52*AN52</f>
        <v>0</v>
      </c>
      <c r="BH52" s="233">
        <f>F52*G52</f>
        <v>0</v>
      </c>
      <c r="BI52" s="233"/>
      <c r="BJ52" s="233">
        <v>15</v>
      </c>
      <c r="BU52" s="233" t="e">
        <f>#REF!</f>
        <v>#REF!</v>
      </c>
      <c r="BV52" s="225" t="s">
        <v>226</v>
      </c>
    </row>
    <row r="53" spans="1:74" ht="40.5" customHeight="1" x14ac:dyDescent="0.3">
      <c r="A53" s="241"/>
      <c r="B53" s="242" t="s">
        <v>165</v>
      </c>
      <c r="C53" s="530" t="s">
        <v>1959</v>
      </c>
      <c r="D53" s="531"/>
      <c r="E53" s="531"/>
      <c r="F53" s="531"/>
      <c r="G53" s="531"/>
      <c r="H53" s="531"/>
      <c r="I53" s="531"/>
      <c r="J53" s="531"/>
      <c r="K53" s="531"/>
      <c r="L53" s="531"/>
      <c r="M53" s="532"/>
    </row>
    <row r="54" spans="1:74" ht="14.4" x14ac:dyDescent="0.3">
      <c r="A54" s="239" t="s">
        <v>154</v>
      </c>
      <c r="B54" s="224" t="s">
        <v>215</v>
      </c>
      <c r="C54" s="526" t="s">
        <v>227</v>
      </c>
      <c r="D54" s="527"/>
      <c r="E54" s="223" t="s">
        <v>114</v>
      </c>
      <c r="F54" s="223" t="s">
        <v>114</v>
      </c>
      <c r="G54" s="223" t="s">
        <v>114</v>
      </c>
      <c r="H54" s="235">
        <f>SUM(H55:H73)</f>
        <v>0</v>
      </c>
      <c r="I54" s="235">
        <f>SUM(I55:I73)</f>
        <v>0</v>
      </c>
      <c r="J54" s="235">
        <f>SUM(J55:J73)</f>
        <v>0</v>
      </c>
      <c r="K54" s="230" t="s">
        <v>154</v>
      </c>
      <c r="L54" s="235">
        <f>SUM(L55:L73)</f>
        <v>0</v>
      </c>
      <c r="M54" s="243" t="s">
        <v>154</v>
      </c>
      <c r="AG54" s="229" t="s">
        <v>154</v>
      </c>
      <c r="AQ54" s="222">
        <f>SUM(AH55:AH73)</f>
        <v>0</v>
      </c>
      <c r="AR54" s="222">
        <f>SUM(AI55:AI73)</f>
        <v>0</v>
      </c>
      <c r="AS54" s="222">
        <f>SUM(AJ55:AJ73)</f>
        <v>0</v>
      </c>
    </row>
    <row r="55" spans="1:74" ht="14.4" x14ac:dyDescent="0.3">
      <c r="A55" s="239" t="s">
        <v>232</v>
      </c>
      <c r="B55" s="223" t="s">
        <v>997</v>
      </c>
      <c r="C55" s="521" t="s">
        <v>998</v>
      </c>
      <c r="D55" s="519"/>
      <c r="E55" s="223" t="s">
        <v>196</v>
      </c>
      <c r="F55" s="233">
        <v>4.87</v>
      </c>
      <c r="G55" s="311">
        <v>0</v>
      </c>
      <c r="H55" s="233">
        <f>F55*AM55</f>
        <v>0</v>
      </c>
      <c r="I55" s="233">
        <f>F55*AN55</f>
        <v>0</v>
      </c>
      <c r="J55" s="233">
        <f>F55*G55</f>
        <v>0</v>
      </c>
      <c r="K55" s="233">
        <v>0</v>
      </c>
      <c r="L55" s="233">
        <f>F55*K55</f>
        <v>0</v>
      </c>
      <c r="M55" s="240" t="s">
        <v>472</v>
      </c>
      <c r="X55" s="233">
        <f>IF(AO55="5",BH55,0)</f>
        <v>0</v>
      </c>
      <c r="Z55" s="233">
        <f>IF(AO55="1",BF55,0)</f>
        <v>0</v>
      </c>
      <c r="AA55" s="233">
        <f>IF(AO55="1",BG55,0)</f>
        <v>0</v>
      </c>
      <c r="AB55" s="233">
        <f>IF(AO55="7",BF55,0)</f>
        <v>0</v>
      </c>
      <c r="AC55" s="233">
        <f>IF(AO55="7",BG55,0)</f>
        <v>0</v>
      </c>
      <c r="AD55" s="233">
        <f>IF(AO55="2",BF55,0)</f>
        <v>0</v>
      </c>
      <c r="AE55" s="233">
        <f>IF(AO55="2",BG55,0)</f>
        <v>0</v>
      </c>
      <c r="AF55" s="233">
        <f>IF(AO55="0",BH55,0)</f>
        <v>0</v>
      </c>
      <c r="AG55" s="229" t="s">
        <v>154</v>
      </c>
      <c r="AH55" s="233">
        <f>IF(AL55=0,J55,0)</f>
        <v>0</v>
      </c>
      <c r="AI55" s="233">
        <f>IF(AL55=15,J55,0)</f>
        <v>0</v>
      </c>
      <c r="AJ55" s="233">
        <f>IF(AL55=21,J55,0)</f>
        <v>0</v>
      </c>
      <c r="AL55" s="233">
        <v>15</v>
      </c>
      <c r="AM55" s="233">
        <f>G55*0</f>
        <v>0</v>
      </c>
      <c r="AN55" s="233">
        <f>G55*(1-0)</f>
        <v>0</v>
      </c>
      <c r="AO55" s="234" t="s">
        <v>157</v>
      </c>
      <c r="AT55" s="233">
        <f>AU55+AV55</f>
        <v>0</v>
      </c>
      <c r="AU55" s="233">
        <f>F55*AM55</f>
        <v>0</v>
      </c>
      <c r="AV55" s="233">
        <f>F55*AN55</f>
        <v>0</v>
      </c>
      <c r="AW55" s="234" t="s">
        <v>231</v>
      </c>
      <c r="AX55" s="234" t="s">
        <v>163</v>
      </c>
      <c r="AY55" s="229" t="s">
        <v>164</v>
      </c>
      <c r="BA55" s="233">
        <f>AU55+AV55</f>
        <v>0</v>
      </c>
      <c r="BB55" s="233">
        <f>G55/(100-BC55)*100</f>
        <v>0</v>
      </c>
      <c r="BC55" s="233">
        <v>0</v>
      </c>
      <c r="BD55" s="233">
        <f>L55</f>
        <v>0</v>
      </c>
      <c r="BF55" s="233">
        <f>F55*AM55</f>
        <v>0</v>
      </c>
      <c r="BG55" s="233">
        <f>F55*AN55</f>
        <v>0</v>
      </c>
      <c r="BH55" s="233">
        <f>F55*G55</f>
        <v>0</v>
      </c>
      <c r="BI55" s="233"/>
      <c r="BJ55" s="233">
        <v>16</v>
      </c>
      <c r="BU55" s="233" t="e">
        <f>#REF!</f>
        <v>#REF!</v>
      </c>
      <c r="BV55" s="225" t="s">
        <v>998</v>
      </c>
    </row>
    <row r="56" spans="1:74" ht="54" customHeight="1" x14ac:dyDescent="0.3">
      <c r="A56" s="244"/>
      <c r="B56" s="245" t="s">
        <v>165</v>
      </c>
      <c r="C56" s="540" t="s">
        <v>1960</v>
      </c>
      <c r="D56" s="541"/>
      <c r="E56" s="541"/>
      <c r="F56" s="541"/>
      <c r="G56" s="541"/>
      <c r="H56" s="541"/>
      <c r="I56" s="541"/>
      <c r="J56" s="541"/>
      <c r="K56" s="541"/>
      <c r="L56" s="541"/>
      <c r="M56" s="542"/>
    </row>
    <row r="57" spans="1:74" ht="14.4" x14ac:dyDescent="0.3">
      <c r="A57" s="237" t="s">
        <v>235</v>
      </c>
      <c r="B57" s="238" t="s">
        <v>999</v>
      </c>
      <c r="C57" s="543" t="s">
        <v>1000</v>
      </c>
      <c r="D57" s="544"/>
      <c r="E57" s="238" t="s">
        <v>196</v>
      </c>
      <c r="F57" s="258">
        <v>0.87</v>
      </c>
      <c r="G57" s="311">
        <v>0</v>
      </c>
      <c r="H57" s="258">
        <f>F57*AM57</f>
        <v>0</v>
      </c>
      <c r="I57" s="258">
        <f>F57*AN57</f>
        <v>0</v>
      </c>
      <c r="J57" s="258">
        <f>F57*G57</f>
        <v>0</v>
      </c>
      <c r="K57" s="258">
        <v>0</v>
      </c>
      <c r="L57" s="258">
        <f>F57*K57</f>
        <v>0</v>
      </c>
      <c r="M57" s="259" t="s">
        <v>472</v>
      </c>
      <c r="X57" s="233">
        <f>IF(AO57="5",BH57,0)</f>
        <v>0</v>
      </c>
      <c r="Z57" s="233">
        <f>IF(AO57="1",BF57,0)</f>
        <v>0</v>
      </c>
      <c r="AA57" s="233">
        <f>IF(AO57="1",BG57,0)</f>
        <v>0</v>
      </c>
      <c r="AB57" s="233">
        <f>IF(AO57="7",BF57,0)</f>
        <v>0</v>
      </c>
      <c r="AC57" s="233">
        <f>IF(AO57="7",BG57,0)</f>
        <v>0</v>
      </c>
      <c r="AD57" s="233">
        <f>IF(AO57="2",BF57,0)</f>
        <v>0</v>
      </c>
      <c r="AE57" s="233">
        <f>IF(AO57="2",BG57,0)</f>
        <v>0</v>
      </c>
      <c r="AF57" s="233">
        <f>IF(AO57="0",BH57,0)</f>
        <v>0</v>
      </c>
      <c r="AG57" s="229" t="s">
        <v>154</v>
      </c>
      <c r="AH57" s="233">
        <f>IF(AL57=0,J57,0)</f>
        <v>0</v>
      </c>
      <c r="AI57" s="233">
        <f>IF(AL57=15,J57,0)</f>
        <v>0</v>
      </c>
      <c r="AJ57" s="233">
        <f>IF(AL57=21,J57,0)</f>
        <v>0</v>
      </c>
      <c r="AL57" s="233">
        <v>15</v>
      </c>
      <c r="AM57" s="233">
        <f>G57*0</f>
        <v>0</v>
      </c>
      <c r="AN57" s="233">
        <f>G57*(1-0)</f>
        <v>0</v>
      </c>
      <c r="AO57" s="234" t="s">
        <v>157</v>
      </c>
      <c r="AT57" s="233">
        <f>AU57+AV57</f>
        <v>0</v>
      </c>
      <c r="AU57" s="233">
        <f>F57*AM57</f>
        <v>0</v>
      </c>
      <c r="AV57" s="233">
        <f>F57*AN57</f>
        <v>0</v>
      </c>
      <c r="AW57" s="234" t="s">
        <v>231</v>
      </c>
      <c r="AX57" s="234" t="s">
        <v>163</v>
      </c>
      <c r="AY57" s="229" t="s">
        <v>164</v>
      </c>
      <c r="BA57" s="233">
        <f>AU57+AV57</f>
        <v>0</v>
      </c>
      <c r="BB57" s="233">
        <f>G57/(100-BC57)*100</f>
        <v>0</v>
      </c>
      <c r="BC57" s="233">
        <v>0</v>
      </c>
      <c r="BD57" s="233">
        <f>L57</f>
        <v>0</v>
      </c>
      <c r="BF57" s="233">
        <f>F57*AM57</f>
        <v>0</v>
      </c>
      <c r="BG57" s="233">
        <f>F57*AN57</f>
        <v>0</v>
      </c>
      <c r="BH57" s="233">
        <f>F57*G57</f>
        <v>0</v>
      </c>
      <c r="BI57" s="233"/>
      <c r="BJ57" s="233">
        <v>16</v>
      </c>
      <c r="BU57" s="233" t="e">
        <f>#REF!</f>
        <v>#REF!</v>
      </c>
      <c r="BV57" s="225" t="s">
        <v>1000</v>
      </c>
    </row>
    <row r="58" spans="1:74" ht="67.5" customHeight="1" x14ac:dyDescent="0.3">
      <c r="A58" s="241"/>
      <c r="B58" s="242" t="s">
        <v>165</v>
      </c>
      <c r="C58" s="530" t="s">
        <v>1961</v>
      </c>
      <c r="D58" s="531"/>
      <c r="E58" s="531"/>
      <c r="F58" s="531"/>
      <c r="G58" s="531"/>
      <c r="H58" s="531"/>
      <c r="I58" s="531"/>
      <c r="J58" s="531"/>
      <c r="K58" s="531"/>
      <c r="L58" s="531"/>
      <c r="M58" s="532"/>
    </row>
    <row r="59" spans="1:74" ht="14.4" x14ac:dyDescent="0.3">
      <c r="A59" s="239" t="s">
        <v>238</v>
      </c>
      <c r="B59" s="223" t="s">
        <v>503</v>
      </c>
      <c r="C59" s="521" t="s">
        <v>237</v>
      </c>
      <c r="D59" s="519"/>
      <c r="E59" s="223" t="s">
        <v>196</v>
      </c>
      <c r="F59" s="233">
        <v>8.25</v>
      </c>
      <c r="G59" s="311">
        <v>0</v>
      </c>
      <c r="H59" s="233">
        <f>F59*AM59</f>
        <v>0</v>
      </c>
      <c r="I59" s="233">
        <f>F59*AN59</f>
        <v>0</v>
      </c>
      <c r="J59" s="233">
        <f>F59*G59</f>
        <v>0</v>
      </c>
      <c r="K59" s="233">
        <v>0</v>
      </c>
      <c r="L59" s="233">
        <f>F59*K59</f>
        <v>0</v>
      </c>
      <c r="M59" s="240" t="s">
        <v>472</v>
      </c>
      <c r="X59" s="233">
        <f>IF(AO59="5",BH59,0)</f>
        <v>0</v>
      </c>
      <c r="Z59" s="233">
        <f>IF(AO59="1",BF59,0)</f>
        <v>0</v>
      </c>
      <c r="AA59" s="233">
        <f>IF(AO59="1",BG59,0)</f>
        <v>0</v>
      </c>
      <c r="AB59" s="233">
        <f>IF(AO59="7",BF59,0)</f>
        <v>0</v>
      </c>
      <c r="AC59" s="233">
        <f>IF(AO59="7",BG59,0)</f>
        <v>0</v>
      </c>
      <c r="AD59" s="233">
        <f>IF(AO59="2",BF59,0)</f>
        <v>0</v>
      </c>
      <c r="AE59" s="233">
        <f>IF(AO59="2",BG59,0)</f>
        <v>0</v>
      </c>
      <c r="AF59" s="233">
        <f>IF(AO59="0",BH59,0)</f>
        <v>0</v>
      </c>
      <c r="AG59" s="229" t="s">
        <v>154</v>
      </c>
      <c r="AH59" s="233">
        <f>IF(AL59=0,J59,0)</f>
        <v>0</v>
      </c>
      <c r="AI59" s="233">
        <f>IF(AL59=15,J59,0)</f>
        <v>0</v>
      </c>
      <c r="AJ59" s="233">
        <f>IF(AL59=21,J59,0)</f>
        <v>0</v>
      </c>
      <c r="AL59" s="233">
        <v>15</v>
      </c>
      <c r="AM59" s="233">
        <f>G59*0</f>
        <v>0</v>
      </c>
      <c r="AN59" s="233">
        <f>G59*(1-0)</f>
        <v>0</v>
      </c>
      <c r="AO59" s="234" t="s">
        <v>157</v>
      </c>
      <c r="AT59" s="233">
        <f>AU59+AV59</f>
        <v>0</v>
      </c>
      <c r="AU59" s="233">
        <f>F59*AM59</f>
        <v>0</v>
      </c>
      <c r="AV59" s="233">
        <f>F59*AN59</f>
        <v>0</v>
      </c>
      <c r="AW59" s="234" t="s">
        <v>231</v>
      </c>
      <c r="AX59" s="234" t="s">
        <v>163</v>
      </c>
      <c r="AY59" s="229" t="s">
        <v>164</v>
      </c>
      <c r="BA59" s="233">
        <f>AU59+AV59</f>
        <v>0</v>
      </c>
      <c r="BB59" s="233">
        <f>G59/(100-BC59)*100</f>
        <v>0</v>
      </c>
      <c r="BC59" s="233">
        <v>0</v>
      </c>
      <c r="BD59" s="233">
        <f>L59</f>
        <v>0</v>
      </c>
      <c r="BF59" s="233">
        <f>F59*AM59</f>
        <v>0</v>
      </c>
      <c r="BG59" s="233">
        <f>F59*AN59</f>
        <v>0</v>
      </c>
      <c r="BH59" s="233">
        <f>F59*G59</f>
        <v>0</v>
      </c>
      <c r="BI59" s="233"/>
      <c r="BJ59" s="233">
        <v>16</v>
      </c>
      <c r="BU59" s="233" t="e">
        <f>#REF!</f>
        <v>#REF!</v>
      </c>
      <c r="BV59" s="225" t="s">
        <v>237</v>
      </c>
    </row>
    <row r="60" spans="1:74" ht="67.5" customHeight="1" x14ac:dyDescent="0.3">
      <c r="A60" s="241"/>
      <c r="B60" s="242" t="s">
        <v>165</v>
      </c>
      <c r="C60" s="530" t="s">
        <v>1962</v>
      </c>
      <c r="D60" s="531"/>
      <c r="E60" s="531"/>
      <c r="F60" s="531"/>
      <c r="G60" s="531"/>
      <c r="H60" s="531"/>
      <c r="I60" s="531"/>
      <c r="J60" s="531"/>
      <c r="K60" s="531"/>
      <c r="L60" s="531"/>
      <c r="M60" s="532"/>
    </row>
    <row r="61" spans="1:74" ht="14.4" x14ac:dyDescent="0.3">
      <c r="A61" s="239" t="s">
        <v>241</v>
      </c>
      <c r="B61" s="223" t="s">
        <v>504</v>
      </c>
      <c r="C61" s="521" t="s">
        <v>240</v>
      </c>
      <c r="D61" s="519"/>
      <c r="E61" s="223" t="s">
        <v>196</v>
      </c>
      <c r="F61" s="233">
        <v>115.5</v>
      </c>
      <c r="G61" s="311">
        <v>0</v>
      </c>
      <c r="H61" s="233">
        <f>F61*AM61</f>
        <v>0</v>
      </c>
      <c r="I61" s="233">
        <f>F61*AN61</f>
        <v>0</v>
      </c>
      <c r="J61" s="233">
        <f>F61*G61</f>
        <v>0</v>
      </c>
      <c r="K61" s="233">
        <v>0</v>
      </c>
      <c r="L61" s="233">
        <f>F61*K61</f>
        <v>0</v>
      </c>
      <c r="M61" s="240" t="s">
        <v>472</v>
      </c>
      <c r="X61" s="233">
        <f>IF(AO61="5",BH61,0)</f>
        <v>0</v>
      </c>
      <c r="Z61" s="233">
        <f>IF(AO61="1",BF61,0)</f>
        <v>0</v>
      </c>
      <c r="AA61" s="233">
        <f>IF(AO61="1",BG61,0)</f>
        <v>0</v>
      </c>
      <c r="AB61" s="233">
        <f>IF(AO61="7",BF61,0)</f>
        <v>0</v>
      </c>
      <c r="AC61" s="233">
        <f>IF(AO61="7",BG61,0)</f>
        <v>0</v>
      </c>
      <c r="AD61" s="233">
        <f>IF(AO61="2",BF61,0)</f>
        <v>0</v>
      </c>
      <c r="AE61" s="233">
        <f>IF(AO61="2",BG61,0)</f>
        <v>0</v>
      </c>
      <c r="AF61" s="233">
        <f>IF(AO61="0",BH61,0)</f>
        <v>0</v>
      </c>
      <c r="AG61" s="229" t="s">
        <v>154</v>
      </c>
      <c r="AH61" s="233">
        <f>IF(AL61=0,J61,0)</f>
        <v>0</v>
      </c>
      <c r="AI61" s="233">
        <f>IF(AL61=15,J61,0)</f>
        <v>0</v>
      </c>
      <c r="AJ61" s="233">
        <f>IF(AL61=21,J61,0)</f>
        <v>0</v>
      </c>
      <c r="AL61" s="233">
        <v>15</v>
      </c>
      <c r="AM61" s="233">
        <f>G61*0</f>
        <v>0</v>
      </c>
      <c r="AN61" s="233">
        <f>G61*(1-0)</f>
        <v>0</v>
      </c>
      <c r="AO61" s="234" t="s">
        <v>157</v>
      </c>
      <c r="AT61" s="233">
        <f>AU61+AV61</f>
        <v>0</v>
      </c>
      <c r="AU61" s="233">
        <f>F61*AM61</f>
        <v>0</v>
      </c>
      <c r="AV61" s="233">
        <f>F61*AN61</f>
        <v>0</v>
      </c>
      <c r="AW61" s="234" t="s">
        <v>231</v>
      </c>
      <c r="AX61" s="234" t="s">
        <v>163</v>
      </c>
      <c r="AY61" s="229" t="s">
        <v>164</v>
      </c>
      <c r="BA61" s="233">
        <f>AU61+AV61</f>
        <v>0</v>
      </c>
      <c r="BB61" s="233">
        <f>G61/(100-BC61)*100</f>
        <v>0</v>
      </c>
      <c r="BC61" s="233">
        <v>0</v>
      </c>
      <c r="BD61" s="233">
        <f>L61</f>
        <v>0</v>
      </c>
      <c r="BF61" s="233">
        <f>F61*AM61</f>
        <v>0</v>
      </c>
      <c r="BG61" s="233">
        <f>F61*AN61</f>
        <v>0</v>
      </c>
      <c r="BH61" s="233">
        <f>F61*G61</f>
        <v>0</v>
      </c>
      <c r="BI61" s="233"/>
      <c r="BJ61" s="233">
        <v>16</v>
      </c>
      <c r="BU61" s="233" t="e">
        <f>#REF!</f>
        <v>#REF!</v>
      </c>
      <c r="BV61" s="225" t="s">
        <v>240</v>
      </c>
    </row>
    <row r="62" spans="1:74" ht="54" customHeight="1" x14ac:dyDescent="0.3">
      <c r="A62" s="241"/>
      <c r="B62" s="242" t="s">
        <v>165</v>
      </c>
      <c r="C62" s="530" t="s">
        <v>1963</v>
      </c>
      <c r="D62" s="531"/>
      <c r="E62" s="531"/>
      <c r="F62" s="531"/>
      <c r="G62" s="531"/>
      <c r="H62" s="531"/>
      <c r="I62" s="531"/>
      <c r="J62" s="531"/>
      <c r="K62" s="531"/>
      <c r="L62" s="531"/>
      <c r="M62" s="532"/>
    </row>
    <row r="63" spans="1:74" ht="14.4" x14ac:dyDescent="0.3">
      <c r="A63" s="239" t="s">
        <v>244</v>
      </c>
      <c r="B63" s="223" t="s">
        <v>505</v>
      </c>
      <c r="C63" s="521" t="s">
        <v>243</v>
      </c>
      <c r="D63" s="519"/>
      <c r="E63" s="223" t="s">
        <v>196</v>
      </c>
      <c r="F63" s="233">
        <v>12.48</v>
      </c>
      <c r="G63" s="311">
        <v>0</v>
      </c>
      <c r="H63" s="233">
        <f>F63*AM63</f>
        <v>0</v>
      </c>
      <c r="I63" s="233">
        <f>F63*AN63</f>
        <v>0</v>
      </c>
      <c r="J63" s="233">
        <f>F63*G63</f>
        <v>0</v>
      </c>
      <c r="K63" s="233">
        <v>0</v>
      </c>
      <c r="L63" s="233">
        <f>F63*K63</f>
        <v>0</v>
      </c>
      <c r="M63" s="240" t="s">
        <v>472</v>
      </c>
      <c r="X63" s="233">
        <f>IF(AO63="5",BH63,0)</f>
        <v>0</v>
      </c>
      <c r="Z63" s="233">
        <f>IF(AO63="1",BF63,0)</f>
        <v>0</v>
      </c>
      <c r="AA63" s="233">
        <f>IF(AO63="1",BG63,0)</f>
        <v>0</v>
      </c>
      <c r="AB63" s="233">
        <f>IF(AO63="7",BF63,0)</f>
        <v>0</v>
      </c>
      <c r="AC63" s="233">
        <f>IF(AO63="7",BG63,0)</f>
        <v>0</v>
      </c>
      <c r="AD63" s="233">
        <f>IF(AO63="2",BF63,0)</f>
        <v>0</v>
      </c>
      <c r="AE63" s="233">
        <f>IF(AO63="2",BG63,0)</f>
        <v>0</v>
      </c>
      <c r="AF63" s="233">
        <f>IF(AO63="0",BH63,0)</f>
        <v>0</v>
      </c>
      <c r="AG63" s="229" t="s">
        <v>154</v>
      </c>
      <c r="AH63" s="233">
        <f>IF(AL63=0,J63,0)</f>
        <v>0</v>
      </c>
      <c r="AI63" s="233">
        <f>IF(AL63=15,J63,0)</f>
        <v>0</v>
      </c>
      <c r="AJ63" s="233">
        <f>IF(AL63=21,J63,0)</f>
        <v>0</v>
      </c>
      <c r="AL63" s="233">
        <v>15</v>
      </c>
      <c r="AM63" s="233">
        <f>G63*0</f>
        <v>0</v>
      </c>
      <c r="AN63" s="233">
        <f>G63*(1-0)</f>
        <v>0</v>
      </c>
      <c r="AO63" s="234" t="s">
        <v>157</v>
      </c>
      <c r="AT63" s="233">
        <f>AU63+AV63</f>
        <v>0</v>
      </c>
      <c r="AU63" s="233">
        <f>F63*AM63</f>
        <v>0</v>
      </c>
      <c r="AV63" s="233">
        <f>F63*AN63</f>
        <v>0</v>
      </c>
      <c r="AW63" s="234" t="s">
        <v>231</v>
      </c>
      <c r="AX63" s="234" t="s">
        <v>163</v>
      </c>
      <c r="AY63" s="229" t="s">
        <v>164</v>
      </c>
      <c r="BA63" s="233">
        <f>AU63+AV63</f>
        <v>0</v>
      </c>
      <c r="BB63" s="233">
        <f>G63/(100-BC63)*100</f>
        <v>0</v>
      </c>
      <c r="BC63" s="233">
        <v>0</v>
      </c>
      <c r="BD63" s="233">
        <f>L63</f>
        <v>0</v>
      </c>
      <c r="BF63" s="233">
        <f>F63*AM63</f>
        <v>0</v>
      </c>
      <c r="BG63" s="233">
        <f>F63*AN63</f>
        <v>0</v>
      </c>
      <c r="BH63" s="233">
        <f>F63*G63</f>
        <v>0</v>
      </c>
      <c r="BI63" s="233"/>
      <c r="BJ63" s="233">
        <v>16</v>
      </c>
      <c r="BU63" s="233" t="e">
        <f>#REF!</f>
        <v>#REF!</v>
      </c>
      <c r="BV63" s="225" t="s">
        <v>243</v>
      </c>
    </row>
    <row r="64" spans="1:74" ht="54" customHeight="1" x14ac:dyDescent="0.3">
      <c r="A64" s="241"/>
      <c r="B64" s="242" t="s">
        <v>165</v>
      </c>
      <c r="C64" s="530" t="s">
        <v>1964</v>
      </c>
      <c r="D64" s="531"/>
      <c r="E64" s="531"/>
      <c r="F64" s="531"/>
      <c r="G64" s="531"/>
      <c r="H64" s="531"/>
      <c r="I64" s="531"/>
      <c r="J64" s="531"/>
      <c r="K64" s="531"/>
      <c r="L64" s="531"/>
      <c r="M64" s="532"/>
    </row>
    <row r="65" spans="1:74" ht="14.4" x14ac:dyDescent="0.3">
      <c r="A65" s="239" t="s">
        <v>247</v>
      </c>
      <c r="B65" s="223" t="s">
        <v>506</v>
      </c>
      <c r="C65" s="521" t="s">
        <v>246</v>
      </c>
      <c r="D65" s="519"/>
      <c r="E65" s="223" t="s">
        <v>196</v>
      </c>
      <c r="F65" s="233">
        <v>174.72</v>
      </c>
      <c r="G65" s="311">
        <v>0</v>
      </c>
      <c r="H65" s="233">
        <f>F65*AM65</f>
        <v>0</v>
      </c>
      <c r="I65" s="233">
        <f>F65*AN65</f>
        <v>0</v>
      </c>
      <c r="J65" s="233">
        <f>F65*G65</f>
        <v>0</v>
      </c>
      <c r="K65" s="233">
        <v>0</v>
      </c>
      <c r="L65" s="233">
        <f>F65*K65</f>
        <v>0</v>
      </c>
      <c r="M65" s="240" t="s">
        <v>472</v>
      </c>
      <c r="X65" s="233">
        <f>IF(AO65="5",BH65,0)</f>
        <v>0</v>
      </c>
      <c r="Z65" s="233">
        <f>IF(AO65="1",BF65,0)</f>
        <v>0</v>
      </c>
      <c r="AA65" s="233">
        <f>IF(AO65="1",BG65,0)</f>
        <v>0</v>
      </c>
      <c r="AB65" s="233">
        <f>IF(AO65="7",BF65,0)</f>
        <v>0</v>
      </c>
      <c r="AC65" s="233">
        <f>IF(AO65="7",BG65,0)</f>
        <v>0</v>
      </c>
      <c r="AD65" s="233">
        <f>IF(AO65="2",BF65,0)</f>
        <v>0</v>
      </c>
      <c r="AE65" s="233">
        <f>IF(AO65="2",BG65,0)</f>
        <v>0</v>
      </c>
      <c r="AF65" s="233">
        <f>IF(AO65="0",BH65,0)</f>
        <v>0</v>
      </c>
      <c r="AG65" s="229" t="s">
        <v>154</v>
      </c>
      <c r="AH65" s="233">
        <f>IF(AL65=0,J65,0)</f>
        <v>0</v>
      </c>
      <c r="AI65" s="233">
        <f>IF(AL65=15,J65,0)</f>
        <v>0</v>
      </c>
      <c r="AJ65" s="233">
        <f>IF(AL65=21,J65,0)</f>
        <v>0</v>
      </c>
      <c r="AL65" s="233">
        <v>15</v>
      </c>
      <c r="AM65" s="233">
        <f>G65*0</f>
        <v>0</v>
      </c>
      <c r="AN65" s="233">
        <f>G65*(1-0)</f>
        <v>0</v>
      </c>
      <c r="AO65" s="234" t="s">
        <v>157</v>
      </c>
      <c r="AT65" s="233">
        <f>AU65+AV65</f>
        <v>0</v>
      </c>
      <c r="AU65" s="233">
        <f>F65*AM65</f>
        <v>0</v>
      </c>
      <c r="AV65" s="233">
        <f>F65*AN65</f>
        <v>0</v>
      </c>
      <c r="AW65" s="234" t="s">
        <v>231</v>
      </c>
      <c r="AX65" s="234" t="s">
        <v>163</v>
      </c>
      <c r="AY65" s="229" t="s">
        <v>164</v>
      </c>
      <c r="BA65" s="233">
        <f>AU65+AV65</f>
        <v>0</v>
      </c>
      <c r="BB65" s="233">
        <f>G65/(100-BC65)*100</f>
        <v>0</v>
      </c>
      <c r="BC65" s="233">
        <v>0</v>
      </c>
      <c r="BD65" s="233">
        <f>L65</f>
        <v>0</v>
      </c>
      <c r="BF65" s="233">
        <f>F65*AM65</f>
        <v>0</v>
      </c>
      <c r="BG65" s="233">
        <f>F65*AN65</f>
        <v>0</v>
      </c>
      <c r="BH65" s="233">
        <f>F65*G65</f>
        <v>0</v>
      </c>
      <c r="BI65" s="233"/>
      <c r="BJ65" s="233">
        <v>16</v>
      </c>
      <c r="BU65" s="233" t="e">
        <f>#REF!</f>
        <v>#REF!</v>
      </c>
      <c r="BV65" s="225" t="s">
        <v>246</v>
      </c>
    </row>
    <row r="66" spans="1:74" ht="54" customHeight="1" x14ac:dyDescent="0.3">
      <c r="A66" s="241"/>
      <c r="B66" s="242" t="s">
        <v>165</v>
      </c>
      <c r="C66" s="530" t="s">
        <v>1965</v>
      </c>
      <c r="D66" s="531"/>
      <c r="E66" s="531"/>
      <c r="F66" s="531"/>
      <c r="G66" s="531"/>
      <c r="H66" s="531"/>
      <c r="I66" s="531"/>
      <c r="J66" s="531"/>
      <c r="K66" s="531"/>
      <c r="L66" s="531"/>
      <c r="M66" s="532"/>
    </row>
    <row r="67" spans="1:74" ht="14.4" x14ac:dyDescent="0.3">
      <c r="A67" s="239" t="s">
        <v>250</v>
      </c>
      <c r="B67" s="223" t="s">
        <v>248</v>
      </c>
      <c r="C67" s="521" t="s">
        <v>249</v>
      </c>
      <c r="D67" s="519"/>
      <c r="E67" s="223" t="s">
        <v>196</v>
      </c>
      <c r="F67" s="233">
        <v>122.6</v>
      </c>
      <c r="G67" s="311">
        <v>0</v>
      </c>
      <c r="H67" s="233">
        <f>F67*AM67</f>
        <v>0</v>
      </c>
      <c r="I67" s="233">
        <f>F67*AN67</f>
        <v>0</v>
      </c>
      <c r="J67" s="233">
        <f>F67*G67</f>
        <v>0</v>
      </c>
      <c r="K67" s="233">
        <v>0</v>
      </c>
      <c r="L67" s="233">
        <f>F67*K67</f>
        <v>0</v>
      </c>
      <c r="M67" s="240" t="s">
        <v>472</v>
      </c>
      <c r="X67" s="233">
        <f>IF(AO67="5",BH67,0)</f>
        <v>0</v>
      </c>
      <c r="Z67" s="233">
        <f>IF(AO67="1",BF67,0)</f>
        <v>0</v>
      </c>
      <c r="AA67" s="233">
        <f>IF(AO67="1",BG67,0)</f>
        <v>0</v>
      </c>
      <c r="AB67" s="233">
        <f>IF(AO67="7",BF67,0)</f>
        <v>0</v>
      </c>
      <c r="AC67" s="233">
        <f>IF(AO67="7",BG67,0)</f>
        <v>0</v>
      </c>
      <c r="AD67" s="233">
        <f>IF(AO67="2",BF67,0)</f>
        <v>0</v>
      </c>
      <c r="AE67" s="233">
        <f>IF(AO67="2",BG67,0)</f>
        <v>0</v>
      </c>
      <c r="AF67" s="233">
        <f>IF(AO67="0",BH67,0)</f>
        <v>0</v>
      </c>
      <c r="AG67" s="229" t="s">
        <v>154</v>
      </c>
      <c r="AH67" s="233">
        <f>IF(AL67=0,J67,0)</f>
        <v>0</v>
      </c>
      <c r="AI67" s="233">
        <f>IF(AL67=15,J67,0)</f>
        <v>0</v>
      </c>
      <c r="AJ67" s="233">
        <f>IF(AL67=21,J67,0)</f>
        <v>0</v>
      </c>
      <c r="AL67" s="233">
        <v>15</v>
      </c>
      <c r="AM67" s="233">
        <f>G67*0</f>
        <v>0</v>
      </c>
      <c r="AN67" s="233">
        <f>G67*(1-0)</f>
        <v>0</v>
      </c>
      <c r="AO67" s="234" t="s">
        <v>157</v>
      </c>
      <c r="AT67" s="233">
        <f>AU67+AV67</f>
        <v>0</v>
      </c>
      <c r="AU67" s="233">
        <f>F67*AM67</f>
        <v>0</v>
      </c>
      <c r="AV67" s="233">
        <f>F67*AN67</f>
        <v>0</v>
      </c>
      <c r="AW67" s="234" t="s">
        <v>231</v>
      </c>
      <c r="AX67" s="234" t="s">
        <v>163</v>
      </c>
      <c r="AY67" s="229" t="s">
        <v>164</v>
      </c>
      <c r="BA67" s="233">
        <f>AU67+AV67</f>
        <v>0</v>
      </c>
      <c r="BB67" s="233">
        <f>G67/(100-BC67)*100</f>
        <v>0</v>
      </c>
      <c r="BC67" s="233">
        <v>0</v>
      </c>
      <c r="BD67" s="233">
        <f>L67</f>
        <v>0</v>
      </c>
      <c r="BF67" s="233">
        <f>F67*AM67</f>
        <v>0</v>
      </c>
      <c r="BG67" s="233">
        <f>F67*AN67</f>
        <v>0</v>
      </c>
      <c r="BH67" s="233">
        <f>F67*G67</f>
        <v>0</v>
      </c>
      <c r="BI67" s="233"/>
      <c r="BJ67" s="233">
        <v>16</v>
      </c>
      <c r="BU67" s="233" t="e">
        <f>#REF!</f>
        <v>#REF!</v>
      </c>
      <c r="BV67" s="225" t="s">
        <v>249</v>
      </c>
    </row>
    <row r="68" spans="1:74" ht="40.5" customHeight="1" x14ac:dyDescent="0.3">
      <c r="A68" s="241"/>
      <c r="B68" s="242" t="s">
        <v>165</v>
      </c>
      <c r="C68" s="530" t="s">
        <v>1966</v>
      </c>
      <c r="D68" s="531"/>
      <c r="E68" s="531"/>
      <c r="F68" s="531"/>
      <c r="G68" s="531"/>
      <c r="H68" s="531"/>
      <c r="I68" s="531"/>
      <c r="J68" s="531"/>
      <c r="K68" s="531"/>
      <c r="L68" s="531"/>
      <c r="M68" s="532"/>
    </row>
    <row r="69" spans="1:74" ht="14.4" x14ac:dyDescent="0.3">
      <c r="A69" s="239" t="s">
        <v>253</v>
      </c>
      <c r="B69" s="223" t="s">
        <v>251</v>
      </c>
      <c r="C69" s="521" t="s">
        <v>252</v>
      </c>
      <c r="D69" s="519"/>
      <c r="E69" s="223" t="s">
        <v>196</v>
      </c>
      <c r="F69" s="233">
        <v>122.6</v>
      </c>
      <c r="G69" s="311">
        <v>0</v>
      </c>
      <c r="H69" s="233">
        <f>F69*AM69</f>
        <v>0</v>
      </c>
      <c r="I69" s="233">
        <f>F69*AN69</f>
        <v>0</v>
      </c>
      <c r="J69" s="233">
        <f>F69*G69</f>
        <v>0</v>
      </c>
      <c r="K69" s="233">
        <v>0</v>
      </c>
      <c r="L69" s="233">
        <f>F69*K69</f>
        <v>0</v>
      </c>
      <c r="M69" s="240" t="s">
        <v>472</v>
      </c>
      <c r="X69" s="233">
        <f>IF(AO69="5",BH69,0)</f>
        <v>0</v>
      </c>
      <c r="Z69" s="233">
        <f>IF(AO69="1",BF69,0)</f>
        <v>0</v>
      </c>
      <c r="AA69" s="233">
        <f>IF(AO69="1",BG69,0)</f>
        <v>0</v>
      </c>
      <c r="AB69" s="233">
        <f>IF(AO69="7",BF69,0)</f>
        <v>0</v>
      </c>
      <c r="AC69" s="233">
        <f>IF(AO69="7",BG69,0)</f>
        <v>0</v>
      </c>
      <c r="AD69" s="233">
        <f>IF(AO69="2",BF69,0)</f>
        <v>0</v>
      </c>
      <c r="AE69" s="233">
        <f>IF(AO69="2",BG69,0)</f>
        <v>0</v>
      </c>
      <c r="AF69" s="233">
        <f>IF(AO69="0",BH69,0)</f>
        <v>0</v>
      </c>
      <c r="AG69" s="229" t="s">
        <v>154</v>
      </c>
      <c r="AH69" s="233">
        <f>IF(AL69=0,J69,0)</f>
        <v>0</v>
      </c>
      <c r="AI69" s="233">
        <f>IF(AL69=15,J69,0)</f>
        <v>0</v>
      </c>
      <c r="AJ69" s="233">
        <f>IF(AL69=21,J69,0)</f>
        <v>0</v>
      </c>
      <c r="AL69" s="233">
        <v>15</v>
      </c>
      <c r="AM69" s="233">
        <f>G69*0</f>
        <v>0</v>
      </c>
      <c r="AN69" s="233">
        <f>G69*(1-0)</f>
        <v>0</v>
      </c>
      <c r="AO69" s="234" t="s">
        <v>157</v>
      </c>
      <c r="AT69" s="233">
        <f>AU69+AV69</f>
        <v>0</v>
      </c>
      <c r="AU69" s="233">
        <f>F69*AM69</f>
        <v>0</v>
      </c>
      <c r="AV69" s="233">
        <f>F69*AN69</f>
        <v>0</v>
      </c>
      <c r="AW69" s="234" t="s">
        <v>231</v>
      </c>
      <c r="AX69" s="234" t="s">
        <v>163</v>
      </c>
      <c r="AY69" s="229" t="s">
        <v>164</v>
      </c>
      <c r="BA69" s="233">
        <f>AU69+AV69</f>
        <v>0</v>
      </c>
      <c r="BB69" s="233">
        <f>G69/(100-BC69)*100</f>
        <v>0</v>
      </c>
      <c r="BC69" s="233">
        <v>0</v>
      </c>
      <c r="BD69" s="233">
        <f>L69</f>
        <v>0</v>
      </c>
      <c r="BF69" s="233">
        <f>F69*AM69</f>
        <v>0</v>
      </c>
      <c r="BG69" s="233">
        <f>F69*AN69</f>
        <v>0</v>
      </c>
      <c r="BH69" s="233">
        <f>F69*G69</f>
        <v>0</v>
      </c>
      <c r="BI69" s="233"/>
      <c r="BJ69" s="233">
        <v>16</v>
      </c>
      <c r="BU69" s="233" t="e">
        <f>#REF!</f>
        <v>#REF!</v>
      </c>
      <c r="BV69" s="225" t="s">
        <v>252</v>
      </c>
    </row>
    <row r="70" spans="1:74" ht="40.5" customHeight="1" x14ac:dyDescent="0.3">
      <c r="A70" s="241"/>
      <c r="B70" s="242" t="s">
        <v>165</v>
      </c>
      <c r="C70" s="530" t="s">
        <v>1906</v>
      </c>
      <c r="D70" s="531"/>
      <c r="E70" s="531"/>
      <c r="F70" s="531"/>
      <c r="G70" s="531"/>
      <c r="H70" s="531"/>
      <c r="I70" s="531"/>
      <c r="J70" s="531"/>
      <c r="K70" s="531"/>
      <c r="L70" s="531"/>
      <c r="M70" s="532"/>
    </row>
    <row r="71" spans="1:74" ht="14.4" x14ac:dyDescent="0.3">
      <c r="A71" s="239" t="s">
        <v>256</v>
      </c>
      <c r="B71" s="223" t="s">
        <v>254</v>
      </c>
      <c r="C71" s="521" t="s">
        <v>255</v>
      </c>
      <c r="D71" s="519"/>
      <c r="E71" s="223" t="s">
        <v>196</v>
      </c>
      <c r="F71" s="233">
        <v>10.9</v>
      </c>
      <c r="G71" s="311">
        <v>0</v>
      </c>
      <c r="H71" s="233">
        <f>F71*AM71</f>
        <v>0</v>
      </c>
      <c r="I71" s="233">
        <f>F71*AN71</f>
        <v>0</v>
      </c>
      <c r="J71" s="233">
        <f>F71*G71</f>
        <v>0</v>
      </c>
      <c r="K71" s="233">
        <v>0</v>
      </c>
      <c r="L71" s="233">
        <f>F71*K71</f>
        <v>0</v>
      </c>
      <c r="M71" s="240" t="s">
        <v>472</v>
      </c>
      <c r="X71" s="233">
        <f>IF(AO71="5",BH71,0)</f>
        <v>0</v>
      </c>
      <c r="Z71" s="233">
        <f>IF(AO71="1",BF71,0)</f>
        <v>0</v>
      </c>
      <c r="AA71" s="233">
        <f>IF(AO71="1",BG71,0)</f>
        <v>0</v>
      </c>
      <c r="AB71" s="233">
        <f>IF(AO71="7",BF71,0)</f>
        <v>0</v>
      </c>
      <c r="AC71" s="233">
        <f>IF(AO71="7",BG71,0)</f>
        <v>0</v>
      </c>
      <c r="AD71" s="233">
        <f>IF(AO71="2",BF71,0)</f>
        <v>0</v>
      </c>
      <c r="AE71" s="233">
        <f>IF(AO71="2",BG71,0)</f>
        <v>0</v>
      </c>
      <c r="AF71" s="233">
        <f>IF(AO71="0",BH71,0)</f>
        <v>0</v>
      </c>
      <c r="AG71" s="229" t="s">
        <v>154</v>
      </c>
      <c r="AH71" s="233">
        <f>IF(AL71=0,J71,0)</f>
        <v>0</v>
      </c>
      <c r="AI71" s="233">
        <f>IF(AL71=15,J71,0)</f>
        <v>0</v>
      </c>
      <c r="AJ71" s="233">
        <f>IF(AL71=21,J71,0)</f>
        <v>0</v>
      </c>
      <c r="AL71" s="233">
        <v>15</v>
      </c>
      <c r="AM71" s="233">
        <f>G71*0</f>
        <v>0</v>
      </c>
      <c r="AN71" s="233">
        <f>G71*(1-0)</f>
        <v>0</v>
      </c>
      <c r="AO71" s="234" t="s">
        <v>157</v>
      </c>
      <c r="AT71" s="233">
        <f>AU71+AV71</f>
        <v>0</v>
      </c>
      <c r="AU71" s="233">
        <f>F71*AM71</f>
        <v>0</v>
      </c>
      <c r="AV71" s="233">
        <f>F71*AN71</f>
        <v>0</v>
      </c>
      <c r="AW71" s="234" t="s">
        <v>231</v>
      </c>
      <c r="AX71" s="234" t="s">
        <v>163</v>
      </c>
      <c r="AY71" s="229" t="s">
        <v>164</v>
      </c>
      <c r="BA71" s="233">
        <f>AU71+AV71</f>
        <v>0</v>
      </c>
      <c r="BB71" s="233">
        <f>G71/(100-BC71)*100</f>
        <v>0</v>
      </c>
      <c r="BC71" s="233">
        <v>0</v>
      </c>
      <c r="BD71" s="233">
        <f>L71</f>
        <v>0</v>
      </c>
      <c r="BF71" s="233">
        <f>F71*AM71</f>
        <v>0</v>
      </c>
      <c r="BG71" s="233">
        <f>F71*AN71</f>
        <v>0</v>
      </c>
      <c r="BH71" s="233">
        <f>F71*G71</f>
        <v>0</v>
      </c>
      <c r="BI71" s="233"/>
      <c r="BJ71" s="233">
        <v>16</v>
      </c>
      <c r="BU71" s="233" t="e">
        <f>#REF!</f>
        <v>#REF!</v>
      </c>
      <c r="BV71" s="225" t="s">
        <v>255</v>
      </c>
    </row>
    <row r="72" spans="1:74" ht="40.5" customHeight="1" x14ac:dyDescent="0.3">
      <c r="A72" s="241"/>
      <c r="B72" s="242" t="s">
        <v>165</v>
      </c>
      <c r="C72" s="530" t="s">
        <v>1967</v>
      </c>
      <c r="D72" s="531"/>
      <c r="E72" s="531"/>
      <c r="F72" s="531"/>
      <c r="G72" s="531"/>
      <c r="H72" s="531"/>
      <c r="I72" s="531"/>
      <c r="J72" s="531"/>
      <c r="K72" s="531"/>
      <c r="L72" s="531"/>
      <c r="M72" s="532"/>
    </row>
    <row r="73" spans="1:74" ht="14.4" x14ac:dyDescent="0.3">
      <c r="A73" s="239" t="s">
        <v>260</v>
      </c>
      <c r="B73" s="223" t="s">
        <v>257</v>
      </c>
      <c r="C73" s="521" t="s">
        <v>258</v>
      </c>
      <c r="D73" s="519"/>
      <c r="E73" s="223" t="s">
        <v>196</v>
      </c>
      <c r="F73" s="233">
        <v>10.9</v>
      </c>
      <c r="G73" s="311">
        <v>0</v>
      </c>
      <c r="H73" s="233">
        <f>F73*AM73</f>
        <v>0</v>
      </c>
      <c r="I73" s="233">
        <f>F73*AN73</f>
        <v>0</v>
      </c>
      <c r="J73" s="233">
        <f>F73*G73</f>
        <v>0</v>
      </c>
      <c r="K73" s="233">
        <v>0</v>
      </c>
      <c r="L73" s="233">
        <f>F73*K73</f>
        <v>0</v>
      </c>
      <c r="M73" s="240" t="s">
        <v>472</v>
      </c>
      <c r="X73" s="233">
        <f>IF(AO73="5",BH73,0)</f>
        <v>0</v>
      </c>
      <c r="Z73" s="233">
        <f>IF(AO73="1",BF73,0)</f>
        <v>0</v>
      </c>
      <c r="AA73" s="233">
        <f>IF(AO73="1",BG73,0)</f>
        <v>0</v>
      </c>
      <c r="AB73" s="233">
        <f>IF(AO73="7",BF73,0)</f>
        <v>0</v>
      </c>
      <c r="AC73" s="233">
        <f>IF(AO73="7",BG73,0)</f>
        <v>0</v>
      </c>
      <c r="AD73" s="233">
        <f>IF(AO73="2",BF73,0)</f>
        <v>0</v>
      </c>
      <c r="AE73" s="233">
        <f>IF(AO73="2",BG73,0)</f>
        <v>0</v>
      </c>
      <c r="AF73" s="233">
        <f>IF(AO73="0",BH73,0)</f>
        <v>0</v>
      </c>
      <c r="AG73" s="229" t="s">
        <v>154</v>
      </c>
      <c r="AH73" s="233">
        <f>IF(AL73=0,J73,0)</f>
        <v>0</v>
      </c>
      <c r="AI73" s="233">
        <f>IF(AL73=15,J73,0)</f>
        <v>0</v>
      </c>
      <c r="AJ73" s="233">
        <f>IF(AL73=21,J73,0)</f>
        <v>0</v>
      </c>
      <c r="AL73" s="233">
        <v>15</v>
      </c>
      <c r="AM73" s="233">
        <f>G73*0</f>
        <v>0</v>
      </c>
      <c r="AN73" s="233">
        <f>G73*(1-0)</f>
        <v>0</v>
      </c>
      <c r="AO73" s="234" t="s">
        <v>157</v>
      </c>
      <c r="AT73" s="233">
        <f>AU73+AV73</f>
        <v>0</v>
      </c>
      <c r="AU73" s="233">
        <f>F73*AM73</f>
        <v>0</v>
      </c>
      <c r="AV73" s="233">
        <f>F73*AN73</f>
        <v>0</v>
      </c>
      <c r="AW73" s="234" t="s">
        <v>231</v>
      </c>
      <c r="AX73" s="234" t="s">
        <v>163</v>
      </c>
      <c r="AY73" s="229" t="s">
        <v>164</v>
      </c>
      <c r="BA73" s="233">
        <f>AU73+AV73</f>
        <v>0</v>
      </c>
      <c r="BB73" s="233">
        <f>G73/(100-BC73)*100</f>
        <v>0</v>
      </c>
      <c r="BC73" s="233">
        <v>0</v>
      </c>
      <c r="BD73" s="233">
        <f>L73</f>
        <v>0</v>
      </c>
      <c r="BF73" s="233">
        <f>F73*AM73</f>
        <v>0</v>
      </c>
      <c r="BG73" s="233">
        <f>F73*AN73</f>
        <v>0</v>
      </c>
      <c r="BH73" s="233">
        <f>F73*G73</f>
        <v>0</v>
      </c>
      <c r="BI73" s="233"/>
      <c r="BJ73" s="233">
        <v>16</v>
      </c>
      <c r="BU73" s="233" t="e">
        <f>#REF!</f>
        <v>#REF!</v>
      </c>
      <c r="BV73" s="225" t="s">
        <v>258</v>
      </c>
    </row>
    <row r="74" spans="1:74" ht="40.5" customHeight="1" x14ac:dyDescent="0.3">
      <c r="A74" s="241"/>
      <c r="B74" s="242" t="s">
        <v>165</v>
      </c>
      <c r="C74" s="530" t="s">
        <v>1968</v>
      </c>
      <c r="D74" s="531"/>
      <c r="E74" s="531"/>
      <c r="F74" s="531"/>
      <c r="G74" s="531"/>
      <c r="H74" s="531"/>
      <c r="I74" s="531"/>
      <c r="J74" s="531"/>
      <c r="K74" s="531"/>
      <c r="L74" s="531"/>
      <c r="M74" s="532"/>
    </row>
    <row r="75" spans="1:74" ht="14.4" x14ac:dyDescent="0.3">
      <c r="A75" s="239" t="s">
        <v>154</v>
      </c>
      <c r="B75" s="224" t="s">
        <v>220</v>
      </c>
      <c r="C75" s="526" t="s">
        <v>259</v>
      </c>
      <c r="D75" s="527"/>
      <c r="E75" s="223" t="s">
        <v>114</v>
      </c>
      <c r="F75" s="223" t="s">
        <v>114</v>
      </c>
      <c r="G75" s="223" t="s">
        <v>114</v>
      </c>
      <c r="H75" s="235">
        <f>SUM(H76:H79)</f>
        <v>0</v>
      </c>
      <c r="I75" s="235">
        <f>SUM(I76:I79)</f>
        <v>0</v>
      </c>
      <c r="J75" s="235">
        <f>SUM(J76:J79)</f>
        <v>0</v>
      </c>
      <c r="K75" s="230" t="s">
        <v>154</v>
      </c>
      <c r="L75" s="235">
        <f>SUM(L76:L79)</f>
        <v>19.074000000000002</v>
      </c>
      <c r="M75" s="243" t="s">
        <v>154</v>
      </c>
      <c r="AG75" s="229" t="s">
        <v>154</v>
      </c>
      <c r="AQ75" s="222">
        <f>SUM(AH76:AH79)</f>
        <v>0</v>
      </c>
      <c r="AR75" s="222">
        <f>SUM(AI76:AI79)</f>
        <v>0</v>
      </c>
      <c r="AS75" s="222">
        <f>SUM(AJ76:AJ79)</f>
        <v>0</v>
      </c>
    </row>
    <row r="76" spans="1:74" ht="14.4" x14ac:dyDescent="0.3">
      <c r="A76" s="239" t="s">
        <v>264</v>
      </c>
      <c r="B76" s="223" t="s">
        <v>261</v>
      </c>
      <c r="C76" s="521" t="s">
        <v>262</v>
      </c>
      <c r="D76" s="519"/>
      <c r="E76" s="223" t="s">
        <v>196</v>
      </c>
      <c r="F76" s="233">
        <v>11.22</v>
      </c>
      <c r="G76" s="311">
        <v>0</v>
      </c>
      <c r="H76" s="233">
        <f>F76*AM76</f>
        <v>0</v>
      </c>
      <c r="I76" s="233">
        <f>F76*AN76</f>
        <v>0</v>
      </c>
      <c r="J76" s="233">
        <f>F76*G76</f>
        <v>0</v>
      </c>
      <c r="K76" s="233">
        <v>1.7</v>
      </c>
      <c r="L76" s="233">
        <f>F76*K76</f>
        <v>19.074000000000002</v>
      </c>
      <c r="M76" s="240" t="s">
        <v>472</v>
      </c>
      <c r="X76" s="233">
        <f>IF(AO76="5",BH76,0)</f>
        <v>0</v>
      </c>
      <c r="Z76" s="233">
        <f>IF(AO76="1",BF76,0)</f>
        <v>0</v>
      </c>
      <c r="AA76" s="233">
        <f>IF(AO76="1",BG76,0)</f>
        <v>0</v>
      </c>
      <c r="AB76" s="233">
        <f>IF(AO76="7",BF76,0)</f>
        <v>0</v>
      </c>
      <c r="AC76" s="233">
        <f>IF(AO76="7",BG76,0)</f>
        <v>0</v>
      </c>
      <c r="AD76" s="233">
        <f>IF(AO76="2",BF76,0)</f>
        <v>0</v>
      </c>
      <c r="AE76" s="233">
        <f>IF(AO76="2",BG76,0)</f>
        <v>0</v>
      </c>
      <c r="AF76" s="233">
        <f>IF(AO76="0",BH76,0)</f>
        <v>0</v>
      </c>
      <c r="AG76" s="229" t="s">
        <v>154</v>
      </c>
      <c r="AH76" s="233">
        <f>IF(AL76=0,J76,0)</f>
        <v>0</v>
      </c>
      <c r="AI76" s="233">
        <f>IF(AL76=15,J76,0)</f>
        <v>0</v>
      </c>
      <c r="AJ76" s="233">
        <f>IF(AL76=21,J76,0)</f>
        <v>0</v>
      </c>
      <c r="AL76" s="233">
        <v>15</v>
      </c>
      <c r="AM76" s="233">
        <f>G76*0.517503865</f>
        <v>0</v>
      </c>
      <c r="AN76" s="233">
        <f>G76*(1-0.517503865)</f>
        <v>0</v>
      </c>
      <c r="AO76" s="234" t="s">
        <v>157</v>
      </c>
      <c r="AT76" s="233">
        <f>AU76+AV76</f>
        <v>0</v>
      </c>
      <c r="AU76" s="233">
        <f>F76*AM76</f>
        <v>0</v>
      </c>
      <c r="AV76" s="233">
        <f>F76*AN76</f>
        <v>0</v>
      </c>
      <c r="AW76" s="234" t="s">
        <v>263</v>
      </c>
      <c r="AX76" s="234" t="s">
        <v>163</v>
      </c>
      <c r="AY76" s="229" t="s">
        <v>164</v>
      </c>
      <c r="BA76" s="233">
        <f>AU76+AV76</f>
        <v>0</v>
      </c>
      <c r="BB76" s="233">
        <f>G76/(100-BC76)*100</f>
        <v>0</v>
      </c>
      <c r="BC76" s="233">
        <v>0</v>
      </c>
      <c r="BD76" s="233">
        <f>L76</f>
        <v>19.074000000000002</v>
      </c>
      <c r="BF76" s="233">
        <f>F76*AM76</f>
        <v>0</v>
      </c>
      <c r="BG76" s="233">
        <f>F76*AN76</f>
        <v>0</v>
      </c>
      <c r="BH76" s="233">
        <f>F76*G76</f>
        <v>0</v>
      </c>
      <c r="BI76" s="233"/>
      <c r="BJ76" s="233">
        <v>17</v>
      </c>
      <c r="BU76" s="233" t="e">
        <f>#REF!</f>
        <v>#REF!</v>
      </c>
      <c r="BV76" s="225" t="s">
        <v>262</v>
      </c>
    </row>
    <row r="77" spans="1:74" ht="67.5" customHeight="1" x14ac:dyDescent="0.3">
      <c r="A77" s="241"/>
      <c r="B77" s="242" t="s">
        <v>165</v>
      </c>
      <c r="C77" s="530" t="s">
        <v>1969</v>
      </c>
      <c r="D77" s="531"/>
      <c r="E77" s="531"/>
      <c r="F77" s="531"/>
      <c r="G77" s="531"/>
      <c r="H77" s="531"/>
      <c r="I77" s="531"/>
      <c r="J77" s="531"/>
      <c r="K77" s="531"/>
      <c r="L77" s="531"/>
      <c r="M77" s="532"/>
    </row>
    <row r="78" spans="1:74" ht="14.4" x14ac:dyDescent="0.3">
      <c r="A78" s="239" t="s">
        <v>267</v>
      </c>
      <c r="B78" s="223" t="s">
        <v>265</v>
      </c>
      <c r="C78" s="521" t="s">
        <v>266</v>
      </c>
      <c r="D78" s="519"/>
      <c r="E78" s="223" t="s">
        <v>196</v>
      </c>
      <c r="F78" s="233">
        <v>11.22</v>
      </c>
      <c r="G78" s="311">
        <v>0</v>
      </c>
      <c r="H78" s="233">
        <f>F78*AM78</f>
        <v>0</v>
      </c>
      <c r="I78" s="233">
        <f>F78*AN78</f>
        <v>0</v>
      </c>
      <c r="J78" s="233">
        <f>F78*G78</f>
        <v>0</v>
      </c>
      <c r="K78" s="233">
        <v>0</v>
      </c>
      <c r="L78" s="233">
        <f>F78*K78</f>
        <v>0</v>
      </c>
      <c r="M78" s="240" t="s">
        <v>472</v>
      </c>
      <c r="X78" s="233">
        <f>IF(AO78="5",BH78,0)</f>
        <v>0</v>
      </c>
      <c r="Z78" s="233">
        <f>IF(AO78="1",BF78,0)</f>
        <v>0</v>
      </c>
      <c r="AA78" s="233">
        <f>IF(AO78="1",BG78,0)</f>
        <v>0</v>
      </c>
      <c r="AB78" s="233">
        <f>IF(AO78="7",BF78,0)</f>
        <v>0</v>
      </c>
      <c r="AC78" s="233">
        <f>IF(AO78="7",BG78,0)</f>
        <v>0</v>
      </c>
      <c r="AD78" s="233">
        <f>IF(AO78="2",BF78,0)</f>
        <v>0</v>
      </c>
      <c r="AE78" s="233">
        <f>IF(AO78="2",BG78,0)</f>
        <v>0</v>
      </c>
      <c r="AF78" s="233">
        <f>IF(AO78="0",BH78,0)</f>
        <v>0</v>
      </c>
      <c r="AG78" s="229" t="s">
        <v>154</v>
      </c>
      <c r="AH78" s="233">
        <f>IF(AL78=0,J78,0)</f>
        <v>0</v>
      </c>
      <c r="AI78" s="233">
        <f>IF(AL78=15,J78,0)</f>
        <v>0</v>
      </c>
      <c r="AJ78" s="233">
        <f>IF(AL78=21,J78,0)</f>
        <v>0</v>
      </c>
      <c r="AL78" s="233">
        <v>15</v>
      </c>
      <c r="AM78" s="233">
        <f>G78*0</f>
        <v>0</v>
      </c>
      <c r="AN78" s="233">
        <f>G78*(1-0)</f>
        <v>0</v>
      </c>
      <c r="AO78" s="234" t="s">
        <v>157</v>
      </c>
      <c r="AT78" s="233">
        <f>AU78+AV78</f>
        <v>0</v>
      </c>
      <c r="AU78" s="233">
        <f>F78*AM78</f>
        <v>0</v>
      </c>
      <c r="AV78" s="233">
        <f>F78*AN78</f>
        <v>0</v>
      </c>
      <c r="AW78" s="234" t="s">
        <v>263</v>
      </c>
      <c r="AX78" s="234" t="s">
        <v>163</v>
      </c>
      <c r="AY78" s="229" t="s">
        <v>164</v>
      </c>
      <c r="BA78" s="233">
        <f>AU78+AV78</f>
        <v>0</v>
      </c>
      <c r="BB78" s="233">
        <f>G78/(100-BC78)*100</f>
        <v>0</v>
      </c>
      <c r="BC78" s="233">
        <v>0</v>
      </c>
      <c r="BD78" s="233">
        <f>L78</f>
        <v>0</v>
      </c>
      <c r="BF78" s="233">
        <f>F78*AM78</f>
        <v>0</v>
      </c>
      <c r="BG78" s="233">
        <f>F78*AN78</f>
        <v>0</v>
      </c>
      <c r="BH78" s="233">
        <f>F78*G78</f>
        <v>0</v>
      </c>
      <c r="BI78" s="233"/>
      <c r="BJ78" s="233">
        <v>17</v>
      </c>
      <c r="BU78" s="233" t="e">
        <f>#REF!</f>
        <v>#REF!</v>
      </c>
      <c r="BV78" s="225" t="s">
        <v>266</v>
      </c>
    </row>
    <row r="79" spans="1:74" ht="14.4" x14ac:dyDescent="0.3">
      <c r="A79" s="239" t="s">
        <v>271</v>
      </c>
      <c r="B79" s="223" t="s">
        <v>268</v>
      </c>
      <c r="C79" s="521" t="s">
        <v>269</v>
      </c>
      <c r="D79" s="519"/>
      <c r="E79" s="223" t="s">
        <v>196</v>
      </c>
      <c r="F79" s="233">
        <v>61.3</v>
      </c>
      <c r="G79" s="311">
        <v>0</v>
      </c>
      <c r="H79" s="233">
        <f>F79*AM79</f>
        <v>0</v>
      </c>
      <c r="I79" s="233">
        <f>F79*AN79</f>
        <v>0</v>
      </c>
      <c r="J79" s="233">
        <f>F79*G79</f>
        <v>0</v>
      </c>
      <c r="K79" s="233">
        <v>0</v>
      </c>
      <c r="L79" s="233">
        <f>F79*K79</f>
        <v>0</v>
      </c>
      <c r="M79" s="240" t="s">
        <v>472</v>
      </c>
      <c r="X79" s="233">
        <f>IF(AO79="5",BH79,0)</f>
        <v>0</v>
      </c>
      <c r="Z79" s="233">
        <f>IF(AO79="1",BF79,0)</f>
        <v>0</v>
      </c>
      <c r="AA79" s="233">
        <f>IF(AO79="1",BG79,0)</f>
        <v>0</v>
      </c>
      <c r="AB79" s="233">
        <f>IF(AO79="7",BF79,0)</f>
        <v>0</v>
      </c>
      <c r="AC79" s="233">
        <f>IF(AO79="7",BG79,0)</f>
        <v>0</v>
      </c>
      <c r="AD79" s="233">
        <f>IF(AO79="2",BF79,0)</f>
        <v>0</v>
      </c>
      <c r="AE79" s="233">
        <f>IF(AO79="2",BG79,0)</f>
        <v>0</v>
      </c>
      <c r="AF79" s="233">
        <f>IF(AO79="0",BH79,0)</f>
        <v>0</v>
      </c>
      <c r="AG79" s="229" t="s">
        <v>154</v>
      </c>
      <c r="AH79" s="233">
        <f>IF(AL79=0,J79,0)</f>
        <v>0</v>
      </c>
      <c r="AI79" s="233">
        <f>IF(AL79=15,J79,0)</f>
        <v>0</v>
      </c>
      <c r="AJ79" s="233">
        <f>IF(AL79=21,J79,0)</f>
        <v>0</v>
      </c>
      <c r="AL79" s="233">
        <v>15</v>
      </c>
      <c r="AM79" s="233">
        <f>G79*0</f>
        <v>0</v>
      </c>
      <c r="AN79" s="233">
        <f>G79*(1-0)</f>
        <v>0</v>
      </c>
      <c r="AO79" s="234" t="s">
        <v>157</v>
      </c>
      <c r="AT79" s="233">
        <f>AU79+AV79</f>
        <v>0</v>
      </c>
      <c r="AU79" s="233">
        <f>F79*AM79</f>
        <v>0</v>
      </c>
      <c r="AV79" s="233">
        <f>F79*AN79</f>
        <v>0</v>
      </c>
      <c r="AW79" s="234" t="s">
        <v>263</v>
      </c>
      <c r="AX79" s="234" t="s">
        <v>163</v>
      </c>
      <c r="AY79" s="229" t="s">
        <v>164</v>
      </c>
      <c r="BA79" s="233">
        <f>AU79+AV79</f>
        <v>0</v>
      </c>
      <c r="BB79" s="233">
        <f>G79/(100-BC79)*100</f>
        <v>0</v>
      </c>
      <c r="BC79" s="233">
        <v>0</v>
      </c>
      <c r="BD79" s="233">
        <f>L79</f>
        <v>0</v>
      </c>
      <c r="BF79" s="233">
        <f>F79*AM79</f>
        <v>0</v>
      </c>
      <c r="BG79" s="233">
        <f>F79*AN79</f>
        <v>0</v>
      </c>
      <c r="BH79" s="233">
        <f>F79*G79</f>
        <v>0</v>
      </c>
      <c r="BI79" s="233"/>
      <c r="BJ79" s="233">
        <v>17</v>
      </c>
      <c r="BU79" s="233" t="e">
        <f>#REF!</f>
        <v>#REF!</v>
      </c>
      <c r="BV79" s="225" t="s">
        <v>269</v>
      </c>
    </row>
    <row r="80" spans="1:74" ht="81" customHeight="1" x14ac:dyDescent="0.3">
      <c r="A80" s="241"/>
      <c r="B80" s="242" t="s">
        <v>165</v>
      </c>
      <c r="C80" s="530" t="s">
        <v>1970</v>
      </c>
      <c r="D80" s="531"/>
      <c r="E80" s="531"/>
      <c r="F80" s="531"/>
      <c r="G80" s="531"/>
      <c r="H80" s="531"/>
      <c r="I80" s="531"/>
      <c r="J80" s="531"/>
      <c r="K80" s="531"/>
      <c r="L80" s="531"/>
      <c r="M80" s="532"/>
    </row>
    <row r="81" spans="1:74" ht="14.4" x14ac:dyDescent="0.3">
      <c r="A81" s="239" t="s">
        <v>154</v>
      </c>
      <c r="B81" s="224" t="s">
        <v>224</v>
      </c>
      <c r="C81" s="526" t="s">
        <v>270</v>
      </c>
      <c r="D81" s="527"/>
      <c r="E81" s="223" t="s">
        <v>114</v>
      </c>
      <c r="F81" s="223" t="s">
        <v>114</v>
      </c>
      <c r="G81" s="223" t="s">
        <v>114</v>
      </c>
      <c r="H81" s="235">
        <f>SUM(H82:H82)</f>
        <v>0</v>
      </c>
      <c r="I81" s="235">
        <f>SUM(I82:I82)</f>
        <v>0</v>
      </c>
      <c r="J81" s="235">
        <f>SUM(J82:J82)</f>
        <v>0</v>
      </c>
      <c r="K81" s="230" t="s">
        <v>154</v>
      </c>
      <c r="L81" s="235">
        <f>SUM(L82:L82)</f>
        <v>8.1690000000000007E-4</v>
      </c>
      <c r="M81" s="243" t="s">
        <v>154</v>
      </c>
      <c r="AG81" s="229" t="s">
        <v>154</v>
      </c>
      <c r="AQ81" s="222">
        <f>SUM(AH82:AH82)</f>
        <v>0</v>
      </c>
      <c r="AR81" s="222">
        <f>SUM(AI82:AI82)</f>
        <v>0</v>
      </c>
      <c r="AS81" s="222">
        <f>SUM(AJ82:AJ82)</f>
        <v>0</v>
      </c>
    </row>
    <row r="82" spans="1:74" ht="14.4" x14ac:dyDescent="0.3">
      <c r="A82" s="239" t="s">
        <v>276</v>
      </c>
      <c r="B82" s="223" t="s">
        <v>980</v>
      </c>
      <c r="C82" s="521" t="s">
        <v>273</v>
      </c>
      <c r="D82" s="519"/>
      <c r="E82" s="223" t="s">
        <v>180</v>
      </c>
      <c r="F82" s="233">
        <v>27.23</v>
      </c>
      <c r="G82" s="311">
        <v>0</v>
      </c>
      <c r="H82" s="233">
        <f>F82*AM82</f>
        <v>0</v>
      </c>
      <c r="I82" s="233">
        <f>F82*AN82</f>
        <v>0</v>
      </c>
      <c r="J82" s="233">
        <f>F82*G82</f>
        <v>0</v>
      </c>
      <c r="K82" s="233">
        <v>3.0000000000000001E-5</v>
      </c>
      <c r="L82" s="233">
        <f>F82*K82</f>
        <v>8.1690000000000007E-4</v>
      </c>
      <c r="M82" s="240" t="s">
        <v>472</v>
      </c>
      <c r="X82" s="233">
        <f>IF(AO82="5",BH82,0)</f>
        <v>0</v>
      </c>
      <c r="Z82" s="233">
        <f>IF(AO82="1",BF82,0)</f>
        <v>0</v>
      </c>
      <c r="AA82" s="233">
        <f>IF(AO82="1",BG82,0)</f>
        <v>0</v>
      </c>
      <c r="AB82" s="233">
        <f>IF(AO82="7",BF82,0)</f>
        <v>0</v>
      </c>
      <c r="AC82" s="233">
        <f>IF(AO82="7",BG82,0)</f>
        <v>0</v>
      </c>
      <c r="AD82" s="233">
        <f>IF(AO82="2",BF82,0)</f>
        <v>0</v>
      </c>
      <c r="AE82" s="233">
        <f>IF(AO82="2",BG82,0)</f>
        <v>0</v>
      </c>
      <c r="AF82" s="233">
        <f>IF(AO82="0",BH82,0)</f>
        <v>0</v>
      </c>
      <c r="AG82" s="229" t="s">
        <v>154</v>
      </c>
      <c r="AH82" s="233">
        <f>IF(AL82=0,J82,0)</f>
        <v>0</v>
      </c>
      <c r="AI82" s="233">
        <f>IF(AL82=15,J82,0)</f>
        <v>0</v>
      </c>
      <c r="AJ82" s="233">
        <f>IF(AL82=21,J82,0)</f>
        <v>0</v>
      </c>
      <c r="AL82" s="233">
        <v>15</v>
      </c>
      <c r="AM82" s="233">
        <f>G82*0.041716147</f>
        <v>0</v>
      </c>
      <c r="AN82" s="233">
        <f>G82*(1-0.041716147)</f>
        <v>0</v>
      </c>
      <c r="AO82" s="234" t="s">
        <v>157</v>
      </c>
      <c r="AT82" s="233">
        <f>AU82+AV82</f>
        <v>0</v>
      </c>
      <c r="AU82" s="233">
        <f>F82*AM82</f>
        <v>0</v>
      </c>
      <c r="AV82" s="233">
        <f>F82*AN82</f>
        <v>0</v>
      </c>
      <c r="AW82" s="234" t="s">
        <v>274</v>
      </c>
      <c r="AX82" s="234" t="s">
        <v>163</v>
      </c>
      <c r="AY82" s="229" t="s">
        <v>164</v>
      </c>
      <c r="BA82" s="233">
        <f>AU82+AV82</f>
        <v>0</v>
      </c>
      <c r="BB82" s="233">
        <f>G82/(100-BC82)*100</f>
        <v>0</v>
      </c>
      <c r="BC82" s="233">
        <v>0</v>
      </c>
      <c r="BD82" s="233">
        <f>L82</f>
        <v>8.1690000000000007E-4</v>
      </c>
      <c r="BF82" s="233">
        <f>F82*AM82</f>
        <v>0</v>
      </c>
      <c r="BG82" s="233">
        <f>F82*AN82</f>
        <v>0</v>
      </c>
      <c r="BH82" s="233">
        <f>F82*G82</f>
        <v>0</v>
      </c>
      <c r="BI82" s="233"/>
      <c r="BJ82" s="233">
        <v>18</v>
      </c>
      <c r="BU82" s="233" t="e">
        <f>#REF!</f>
        <v>#REF!</v>
      </c>
      <c r="BV82" s="225" t="s">
        <v>273</v>
      </c>
    </row>
    <row r="83" spans="1:74" ht="40.5" customHeight="1" x14ac:dyDescent="0.3">
      <c r="A83" s="244"/>
      <c r="B83" s="245" t="s">
        <v>165</v>
      </c>
      <c r="C83" s="540" t="s">
        <v>1971</v>
      </c>
      <c r="D83" s="541"/>
      <c r="E83" s="541"/>
      <c r="F83" s="541"/>
      <c r="G83" s="541"/>
      <c r="H83" s="541"/>
      <c r="I83" s="541"/>
      <c r="J83" s="541"/>
      <c r="K83" s="541"/>
      <c r="L83" s="541"/>
      <c r="M83" s="542"/>
    </row>
    <row r="84" spans="1:74" ht="14.4" x14ac:dyDescent="0.3">
      <c r="A84" s="237" t="s">
        <v>154</v>
      </c>
      <c r="B84" s="260" t="s">
        <v>228</v>
      </c>
      <c r="C84" s="545" t="s">
        <v>275</v>
      </c>
      <c r="D84" s="546"/>
      <c r="E84" s="238" t="s">
        <v>114</v>
      </c>
      <c r="F84" s="238" t="s">
        <v>114</v>
      </c>
      <c r="G84" s="238" t="s">
        <v>114</v>
      </c>
      <c r="H84" s="261">
        <f>SUM(H85:H87)</f>
        <v>0</v>
      </c>
      <c r="I84" s="261">
        <f>SUM(I85:I87)</f>
        <v>0</v>
      </c>
      <c r="J84" s="261">
        <f>SUM(J85:J87)</f>
        <v>0</v>
      </c>
      <c r="K84" s="262" t="s">
        <v>154</v>
      </c>
      <c r="L84" s="261">
        <f>SUM(L85:L87)</f>
        <v>0</v>
      </c>
      <c r="M84" s="263" t="s">
        <v>154</v>
      </c>
      <c r="AG84" s="229" t="s">
        <v>154</v>
      </c>
      <c r="AQ84" s="222">
        <f>SUM(AH85:AH87)</f>
        <v>0</v>
      </c>
      <c r="AR84" s="222">
        <f>SUM(AI85:AI87)</f>
        <v>0</v>
      </c>
      <c r="AS84" s="222">
        <f>SUM(AJ85:AJ87)</f>
        <v>0</v>
      </c>
    </row>
    <row r="85" spans="1:74" ht="14.4" x14ac:dyDescent="0.3">
      <c r="A85" s="239" t="s">
        <v>281</v>
      </c>
      <c r="B85" s="223" t="s">
        <v>277</v>
      </c>
      <c r="C85" s="521" t="s">
        <v>278</v>
      </c>
      <c r="D85" s="519"/>
      <c r="E85" s="223" t="s">
        <v>196</v>
      </c>
      <c r="F85" s="233">
        <v>8.25</v>
      </c>
      <c r="G85" s="311">
        <v>0</v>
      </c>
      <c r="H85" s="233">
        <f>F85*AM85</f>
        <v>0</v>
      </c>
      <c r="I85" s="233">
        <f>F85*AN85</f>
        <v>0</v>
      </c>
      <c r="J85" s="233">
        <f>F85*G85</f>
        <v>0</v>
      </c>
      <c r="K85" s="233">
        <v>0</v>
      </c>
      <c r="L85" s="233">
        <f>F85*K85</f>
        <v>0</v>
      </c>
      <c r="M85" s="240" t="s">
        <v>472</v>
      </c>
      <c r="X85" s="233">
        <f>IF(AO85="5",BH85,0)</f>
        <v>0</v>
      </c>
      <c r="Z85" s="233">
        <f>IF(AO85="1",BF85,0)</f>
        <v>0</v>
      </c>
      <c r="AA85" s="233">
        <f>IF(AO85="1",BG85,0)</f>
        <v>0</v>
      </c>
      <c r="AB85" s="233">
        <f>IF(AO85="7",BF85,0)</f>
        <v>0</v>
      </c>
      <c r="AC85" s="233">
        <f>IF(AO85="7",BG85,0)</f>
        <v>0</v>
      </c>
      <c r="AD85" s="233">
        <f>IF(AO85="2",BF85,0)</f>
        <v>0</v>
      </c>
      <c r="AE85" s="233">
        <f>IF(AO85="2",BG85,0)</f>
        <v>0</v>
      </c>
      <c r="AF85" s="233">
        <f>IF(AO85="0",BH85,0)</f>
        <v>0</v>
      </c>
      <c r="AG85" s="229" t="s">
        <v>154</v>
      </c>
      <c r="AH85" s="233">
        <f>IF(AL85=0,J85,0)</f>
        <v>0</v>
      </c>
      <c r="AI85" s="233">
        <f>IF(AL85=15,J85,0)</f>
        <v>0</v>
      </c>
      <c r="AJ85" s="233">
        <f>IF(AL85=21,J85,0)</f>
        <v>0</v>
      </c>
      <c r="AL85" s="233">
        <v>15</v>
      </c>
      <c r="AM85" s="233">
        <f>G85*0</f>
        <v>0</v>
      </c>
      <c r="AN85" s="233">
        <f>G85*(1-0)</f>
        <v>0</v>
      </c>
      <c r="AO85" s="234" t="s">
        <v>157</v>
      </c>
      <c r="AT85" s="233">
        <f>AU85+AV85</f>
        <v>0</v>
      </c>
      <c r="AU85" s="233">
        <f>F85*AM85</f>
        <v>0</v>
      </c>
      <c r="AV85" s="233">
        <f>F85*AN85</f>
        <v>0</v>
      </c>
      <c r="AW85" s="234" t="s">
        <v>279</v>
      </c>
      <c r="AX85" s="234" t="s">
        <v>163</v>
      </c>
      <c r="AY85" s="229" t="s">
        <v>164</v>
      </c>
      <c r="BA85" s="233">
        <f>AU85+AV85</f>
        <v>0</v>
      </c>
      <c r="BB85" s="233">
        <f>G85/(100-BC85)*100</f>
        <v>0</v>
      </c>
      <c r="BC85" s="233">
        <v>0</v>
      </c>
      <c r="BD85" s="233">
        <f>L85</f>
        <v>0</v>
      </c>
      <c r="BF85" s="233">
        <f>F85*AM85</f>
        <v>0</v>
      </c>
      <c r="BG85" s="233">
        <f>F85*AN85</f>
        <v>0</v>
      </c>
      <c r="BH85" s="233">
        <f>F85*G85</f>
        <v>0</v>
      </c>
      <c r="BI85" s="233"/>
      <c r="BJ85" s="233">
        <v>19</v>
      </c>
      <c r="BU85" s="233" t="e">
        <f>#REF!</f>
        <v>#REF!</v>
      </c>
      <c r="BV85" s="225" t="s">
        <v>278</v>
      </c>
    </row>
    <row r="86" spans="1:74" ht="27" customHeight="1" x14ac:dyDescent="0.3">
      <c r="A86" s="241"/>
      <c r="B86" s="242" t="s">
        <v>165</v>
      </c>
      <c r="C86" s="530" t="s">
        <v>1972</v>
      </c>
      <c r="D86" s="531"/>
      <c r="E86" s="531"/>
      <c r="F86" s="531"/>
      <c r="G86" s="531"/>
      <c r="H86" s="531"/>
      <c r="I86" s="531"/>
      <c r="J86" s="531"/>
      <c r="K86" s="531"/>
      <c r="L86" s="531"/>
      <c r="M86" s="532"/>
    </row>
    <row r="87" spans="1:74" ht="14.4" x14ac:dyDescent="0.3">
      <c r="A87" s="239" t="s">
        <v>285</v>
      </c>
      <c r="B87" s="223" t="s">
        <v>282</v>
      </c>
      <c r="C87" s="521" t="s">
        <v>283</v>
      </c>
      <c r="D87" s="519"/>
      <c r="E87" s="223" t="s">
        <v>196</v>
      </c>
      <c r="F87" s="233">
        <v>12.48</v>
      </c>
      <c r="G87" s="311">
        <v>0</v>
      </c>
      <c r="H87" s="233">
        <f>F87*AM87</f>
        <v>0</v>
      </c>
      <c r="I87" s="233">
        <f>F87*AN87</f>
        <v>0</v>
      </c>
      <c r="J87" s="233">
        <f>F87*G87</f>
        <v>0</v>
      </c>
      <c r="K87" s="233">
        <v>0</v>
      </c>
      <c r="L87" s="233">
        <f>F87*K87</f>
        <v>0</v>
      </c>
      <c r="M87" s="240" t="s">
        <v>472</v>
      </c>
      <c r="X87" s="233">
        <f>IF(AO87="5",BH87,0)</f>
        <v>0</v>
      </c>
      <c r="Z87" s="233">
        <f>IF(AO87="1",BF87,0)</f>
        <v>0</v>
      </c>
      <c r="AA87" s="233">
        <f>IF(AO87="1",BG87,0)</f>
        <v>0</v>
      </c>
      <c r="AB87" s="233">
        <f>IF(AO87="7",BF87,0)</f>
        <v>0</v>
      </c>
      <c r="AC87" s="233">
        <f>IF(AO87="7",BG87,0)</f>
        <v>0</v>
      </c>
      <c r="AD87" s="233">
        <f>IF(AO87="2",BF87,0)</f>
        <v>0</v>
      </c>
      <c r="AE87" s="233">
        <f>IF(AO87="2",BG87,0)</f>
        <v>0</v>
      </c>
      <c r="AF87" s="233">
        <f>IF(AO87="0",BH87,0)</f>
        <v>0</v>
      </c>
      <c r="AG87" s="229" t="s">
        <v>154</v>
      </c>
      <c r="AH87" s="233">
        <f>IF(AL87=0,J87,0)</f>
        <v>0</v>
      </c>
      <c r="AI87" s="233">
        <f>IF(AL87=15,J87,0)</f>
        <v>0</v>
      </c>
      <c r="AJ87" s="233">
        <f>IF(AL87=21,J87,0)</f>
        <v>0</v>
      </c>
      <c r="AL87" s="233">
        <v>15</v>
      </c>
      <c r="AM87" s="233">
        <f>G87*0</f>
        <v>0</v>
      </c>
      <c r="AN87" s="233">
        <f>G87*(1-0)</f>
        <v>0</v>
      </c>
      <c r="AO87" s="234" t="s">
        <v>157</v>
      </c>
      <c r="AT87" s="233">
        <f>AU87+AV87</f>
        <v>0</v>
      </c>
      <c r="AU87" s="233">
        <f>F87*AM87</f>
        <v>0</v>
      </c>
      <c r="AV87" s="233">
        <f>F87*AN87</f>
        <v>0</v>
      </c>
      <c r="AW87" s="234" t="s">
        <v>279</v>
      </c>
      <c r="AX87" s="234" t="s">
        <v>163</v>
      </c>
      <c r="AY87" s="229" t="s">
        <v>164</v>
      </c>
      <c r="BA87" s="233">
        <f>AU87+AV87</f>
        <v>0</v>
      </c>
      <c r="BB87" s="233">
        <f>G87/(100-BC87)*100</f>
        <v>0</v>
      </c>
      <c r="BC87" s="233">
        <v>0</v>
      </c>
      <c r="BD87" s="233">
        <f>L87</f>
        <v>0</v>
      </c>
      <c r="BF87" s="233">
        <f>F87*AM87</f>
        <v>0</v>
      </c>
      <c r="BG87" s="233">
        <f>F87*AN87</f>
        <v>0</v>
      </c>
      <c r="BH87" s="233">
        <f>F87*G87</f>
        <v>0</v>
      </c>
      <c r="BI87" s="233"/>
      <c r="BJ87" s="233">
        <v>19</v>
      </c>
      <c r="BU87" s="233" t="e">
        <f>#REF!</f>
        <v>#REF!</v>
      </c>
      <c r="BV87" s="225" t="s">
        <v>283</v>
      </c>
    </row>
    <row r="88" spans="1:74" ht="27" customHeight="1" x14ac:dyDescent="0.3">
      <c r="A88" s="241"/>
      <c r="B88" s="242" t="s">
        <v>165</v>
      </c>
      <c r="C88" s="530" t="s">
        <v>1910</v>
      </c>
      <c r="D88" s="531"/>
      <c r="E88" s="531"/>
      <c r="F88" s="531"/>
      <c r="G88" s="531"/>
      <c r="H88" s="531"/>
      <c r="I88" s="531"/>
      <c r="J88" s="531"/>
      <c r="K88" s="531"/>
      <c r="L88" s="531"/>
      <c r="M88" s="532"/>
    </row>
    <row r="89" spans="1:74" ht="14.4" x14ac:dyDescent="0.3">
      <c r="A89" s="239" t="s">
        <v>154</v>
      </c>
      <c r="B89" s="224" t="s">
        <v>235</v>
      </c>
      <c r="C89" s="526" t="s">
        <v>284</v>
      </c>
      <c r="D89" s="527"/>
      <c r="E89" s="223" t="s">
        <v>114</v>
      </c>
      <c r="F89" s="223" t="s">
        <v>114</v>
      </c>
      <c r="G89" s="223" t="s">
        <v>114</v>
      </c>
      <c r="H89" s="235">
        <f>SUM(H90:H94)</f>
        <v>0</v>
      </c>
      <c r="I89" s="235">
        <f>SUM(I90:I94)</f>
        <v>0</v>
      </c>
      <c r="J89" s="235">
        <f>SUM(J90:J94)</f>
        <v>0</v>
      </c>
      <c r="K89" s="230" t="s">
        <v>154</v>
      </c>
      <c r="L89" s="235">
        <f>SUM(L90:L94)</f>
        <v>4.3625000000000007</v>
      </c>
      <c r="M89" s="243" t="s">
        <v>154</v>
      </c>
      <c r="AG89" s="229" t="s">
        <v>154</v>
      </c>
      <c r="AQ89" s="222">
        <f>SUM(AH90:AH94)</f>
        <v>0</v>
      </c>
      <c r="AR89" s="222">
        <f>SUM(AI90:AI94)</f>
        <v>0</v>
      </c>
      <c r="AS89" s="222">
        <f>SUM(AJ90:AJ94)</f>
        <v>0</v>
      </c>
    </row>
    <row r="90" spans="1:74" ht="14.4" x14ac:dyDescent="0.3">
      <c r="A90" s="239" t="s">
        <v>290</v>
      </c>
      <c r="B90" s="223" t="s">
        <v>507</v>
      </c>
      <c r="C90" s="521" t="s">
        <v>287</v>
      </c>
      <c r="D90" s="519"/>
      <c r="E90" s="223" t="s">
        <v>180</v>
      </c>
      <c r="F90" s="233">
        <v>20.79</v>
      </c>
      <c r="G90" s="311">
        <v>0</v>
      </c>
      <c r="H90" s="233">
        <f>F90*AM90</f>
        <v>0</v>
      </c>
      <c r="I90" s="233">
        <f>F90*AN90</f>
        <v>0</v>
      </c>
      <c r="J90" s="233">
        <f>F90*G90</f>
        <v>0</v>
      </c>
      <c r="K90" s="233">
        <v>0</v>
      </c>
      <c r="L90" s="233">
        <f>F90*K90</f>
        <v>0</v>
      </c>
      <c r="M90" s="240" t="s">
        <v>472</v>
      </c>
      <c r="X90" s="233">
        <f>IF(AO90="5",BH90,0)</f>
        <v>0</v>
      </c>
      <c r="Z90" s="233">
        <f>IF(AO90="1",BF90,0)</f>
        <v>0</v>
      </c>
      <c r="AA90" s="233">
        <f>IF(AO90="1",BG90,0)</f>
        <v>0</v>
      </c>
      <c r="AB90" s="233">
        <f>IF(AO90="7",BF90,0)</f>
        <v>0</v>
      </c>
      <c r="AC90" s="233">
        <f>IF(AO90="7",BG90,0)</f>
        <v>0</v>
      </c>
      <c r="AD90" s="233">
        <f>IF(AO90="2",BF90,0)</f>
        <v>0</v>
      </c>
      <c r="AE90" s="233">
        <f>IF(AO90="2",BG90,0)</f>
        <v>0</v>
      </c>
      <c r="AF90" s="233">
        <f>IF(AO90="0",BH90,0)</f>
        <v>0</v>
      </c>
      <c r="AG90" s="229" t="s">
        <v>154</v>
      </c>
      <c r="AH90" s="233">
        <f>IF(AL90=0,J90,0)</f>
        <v>0</v>
      </c>
      <c r="AI90" s="233">
        <f>IF(AL90=15,J90,0)</f>
        <v>0</v>
      </c>
      <c r="AJ90" s="233">
        <f>IF(AL90=21,J90,0)</f>
        <v>0</v>
      </c>
      <c r="AL90" s="233">
        <v>15</v>
      </c>
      <c r="AM90" s="233">
        <f>G90*0</f>
        <v>0</v>
      </c>
      <c r="AN90" s="233">
        <f>G90*(1-0)</f>
        <v>0</v>
      </c>
      <c r="AO90" s="234" t="s">
        <v>157</v>
      </c>
      <c r="AT90" s="233">
        <f>AU90+AV90</f>
        <v>0</v>
      </c>
      <c r="AU90" s="233">
        <f>F90*AM90</f>
        <v>0</v>
      </c>
      <c r="AV90" s="233">
        <f>F90*AN90</f>
        <v>0</v>
      </c>
      <c r="AW90" s="234" t="s">
        <v>288</v>
      </c>
      <c r="AX90" s="234" t="s">
        <v>289</v>
      </c>
      <c r="AY90" s="229" t="s">
        <v>164</v>
      </c>
      <c r="BA90" s="233">
        <f>AU90+AV90</f>
        <v>0</v>
      </c>
      <c r="BB90" s="233">
        <f>G90/(100-BC90)*100</f>
        <v>0</v>
      </c>
      <c r="BC90" s="233">
        <v>0</v>
      </c>
      <c r="BD90" s="233">
        <f>L90</f>
        <v>0</v>
      </c>
      <c r="BF90" s="233">
        <f>F90*AM90</f>
        <v>0</v>
      </c>
      <c r="BG90" s="233">
        <f>F90*AN90</f>
        <v>0</v>
      </c>
      <c r="BH90" s="233">
        <f>F90*G90</f>
        <v>0</v>
      </c>
      <c r="BI90" s="233"/>
      <c r="BJ90" s="233">
        <v>21</v>
      </c>
      <c r="BU90" s="233" t="e">
        <f>#REF!</f>
        <v>#REF!</v>
      </c>
      <c r="BV90" s="225" t="s">
        <v>287</v>
      </c>
    </row>
    <row r="91" spans="1:74" ht="40.5" customHeight="1" x14ac:dyDescent="0.3">
      <c r="A91" s="241"/>
      <c r="B91" s="242" t="s">
        <v>165</v>
      </c>
      <c r="C91" s="530" t="s">
        <v>1973</v>
      </c>
      <c r="D91" s="531"/>
      <c r="E91" s="531"/>
      <c r="F91" s="531"/>
      <c r="G91" s="531"/>
      <c r="H91" s="531"/>
      <c r="I91" s="531"/>
      <c r="J91" s="531"/>
      <c r="K91" s="531"/>
      <c r="L91" s="531"/>
      <c r="M91" s="532"/>
    </row>
    <row r="92" spans="1:74" ht="14.4" x14ac:dyDescent="0.3">
      <c r="A92" s="239" t="s">
        <v>294</v>
      </c>
      <c r="B92" s="223" t="s">
        <v>291</v>
      </c>
      <c r="C92" s="521" t="s">
        <v>292</v>
      </c>
      <c r="D92" s="519"/>
      <c r="E92" s="223" t="s">
        <v>160</v>
      </c>
      <c r="F92" s="233">
        <v>10</v>
      </c>
      <c r="G92" s="311">
        <v>0</v>
      </c>
      <c r="H92" s="233">
        <f>F92*AM92</f>
        <v>0</v>
      </c>
      <c r="I92" s="233">
        <f>F92*AN92</f>
        <v>0</v>
      </c>
      <c r="J92" s="233">
        <f>F92*G92</f>
        <v>0</v>
      </c>
      <c r="K92" s="233">
        <v>0.43625000000000003</v>
      </c>
      <c r="L92" s="233">
        <f>F92*K92</f>
        <v>4.3625000000000007</v>
      </c>
      <c r="M92" s="240" t="s">
        <v>472</v>
      </c>
      <c r="X92" s="233">
        <f>IF(AO92="5",BH92,0)</f>
        <v>0</v>
      </c>
      <c r="Z92" s="233">
        <f>IF(AO92="1",BF92,0)</f>
        <v>0</v>
      </c>
      <c r="AA92" s="233">
        <f>IF(AO92="1",BG92,0)</f>
        <v>0</v>
      </c>
      <c r="AB92" s="233">
        <f>IF(AO92="7",BF92,0)</f>
        <v>0</v>
      </c>
      <c r="AC92" s="233">
        <f>IF(AO92="7",BG92,0)</f>
        <v>0</v>
      </c>
      <c r="AD92" s="233">
        <f>IF(AO92="2",BF92,0)</f>
        <v>0</v>
      </c>
      <c r="AE92" s="233">
        <f>IF(AO92="2",BG92,0)</f>
        <v>0</v>
      </c>
      <c r="AF92" s="233">
        <f>IF(AO92="0",BH92,0)</f>
        <v>0</v>
      </c>
      <c r="AG92" s="229" t="s">
        <v>154</v>
      </c>
      <c r="AH92" s="233">
        <f>IF(AL92=0,J92,0)</f>
        <v>0</v>
      </c>
      <c r="AI92" s="233">
        <f>IF(AL92=15,J92,0)</f>
        <v>0</v>
      </c>
      <c r="AJ92" s="233">
        <f>IF(AL92=21,J92,0)</f>
        <v>0</v>
      </c>
      <c r="AL92" s="233">
        <v>15</v>
      </c>
      <c r="AM92" s="233">
        <f>G92*0.447203746</f>
        <v>0</v>
      </c>
      <c r="AN92" s="233">
        <f>G92*(1-0.447203746)</f>
        <v>0</v>
      </c>
      <c r="AO92" s="234" t="s">
        <v>157</v>
      </c>
      <c r="AT92" s="233">
        <f>AU92+AV92</f>
        <v>0</v>
      </c>
      <c r="AU92" s="233">
        <f>F92*AM92</f>
        <v>0</v>
      </c>
      <c r="AV92" s="233">
        <f>F92*AN92</f>
        <v>0</v>
      </c>
      <c r="AW92" s="234" t="s">
        <v>288</v>
      </c>
      <c r="AX92" s="234" t="s">
        <v>289</v>
      </c>
      <c r="AY92" s="229" t="s">
        <v>164</v>
      </c>
      <c r="BA92" s="233">
        <f>AU92+AV92</f>
        <v>0</v>
      </c>
      <c r="BB92" s="233">
        <f>G92/(100-BC92)*100</f>
        <v>0</v>
      </c>
      <c r="BC92" s="233">
        <v>0</v>
      </c>
      <c r="BD92" s="233">
        <f>L92</f>
        <v>4.3625000000000007</v>
      </c>
      <c r="BF92" s="233">
        <f>F92*AM92</f>
        <v>0</v>
      </c>
      <c r="BG92" s="233">
        <f>F92*AN92</f>
        <v>0</v>
      </c>
      <c r="BH92" s="233">
        <f>F92*G92</f>
        <v>0</v>
      </c>
      <c r="BI92" s="233"/>
      <c r="BJ92" s="233">
        <v>21</v>
      </c>
      <c r="BU92" s="233" t="e">
        <f>#REF!</f>
        <v>#REF!</v>
      </c>
      <c r="BV92" s="225" t="s">
        <v>292</v>
      </c>
    </row>
    <row r="93" spans="1:74" ht="54" customHeight="1" x14ac:dyDescent="0.3">
      <c r="A93" s="241"/>
      <c r="B93" s="242" t="s">
        <v>165</v>
      </c>
      <c r="C93" s="530" t="s">
        <v>1974</v>
      </c>
      <c r="D93" s="531"/>
      <c r="E93" s="531"/>
      <c r="F93" s="531"/>
      <c r="G93" s="531"/>
      <c r="H93" s="531"/>
      <c r="I93" s="531"/>
      <c r="J93" s="531"/>
      <c r="K93" s="531"/>
      <c r="L93" s="531"/>
      <c r="M93" s="532"/>
    </row>
    <row r="94" spans="1:74" ht="14.4" x14ac:dyDescent="0.3">
      <c r="A94" s="239" t="s">
        <v>300</v>
      </c>
      <c r="B94" s="223" t="s">
        <v>414</v>
      </c>
      <c r="C94" s="521" t="s">
        <v>415</v>
      </c>
      <c r="D94" s="519"/>
      <c r="E94" s="223" t="s">
        <v>380</v>
      </c>
      <c r="F94" s="233">
        <v>4.3600000000000003</v>
      </c>
      <c r="G94" s="311">
        <v>0</v>
      </c>
      <c r="H94" s="233">
        <f>F94*AM94</f>
        <v>0</v>
      </c>
      <c r="I94" s="233">
        <f>F94*AN94</f>
        <v>0</v>
      </c>
      <c r="J94" s="233">
        <f>F94*G94</f>
        <v>0</v>
      </c>
      <c r="K94" s="233">
        <v>0</v>
      </c>
      <c r="L94" s="233">
        <f>F94*K94</f>
        <v>0</v>
      </c>
      <c r="M94" s="240" t="s">
        <v>472</v>
      </c>
      <c r="X94" s="233">
        <f>IF(AO94="5",BH94,0)</f>
        <v>0</v>
      </c>
      <c r="Z94" s="233">
        <f>IF(AO94="1",BF94,0)</f>
        <v>0</v>
      </c>
      <c r="AA94" s="233">
        <f>IF(AO94="1",BG94,0)</f>
        <v>0</v>
      </c>
      <c r="AB94" s="233">
        <f>IF(AO94="7",BF94,0)</f>
        <v>0</v>
      </c>
      <c r="AC94" s="233">
        <f>IF(AO94="7",BG94,0)</f>
        <v>0</v>
      </c>
      <c r="AD94" s="233">
        <f>IF(AO94="2",BF94,0)</f>
        <v>0</v>
      </c>
      <c r="AE94" s="233">
        <f>IF(AO94="2",BG94,0)</f>
        <v>0</v>
      </c>
      <c r="AF94" s="233">
        <f>IF(AO94="0",BH94,0)</f>
        <v>0</v>
      </c>
      <c r="AG94" s="229" t="s">
        <v>154</v>
      </c>
      <c r="AH94" s="233">
        <f>IF(AL94=0,J94,0)</f>
        <v>0</v>
      </c>
      <c r="AI94" s="233">
        <f>IF(AL94=15,J94,0)</f>
        <v>0</v>
      </c>
      <c r="AJ94" s="233">
        <f>IF(AL94=21,J94,0)</f>
        <v>0</v>
      </c>
      <c r="AL94" s="233">
        <v>15</v>
      </c>
      <c r="AM94" s="233">
        <f>G94*0</f>
        <v>0</v>
      </c>
      <c r="AN94" s="233">
        <f>G94*(1-0)</f>
        <v>0</v>
      </c>
      <c r="AO94" s="234" t="s">
        <v>177</v>
      </c>
      <c r="AT94" s="233">
        <f>AU94+AV94</f>
        <v>0</v>
      </c>
      <c r="AU94" s="233">
        <f>F94*AM94</f>
        <v>0</v>
      </c>
      <c r="AV94" s="233">
        <f>F94*AN94</f>
        <v>0</v>
      </c>
      <c r="AW94" s="234" t="s">
        <v>288</v>
      </c>
      <c r="AX94" s="234" t="s">
        <v>289</v>
      </c>
      <c r="AY94" s="229" t="s">
        <v>164</v>
      </c>
      <c r="BA94" s="233">
        <f>AU94+AV94</f>
        <v>0</v>
      </c>
      <c r="BB94" s="233">
        <f>G94/(100-BC94)*100</f>
        <v>0</v>
      </c>
      <c r="BC94" s="233">
        <v>0</v>
      </c>
      <c r="BD94" s="233">
        <f>L94</f>
        <v>0</v>
      </c>
      <c r="BF94" s="233">
        <f>F94*AM94</f>
        <v>0</v>
      </c>
      <c r="BG94" s="233">
        <f>F94*AN94</f>
        <v>0</v>
      </c>
      <c r="BH94" s="233">
        <f>F94*G94</f>
        <v>0</v>
      </c>
      <c r="BI94" s="233"/>
      <c r="BJ94" s="233">
        <v>21</v>
      </c>
      <c r="BU94" s="233" t="e">
        <f>#REF!</f>
        <v>#REF!</v>
      </c>
      <c r="BV94" s="225" t="s">
        <v>415</v>
      </c>
    </row>
    <row r="95" spans="1:74" ht="14.4" x14ac:dyDescent="0.3">
      <c r="A95" s="239" t="s">
        <v>154</v>
      </c>
      <c r="B95" s="224" t="s">
        <v>253</v>
      </c>
      <c r="C95" s="526" t="s">
        <v>293</v>
      </c>
      <c r="D95" s="527"/>
      <c r="E95" s="223" t="s">
        <v>114</v>
      </c>
      <c r="F95" s="223" t="s">
        <v>114</v>
      </c>
      <c r="G95" s="223" t="s">
        <v>114</v>
      </c>
      <c r="H95" s="235">
        <f>SUM(H96:H96)</f>
        <v>0</v>
      </c>
      <c r="I95" s="235">
        <f>SUM(I96:I96)</f>
        <v>0</v>
      </c>
      <c r="J95" s="235">
        <f>SUM(J96:J96)</f>
        <v>0</v>
      </c>
      <c r="K95" s="230" t="s">
        <v>154</v>
      </c>
      <c r="L95" s="235">
        <f>SUM(L96:L96)</f>
        <v>0.65653640000000002</v>
      </c>
      <c r="M95" s="243" t="s">
        <v>154</v>
      </c>
      <c r="AG95" s="229" t="s">
        <v>154</v>
      </c>
      <c r="AQ95" s="222">
        <f>SUM(AH96:AH96)</f>
        <v>0</v>
      </c>
      <c r="AR95" s="222">
        <f>SUM(AI96:AI96)</f>
        <v>0</v>
      </c>
      <c r="AS95" s="222">
        <f>SUM(AJ96:AJ96)</f>
        <v>0</v>
      </c>
    </row>
    <row r="96" spans="1:74" ht="14.4" x14ac:dyDescent="0.3">
      <c r="A96" s="239" t="s">
        <v>307</v>
      </c>
      <c r="B96" s="223" t="s">
        <v>890</v>
      </c>
      <c r="C96" s="521" t="s">
        <v>296</v>
      </c>
      <c r="D96" s="519"/>
      <c r="E96" s="223" t="s">
        <v>196</v>
      </c>
      <c r="F96" s="233">
        <v>0.26</v>
      </c>
      <c r="G96" s="311">
        <v>0</v>
      </c>
      <c r="H96" s="233">
        <f>F96*AM96</f>
        <v>0</v>
      </c>
      <c r="I96" s="233">
        <f>F96*AN96</f>
        <v>0</v>
      </c>
      <c r="J96" s="233">
        <f>F96*G96</f>
        <v>0</v>
      </c>
      <c r="K96" s="233">
        <v>2.5251399999999999</v>
      </c>
      <c r="L96" s="233">
        <f>F96*K96</f>
        <v>0.65653640000000002</v>
      </c>
      <c r="M96" s="240" t="s">
        <v>472</v>
      </c>
      <c r="X96" s="233">
        <f>IF(AO96="5",BH96,0)</f>
        <v>0</v>
      </c>
      <c r="Z96" s="233">
        <f>IF(AO96="1",BF96,0)</f>
        <v>0</v>
      </c>
      <c r="AA96" s="233">
        <f>IF(AO96="1",BG96,0)</f>
        <v>0</v>
      </c>
      <c r="AB96" s="233">
        <f>IF(AO96="7",BF96,0)</f>
        <v>0</v>
      </c>
      <c r="AC96" s="233">
        <f>IF(AO96="7",BG96,0)</f>
        <v>0</v>
      </c>
      <c r="AD96" s="233">
        <f>IF(AO96="2",BF96,0)</f>
        <v>0</v>
      </c>
      <c r="AE96" s="233">
        <f>IF(AO96="2",BG96,0)</f>
        <v>0</v>
      </c>
      <c r="AF96" s="233">
        <f>IF(AO96="0",BH96,0)</f>
        <v>0</v>
      </c>
      <c r="AG96" s="229" t="s">
        <v>154</v>
      </c>
      <c r="AH96" s="233">
        <f>IF(AL96=0,J96,0)</f>
        <v>0</v>
      </c>
      <c r="AI96" s="233">
        <f>IF(AL96=15,J96,0)</f>
        <v>0</v>
      </c>
      <c r="AJ96" s="233">
        <f>IF(AL96=21,J96,0)</f>
        <v>0</v>
      </c>
      <c r="AL96" s="233">
        <v>15</v>
      </c>
      <c r="AM96" s="233">
        <f>G96*0.848041841</f>
        <v>0</v>
      </c>
      <c r="AN96" s="233">
        <f>G96*(1-0.848041841)</f>
        <v>0</v>
      </c>
      <c r="AO96" s="234" t="s">
        <v>157</v>
      </c>
      <c r="AT96" s="233">
        <f>AU96+AV96</f>
        <v>0</v>
      </c>
      <c r="AU96" s="233">
        <f>F96*AM96</f>
        <v>0</v>
      </c>
      <c r="AV96" s="233">
        <f>F96*AN96</f>
        <v>0</v>
      </c>
      <c r="AW96" s="234" t="s">
        <v>297</v>
      </c>
      <c r="AX96" s="234" t="s">
        <v>289</v>
      </c>
      <c r="AY96" s="229" t="s">
        <v>164</v>
      </c>
      <c r="BA96" s="233">
        <f>AU96+AV96</f>
        <v>0</v>
      </c>
      <c r="BB96" s="233">
        <f>G96/(100-BC96)*100</f>
        <v>0</v>
      </c>
      <c r="BC96" s="233">
        <v>0</v>
      </c>
      <c r="BD96" s="233">
        <f>L96</f>
        <v>0.65653640000000002</v>
      </c>
      <c r="BF96" s="233">
        <f>F96*AM96</f>
        <v>0</v>
      </c>
      <c r="BG96" s="233">
        <f>F96*AN96</f>
        <v>0</v>
      </c>
      <c r="BH96" s="233">
        <f>F96*G96</f>
        <v>0</v>
      </c>
      <c r="BI96" s="233"/>
      <c r="BJ96" s="233">
        <v>27</v>
      </c>
      <c r="BU96" s="233" t="e">
        <f>#REF!</f>
        <v>#REF!</v>
      </c>
      <c r="BV96" s="225" t="s">
        <v>296</v>
      </c>
    </row>
    <row r="97" spans="1:74" ht="40.5" customHeight="1" x14ac:dyDescent="0.3">
      <c r="A97" s="241"/>
      <c r="B97" s="242" t="s">
        <v>165</v>
      </c>
      <c r="C97" s="530" t="s">
        <v>1975</v>
      </c>
      <c r="D97" s="531"/>
      <c r="E97" s="531"/>
      <c r="F97" s="531"/>
      <c r="G97" s="531"/>
      <c r="H97" s="531"/>
      <c r="I97" s="531"/>
      <c r="J97" s="531"/>
      <c r="K97" s="531"/>
      <c r="L97" s="531"/>
      <c r="M97" s="532"/>
    </row>
    <row r="98" spans="1:74" ht="14.4" x14ac:dyDescent="0.3">
      <c r="A98" s="239" t="s">
        <v>154</v>
      </c>
      <c r="B98" s="224" t="s">
        <v>298</v>
      </c>
      <c r="C98" s="526" t="s">
        <v>299</v>
      </c>
      <c r="D98" s="527"/>
      <c r="E98" s="223" t="s">
        <v>114</v>
      </c>
      <c r="F98" s="223" t="s">
        <v>114</v>
      </c>
      <c r="G98" s="223" t="s">
        <v>114</v>
      </c>
      <c r="H98" s="235">
        <f>SUM(H99:H99)</f>
        <v>0</v>
      </c>
      <c r="I98" s="235">
        <f>SUM(I99:I99)</f>
        <v>0</v>
      </c>
      <c r="J98" s="235">
        <f>SUM(J99:J99)</f>
        <v>0</v>
      </c>
      <c r="K98" s="230" t="s">
        <v>154</v>
      </c>
      <c r="L98" s="235">
        <f>SUM(L99:L99)</f>
        <v>6.1639102000000001</v>
      </c>
      <c r="M98" s="243" t="s">
        <v>154</v>
      </c>
      <c r="AG98" s="229" t="s">
        <v>154</v>
      </c>
      <c r="AQ98" s="222">
        <f>SUM(AH99:AH99)</f>
        <v>0</v>
      </c>
      <c r="AR98" s="222">
        <f>SUM(AI99:AI99)</f>
        <v>0</v>
      </c>
      <c r="AS98" s="222">
        <f>SUM(AJ99:AJ99)</f>
        <v>0</v>
      </c>
    </row>
    <row r="99" spans="1:74" ht="14.4" x14ac:dyDescent="0.3">
      <c r="A99" s="239" t="s">
        <v>312</v>
      </c>
      <c r="B99" s="223" t="s">
        <v>301</v>
      </c>
      <c r="C99" s="521" t="s">
        <v>891</v>
      </c>
      <c r="D99" s="519"/>
      <c r="E99" s="223" t="s">
        <v>196</v>
      </c>
      <c r="F99" s="233">
        <v>3.26</v>
      </c>
      <c r="G99" s="311">
        <v>0</v>
      </c>
      <c r="H99" s="233">
        <f>F99*AM99</f>
        <v>0</v>
      </c>
      <c r="I99" s="233">
        <f>F99*AN99</f>
        <v>0</v>
      </c>
      <c r="J99" s="233">
        <f>F99*G99</f>
        <v>0</v>
      </c>
      <c r="K99" s="233">
        <v>1.8907700000000001</v>
      </c>
      <c r="L99" s="233">
        <f>F99*K99</f>
        <v>6.1639102000000001</v>
      </c>
      <c r="M99" s="240" t="s">
        <v>472</v>
      </c>
      <c r="X99" s="233">
        <f>IF(AO99="5",BH99,0)</f>
        <v>0</v>
      </c>
      <c r="Z99" s="233">
        <f>IF(AO99="1",BF99,0)</f>
        <v>0</v>
      </c>
      <c r="AA99" s="233">
        <f>IF(AO99="1",BG99,0)</f>
        <v>0</v>
      </c>
      <c r="AB99" s="233">
        <f>IF(AO99="7",BF99,0)</f>
        <v>0</v>
      </c>
      <c r="AC99" s="233">
        <f>IF(AO99="7",BG99,0)</f>
        <v>0</v>
      </c>
      <c r="AD99" s="233">
        <f>IF(AO99="2",BF99,0)</f>
        <v>0</v>
      </c>
      <c r="AE99" s="233">
        <f>IF(AO99="2",BG99,0)</f>
        <v>0</v>
      </c>
      <c r="AF99" s="233">
        <f>IF(AO99="0",BH99,0)</f>
        <v>0</v>
      </c>
      <c r="AG99" s="229" t="s">
        <v>154</v>
      </c>
      <c r="AH99" s="233">
        <f>IF(AL99=0,J99,0)</f>
        <v>0</v>
      </c>
      <c r="AI99" s="233">
        <f>IF(AL99=15,J99,0)</f>
        <v>0</v>
      </c>
      <c r="AJ99" s="233">
        <f>IF(AL99=21,J99,0)</f>
        <v>0</v>
      </c>
      <c r="AL99" s="233">
        <v>15</v>
      </c>
      <c r="AM99" s="233">
        <f>G99*0.492388251</f>
        <v>0</v>
      </c>
      <c r="AN99" s="233">
        <f>G99*(1-0.492388251)</f>
        <v>0</v>
      </c>
      <c r="AO99" s="234" t="s">
        <v>157</v>
      </c>
      <c r="AT99" s="233">
        <f>AU99+AV99</f>
        <v>0</v>
      </c>
      <c r="AU99" s="233">
        <f>F99*AM99</f>
        <v>0</v>
      </c>
      <c r="AV99" s="233">
        <f>F99*AN99</f>
        <v>0</v>
      </c>
      <c r="AW99" s="234" t="s">
        <v>303</v>
      </c>
      <c r="AX99" s="234" t="s">
        <v>304</v>
      </c>
      <c r="AY99" s="229" t="s">
        <v>164</v>
      </c>
      <c r="BA99" s="233">
        <f>AU99+AV99</f>
        <v>0</v>
      </c>
      <c r="BB99" s="233">
        <f>G99/(100-BC99)*100</f>
        <v>0</v>
      </c>
      <c r="BC99" s="233">
        <v>0</v>
      </c>
      <c r="BD99" s="233">
        <f>L99</f>
        <v>6.1639102000000001</v>
      </c>
      <c r="BF99" s="233">
        <f>F99*AM99</f>
        <v>0</v>
      </c>
      <c r="BG99" s="233">
        <f>F99*AN99</f>
        <v>0</v>
      </c>
      <c r="BH99" s="233">
        <f>F99*G99</f>
        <v>0</v>
      </c>
      <c r="BI99" s="233"/>
      <c r="BJ99" s="233">
        <v>45</v>
      </c>
      <c r="BU99" s="233" t="e">
        <f>#REF!</f>
        <v>#REF!</v>
      </c>
      <c r="BV99" s="225" t="s">
        <v>891</v>
      </c>
    </row>
    <row r="100" spans="1:74" ht="40.5" customHeight="1" x14ac:dyDescent="0.3">
      <c r="A100" s="241"/>
      <c r="B100" s="242" t="s">
        <v>165</v>
      </c>
      <c r="C100" s="530" t="s">
        <v>1976</v>
      </c>
      <c r="D100" s="531"/>
      <c r="E100" s="531"/>
      <c r="F100" s="531"/>
      <c r="G100" s="531"/>
      <c r="H100" s="531"/>
      <c r="I100" s="531"/>
      <c r="J100" s="531"/>
      <c r="K100" s="531"/>
      <c r="L100" s="531"/>
      <c r="M100" s="532"/>
    </row>
    <row r="101" spans="1:74" ht="14.4" x14ac:dyDescent="0.3">
      <c r="A101" s="239" t="s">
        <v>154</v>
      </c>
      <c r="B101" s="224" t="s">
        <v>305</v>
      </c>
      <c r="C101" s="526" t="s">
        <v>306</v>
      </c>
      <c r="D101" s="527"/>
      <c r="E101" s="223" t="s">
        <v>114</v>
      </c>
      <c r="F101" s="223" t="s">
        <v>114</v>
      </c>
      <c r="G101" s="223" t="s">
        <v>114</v>
      </c>
      <c r="H101" s="235">
        <f>SUM(H102:H114)</f>
        <v>0</v>
      </c>
      <c r="I101" s="235">
        <f>SUM(I102:I114)</f>
        <v>0</v>
      </c>
      <c r="J101" s="235">
        <f>SUM(J102:J114)</f>
        <v>0</v>
      </c>
      <c r="K101" s="230" t="s">
        <v>154</v>
      </c>
      <c r="L101" s="235">
        <f>SUM(L102:L114)</f>
        <v>13.640563599999998</v>
      </c>
      <c r="M101" s="243" t="s">
        <v>154</v>
      </c>
      <c r="AG101" s="229" t="s">
        <v>154</v>
      </c>
      <c r="AQ101" s="222">
        <f>SUM(AH102:AH114)</f>
        <v>0</v>
      </c>
      <c r="AR101" s="222">
        <f>SUM(AI102:AI114)</f>
        <v>0</v>
      </c>
      <c r="AS101" s="222">
        <f>SUM(AJ102:AJ114)</f>
        <v>0</v>
      </c>
    </row>
    <row r="102" spans="1:74" ht="14.4" x14ac:dyDescent="0.3">
      <c r="A102" s="239" t="s">
        <v>315</v>
      </c>
      <c r="B102" s="223" t="s">
        <v>308</v>
      </c>
      <c r="C102" s="521" t="s">
        <v>309</v>
      </c>
      <c r="D102" s="519"/>
      <c r="E102" s="223" t="s">
        <v>180</v>
      </c>
      <c r="F102" s="233">
        <v>4.8499999999999996</v>
      </c>
      <c r="G102" s="311">
        <v>0</v>
      </c>
      <c r="H102" s="233">
        <f>F102*AM102</f>
        <v>0</v>
      </c>
      <c r="I102" s="233">
        <f>F102*AN102</f>
        <v>0</v>
      </c>
      <c r="J102" s="233">
        <f>F102*G102</f>
        <v>0</v>
      </c>
      <c r="K102" s="233">
        <v>0.4284</v>
      </c>
      <c r="L102" s="233">
        <f>F102*K102</f>
        <v>2.0777399999999999</v>
      </c>
      <c r="M102" s="240" t="s">
        <v>472</v>
      </c>
      <c r="X102" s="233">
        <f>IF(AO102="5",BH102,0)</f>
        <v>0</v>
      </c>
      <c r="Z102" s="233">
        <f>IF(AO102="1",BF102,0)</f>
        <v>0</v>
      </c>
      <c r="AA102" s="233">
        <f>IF(AO102="1",BG102,0)</f>
        <v>0</v>
      </c>
      <c r="AB102" s="233">
        <f>IF(AO102="7",BF102,0)</f>
        <v>0</v>
      </c>
      <c r="AC102" s="233">
        <f>IF(AO102="7",BG102,0)</f>
        <v>0</v>
      </c>
      <c r="AD102" s="233">
        <f>IF(AO102="2",BF102,0)</f>
        <v>0</v>
      </c>
      <c r="AE102" s="233">
        <f>IF(AO102="2",BG102,0)</f>
        <v>0</v>
      </c>
      <c r="AF102" s="233">
        <f>IF(AO102="0",BH102,0)</f>
        <v>0</v>
      </c>
      <c r="AG102" s="229" t="s">
        <v>154</v>
      </c>
      <c r="AH102" s="233">
        <f>IF(AL102=0,J102,0)</f>
        <v>0</v>
      </c>
      <c r="AI102" s="233">
        <f>IF(AL102=15,J102,0)</f>
        <v>0</v>
      </c>
      <c r="AJ102" s="233">
        <f>IF(AL102=21,J102,0)</f>
        <v>0</v>
      </c>
      <c r="AL102" s="233">
        <v>15</v>
      </c>
      <c r="AM102" s="233">
        <f>G102*0.847992035</f>
        <v>0</v>
      </c>
      <c r="AN102" s="233">
        <f>G102*(1-0.847992035)</f>
        <v>0</v>
      </c>
      <c r="AO102" s="234" t="s">
        <v>157</v>
      </c>
      <c r="AT102" s="233">
        <f>AU102+AV102</f>
        <v>0</v>
      </c>
      <c r="AU102" s="233">
        <f>F102*AM102</f>
        <v>0</v>
      </c>
      <c r="AV102" s="233">
        <f>F102*AN102</f>
        <v>0</v>
      </c>
      <c r="AW102" s="234" t="s">
        <v>310</v>
      </c>
      <c r="AX102" s="234" t="s">
        <v>311</v>
      </c>
      <c r="AY102" s="229" t="s">
        <v>164</v>
      </c>
      <c r="BA102" s="233">
        <f>AU102+AV102</f>
        <v>0</v>
      </c>
      <c r="BB102" s="233">
        <f>G102/(100-BC102)*100</f>
        <v>0</v>
      </c>
      <c r="BC102" s="233">
        <v>0</v>
      </c>
      <c r="BD102" s="233">
        <f>L102</f>
        <v>2.0777399999999999</v>
      </c>
      <c r="BF102" s="233">
        <f>F102*AM102</f>
        <v>0</v>
      </c>
      <c r="BG102" s="233">
        <f>F102*AN102</f>
        <v>0</v>
      </c>
      <c r="BH102" s="233">
        <f>F102*G102</f>
        <v>0</v>
      </c>
      <c r="BI102" s="233"/>
      <c r="BJ102" s="233">
        <v>56</v>
      </c>
      <c r="BU102" s="233" t="e">
        <f>#REF!</f>
        <v>#REF!</v>
      </c>
      <c r="BV102" s="225" t="s">
        <v>309</v>
      </c>
    </row>
    <row r="103" spans="1:74" ht="40.5" customHeight="1" x14ac:dyDescent="0.3">
      <c r="A103" s="241"/>
      <c r="B103" s="242" t="s">
        <v>165</v>
      </c>
      <c r="C103" s="530" t="s">
        <v>1977</v>
      </c>
      <c r="D103" s="531"/>
      <c r="E103" s="531"/>
      <c r="F103" s="531"/>
      <c r="G103" s="531"/>
      <c r="H103" s="531"/>
      <c r="I103" s="531"/>
      <c r="J103" s="531"/>
      <c r="K103" s="531"/>
      <c r="L103" s="531"/>
      <c r="M103" s="532"/>
    </row>
    <row r="104" spans="1:74" ht="14.4" x14ac:dyDescent="0.3">
      <c r="A104" s="239" t="s">
        <v>318</v>
      </c>
      <c r="B104" s="223" t="s">
        <v>313</v>
      </c>
      <c r="C104" s="521" t="s">
        <v>314</v>
      </c>
      <c r="D104" s="519"/>
      <c r="E104" s="223" t="s">
        <v>180</v>
      </c>
      <c r="F104" s="233">
        <v>5.13</v>
      </c>
      <c r="G104" s="311">
        <v>0</v>
      </c>
      <c r="H104" s="233">
        <f>F104*AM104</f>
        <v>0</v>
      </c>
      <c r="I104" s="233">
        <f>F104*AN104</f>
        <v>0</v>
      </c>
      <c r="J104" s="233">
        <f>F104*G104</f>
        <v>0</v>
      </c>
      <c r="K104" s="233">
        <v>0.60104000000000002</v>
      </c>
      <c r="L104" s="233">
        <f>F104*K104</f>
        <v>3.0833352000000001</v>
      </c>
      <c r="M104" s="240" t="s">
        <v>472</v>
      </c>
      <c r="X104" s="233">
        <f>IF(AO104="5",BH104,0)</f>
        <v>0</v>
      </c>
      <c r="Z104" s="233">
        <f>IF(AO104="1",BF104,0)</f>
        <v>0</v>
      </c>
      <c r="AA104" s="233">
        <f>IF(AO104="1",BG104,0)</f>
        <v>0</v>
      </c>
      <c r="AB104" s="233">
        <f>IF(AO104="7",BF104,0)</f>
        <v>0</v>
      </c>
      <c r="AC104" s="233">
        <f>IF(AO104="7",BG104,0)</f>
        <v>0</v>
      </c>
      <c r="AD104" s="233">
        <f>IF(AO104="2",BF104,0)</f>
        <v>0</v>
      </c>
      <c r="AE104" s="233">
        <f>IF(AO104="2",BG104,0)</f>
        <v>0</v>
      </c>
      <c r="AF104" s="233">
        <f>IF(AO104="0",BH104,0)</f>
        <v>0</v>
      </c>
      <c r="AG104" s="229" t="s">
        <v>154</v>
      </c>
      <c r="AH104" s="233">
        <f>IF(AL104=0,J104,0)</f>
        <v>0</v>
      </c>
      <c r="AI104" s="233">
        <f>IF(AL104=15,J104,0)</f>
        <v>0</v>
      </c>
      <c r="AJ104" s="233">
        <f>IF(AL104=21,J104,0)</f>
        <v>0</v>
      </c>
      <c r="AL104" s="233">
        <v>15</v>
      </c>
      <c r="AM104" s="233">
        <f>G104*0.832438619</f>
        <v>0</v>
      </c>
      <c r="AN104" s="233">
        <f>G104*(1-0.832438619)</f>
        <v>0</v>
      </c>
      <c r="AO104" s="234" t="s">
        <v>157</v>
      </c>
      <c r="AT104" s="233">
        <f>AU104+AV104</f>
        <v>0</v>
      </c>
      <c r="AU104" s="233">
        <f>F104*AM104</f>
        <v>0</v>
      </c>
      <c r="AV104" s="233">
        <f>F104*AN104</f>
        <v>0</v>
      </c>
      <c r="AW104" s="234" t="s">
        <v>310</v>
      </c>
      <c r="AX104" s="234" t="s">
        <v>311</v>
      </c>
      <c r="AY104" s="229" t="s">
        <v>164</v>
      </c>
      <c r="BA104" s="233">
        <f>AU104+AV104</f>
        <v>0</v>
      </c>
      <c r="BB104" s="233">
        <f>G104/(100-BC104)*100</f>
        <v>0</v>
      </c>
      <c r="BC104" s="233">
        <v>0</v>
      </c>
      <c r="BD104" s="233">
        <f>L104</f>
        <v>3.0833352000000001</v>
      </c>
      <c r="BF104" s="233">
        <f>F104*AM104</f>
        <v>0</v>
      </c>
      <c r="BG104" s="233">
        <f>F104*AN104</f>
        <v>0</v>
      </c>
      <c r="BH104" s="233">
        <f>F104*G104</f>
        <v>0</v>
      </c>
      <c r="BI104" s="233"/>
      <c r="BJ104" s="233">
        <v>56</v>
      </c>
      <c r="BU104" s="233" t="e">
        <f>#REF!</f>
        <v>#REF!</v>
      </c>
      <c r="BV104" s="225" t="s">
        <v>314</v>
      </c>
    </row>
    <row r="105" spans="1:74" ht="40.5" customHeight="1" x14ac:dyDescent="0.3">
      <c r="A105" s="241"/>
      <c r="B105" s="242" t="s">
        <v>165</v>
      </c>
      <c r="C105" s="530" t="s">
        <v>1978</v>
      </c>
      <c r="D105" s="531"/>
      <c r="E105" s="531"/>
      <c r="F105" s="531"/>
      <c r="G105" s="531"/>
      <c r="H105" s="531"/>
      <c r="I105" s="531"/>
      <c r="J105" s="531"/>
      <c r="K105" s="531"/>
      <c r="L105" s="531"/>
      <c r="M105" s="532"/>
    </row>
    <row r="106" spans="1:74" ht="14.4" x14ac:dyDescent="0.3">
      <c r="A106" s="239" t="s">
        <v>319</v>
      </c>
      <c r="B106" s="223" t="s">
        <v>316</v>
      </c>
      <c r="C106" s="521" t="s">
        <v>317</v>
      </c>
      <c r="D106" s="519"/>
      <c r="E106" s="223" t="s">
        <v>180</v>
      </c>
      <c r="F106" s="233">
        <v>5.13</v>
      </c>
      <c r="G106" s="311">
        <v>0</v>
      </c>
      <c r="H106" s="233">
        <f>F106*AM106</f>
        <v>0</v>
      </c>
      <c r="I106" s="233">
        <f>F106*AN106</f>
        <v>0</v>
      </c>
      <c r="J106" s="233">
        <f>F106*G106</f>
        <v>0</v>
      </c>
      <c r="K106" s="233">
        <v>0.48574000000000001</v>
      </c>
      <c r="L106" s="233">
        <f>F106*K106</f>
        <v>2.4918461999999999</v>
      </c>
      <c r="M106" s="240" t="s">
        <v>472</v>
      </c>
      <c r="X106" s="233">
        <f>IF(AO106="5",BH106,0)</f>
        <v>0</v>
      </c>
      <c r="Z106" s="233">
        <f>IF(AO106="1",BF106,0)</f>
        <v>0</v>
      </c>
      <c r="AA106" s="233">
        <f>IF(AO106="1",BG106,0)</f>
        <v>0</v>
      </c>
      <c r="AB106" s="233">
        <f>IF(AO106="7",BF106,0)</f>
        <v>0</v>
      </c>
      <c r="AC106" s="233">
        <f>IF(AO106="7",BG106,0)</f>
        <v>0</v>
      </c>
      <c r="AD106" s="233">
        <f>IF(AO106="2",BF106,0)</f>
        <v>0</v>
      </c>
      <c r="AE106" s="233">
        <f>IF(AO106="2",BG106,0)</f>
        <v>0</v>
      </c>
      <c r="AF106" s="233">
        <f>IF(AO106="0",BH106,0)</f>
        <v>0</v>
      </c>
      <c r="AG106" s="229" t="s">
        <v>154</v>
      </c>
      <c r="AH106" s="233">
        <f>IF(AL106=0,J106,0)</f>
        <v>0</v>
      </c>
      <c r="AI106" s="233">
        <f>IF(AL106=15,J106,0)</f>
        <v>0</v>
      </c>
      <c r="AJ106" s="233">
        <f>IF(AL106=21,J106,0)</f>
        <v>0</v>
      </c>
      <c r="AL106" s="233">
        <v>15</v>
      </c>
      <c r="AM106" s="233">
        <f>G106*0.812892046</f>
        <v>0</v>
      </c>
      <c r="AN106" s="233">
        <f>G106*(1-0.812892046)</f>
        <v>0</v>
      </c>
      <c r="AO106" s="234" t="s">
        <v>157</v>
      </c>
      <c r="AT106" s="233">
        <f>AU106+AV106</f>
        <v>0</v>
      </c>
      <c r="AU106" s="233">
        <f>F106*AM106</f>
        <v>0</v>
      </c>
      <c r="AV106" s="233">
        <f>F106*AN106</f>
        <v>0</v>
      </c>
      <c r="AW106" s="234" t="s">
        <v>310</v>
      </c>
      <c r="AX106" s="234" t="s">
        <v>311</v>
      </c>
      <c r="AY106" s="229" t="s">
        <v>164</v>
      </c>
      <c r="BA106" s="233">
        <f>AU106+AV106</f>
        <v>0</v>
      </c>
      <c r="BB106" s="233">
        <f>G106/(100-BC106)*100</f>
        <v>0</v>
      </c>
      <c r="BC106" s="233">
        <v>0</v>
      </c>
      <c r="BD106" s="233">
        <f>L106</f>
        <v>2.4918461999999999</v>
      </c>
      <c r="BF106" s="233">
        <f>F106*AM106</f>
        <v>0</v>
      </c>
      <c r="BG106" s="233">
        <f>F106*AN106</f>
        <v>0</v>
      </c>
      <c r="BH106" s="233">
        <f>F106*G106</f>
        <v>0</v>
      </c>
      <c r="BI106" s="233"/>
      <c r="BJ106" s="233">
        <v>56</v>
      </c>
      <c r="BU106" s="233" t="e">
        <f>#REF!</f>
        <v>#REF!</v>
      </c>
      <c r="BV106" s="225" t="s">
        <v>317</v>
      </c>
    </row>
    <row r="107" spans="1:74" ht="40.5" customHeight="1" x14ac:dyDescent="0.3">
      <c r="A107" s="241"/>
      <c r="B107" s="242" t="s">
        <v>165</v>
      </c>
      <c r="C107" s="530" t="s">
        <v>1979</v>
      </c>
      <c r="D107" s="531"/>
      <c r="E107" s="531"/>
      <c r="F107" s="531"/>
      <c r="G107" s="531"/>
      <c r="H107" s="531"/>
      <c r="I107" s="531"/>
      <c r="J107" s="531"/>
      <c r="K107" s="531"/>
      <c r="L107" s="531"/>
      <c r="M107" s="532"/>
    </row>
    <row r="108" spans="1:74" ht="14.4" x14ac:dyDescent="0.3">
      <c r="A108" s="239" t="s">
        <v>322</v>
      </c>
      <c r="B108" s="223" t="s">
        <v>316</v>
      </c>
      <c r="C108" s="521" t="s">
        <v>317</v>
      </c>
      <c r="D108" s="519"/>
      <c r="E108" s="223" t="s">
        <v>180</v>
      </c>
      <c r="F108" s="233">
        <v>5.13</v>
      </c>
      <c r="G108" s="311">
        <v>0</v>
      </c>
      <c r="H108" s="233">
        <f>F108*AM108</f>
        <v>0</v>
      </c>
      <c r="I108" s="233">
        <f>F108*AN108</f>
        <v>0</v>
      </c>
      <c r="J108" s="233">
        <f>F108*G108</f>
        <v>0</v>
      </c>
      <c r="K108" s="233">
        <v>0.48574000000000001</v>
      </c>
      <c r="L108" s="233">
        <f>F108*K108</f>
        <v>2.4918461999999999</v>
      </c>
      <c r="M108" s="240" t="s">
        <v>472</v>
      </c>
      <c r="X108" s="233">
        <f>IF(AO108="5",BH108,0)</f>
        <v>0</v>
      </c>
      <c r="Z108" s="233">
        <f>IF(AO108="1",BF108,0)</f>
        <v>0</v>
      </c>
      <c r="AA108" s="233">
        <f>IF(AO108="1",BG108,0)</f>
        <v>0</v>
      </c>
      <c r="AB108" s="233">
        <f>IF(AO108="7",BF108,0)</f>
        <v>0</v>
      </c>
      <c r="AC108" s="233">
        <f>IF(AO108="7",BG108,0)</f>
        <v>0</v>
      </c>
      <c r="AD108" s="233">
        <f>IF(AO108="2",BF108,0)</f>
        <v>0</v>
      </c>
      <c r="AE108" s="233">
        <f>IF(AO108="2",BG108,0)</f>
        <v>0</v>
      </c>
      <c r="AF108" s="233">
        <f>IF(AO108="0",BH108,0)</f>
        <v>0</v>
      </c>
      <c r="AG108" s="229" t="s">
        <v>154</v>
      </c>
      <c r="AH108" s="233">
        <f>IF(AL108=0,J108,0)</f>
        <v>0</v>
      </c>
      <c r="AI108" s="233">
        <f>IF(AL108=15,J108,0)</f>
        <v>0</v>
      </c>
      <c r="AJ108" s="233">
        <f>IF(AL108=21,J108,0)</f>
        <v>0</v>
      </c>
      <c r="AL108" s="233">
        <v>15</v>
      </c>
      <c r="AM108" s="233">
        <f>G108*0.812892046</f>
        <v>0</v>
      </c>
      <c r="AN108" s="233">
        <f>G108*(1-0.812892046)</f>
        <v>0</v>
      </c>
      <c r="AO108" s="234" t="s">
        <v>157</v>
      </c>
      <c r="AT108" s="233">
        <f>AU108+AV108</f>
        <v>0</v>
      </c>
      <c r="AU108" s="233">
        <f>F108*AM108</f>
        <v>0</v>
      </c>
      <c r="AV108" s="233">
        <f>F108*AN108</f>
        <v>0</v>
      </c>
      <c r="AW108" s="234" t="s">
        <v>310</v>
      </c>
      <c r="AX108" s="234" t="s">
        <v>311</v>
      </c>
      <c r="AY108" s="229" t="s">
        <v>164</v>
      </c>
      <c r="BA108" s="233">
        <f>AU108+AV108</f>
        <v>0</v>
      </c>
      <c r="BB108" s="233">
        <f>G108/(100-BC108)*100</f>
        <v>0</v>
      </c>
      <c r="BC108" s="233">
        <v>0</v>
      </c>
      <c r="BD108" s="233">
        <f>L108</f>
        <v>2.4918461999999999</v>
      </c>
      <c r="BF108" s="233">
        <f>F108*AM108</f>
        <v>0</v>
      </c>
      <c r="BG108" s="233">
        <f>F108*AN108</f>
        <v>0</v>
      </c>
      <c r="BH108" s="233">
        <f>F108*G108</f>
        <v>0</v>
      </c>
      <c r="BI108" s="233"/>
      <c r="BJ108" s="233">
        <v>56</v>
      </c>
      <c r="BU108" s="233" t="e">
        <f>#REF!</f>
        <v>#REF!</v>
      </c>
      <c r="BV108" s="225" t="s">
        <v>317</v>
      </c>
    </row>
    <row r="109" spans="1:74" ht="40.5" customHeight="1" x14ac:dyDescent="0.3">
      <c r="A109" s="241"/>
      <c r="B109" s="242" t="s">
        <v>165</v>
      </c>
      <c r="C109" s="530" t="s">
        <v>1979</v>
      </c>
      <c r="D109" s="531"/>
      <c r="E109" s="531"/>
      <c r="F109" s="531"/>
      <c r="G109" s="531"/>
      <c r="H109" s="531"/>
      <c r="I109" s="531"/>
      <c r="J109" s="531"/>
      <c r="K109" s="531"/>
      <c r="L109" s="531"/>
      <c r="M109" s="532"/>
    </row>
    <row r="110" spans="1:74" ht="14.4" x14ac:dyDescent="0.3">
      <c r="A110" s="239" t="s">
        <v>298</v>
      </c>
      <c r="B110" s="223" t="s">
        <v>320</v>
      </c>
      <c r="C110" s="521" t="s">
        <v>321</v>
      </c>
      <c r="D110" s="519"/>
      <c r="E110" s="223" t="s">
        <v>180</v>
      </c>
      <c r="F110" s="233">
        <v>5.26</v>
      </c>
      <c r="G110" s="311">
        <v>0</v>
      </c>
      <c r="H110" s="233">
        <f>F110*AM110</f>
        <v>0</v>
      </c>
      <c r="I110" s="233">
        <f>F110*AN110</f>
        <v>0</v>
      </c>
      <c r="J110" s="233">
        <f>F110*G110</f>
        <v>0</v>
      </c>
      <c r="K110" s="233">
        <v>0.4536</v>
      </c>
      <c r="L110" s="233">
        <f>F110*K110</f>
        <v>2.3859360000000001</v>
      </c>
      <c r="M110" s="240" t="s">
        <v>472</v>
      </c>
      <c r="X110" s="233">
        <f>IF(AO110="5",BH110,0)</f>
        <v>0</v>
      </c>
      <c r="Z110" s="233">
        <f>IF(AO110="1",BF110,0)</f>
        <v>0</v>
      </c>
      <c r="AA110" s="233">
        <f>IF(AO110="1",BG110,0)</f>
        <v>0</v>
      </c>
      <c r="AB110" s="233">
        <f>IF(AO110="7",BF110,0)</f>
        <v>0</v>
      </c>
      <c r="AC110" s="233">
        <f>IF(AO110="7",BG110,0)</f>
        <v>0</v>
      </c>
      <c r="AD110" s="233">
        <f>IF(AO110="2",BF110,0)</f>
        <v>0</v>
      </c>
      <c r="AE110" s="233">
        <f>IF(AO110="2",BG110,0)</f>
        <v>0</v>
      </c>
      <c r="AF110" s="233">
        <f>IF(AO110="0",BH110,0)</f>
        <v>0</v>
      </c>
      <c r="AG110" s="229" t="s">
        <v>154</v>
      </c>
      <c r="AH110" s="233">
        <f>IF(AL110=0,J110,0)</f>
        <v>0</v>
      </c>
      <c r="AI110" s="233">
        <f>IF(AL110=15,J110,0)</f>
        <v>0</v>
      </c>
      <c r="AJ110" s="233">
        <f>IF(AL110=21,J110,0)</f>
        <v>0</v>
      </c>
      <c r="AL110" s="233">
        <v>15</v>
      </c>
      <c r="AM110" s="233">
        <f>G110*0.842939876</f>
        <v>0</v>
      </c>
      <c r="AN110" s="233">
        <f>G110*(1-0.842939876)</f>
        <v>0</v>
      </c>
      <c r="AO110" s="234" t="s">
        <v>157</v>
      </c>
      <c r="AT110" s="233">
        <f>AU110+AV110</f>
        <v>0</v>
      </c>
      <c r="AU110" s="233">
        <f>F110*AM110</f>
        <v>0</v>
      </c>
      <c r="AV110" s="233">
        <f>F110*AN110</f>
        <v>0</v>
      </c>
      <c r="AW110" s="234" t="s">
        <v>310</v>
      </c>
      <c r="AX110" s="234" t="s">
        <v>311</v>
      </c>
      <c r="AY110" s="229" t="s">
        <v>164</v>
      </c>
      <c r="BA110" s="233">
        <f>AU110+AV110</f>
        <v>0</v>
      </c>
      <c r="BB110" s="233">
        <f>G110/(100-BC110)*100</f>
        <v>0</v>
      </c>
      <c r="BC110" s="233">
        <v>0</v>
      </c>
      <c r="BD110" s="233">
        <f>L110</f>
        <v>2.3859360000000001</v>
      </c>
      <c r="BF110" s="233">
        <f>F110*AM110</f>
        <v>0</v>
      </c>
      <c r="BG110" s="233">
        <f>F110*AN110</f>
        <v>0</v>
      </c>
      <c r="BH110" s="233">
        <f>F110*G110</f>
        <v>0</v>
      </c>
      <c r="BI110" s="233"/>
      <c r="BJ110" s="233">
        <v>56</v>
      </c>
      <c r="BU110" s="233" t="e">
        <f>#REF!</f>
        <v>#REF!</v>
      </c>
      <c r="BV110" s="225" t="s">
        <v>321</v>
      </c>
    </row>
    <row r="111" spans="1:74" ht="40.5" customHeight="1" x14ac:dyDescent="0.3">
      <c r="A111" s="241"/>
      <c r="B111" s="242" t="s">
        <v>165</v>
      </c>
      <c r="C111" s="530" t="s">
        <v>1980</v>
      </c>
      <c r="D111" s="531"/>
      <c r="E111" s="531"/>
      <c r="F111" s="531"/>
      <c r="G111" s="531"/>
      <c r="H111" s="531"/>
      <c r="I111" s="531"/>
      <c r="J111" s="531"/>
      <c r="K111" s="531"/>
      <c r="L111" s="531"/>
      <c r="M111" s="532"/>
    </row>
    <row r="112" spans="1:74" ht="14.4" x14ac:dyDescent="0.3">
      <c r="A112" s="239" t="s">
        <v>327</v>
      </c>
      <c r="B112" s="223" t="s">
        <v>323</v>
      </c>
      <c r="C112" s="521" t="s">
        <v>324</v>
      </c>
      <c r="D112" s="519"/>
      <c r="E112" s="223" t="s">
        <v>180</v>
      </c>
      <c r="F112" s="233">
        <v>5.26</v>
      </c>
      <c r="G112" s="311">
        <v>0</v>
      </c>
      <c r="H112" s="233">
        <f>F112*AM112</f>
        <v>0</v>
      </c>
      <c r="I112" s="233">
        <f>F112*AN112</f>
        <v>0</v>
      </c>
      <c r="J112" s="233">
        <f>F112*G112</f>
        <v>0</v>
      </c>
      <c r="K112" s="233">
        <v>0.21099999999999999</v>
      </c>
      <c r="L112" s="233">
        <f>F112*K112</f>
        <v>1.1098599999999998</v>
      </c>
      <c r="M112" s="240" t="s">
        <v>472</v>
      </c>
      <c r="X112" s="233">
        <f>IF(AO112="5",BH112,0)</f>
        <v>0</v>
      </c>
      <c r="Z112" s="233">
        <f>IF(AO112="1",BF112,0)</f>
        <v>0</v>
      </c>
      <c r="AA112" s="233">
        <f>IF(AO112="1",BG112,0)</f>
        <v>0</v>
      </c>
      <c r="AB112" s="233">
        <f>IF(AO112="7",BF112,0)</f>
        <v>0</v>
      </c>
      <c r="AC112" s="233">
        <f>IF(AO112="7",BG112,0)</f>
        <v>0</v>
      </c>
      <c r="AD112" s="233">
        <f>IF(AO112="2",BF112,0)</f>
        <v>0</v>
      </c>
      <c r="AE112" s="233">
        <f>IF(AO112="2",BG112,0)</f>
        <v>0</v>
      </c>
      <c r="AF112" s="233">
        <f>IF(AO112="0",BH112,0)</f>
        <v>0</v>
      </c>
      <c r="AG112" s="229" t="s">
        <v>154</v>
      </c>
      <c r="AH112" s="233">
        <f>IF(AL112=0,J112,0)</f>
        <v>0</v>
      </c>
      <c r="AI112" s="233">
        <f>IF(AL112=15,J112,0)</f>
        <v>0</v>
      </c>
      <c r="AJ112" s="233">
        <f>IF(AL112=21,J112,0)</f>
        <v>0</v>
      </c>
      <c r="AL112" s="233">
        <v>15</v>
      </c>
      <c r="AM112" s="233">
        <f>G112*0.593944298</f>
        <v>0</v>
      </c>
      <c r="AN112" s="233">
        <f>G112*(1-0.593944298)</f>
        <v>0</v>
      </c>
      <c r="AO112" s="234" t="s">
        <v>157</v>
      </c>
      <c r="AT112" s="233">
        <f>AU112+AV112</f>
        <v>0</v>
      </c>
      <c r="AU112" s="233">
        <f>F112*AM112</f>
        <v>0</v>
      </c>
      <c r="AV112" s="233">
        <f>F112*AN112</f>
        <v>0</v>
      </c>
      <c r="AW112" s="234" t="s">
        <v>310</v>
      </c>
      <c r="AX112" s="234" t="s">
        <v>311</v>
      </c>
      <c r="AY112" s="229" t="s">
        <v>164</v>
      </c>
      <c r="BA112" s="233">
        <f>AU112+AV112</f>
        <v>0</v>
      </c>
      <c r="BB112" s="233">
        <f>G112/(100-BC112)*100</f>
        <v>0</v>
      </c>
      <c r="BC112" s="233">
        <v>0</v>
      </c>
      <c r="BD112" s="233">
        <f>L112</f>
        <v>1.1098599999999998</v>
      </c>
      <c r="BF112" s="233">
        <f>F112*AM112</f>
        <v>0</v>
      </c>
      <c r="BG112" s="233">
        <f>F112*AN112</f>
        <v>0</v>
      </c>
      <c r="BH112" s="233">
        <f>F112*G112</f>
        <v>0</v>
      </c>
      <c r="BI112" s="233"/>
      <c r="BJ112" s="233">
        <v>56</v>
      </c>
      <c r="BU112" s="233" t="e">
        <f>#REF!</f>
        <v>#REF!</v>
      </c>
      <c r="BV112" s="225" t="s">
        <v>324</v>
      </c>
    </row>
    <row r="113" spans="1:74" ht="40.5" customHeight="1" x14ac:dyDescent="0.3">
      <c r="A113" s="241"/>
      <c r="B113" s="242" t="s">
        <v>165</v>
      </c>
      <c r="C113" s="530" t="s">
        <v>1981</v>
      </c>
      <c r="D113" s="531"/>
      <c r="E113" s="531"/>
      <c r="F113" s="531"/>
      <c r="G113" s="531"/>
      <c r="H113" s="531"/>
      <c r="I113" s="531"/>
      <c r="J113" s="531"/>
      <c r="K113" s="531"/>
      <c r="L113" s="531"/>
      <c r="M113" s="532"/>
    </row>
    <row r="114" spans="1:74" ht="14.4" x14ac:dyDescent="0.3">
      <c r="A114" s="239" t="s">
        <v>329</v>
      </c>
      <c r="B114" s="223" t="s">
        <v>1436</v>
      </c>
      <c r="C114" s="521" t="s">
        <v>1437</v>
      </c>
      <c r="D114" s="519"/>
      <c r="E114" s="223" t="s">
        <v>180</v>
      </c>
      <c r="F114" s="233">
        <v>5.13</v>
      </c>
      <c r="G114" s="311">
        <v>0</v>
      </c>
      <c r="H114" s="233">
        <f>F114*AM114</f>
        <v>0</v>
      </c>
      <c r="I114" s="233">
        <f>F114*AN114</f>
        <v>0</v>
      </c>
      <c r="J114" s="233">
        <f>F114*G114</f>
        <v>0</v>
      </c>
      <c r="K114" s="233">
        <v>0</v>
      </c>
      <c r="L114" s="233">
        <f>F114*K114</f>
        <v>0</v>
      </c>
      <c r="M114" s="240" t="s">
        <v>472</v>
      </c>
      <c r="X114" s="233">
        <f>IF(AO114="5",BH114,0)</f>
        <v>0</v>
      </c>
      <c r="Z114" s="233">
        <f>IF(AO114="1",BF114,0)</f>
        <v>0</v>
      </c>
      <c r="AA114" s="233">
        <f>IF(AO114="1",BG114,0)</f>
        <v>0</v>
      </c>
      <c r="AB114" s="233">
        <f>IF(AO114="7",BF114,0)</f>
        <v>0</v>
      </c>
      <c r="AC114" s="233">
        <f>IF(AO114="7",BG114,0)</f>
        <v>0</v>
      </c>
      <c r="AD114" s="233">
        <f>IF(AO114="2",BF114,0)</f>
        <v>0</v>
      </c>
      <c r="AE114" s="233">
        <f>IF(AO114="2",BG114,0)</f>
        <v>0</v>
      </c>
      <c r="AF114" s="233">
        <f>IF(AO114="0",BH114,0)</f>
        <v>0</v>
      </c>
      <c r="AG114" s="229" t="s">
        <v>154</v>
      </c>
      <c r="AH114" s="233">
        <f>IF(AL114=0,J114,0)</f>
        <v>0</v>
      </c>
      <c r="AI114" s="233">
        <f>IF(AL114=15,J114,0)</f>
        <v>0</v>
      </c>
      <c r="AJ114" s="233">
        <f>IF(AL114=21,J114,0)</f>
        <v>0</v>
      </c>
      <c r="AL114" s="233">
        <v>15</v>
      </c>
      <c r="AM114" s="233">
        <f>G114*0.898948598</f>
        <v>0</v>
      </c>
      <c r="AN114" s="233">
        <f>G114*(1-0.898948598)</f>
        <v>0</v>
      </c>
      <c r="AO114" s="234" t="s">
        <v>157</v>
      </c>
      <c r="AT114" s="233">
        <f>AU114+AV114</f>
        <v>0</v>
      </c>
      <c r="AU114" s="233">
        <f>F114*AM114</f>
        <v>0</v>
      </c>
      <c r="AV114" s="233">
        <f>F114*AN114</f>
        <v>0</v>
      </c>
      <c r="AW114" s="234" t="s">
        <v>310</v>
      </c>
      <c r="AX114" s="234" t="s">
        <v>311</v>
      </c>
      <c r="AY114" s="229" t="s">
        <v>164</v>
      </c>
      <c r="BA114" s="233">
        <f>AU114+AV114</f>
        <v>0</v>
      </c>
      <c r="BB114" s="233">
        <f>G114/(100-BC114)*100</f>
        <v>0</v>
      </c>
      <c r="BC114" s="233">
        <v>0</v>
      </c>
      <c r="BD114" s="233">
        <f>L114</f>
        <v>0</v>
      </c>
      <c r="BF114" s="233">
        <f>F114*AM114</f>
        <v>0</v>
      </c>
      <c r="BG114" s="233">
        <f>F114*AN114</f>
        <v>0</v>
      </c>
      <c r="BH114" s="233">
        <f>F114*G114</f>
        <v>0</v>
      </c>
      <c r="BI114" s="233"/>
      <c r="BJ114" s="233">
        <v>56</v>
      </c>
      <c r="BU114" s="233" t="e">
        <f>#REF!</f>
        <v>#REF!</v>
      </c>
      <c r="BV114" s="225" t="s">
        <v>1437</v>
      </c>
    </row>
    <row r="115" spans="1:74" ht="40.5" customHeight="1" x14ac:dyDescent="0.3">
      <c r="A115" s="241"/>
      <c r="B115" s="242" t="s">
        <v>165</v>
      </c>
      <c r="C115" s="530" t="s">
        <v>1982</v>
      </c>
      <c r="D115" s="531"/>
      <c r="E115" s="531"/>
      <c r="F115" s="531"/>
      <c r="G115" s="531"/>
      <c r="H115" s="531"/>
      <c r="I115" s="531"/>
      <c r="J115" s="531"/>
      <c r="K115" s="531"/>
      <c r="L115" s="531"/>
      <c r="M115" s="532"/>
    </row>
    <row r="116" spans="1:74" ht="14.4" x14ac:dyDescent="0.3">
      <c r="A116" s="239" t="s">
        <v>154</v>
      </c>
      <c r="B116" s="224" t="s">
        <v>335</v>
      </c>
      <c r="C116" s="526" t="s">
        <v>336</v>
      </c>
      <c r="D116" s="527"/>
      <c r="E116" s="223" t="s">
        <v>114</v>
      </c>
      <c r="F116" s="223" t="s">
        <v>114</v>
      </c>
      <c r="G116" s="223" t="s">
        <v>114</v>
      </c>
      <c r="H116" s="235">
        <f>SUM(H117:H117)</f>
        <v>0</v>
      </c>
      <c r="I116" s="235">
        <f>SUM(I117:I117)</f>
        <v>0</v>
      </c>
      <c r="J116" s="235">
        <f>SUM(J117:J117)</f>
        <v>0</v>
      </c>
      <c r="K116" s="230" t="s">
        <v>154</v>
      </c>
      <c r="L116" s="235">
        <f>SUM(L117:L117)</f>
        <v>3.6819999999999999E-3</v>
      </c>
      <c r="M116" s="243" t="s">
        <v>154</v>
      </c>
      <c r="AG116" s="229" t="s">
        <v>154</v>
      </c>
      <c r="AQ116" s="222">
        <f>SUM(AH117:AH117)</f>
        <v>0</v>
      </c>
      <c r="AR116" s="222">
        <f>SUM(AI117:AI117)</f>
        <v>0</v>
      </c>
      <c r="AS116" s="222">
        <f>SUM(AJ117:AJ117)</f>
        <v>0</v>
      </c>
    </row>
    <row r="117" spans="1:74" ht="14.4" x14ac:dyDescent="0.3">
      <c r="A117" s="239" t="s">
        <v>332</v>
      </c>
      <c r="B117" s="223" t="s">
        <v>342</v>
      </c>
      <c r="C117" s="521" t="s">
        <v>427</v>
      </c>
      <c r="D117" s="519"/>
      <c r="E117" s="223" t="s">
        <v>180</v>
      </c>
      <c r="F117" s="233">
        <v>5.26</v>
      </c>
      <c r="G117" s="311">
        <v>0</v>
      </c>
      <c r="H117" s="233">
        <f>F117*AM117</f>
        <v>0</v>
      </c>
      <c r="I117" s="233">
        <f>F117*AN117</f>
        <v>0</v>
      </c>
      <c r="J117" s="233">
        <f>F117*G117</f>
        <v>0</v>
      </c>
      <c r="K117" s="233">
        <v>6.9999999999999999E-4</v>
      </c>
      <c r="L117" s="233">
        <f>F117*K117</f>
        <v>3.6819999999999999E-3</v>
      </c>
      <c r="M117" s="240" t="s">
        <v>472</v>
      </c>
      <c r="X117" s="233">
        <f>IF(AO117="5",BH117,0)</f>
        <v>0</v>
      </c>
      <c r="Z117" s="233">
        <f>IF(AO117="1",BF117,0)</f>
        <v>0</v>
      </c>
      <c r="AA117" s="233">
        <f>IF(AO117="1",BG117,0)</f>
        <v>0</v>
      </c>
      <c r="AB117" s="233">
        <f>IF(AO117="7",BF117,0)</f>
        <v>0</v>
      </c>
      <c r="AC117" s="233">
        <f>IF(AO117="7",BG117,0)</f>
        <v>0</v>
      </c>
      <c r="AD117" s="233">
        <f>IF(AO117="2",BF117,0)</f>
        <v>0</v>
      </c>
      <c r="AE117" s="233">
        <f>IF(AO117="2",BG117,0)</f>
        <v>0</v>
      </c>
      <c r="AF117" s="233">
        <f>IF(AO117="0",BH117,0)</f>
        <v>0</v>
      </c>
      <c r="AG117" s="229" t="s">
        <v>154</v>
      </c>
      <c r="AH117" s="233">
        <f>IF(AL117=0,J117,0)</f>
        <v>0</v>
      </c>
      <c r="AI117" s="233">
        <f>IF(AL117=15,J117,0)</f>
        <v>0</v>
      </c>
      <c r="AJ117" s="233">
        <f>IF(AL117=21,J117,0)</f>
        <v>0</v>
      </c>
      <c r="AL117" s="233">
        <v>15</v>
      </c>
      <c r="AM117" s="233">
        <f>G117*0.931335206</f>
        <v>0</v>
      </c>
      <c r="AN117" s="233">
        <f>G117*(1-0.931335206)</f>
        <v>0</v>
      </c>
      <c r="AO117" s="234" t="s">
        <v>157</v>
      </c>
      <c r="AT117" s="233">
        <f>AU117+AV117</f>
        <v>0</v>
      </c>
      <c r="AU117" s="233">
        <f>F117*AM117</f>
        <v>0</v>
      </c>
      <c r="AV117" s="233">
        <f>F117*AN117</f>
        <v>0</v>
      </c>
      <c r="AW117" s="234" t="s">
        <v>340</v>
      </c>
      <c r="AX117" s="234" t="s">
        <v>311</v>
      </c>
      <c r="AY117" s="229" t="s">
        <v>164</v>
      </c>
      <c r="BA117" s="233">
        <f>AU117+AV117</f>
        <v>0</v>
      </c>
      <c r="BB117" s="233">
        <f>G117/(100-BC117)*100</f>
        <v>0</v>
      </c>
      <c r="BC117" s="233">
        <v>0</v>
      </c>
      <c r="BD117" s="233">
        <f>L117</f>
        <v>3.6819999999999999E-3</v>
      </c>
      <c r="BF117" s="233">
        <f>F117*AM117</f>
        <v>0</v>
      </c>
      <c r="BG117" s="233">
        <f>F117*AN117</f>
        <v>0</v>
      </c>
      <c r="BH117" s="233">
        <f>F117*G117</f>
        <v>0</v>
      </c>
      <c r="BI117" s="233"/>
      <c r="BJ117" s="233">
        <v>57</v>
      </c>
      <c r="BU117" s="233" t="e">
        <f>#REF!</f>
        <v>#REF!</v>
      </c>
      <c r="BV117" s="225" t="s">
        <v>427</v>
      </c>
    </row>
    <row r="118" spans="1:74" ht="40.5" customHeight="1" x14ac:dyDescent="0.3">
      <c r="A118" s="244"/>
      <c r="B118" s="245" t="s">
        <v>165</v>
      </c>
      <c r="C118" s="540" t="s">
        <v>1983</v>
      </c>
      <c r="D118" s="541"/>
      <c r="E118" s="541"/>
      <c r="F118" s="541"/>
      <c r="G118" s="541"/>
      <c r="H118" s="541"/>
      <c r="I118" s="541"/>
      <c r="J118" s="541"/>
      <c r="K118" s="541"/>
      <c r="L118" s="541"/>
      <c r="M118" s="542"/>
    </row>
    <row r="119" spans="1:74" ht="14.4" x14ac:dyDescent="0.3">
      <c r="A119" s="237" t="s">
        <v>154</v>
      </c>
      <c r="B119" s="260" t="s">
        <v>344</v>
      </c>
      <c r="C119" s="545" t="s">
        <v>345</v>
      </c>
      <c r="D119" s="546"/>
      <c r="E119" s="238" t="s">
        <v>114</v>
      </c>
      <c r="F119" s="238" t="s">
        <v>114</v>
      </c>
      <c r="G119" s="238" t="s">
        <v>114</v>
      </c>
      <c r="H119" s="261">
        <f>SUM(H120:H120)</f>
        <v>0</v>
      </c>
      <c r="I119" s="261">
        <f>SUM(I120:I120)</f>
        <v>0</v>
      </c>
      <c r="J119" s="261">
        <f>SUM(J120:J120)</f>
        <v>0</v>
      </c>
      <c r="K119" s="262" t="s">
        <v>154</v>
      </c>
      <c r="L119" s="261">
        <f>SUM(L120:L120)</f>
        <v>4.8642370000000001</v>
      </c>
      <c r="M119" s="263" t="s">
        <v>154</v>
      </c>
      <c r="AG119" s="229" t="s">
        <v>154</v>
      </c>
      <c r="AQ119" s="222">
        <f>SUM(AH120:AH120)</f>
        <v>0</v>
      </c>
      <c r="AR119" s="222">
        <f>SUM(AI120:AI120)</f>
        <v>0</v>
      </c>
      <c r="AS119" s="222">
        <f>SUM(AJ120:AJ120)</f>
        <v>0</v>
      </c>
    </row>
    <row r="120" spans="1:74" ht="14.4" x14ac:dyDescent="0.3">
      <c r="A120" s="239" t="s">
        <v>337</v>
      </c>
      <c r="B120" s="223" t="s">
        <v>347</v>
      </c>
      <c r="C120" s="521" t="s">
        <v>981</v>
      </c>
      <c r="D120" s="519"/>
      <c r="E120" s="223" t="s">
        <v>180</v>
      </c>
      <c r="F120" s="233">
        <v>4.09</v>
      </c>
      <c r="G120" s="311">
        <v>0</v>
      </c>
      <c r="H120" s="233">
        <f>F120*AM120</f>
        <v>0</v>
      </c>
      <c r="I120" s="233">
        <f>F120*AN120</f>
        <v>0</v>
      </c>
      <c r="J120" s="233">
        <f>F120*G120</f>
        <v>0</v>
      </c>
      <c r="K120" s="233">
        <v>1.1893</v>
      </c>
      <c r="L120" s="233">
        <f>F120*K120</f>
        <v>4.8642370000000001</v>
      </c>
      <c r="M120" s="240" t="s">
        <v>472</v>
      </c>
      <c r="X120" s="233">
        <f>IF(AO120="5",BH120,0)</f>
        <v>0</v>
      </c>
      <c r="Z120" s="233">
        <f>IF(AO120="1",BF120,0)</f>
        <v>0</v>
      </c>
      <c r="AA120" s="233">
        <f>IF(AO120="1",BG120,0)</f>
        <v>0</v>
      </c>
      <c r="AB120" s="233">
        <f>IF(AO120="7",BF120,0)</f>
        <v>0</v>
      </c>
      <c r="AC120" s="233">
        <f>IF(AO120="7",BG120,0)</f>
        <v>0</v>
      </c>
      <c r="AD120" s="233">
        <f>IF(AO120="2",BF120,0)</f>
        <v>0</v>
      </c>
      <c r="AE120" s="233">
        <f>IF(AO120="2",BG120,0)</f>
        <v>0</v>
      </c>
      <c r="AF120" s="233">
        <f>IF(AO120="0",BH120,0)</f>
        <v>0</v>
      </c>
      <c r="AG120" s="229" t="s">
        <v>154</v>
      </c>
      <c r="AH120" s="233">
        <f>IF(AL120=0,J120,0)</f>
        <v>0</v>
      </c>
      <c r="AI120" s="233">
        <f>IF(AL120=15,J120,0)</f>
        <v>0</v>
      </c>
      <c r="AJ120" s="233">
        <f>IF(AL120=21,J120,0)</f>
        <v>0</v>
      </c>
      <c r="AL120" s="233">
        <v>15</v>
      </c>
      <c r="AM120" s="233">
        <f>G120*0.546621928</f>
        <v>0</v>
      </c>
      <c r="AN120" s="233">
        <f>G120*(1-0.546621928)</f>
        <v>0</v>
      </c>
      <c r="AO120" s="234" t="s">
        <v>157</v>
      </c>
      <c r="AT120" s="233">
        <f>AU120+AV120</f>
        <v>0</v>
      </c>
      <c r="AU120" s="233">
        <f>F120*AM120</f>
        <v>0</v>
      </c>
      <c r="AV120" s="233">
        <f>F120*AN120</f>
        <v>0</v>
      </c>
      <c r="AW120" s="234" t="s">
        <v>349</v>
      </c>
      <c r="AX120" s="234" t="s">
        <v>311</v>
      </c>
      <c r="AY120" s="229" t="s">
        <v>164</v>
      </c>
      <c r="BA120" s="233">
        <f>AU120+AV120</f>
        <v>0</v>
      </c>
      <c r="BB120" s="233">
        <f>G120/(100-BC120)*100</f>
        <v>0</v>
      </c>
      <c r="BC120" s="233">
        <v>0</v>
      </c>
      <c r="BD120" s="233">
        <f>L120</f>
        <v>4.8642370000000001</v>
      </c>
      <c r="BF120" s="233">
        <f>F120*AM120</f>
        <v>0</v>
      </c>
      <c r="BG120" s="233">
        <f>F120*AN120</f>
        <v>0</v>
      </c>
      <c r="BH120" s="233">
        <f>F120*G120</f>
        <v>0</v>
      </c>
      <c r="BI120" s="233"/>
      <c r="BJ120" s="233">
        <v>59</v>
      </c>
      <c r="BU120" s="233" t="e">
        <f>#REF!</f>
        <v>#REF!</v>
      </c>
      <c r="BV120" s="225" t="s">
        <v>981</v>
      </c>
    </row>
    <row r="121" spans="1:74" ht="108" customHeight="1" x14ac:dyDescent="0.3">
      <c r="A121" s="241"/>
      <c r="B121" s="242" t="s">
        <v>165</v>
      </c>
      <c r="C121" s="530" t="s">
        <v>1984</v>
      </c>
      <c r="D121" s="531"/>
      <c r="E121" s="531"/>
      <c r="F121" s="531"/>
      <c r="G121" s="531"/>
      <c r="H121" s="531"/>
      <c r="I121" s="531"/>
      <c r="J121" s="531"/>
      <c r="K121" s="531"/>
      <c r="L121" s="531"/>
      <c r="M121" s="532"/>
    </row>
    <row r="122" spans="1:74" ht="14.4" x14ac:dyDescent="0.3">
      <c r="A122" s="239" t="s">
        <v>154</v>
      </c>
      <c r="B122" s="224" t="s">
        <v>539</v>
      </c>
      <c r="C122" s="526" t="s">
        <v>540</v>
      </c>
      <c r="D122" s="527"/>
      <c r="E122" s="223" t="s">
        <v>114</v>
      </c>
      <c r="F122" s="223" t="s">
        <v>114</v>
      </c>
      <c r="G122" s="223" t="s">
        <v>114</v>
      </c>
      <c r="H122" s="235">
        <f>SUM(H123:H127)</f>
        <v>0</v>
      </c>
      <c r="I122" s="235">
        <f>SUM(I123:I127)</f>
        <v>0</v>
      </c>
      <c r="J122" s="235">
        <f>SUM(J123:J127)</f>
        <v>0</v>
      </c>
      <c r="K122" s="230" t="s">
        <v>154</v>
      </c>
      <c r="L122" s="235">
        <f>SUM(L123:L127)</f>
        <v>5.2000000000000006E-4</v>
      </c>
      <c r="M122" s="243" t="s">
        <v>154</v>
      </c>
      <c r="AG122" s="229" t="s">
        <v>154</v>
      </c>
      <c r="AQ122" s="222">
        <f>SUM(AH123:AH127)</f>
        <v>0</v>
      </c>
      <c r="AR122" s="222">
        <f>SUM(AI123:AI127)</f>
        <v>0</v>
      </c>
      <c r="AS122" s="222">
        <f>SUM(AJ123:AJ127)</f>
        <v>0</v>
      </c>
    </row>
    <row r="123" spans="1:74" ht="14.4" x14ac:dyDescent="0.3">
      <c r="A123" s="239" t="s">
        <v>341</v>
      </c>
      <c r="B123" s="223" t="s">
        <v>1027</v>
      </c>
      <c r="C123" s="521" t="s">
        <v>1028</v>
      </c>
      <c r="D123" s="519"/>
      <c r="E123" s="223" t="s">
        <v>160</v>
      </c>
      <c r="F123" s="233">
        <v>18</v>
      </c>
      <c r="G123" s="311">
        <v>0</v>
      </c>
      <c r="H123" s="233">
        <f>F123*AM123</f>
        <v>0</v>
      </c>
      <c r="I123" s="233">
        <f>F123*AN123</f>
        <v>0</v>
      </c>
      <c r="J123" s="233">
        <f>F123*G123</f>
        <v>0</v>
      </c>
      <c r="K123" s="233">
        <v>1.0000000000000001E-5</v>
      </c>
      <c r="L123" s="233">
        <f>F123*K123</f>
        <v>1.8000000000000001E-4</v>
      </c>
      <c r="M123" s="240" t="s">
        <v>472</v>
      </c>
      <c r="X123" s="233">
        <f>IF(AO123="5",BH123,0)</f>
        <v>0</v>
      </c>
      <c r="Z123" s="233">
        <f>IF(AO123="1",BF123,0)</f>
        <v>0</v>
      </c>
      <c r="AA123" s="233">
        <f>IF(AO123="1",BG123,0)</f>
        <v>0</v>
      </c>
      <c r="AB123" s="233">
        <f>IF(AO123="7",BF123,0)</f>
        <v>0</v>
      </c>
      <c r="AC123" s="233">
        <f>IF(AO123="7",BG123,0)</f>
        <v>0</v>
      </c>
      <c r="AD123" s="233">
        <f>IF(AO123="2",BF123,0)</f>
        <v>0</v>
      </c>
      <c r="AE123" s="233">
        <f>IF(AO123="2",BG123,0)</f>
        <v>0</v>
      </c>
      <c r="AF123" s="233">
        <f>IF(AO123="0",BH123,0)</f>
        <v>0</v>
      </c>
      <c r="AG123" s="229" t="s">
        <v>154</v>
      </c>
      <c r="AH123" s="233">
        <f>IF(AL123=0,J123,0)</f>
        <v>0</v>
      </c>
      <c r="AI123" s="233">
        <f>IF(AL123=15,J123,0)</f>
        <v>0</v>
      </c>
      <c r="AJ123" s="233">
        <f>IF(AL123=21,J123,0)</f>
        <v>0</v>
      </c>
      <c r="AL123" s="233">
        <v>15</v>
      </c>
      <c r="AM123" s="233">
        <f>G123*0.005820106</f>
        <v>0</v>
      </c>
      <c r="AN123" s="233">
        <f>G123*(1-0.005820106)</f>
        <v>0</v>
      </c>
      <c r="AO123" s="234" t="s">
        <v>157</v>
      </c>
      <c r="AT123" s="233">
        <f>AU123+AV123</f>
        <v>0</v>
      </c>
      <c r="AU123" s="233">
        <f>F123*AM123</f>
        <v>0</v>
      </c>
      <c r="AV123" s="233">
        <f>F123*AN123</f>
        <v>0</v>
      </c>
      <c r="AW123" s="234" t="s">
        <v>543</v>
      </c>
      <c r="AX123" s="234" t="s">
        <v>356</v>
      </c>
      <c r="AY123" s="229" t="s">
        <v>164</v>
      </c>
      <c r="BA123" s="233">
        <f>AU123+AV123</f>
        <v>0</v>
      </c>
      <c r="BB123" s="233">
        <f>G123/(100-BC123)*100</f>
        <v>0</v>
      </c>
      <c r="BC123" s="233">
        <v>0</v>
      </c>
      <c r="BD123" s="233">
        <f>L123</f>
        <v>1.8000000000000001E-4</v>
      </c>
      <c r="BF123" s="233">
        <f>F123*AM123</f>
        <v>0</v>
      </c>
      <c r="BG123" s="233">
        <f>F123*AN123</f>
        <v>0</v>
      </c>
      <c r="BH123" s="233">
        <f>F123*G123</f>
        <v>0</v>
      </c>
      <c r="BI123" s="233"/>
      <c r="BJ123" s="233">
        <v>87</v>
      </c>
      <c r="BU123" s="233" t="e">
        <f>#REF!</f>
        <v>#REF!</v>
      </c>
      <c r="BV123" s="225" t="s">
        <v>1028</v>
      </c>
    </row>
    <row r="124" spans="1:74" ht="54" customHeight="1" x14ac:dyDescent="0.3">
      <c r="A124" s="241"/>
      <c r="B124" s="242" t="s">
        <v>165</v>
      </c>
      <c r="C124" s="530" t="s">
        <v>1985</v>
      </c>
      <c r="D124" s="531"/>
      <c r="E124" s="531"/>
      <c r="F124" s="531"/>
      <c r="G124" s="531"/>
      <c r="H124" s="531"/>
      <c r="I124" s="531"/>
      <c r="J124" s="531"/>
      <c r="K124" s="531"/>
      <c r="L124" s="531"/>
      <c r="M124" s="532"/>
    </row>
    <row r="125" spans="1:74" ht="14.4" x14ac:dyDescent="0.3">
      <c r="A125" s="239" t="s">
        <v>346</v>
      </c>
      <c r="B125" s="223" t="s">
        <v>894</v>
      </c>
      <c r="C125" s="521" t="s">
        <v>895</v>
      </c>
      <c r="D125" s="519"/>
      <c r="E125" s="223" t="s">
        <v>365</v>
      </c>
      <c r="F125" s="233">
        <v>1</v>
      </c>
      <c r="G125" s="311">
        <v>0</v>
      </c>
      <c r="H125" s="233">
        <f>F125*AM125</f>
        <v>0</v>
      </c>
      <c r="I125" s="233">
        <f>F125*AN125</f>
        <v>0</v>
      </c>
      <c r="J125" s="233">
        <f>F125*G125</f>
        <v>0</v>
      </c>
      <c r="K125" s="233">
        <v>4.0000000000000003E-5</v>
      </c>
      <c r="L125" s="233">
        <f>F125*K125</f>
        <v>4.0000000000000003E-5</v>
      </c>
      <c r="M125" s="240" t="s">
        <v>472</v>
      </c>
      <c r="X125" s="233">
        <f>IF(AO125="5",BH125,0)</f>
        <v>0</v>
      </c>
      <c r="Z125" s="233">
        <f>IF(AO125="1",BF125,0)</f>
        <v>0</v>
      </c>
      <c r="AA125" s="233">
        <f>IF(AO125="1",BG125,0)</f>
        <v>0</v>
      </c>
      <c r="AB125" s="233">
        <f>IF(AO125="7",BF125,0)</f>
        <v>0</v>
      </c>
      <c r="AC125" s="233">
        <f>IF(AO125="7",BG125,0)</f>
        <v>0</v>
      </c>
      <c r="AD125" s="233">
        <f>IF(AO125="2",BF125,0)</f>
        <v>0</v>
      </c>
      <c r="AE125" s="233">
        <f>IF(AO125="2",BG125,0)</f>
        <v>0</v>
      </c>
      <c r="AF125" s="233">
        <f>IF(AO125="0",BH125,0)</f>
        <v>0</v>
      </c>
      <c r="AG125" s="229" t="s">
        <v>154</v>
      </c>
      <c r="AH125" s="233">
        <f>IF(AL125=0,J125,0)</f>
        <v>0</v>
      </c>
      <c r="AI125" s="233">
        <f>IF(AL125=15,J125,0)</f>
        <v>0</v>
      </c>
      <c r="AJ125" s="233">
        <f>IF(AL125=21,J125,0)</f>
        <v>0</v>
      </c>
      <c r="AL125" s="233">
        <v>15</v>
      </c>
      <c r="AM125" s="233">
        <f>G125*0.007338129</f>
        <v>0</v>
      </c>
      <c r="AN125" s="233">
        <f>G125*(1-0.007338129)</f>
        <v>0</v>
      </c>
      <c r="AO125" s="234" t="s">
        <v>157</v>
      </c>
      <c r="AT125" s="233">
        <f>AU125+AV125</f>
        <v>0</v>
      </c>
      <c r="AU125" s="233">
        <f>F125*AM125</f>
        <v>0</v>
      </c>
      <c r="AV125" s="233">
        <f>F125*AN125</f>
        <v>0</v>
      </c>
      <c r="AW125" s="234" t="s">
        <v>543</v>
      </c>
      <c r="AX125" s="234" t="s">
        <v>356</v>
      </c>
      <c r="AY125" s="229" t="s">
        <v>164</v>
      </c>
      <c r="BA125" s="233">
        <f>AU125+AV125</f>
        <v>0</v>
      </c>
      <c r="BB125" s="233">
        <f>G125/(100-BC125)*100</f>
        <v>0</v>
      </c>
      <c r="BC125" s="233">
        <v>0</v>
      </c>
      <c r="BD125" s="233">
        <f>L125</f>
        <v>4.0000000000000003E-5</v>
      </c>
      <c r="BF125" s="233">
        <f>F125*AM125</f>
        <v>0</v>
      </c>
      <c r="BG125" s="233">
        <f>F125*AN125</f>
        <v>0</v>
      </c>
      <c r="BH125" s="233">
        <f>F125*G125</f>
        <v>0</v>
      </c>
      <c r="BI125" s="233"/>
      <c r="BJ125" s="233">
        <v>87</v>
      </c>
      <c r="BU125" s="233" t="e">
        <f>#REF!</f>
        <v>#REF!</v>
      </c>
      <c r="BV125" s="225" t="s">
        <v>895</v>
      </c>
    </row>
    <row r="126" spans="1:74" ht="54" customHeight="1" x14ac:dyDescent="0.3">
      <c r="A126" s="241"/>
      <c r="B126" s="242" t="s">
        <v>165</v>
      </c>
      <c r="C126" s="530" t="s">
        <v>1755</v>
      </c>
      <c r="D126" s="531"/>
      <c r="E126" s="531"/>
      <c r="F126" s="531"/>
      <c r="G126" s="531"/>
      <c r="H126" s="531"/>
      <c r="I126" s="531"/>
      <c r="J126" s="531"/>
      <c r="K126" s="531"/>
      <c r="L126" s="531"/>
      <c r="M126" s="532"/>
    </row>
    <row r="127" spans="1:74" ht="14.4" x14ac:dyDescent="0.3">
      <c r="A127" s="239" t="s">
        <v>352</v>
      </c>
      <c r="B127" s="223" t="s">
        <v>896</v>
      </c>
      <c r="C127" s="521" t="s">
        <v>897</v>
      </c>
      <c r="D127" s="519"/>
      <c r="E127" s="223" t="s">
        <v>365</v>
      </c>
      <c r="F127" s="233">
        <v>10</v>
      </c>
      <c r="G127" s="311">
        <v>0</v>
      </c>
      <c r="H127" s="233">
        <f>F127*AM127</f>
        <v>0</v>
      </c>
      <c r="I127" s="233">
        <f>F127*AN127</f>
        <v>0</v>
      </c>
      <c r="J127" s="233">
        <f>F127*G127</f>
        <v>0</v>
      </c>
      <c r="K127" s="233">
        <v>3.0000000000000001E-5</v>
      </c>
      <c r="L127" s="233">
        <f>F127*K127</f>
        <v>3.0000000000000003E-4</v>
      </c>
      <c r="M127" s="240" t="s">
        <v>472</v>
      </c>
      <c r="X127" s="233">
        <f>IF(AO127="5",BH127,0)</f>
        <v>0</v>
      </c>
      <c r="Z127" s="233">
        <f>IF(AO127="1",BF127,0)</f>
        <v>0</v>
      </c>
      <c r="AA127" s="233">
        <f>IF(AO127="1",BG127,0)</f>
        <v>0</v>
      </c>
      <c r="AB127" s="233">
        <f>IF(AO127="7",BF127,0)</f>
        <v>0</v>
      </c>
      <c r="AC127" s="233">
        <f>IF(AO127="7",BG127,0)</f>
        <v>0</v>
      </c>
      <c r="AD127" s="233">
        <f>IF(AO127="2",BF127,0)</f>
        <v>0</v>
      </c>
      <c r="AE127" s="233">
        <f>IF(AO127="2",BG127,0)</f>
        <v>0</v>
      </c>
      <c r="AF127" s="233">
        <f>IF(AO127="0",BH127,0)</f>
        <v>0</v>
      </c>
      <c r="AG127" s="229" t="s">
        <v>154</v>
      </c>
      <c r="AH127" s="233">
        <f>IF(AL127=0,J127,0)</f>
        <v>0</v>
      </c>
      <c r="AI127" s="233">
        <f>IF(AL127=15,J127,0)</f>
        <v>0</v>
      </c>
      <c r="AJ127" s="233">
        <f>IF(AL127=21,J127,0)</f>
        <v>0</v>
      </c>
      <c r="AL127" s="233">
        <v>15</v>
      </c>
      <c r="AM127" s="233">
        <f>G127*0.007120673</f>
        <v>0</v>
      </c>
      <c r="AN127" s="233">
        <f>G127*(1-0.007120673)</f>
        <v>0</v>
      </c>
      <c r="AO127" s="234" t="s">
        <v>157</v>
      </c>
      <c r="AT127" s="233">
        <f>AU127+AV127</f>
        <v>0</v>
      </c>
      <c r="AU127" s="233">
        <f>F127*AM127</f>
        <v>0</v>
      </c>
      <c r="AV127" s="233">
        <f>F127*AN127</f>
        <v>0</v>
      </c>
      <c r="AW127" s="234" t="s">
        <v>543</v>
      </c>
      <c r="AX127" s="234" t="s">
        <v>356</v>
      </c>
      <c r="AY127" s="229" t="s">
        <v>164</v>
      </c>
      <c r="BA127" s="233">
        <f>AU127+AV127</f>
        <v>0</v>
      </c>
      <c r="BB127" s="233">
        <f>G127/(100-BC127)*100</f>
        <v>0</v>
      </c>
      <c r="BC127" s="233">
        <v>0</v>
      </c>
      <c r="BD127" s="233">
        <f>L127</f>
        <v>3.0000000000000003E-4</v>
      </c>
      <c r="BF127" s="233">
        <f>F127*AM127</f>
        <v>0</v>
      </c>
      <c r="BG127" s="233">
        <f>F127*AN127</f>
        <v>0</v>
      </c>
      <c r="BH127" s="233">
        <f>F127*G127</f>
        <v>0</v>
      </c>
      <c r="BI127" s="233"/>
      <c r="BJ127" s="233">
        <v>87</v>
      </c>
      <c r="BU127" s="233" t="e">
        <f>#REF!</f>
        <v>#REF!</v>
      </c>
      <c r="BV127" s="225" t="s">
        <v>897</v>
      </c>
    </row>
    <row r="128" spans="1:74" ht="40.5" customHeight="1" x14ac:dyDescent="0.3">
      <c r="A128" s="241"/>
      <c r="B128" s="242" t="s">
        <v>165</v>
      </c>
      <c r="C128" s="530" t="s">
        <v>1986</v>
      </c>
      <c r="D128" s="531"/>
      <c r="E128" s="531"/>
      <c r="F128" s="531"/>
      <c r="G128" s="531"/>
      <c r="H128" s="531"/>
      <c r="I128" s="531"/>
      <c r="J128" s="531"/>
      <c r="K128" s="531"/>
      <c r="L128" s="531"/>
      <c r="M128" s="532"/>
    </row>
    <row r="129" spans="1:74" ht="14.4" x14ac:dyDescent="0.3">
      <c r="A129" s="239" t="s">
        <v>154</v>
      </c>
      <c r="B129" s="224" t="s">
        <v>360</v>
      </c>
      <c r="C129" s="526" t="s">
        <v>361</v>
      </c>
      <c r="D129" s="527"/>
      <c r="E129" s="223" t="s">
        <v>114</v>
      </c>
      <c r="F129" s="223" t="s">
        <v>114</v>
      </c>
      <c r="G129" s="223" t="s">
        <v>114</v>
      </c>
      <c r="H129" s="235">
        <f>SUM(H130:H142)</f>
        <v>0</v>
      </c>
      <c r="I129" s="235">
        <f>SUM(I130:I142)</f>
        <v>0</v>
      </c>
      <c r="J129" s="235">
        <f>SUM(J130:J142)</f>
        <v>0</v>
      </c>
      <c r="K129" s="230" t="s">
        <v>154</v>
      </c>
      <c r="L129" s="235">
        <f>SUM(L130:L142)</f>
        <v>0.48045999999999994</v>
      </c>
      <c r="M129" s="243" t="s">
        <v>154</v>
      </c>
      <c r="AG129" s="229" t="s">
        <v>154</v>
      </c>
      <c r="AQ129" s="222">
        <f>SUM(AH130:AH142)</f>
        <v>0</v>
      </c>
      <c r="AR129" s="222">
        <f>SUM(AI130:AI142)</f>
        <v>0</v>
      </c>
      <c r="AS129" s="222">
        <f>SUM(AJ130:AJ142)</f>
        <v>0</v>
      </c>
    </row>
    <row r="130" spans="1:74" ht="14.4" x14ac:dyDescent="0.3">
      <c r="A130" s="239" t="s">
        <v>357</v>
      </c>
      <c r="B130" s="223" t="s">
        <v>982</v>
      </c>
      <c r="C130" s="521" t="s">
        <v>1029</v>
      </c>
      <c r="D130" s="519"/>
      <c r="E130" s="223" t="s">
        <v>365</v>
      </c>
      <c r="F130" s="233">
        <v>1</v>
      </c>
      <c r="G130" s="311">
        <v>0</v>
      </c>
      <c r="H130" s="233">
        <f>F130*AM130</f>
        <v>0</v>
      </c>
      <c r="I130" s="233">
        <f>F130*AN130</f>
        <v>0</v>
      </c>
      <c r="J130" s="233">
        <f>F130*G130</f>
        <v>0</v>
      </c>
      <c r="K130" s="233">
        <v>0.23791999999999999</v>
      </c>
      <c r="L130" s="233">
        <f>F130*K130</f>
        <v>0.23791999999999999</v>
      </c>
      <c r="M130" s="240" t="s">
        <v>472</v>
      </c>
      <c r="X130" s="233">
        <f>IF(AO130="5",BH130,0)</f>
        <v>0</v>
      </c>
      <c r="Z130" s="233">
        <f>IF(AO130="1",BF130,0)</f>
        <v>0</v>
      </c>
      <c r="AA130" s="233">
        <f>IF(AO130="1",BG130,0)</f>
        <v>0</v>
      </c>
      <c r="AB130" s="233">
        <f>IF(AO130="7",BF130,0)</f>
        <v>0</v>
      </c>
      <c r="AC130" s="233">
        <f>IF(AO130="7",BG130,0)</f>
        <v>0</v>
      </c>
      <c r="AD130" s="233">
        <f>IF(AO130="2",BF130,0)</f>
        <v>0</v>
      </c>
      <c r="AE130" s="233">
        <f>IF(AO130="2",BG130,0)</f>
        <v>0</v>
      </c>
      <c r="AF130" s="233">
        <f>IF(AO130="0",BH130,0)</f>
        <v>0</v>
      </c>
      <c r="AG130" s="229" t="s">
        <v>154</v>
      </c>
      <c r="AH130" s="233">
        <f>IF(AL130=0,J130,0)</f>
        <v>0</v>
      </c>
      <c r="AI130" s="233">
        <f>IF(AL130=15,J130,0)</f>
        <v>0</v>
      </c>
      <c r="AJ130" s="233">
        <f>IF(AL130=21,J130,0)</f>
        <v>0</v>
      </c>
      <c r="AL130" s="233">
        <v>15</v>
      </c>
      <c r="AM130" s="233">
        <f>G130*0.930949869</f>
        <v>0</v>
      </c>
      <c r="AN130" s="233">
        <f>G130*(1-0.930949869)</f>
        <v>0</v>
      </c>
      <c r="AO130" s="234" t="s">
        <v>157</v>
      </c>
      <c r="AT130" s="233">
        <f>AU130+AV130</f>
        <v>0</v>
      </c>
      <c r="AU130" s="233">
        <f>F130*AM130</f>
        <v>0</v>
      </c>
      <c r="AV130" s="233">
        <f>F130*AN130</f>
        <v>0</v>
      </c>
      <c r="AW130" s="234" t="s">
        <v>366</v>
      </c>
      <c r="AX130" s="234" t="s">
        <v>356</v>
      </c>
      <c r="AY130" s="229" t="s">
        <v>164</v>
      </c>
      <c r="BA130" s="233">
        <f>AU130+AV130</f>
        <v>0</v>
      </c>
      <c r="BB130" s="233">
        <f>G130/(100-BC130)*100</f>
        <v>0</v>
      </c>
      <c r="BC130" s="233">
        <v>0</v>
      </c>
      <c r="BD130" s="233">
        <f>L130</f>
        <v>0.23791999999999999</v>
      </c>
      <c r="BF130" s="233">
        <f>F130*AM130</f>
        <v>0</v>
      </c>
      <c r="BG130" s="233">
        <f>F130*AN130</f>
        <v>0</v>
      </c>
      <c r="BH130" s="233">
        <f>F130*G130</f>
        <v>0</v>
      </c>
      <c r="BI130" s="233"/>
      <c r="BJ130" s="233">
        <v>89</v>
      </c>
      <c r="BU130" s="233" t="e">
        <f>#REF!</f>
        <v>#REF!</v>
      </c>
      <c r="BV130" s="225" t="s">
        <v>1029</v>
      </c>
    </row>
    <row r="131" spans="1:74" ht="135" customHeight="1" x14ac:dyDescent="0.3">
      <c r="A131" s="241"/>
      <c r="B131" s="242" t="s">
        <v>165</v>
      </c>
      <c r="C131" s="530" t="s">
        <v>1987</v>
      </c>
      <c r="D131" s="531"/>
      <c r="E131" s="531"/>
      <c r="F131" s="531"/>
      <c r="G131" s="531"/>
      <c r="H131" s="531"/>
      <c r="I131" s="531"/>
      <c r="J131" s="531"/>
      <c r="K131" s="531"/>
      <c r="L131" s="531"/>
      <c r="M131" s="532"/>
    </row>
    <row r="132" spans="1:74" ht="14.4" x14ac:dyDescent="0.3">
      <c r="A132" s="239" t="s">
        <v>362</v>
      </c>
      <c r="B132" s="223" t="s">
        <v>1030</v>
      </c>
      <c r="C132" s="521" t="s">
        <v>1031</v>
      </c>
      <c r="D132" s="519"/>
      <c r="E132" s="223" t="s">
        <v>365</v>
      </c>
      <c r="F132" s="233">
        <v>1</v>
      </c>
      <c r="G132" s="311">
        <v>0</v>
      </c>
      <c r="H132" s="233">
        <f>F132*AM132</f>
        <v>0</v>
      </c>
      <c r="I132" s="233">
        <f>F132*AN132</f>
        <v>0</v>
      </c>
      <c r="J132" s="233">
        <f>F132*G132</f>
        <v>0</v>
      </c>
      <c r="K132" s="233">
        <v>0.24171999999999999</v>
      </c>
      <c r="L132" s="233">
        <f>F132*K132</f>
        <v>0.24171999999999999</v>
      </c>
      <c r="M132" s="240" t="s">
        <v>472</v>
      </c>
      <c r="X132" s="233">
        <f>IF(AO132="5",BH132,0)</f>
        <v>0</v>
      </c>
      <c r="Z132" s="233">
        <f>IF(AO132="1",BF132,0)</f>
        <v>0</v>
      </c>
      <c r="AA132" s="233">
        <f>IF(AO132="1",BG132,0)</f>
        <v>0</v>
      </c>
      <c r="AB132" s="233">
        <f>IF(AO132="7",BF132,0)</f>
        <v>0</v>
      </c>
      <c r="AC132" s="233">
        <f>IF(AO132="7",BG132,0)</f>
        <v>0</v>
      </c>
      <c r="AD132" s="233">
        <f>IF(AO132="2",BF132,0)</f>
        <v>0</v>
      </c>
      <c r="AE132" s="233">
        <f>IF(AO132="2",BG132,0)</f>
        <v>0</v>
      </c>
      <c r="AF132" s="233">
        <f>IF(AO132="0",BH132,0)</f>
        <v>0</v>
      </c>
      <c r="AG132" s="229" t="s">
        <v>154</v>
      </c>
      <c r="AH132" s="233">
        <f>IF(AL132=0,J132,0)</f>
        <v>0</v>
      </c>
      <c r="AI132" s="233">
        <f>IF(AL132=15,J132,0)</f>
        <v>0</v>
      </c>
      <c r="AJ132" s="233">
        <f>IF(AL132=21,J132,0)</f>
        <v>0</v>
      </c>
      <c r="AL132" s="233">
        <v>15</v>
      </c>
      <c r="AM132" s="233">
        <f>G132*0.935147224</f>
        <v>0</v>
      </c>
      <c r="AN132" s="233">
        <f>G132*(1-0.935147224)</f>
        <v>0</v>
      </c>
      <c r="AO132" s="234" t="s">
        <v>157</v>
      </c>
      <c r="AT132" s="233">
        <f>AU132+AV132</f>
        <v>0</v>
      </c>
      <c r="AU132" s="233">
        <f>F132*AM132</f>
        <v>0</v>
      </c>
      <c r="AV132" s="233">
        <f>F132*AN132</f>
        <v>0</v>
      </c>
      <c r="AW132" s="234" t="s">
        <v>366</v>
      </c>
      <c r="AX132" s="234" t="s">
        <v>356</v>
      </c>
      <c r="AY132" s="229" t="s">
        <v>164</v>
      </c>
      <c r="BA132" s="233">
        <f>AU132+AV132</f>
        <v>0</v>
      </c>
      <c r="BB132" s="233">
        <f>G132/(100-BC132)*100</f>
        <v>0</v>
      </c>
      <c r="BC132" s="233">
        <v>0</v>
      </c>
      <c r="BD132" s="233">
        <f>L132</f>
        <v>0.24171999999999999</v>
      </c>
      <c r="BF132" s="233">
        <f>F132*AM132</f>
        <v>0</v>
      </c>
      <c r="BG132" s="233">
        <f>F132*AN132</f>
        <v>0</v>
      </c>
      <c r="BH132" s="233">
        <f>F132*G132</f>
        <v>0</v>
      </c>
      <c r="BI132" s="233"/>
      <c r="BJ132" s="233">
        <v>89</v>
      </c>
      <c r="BU132" s="233" t="e">
        <f>#REF!</f>
        <v>#REF!</v>
      </c>
      <c r="BV132" s="225" t="s">
        <v>1031</v>
      </c>
    </row>
    <row r="133" spans="1:74" ht="135" customHeight="1" x14ac:dyDescent="0.3">
      <c r="A133" s="241"/>
      <c r="B133" s="242" t="s">
        <v>165</v>
      </c>
      <c r="C133" s="530" t="s">
        <v>1988</v>
      </c>
      <c r="D133" s="531"/>
      <c r="E133" s="531"/>
      <c r="F133" s="531"/>
      <c r="G133" s="531"/>
      <c r="H133" s="531"/>
      <c r="I133" s="531"/>
      <c r="J133" s="531"/>
      <c r="K133" s="531"/>
      <c r="L133" s="531"/>
      <c r="M133" s="532"/>
    </row>
    <row r="134" spans="1:74" ht="14.4" x14ac:dyDescent="0.3">
      <c r="A134" s="239" t="s">
        <v>367</v>
      </c>
      <c r="B134" s="223" t="s">
        <v>984</v>
      </c>
      <c r="C134" s="521" t="s">
        <v>985</v>
      </c>
      <c r="D134" s="519"/>
      <c r="E134" s="223" t="s">
        <v>160</v>
      </c>
      <c r="F134" s="233">
        <v>18</v>
      </c>
      <c r="G134" s="311">
        <v>0</v>
      </c>
      <c r="H134" s="233">
        <f>F134*AM134</f>
        <v>0</v>
      </c>
      <c r="I134" s="233">
        <f>F134*AN134</f>
        <v>0</v>
      </c>
      <c r="J134" s="233">
        <f>F134*G134</f>
        <v>0</v>
      </c>
      <c r="K134" s="233">
        <v>0</v>
      </c>
      <c r="L134" s="233">
        <f>F134*K134</f>
        <v>0</v>
      </c>
      <c r="M134" s="240" t="s">
        <v>472</v>
      </c>
      <c r="X134" s="233">
        <f>IF(AO134="5",BH134,0)</f>
        <v>0</v>
      </c>
      <c r="Z134" s="233">
        <f>IF(AO134="1",BF134,0)</f>
        <v>0</v>
      </c>
      <c r="AA134" s="233">
        <f>IF(AO134="1",BG134,0)</f>
        <v>0</v>
      </c>
      <c r="AB134" s="233">
        <f>IF(AO134="7",BF134,0)</f>
        <v>0</v>
      </c>
      <c r="AC134" s="233">
        <f>IF(AO134="7",BG134,0)</f>
        <v>0</v>
      </c>
      <c r="AD134" s="233">
        <f>IF(AO134="2",BF134,0)</f>
        <v>0</v>
      </c>
      <c r="AE134" s="233">
        <f>IF(AO134="2",BG134,0)</f>
        <v>0</v>
      </c>
      <c r="AF134" s="233">
        <f>IF(AO134="0",BH134,0)</f>
        <v>0</v>
      </c>
      <c r="AG134" s="229" t="s">
        <v>154</v>
      </c>
      <c r="AH134" s="233">
        <f>IF(AL134=0,J134,0)</f>
        <v>0</v>
      </c>
      <c r="AI134" s="233">
        <f>IF(AL134=15,J134,0)</f>
        <v>0</v>
      </c>
      <c r="AJ134" s="233">
        <f>IF(AL134=21,J134,0)</f>
        <v>0</v>
      </c>
      <c r="AL134" s="233">
        <v>15</v>
      </c>
      <c r="AM134" s="233">
        <f>G134*0.00622093</f>
        <v>0</v>
      </c>
      <c r="AN134" s="233">
        <f>G134*(1-0.00622093)</f>
        <v>0</v>
      </c>
      <c r="AO134" s="234" t="s">
        <v>157</v>
      </c>
      <c r="AT134" s="233">
        <f>AU134+AV134</f>
        <v>0</v>
      </c>
      <c r="AU134" s="233">
        <f>F134*AM134</f>
        <v>0</v>
      </c>
      <c r="AV134" s="233">
        <f>F134*AN134</f>
        <v>0</v>
      </c>
      <c r="AW134" s="234" t="s">
        <v>366</v>
      </c>
      <c r="AX134" s="234" t="s">
        <v>356</v>
      </c>
      <c r="AY134" s="229" t="s">
        <v>164</v>
      </c>
      <c r="BA134" s="233">
        <f>AU134+AV134</f>
        <v>0</v>
      </c>
      <c r="BB134" s="233">
        <f>G134/(100-BC134)*100</f>
        <v>0</v>
      </c>
      <c r="BC134" s="233">
        <v>0</v>
      </c>
      <c r="BD134" s="233">
        <f>L134</f>
        <v>0</v>
      </c>
      <c r="BF134" s="233">
        <f>F134*AM134</f>
        <v>0</v>
      </c>
      <c r="BG134" s="233">
        <f>F134*AN134</f>
        <v>0</v>
      </c>
      <c r="BH134" s="233">
        <f>F134*G134</f>
        <v>0</v>
      </c>
      <c r="BI134" s="233"/>
      <c r="BJ134" s="233">
        <v>89</v>
      </c>
      <c r="BU134" s="233" t="e">
        <f>#REF!</f>
        <v>#REF!</v>
      </c>
      <c r="BV134" s="225" t="s">
        <v>985</v>
      </c>
    </row>
    <row r="135" spans="1:74" ht="40.5" customHeight="1" x14ac:dyDescent="0.3">
      <c r="A135" s="241"/>
      <c r="B135" s="242" t="s">
        <v>165</v>
      </c>
      <c r="C135" s="530" t="s">
        <v>1758</v>
      </c>
      <c r="D135" s="531"/>
      <c r="E135" s="531"/>
      <c r="F135" s="531"/>
      <c r="G135" s="531"/>
      <c r="H135" s="531"/>
      <c r="I135" s="531"/>
      <c r="J135" s="531"/>
      <c r="K135" s="531"/>
      <c r="L135" s="531"/>
      <c r="M135" s="532"/>
    </row>
    <row r="136" spans="1:74" ht="14.4" x14ac:dyDescent="0.3">
      <c r="A136" s="239" t="s">
        <v>305</v>
      </c>
      <c r="B136" s="223" t="s">
        <v>922</v>
      </c>
      <c r="C136" s="521" t="s">
        <v>923</v>
      </c>
      <c r="D136" s="519"/>
      <c r="E136" s="223" t="s">
        <v>924</v>
      </c>
      <c r="F136" s="233">
        <v>2</v>
      </c>
      <c r="G136" s="311">
        <v>0</v>
      </c>
      <c r="H136" s="233">
        <f>F136*AM136</f>
        <v>0</v>
      </c>
      <c r="I136" s="233">
        <f>F136*AN136</f>
        <v>0</v>
      </c>
      <c r="J136" s="233">
        <f>F136*G136</f>
        <v>0</v>
      </c>
      <c r="K136" s="233">
        <v>4.0999999999999999E-4</v>
      </c>
      <c r="L136" s="233">
        <f>F136*K136</f>
        <v>8.1999999999999998E-4</v>
      </c>
      <c r="M136" s="240" t="s">
        <v>472</v>
      </c>
      <c r="X136" s="233">
        <f>IF(AO136="5",BH136,0)</f>
        <v>0</v>
      </c>
      <c r="Z136" s="233">
        <f>IF(AO136="1",BF136,0)</f>
        <v>0</v>
      </c>
      <c r="AA136" s="233">
        <f>IF(AO136="1",BG136,0)</f>
        <v>0</v>
      </c>
      <c r="AB136" s="233">
        <f>IF(AO136="7",BF136,0)</f>
        <v>0</v>
      </c>
      <c r="AC136" s="233">
        <f>IF(AO136="7",BG136,0)</f>
        <v>0</v>
      </c>
      <c r="AD136" s="233">
        <f>IF(AO136="2",BF136,0)</f>
        <v>0</v>
      </c>
      <c r="AE136" s="233">
        <f>IF(AO136="2",BG136,0)</f>
        <v>0</v>
      </c>
      <c r="AF136" s="233">
        <f>IF(AO136="0",BH136,0)</f>
        <v>0</v>
      </c>
      <c r="AG136" s="229" t="s">
        <v>154</v>
      </c>
      <c r="AH136" s="233">
        <f>IF(AL136=0,J136,0)</f>
        <v>0</v>
      </c>
      <c r="AI136" s="233">
        <f>IF(AL136=15,J136,0)</f>
        <v>0</v>
      </c>
      <c r="AJ136" s="233">
        <f>IF(AL136=21,J136,0)</f>
        <v>0</v>
      </c>
      <c r="AL136" s="233">
        <v>15</v>
      </c>
      <c r="AM136" s="233">
        <f>G136*0.120871568</f>
        <v>0</v>
      </c>
      <c r="AN136" s="233">
        <f>G136*(1-0.120871568)</f>
        <v>0</v>
      </c>
      <c r="AO136" s="234" t="s">
        <v>157</v>
      </c>
      <c r="AT136" s="233">
        <f>AU136+AV136</f>
        <v>0</v>
      </c>
      <c r="AU136" s="233">
        <f>F136*AM136</f>
        <v>0</v>
      </c>
      <c r="AV136" s="233">
        <f>F136*AN136</f>
        <v>0</v>
      </c>
      <c r="AW136" s="234" t="s">
        <v>366</v>
      </c>
      <c r="AX136" s="234" t="s">
        <v>356</v>
      </c>
      <c r="AY136" s="229" t="s">
        <v>164</v>
      </c>
      <c r="BA136" s="233">
        <f>AU136+AV136</f>
        <v>0</v>
      </c>
      <c r="BB136" s="233">
        <f>G136/(100-BC136)*100</f>
        <v>0</v>
      </c>
      <c r="BC136" s="233">
        <v>0</v>
      </c>
      <c r="BD136" s="233">
        <f>L136</f>
        <v>8.1999999999999998E-4</v>
      </c>
      <c r="BF136" s="233">
        <f>F136*AM136</f>
        <v>0</v>
      </c>
      <c r="BG136" s="233">
        <f>F136*AN136</f>
        <v>0</v>
      </c>
      <c r="BH136" s="233">
        <f>F136*G136</f>
        <v>0</v>
      </c>
      <c r="BI136" s="233"/>
      <c r="BJ136" s="233">
        <v>89</v>
      </c>
      <c r="BU136" s="233" t="e">
        <f>#REF!</f>
        <v>#REF!</v>
      </c>
      <c r="BV136" s="225" t="s">
        <v>923</v>
      </c>
    </row>
    <row r="137" spans="1:74" ht="40.5" customHeight="1" x14ac:dyDescent="0.3">
      <c r="A137" s="241"/>
      <c r="B137" s="242" t="s">
        <v>165</v>
      </c>
      <c r="C137" s="530" t="s">
        <v>1989</v>
      </c>
      <c r="D137" s="531"/>
      <c r="E137" s="531"/>
      <c r="F137" s="531"/>
      <c r="G137" s="531"/>
      <c r="H137" s="531"/>
      <c r="I137" s="531"/>
      <c r="J137" s="531"/>
      <c r="K137" s="531"/>
      <c r="L137" s="531"/>
      <c r="M137" s="532"/>
    </row>
    <row r="138" spans="1:74" ht="14.4" x14ac:dyDescent="0.3">
      <c r="A138" s="239" t="s">
        <v>335</v>
      </c>
      <c r="B138" s="223" t="s">
        <v>925</v>
      </c>
      <c r="C138" s="521" t="s">
        <v>926</v>
      </c>
      <c r="D138" s="519"/>
      <c r="E138" s="223" t="s">
        <v>160</v>
      </c>
      <c r="F138" s="233">
        <v>18</v>
      </c>
      <c r="G138" s="311">
        <v>0</v>
      </c>
      <c r="H138" s="233">
        <f>F138*AM138</f>
        <v>0</v>
      </c>
      <c r="I138" s="233">
        <f>F138*AN138</f>
        <v>0</v>
      </c>
      <c r="J138" s="233">
        <f>F138*G138</f>
        <v>0</v>
      </c>
      <c r="K138" s="233">
        <v>0</v>
      </c>
      <c r="L138" s="233">
        <f>F138*K138</f>
        <v>0</v>
      </c>
      <c r="M138" s="240" t="s">
        <v>472</v>
      </c>
      <c r="X138" s="233">
        <f>IF(AO138="5",BH138,0)</f>
        <v>0</v>
      </c>
      <c r="Z138" s="233">
        <f>IF(AO138="1",BF138,0)</f>
        <v>0</v>
      </c>
      <c r="AA138" s="233">
        <f>IF(AO138="1",BG138,0)</f>
        <v>0</v>
      </c>
      <c r="AB138" s="233">
        <f>IF(AO138="7",BF138,0)</f>
        <v>0</v>
      </c>
      <c r="AC138" s="233">
        <f>IF(AO138="7",BG138,0)</f>
        <v>0</v>
      </c>
      <c r="AD138" s="233">
        <f>IF(AO138="2",BF138,0)</f>
        <v>0</v>
      </c>
      <c r="AE138" s="233">
        <f>IF(AO138="2",BG138,0)</f>
        <v>0</v>
      </c>
      <c r="AF138" s="233">
        <f>IF(AO138="0",BH138,0)</f>
        <v>0</v>
      </c>
      <c r="AG138" s="229" t="s">
        <v>154</v>
      </c>
      <c r="AH138" s="233">
        <f>IF(AL138=0,J138,0)</f>
        <v>0</v>
      </c>
      <c r="AI138" s="233">
        <f>IF(AL138=15,J138,0)</f>
        <v>0</v>
      </c>
      <c r="AJ138" s="233">
        <f>IF(AL138=21,J138,0)</f>
        <v>0</v>
      </c>
      <c r="AL138" s="233">
        <v>15</v>
      </c>
      <c r="AM138" s="233">
        <f>G138*0.092260692</f>
        <v>0</v>
      </c>
      <c r="AN138" s="233">
        <f>G138*(1-0.092260692)</f>
        <v>0</v>
      </c>
      <c r="AO138" s="234" t="s">
        <v>157</v>
      </c>
      <c r="AT138" s="233">
        <f>AU138+AV138</f>
        <v>0</v>
      </c>
      <c r="AU138" s="233">
        <f>F138*AM138</f>
        <v>0</v>
      </c>
      <c r="AV138" s="233">
        <f>F138*AN138</f>
        <v>0</v>
      </c>
      <c r="AW138" s="234" t="s">
        <v>366</v>
      </c>
      <c r="AX138" s="234" t="s">
        <v>356</v>
      </c>
      <c r="AY138" s="229" t="s">
        <v>164</v>
      </c>
      <c r="BA138" s="233">
        <f>AU138+AV138</f>
        <v>0</v>
      </c>
      <c r="BB138" s="233">
        <f>G138/(100-BC138)*100</f>
        <v>0</v>
      </c>
      <c r="BC138" s="233">
        <v>0</v>
      </c>
      <c r="BD138" s="233">
        <f>L138</f>
        <v>0</v>
      </c>
      <c r="BF138" s="233">
        <f>F138*AM138</f>
        <v>0</v>
      </c>
      <c r="BG138" s="233">
        <f>F138*AN138</f>
        <v>0</v>
      </c>
      <c r="BH138" s="233">
        <f>F138*G138</f>
        <v>0</v>
      </c>
      <c r="BI138" s="233"/>
      <c r="BJ138" s="233">
        <v>89</v>
      </c>
      <c r="BU138" s="233" t="e">
        <f>#REF!</f>
        <v>#REF!</v>
      </c>
      <c r="BV138" s="225" t="s">
        <v>926</v>
      </c>
    </row>
    <row r="139" spans="1:74" ht="40.5" customHeight="1" x14ac:dyDescent="0.3">
      <c r="A139" s="241"/>
      <c r="B139" s="242" t="s">
        <v>165</v>
      </c>
      <c r="C139" s="530" t="s">
        <v>1760</v>
      </c>
      <c r="D139" s="531"/>
      <c r="E139" s="531"/>
      <c r="F139" s="531"/>
      <c r="G139" s="531"/>
      <c r="H139" s="531"/>
      <c r="I139" s="531"/>
      <c r="J139" s="531"/>
      <c r="K139" s="531"/>
      <c r="L139" s="531"/>
      <c r="M139" s="532"/>
    </row>
    <row r="140" spans="1:74" ht="14.4" x14ac:dyDescent="0.3">
      <c r="A140" s="239" t="s">
        <v>384</v>
      </c>
      <c r="B140" s="223" t="s">
        <v>986</v>
      </c>
      <c r="C140" s="521" t="s">
        <v>987</v>
      </c>
      <c r="D140" s="519"/>
      <c r="E140" s="223" t="s">
        <v>160</v>
      </c>
      <c r="F140" s="233">
        <v>18</v>
      </c>
      <c r="G140" s="311">
        <v>0</v>
      </c>
      <c r="H140" s="233">
        <f>F140*AM140</f>
        <v>0</v>
      </c>
      <c r="I140" s="233">
        <f>F140*AN140</f>
        <v>0</v>
      </c>
      <c r="J140" s="233">
        <f>F140*G140</f>
        <v>0</v>
      </c>
      <c r="K140" s="233">
        <v>0</v>
      </c>
      <c r="L140" s="233">
        <f>F140*K140</f>
        <v>0</v>
      </c>
      <c r="M140" s="240" t="s">
        <v>472</v>
      </c>
      <c r="X140" s="233">
        <f>IF(AO140="5",BH140,0)</f>
        <v>0</v>
      </c>
      <c r="Z140" s="233">
        <f>IF(AO140="1",BF140,0)</f>
        <v>0</v>
      </c>
      <c r="AA140" s="233">
        <f>IF(AO140="1",BG140,0)</f>
        <v>0</v>
      </c>
      <c r="AB140" s="233">
        <f>IF(AO140="7",BF140,0)</f>
        <v>0</v>
      </c>
      <c r="AC140" s="233">
        <f>IF(AO140="7",BG140,0)</f>
        <v>0</v>
      </c>
      <c r="AD140" s="233">
        <f>IF(AO140="2",BF140,0)</f>
        <v>0</v>
      </c>
      <c r="AE140" s="233">
        <f>IF(AO140="2",BG140,0)</f>
        <v>0</v>
      </c>
      <c r="AF140" s="233">
        <f>IF(AO140="0",BH140,0)</f>
        <v>0</v>
      </c>
      <c r="AG140" s="229" t="s">
        <v>154</v>
      </c>
      <c r="AH140" s="233">
        <f>IF(AL140=0,J140,0)</f>
        <v>0</v>
      </c>
      <c r="AI140" s="233">
        <f>IF(AL140=15,J140,0)</f>
        <v>0</v>
      </c>
      <c r="AJ140" s="233">
        <f>IF(AL140=21,J140,0)</f>
        <v>0</v>
      </c>
      <c r="AL140" s="233">
        <v>15</v>
      </c>
      <c r="AM140" s="233">
        <f>G140*0</f>
        <v>0</v>
      </c>
      <c r="AN140" s="233">
        <f>G140*(1-0)</f>
        <v>0</v>
      </c>
      <c r="AO140" s="234" t="s">
        <v>157</v>
      </c>
      <c r="AT140" s="233">
        <f>AU140+AV140</f>
        <v>0</v>
      </c>
      <c r="AU140" s="233">
        <f>F140*AM140</f>
        <v>0</v>
      </c>
      <c r="AV140" s="233">
        <f>F140*AN140</f>
        <v>0</v>
      </c>
      <c r="AW140" s="234" t="s">
        <v>366</v>
      </c>
      <c r="AX140" s="234" t="s">
        <v>356</v>
      </c>
      <c r="AY140" s="229" t="s">
        <v>164</v>
      </c>
      <c r="BA140" s="233">
        <f>AU140+AV140</f>
        <v>0</v>
      </c>
      <c r="BB140" s="233">
        <f>G140/(100-BC140)*100</f>
        <v>0</v>
      </c>
      <c r="BC140" s="233">
        <v>0</v>
      </c>
      <c r="BD140" s="233">
        <f>L140</f>
        <v>0</v>
      </c>
      <c r="BF140" s="233">
        <f>F140*AM140</f>
        <v>0</v>
      </c>
      <c r="BG140" s="233">
        <f>F140*AN140</f>
        <v>0</v>
      </c>
      <c r="BH140" s="233">
        <f>F140*G140</f>
        <v>0</v>
      </c>
      <c r="BI140" s="233"/>
      <c r="BJ140" s="233">
        <v>89</v>
      </c>
      <c r="BU140" s="233" t="e">
        <f>#REF!</f>
        <v>#REF!</v>
      </c>
      <c r="BV140" s="225" t="s">
        <v>987</v>
      </c>
    </row>
    <row r="141" spans="1:74" ht="40.5" customHeight="1" x14ac:dyDescent="0.3">
      <c r="A141" s="241"/>
      <c r="B141" s="242" t="s">
        <v>165</v>
      </c>
      <c r="C141" s="530" t="s">
        <v>1761</v>
      </c>
      <c r="D141" s="531"/>
      <c r="E141" s="531"/>
      <c r="F141" s="531"/>
      <c r="G141" s="531"/>
      <c r="H141" s="531"/>
      <c r="I141" s="531"/>
      <c r="J141" s="531"/>
      <c r="K141" s="531"/>
      <c r="L141" s="531"/>
      <c r="M141" s="532"/>
    </row>
    <row r="142" spans="1:74" ht="14.4" x14ac:dyDescent="0.3">
      <c r="A142" s="239" t="s">
        <v>344</v>
      </c>
      <c r="B142" s="223" t="s">
        <v>438</v>
      </c>
      <c r="C142" s="521" t="s">
        <v>439</v>
      </c>
      <c r="D142" s="519"/>
      <c r="E142" s="223" t="s">
        <v>160</v>
      </c>
      <c r="F142" s="233">
        <v>19.8</v>
      </c>
      <c r="G142" s="311">
        <v>0</v>
      </c>
      <c r="H142" s="233">
        <f>F142*AM142</f>
        <v>0</v>
      </c>
      <c r="I142" s="233">
        <f>F142*AN142</f>
        <v>0</v>
      </c>
      <c r="J142" s="233">
        <f>F142*G142</f>
        <v>0</v>
      </c>
      <c r="K142" s="233">
        <v>0</v>
      </c>
      <c r="L142" s="233">
        <f>F142*K142</f>
        <v>0</v>
      </c>
      <c r="M142" s="240" t="s">
        <v>472</v>
      </c>
      <c r="X142" s="233">
        <f>IF(AO142="5",BH142,0)</f>
        <v>0</v>
      </c>
      <c r="Z142" s="233">
        <f>IF(AO142="1",BF142,0)</f>
        <v>0</v>
      </c>
      <c r="AA142" s="233">
        <f>IF(AO142="1",BG142,0)</f>
        <v>0</v>
      </c>
      <c r="AB142" s="233">
        <f>IF(AO142="7",BF142,0)</f>
        <v>0</v>
      </c>
      <c r="AC142" s="233">
        <f>IF(AO142="7",BG142,0)</f>
        <v>0</v>
      </c>
      <c r="AD142" s="233">
        <f>IF(AO142="2",BF142,0)</f>
        <v>0</v>
      </c>
      <c r="AE142" s="233">
        <f>IF(AO142="2",BG142,0)</f>
        <v>0</v>
      </c>
      <c r="AF142" s="233">
        <f>IF(AO142="0",BH142,0)</f>
        <v>0</v>
      </c>
      <c r="AG142" s="229" t="s">
        <v>154</v>
      </c>
      <c r="AH142" s="233">
        <f>IF(AL142=0,J142,0)</f>
        <v>0</v>
      </c>
      <c r="AI142" s="233">
        <f>IF(AL142=15,J142,0)</f>
        <v>0</v>
      </c>
      <c r="AJ142" s="233">
        <f>IF(AL142=21,J142,0)</f>
        <v>0</v>
      </c>
      <c r="AL142" s="233">
        <v>15</v>
      </c>
      <c r="AM142" s="233">
        <f>G142*0.354010152</f>
        <v>0</v>
      </c>
      <c r="AN142" s="233">
        <f>G142*(1-0.354010152)</f>
        <v>0</v>
      </c>
      <c r="AO142" s="234" t="s">
        <v>157</v>
      </c>
      <c r="AT142" s="233">
        <f>AU142+AV142</f>
        <v>0</v>
      </c>
      <c r="AU142" s="233">
        <f>F142*AM142</f>
        <v>0</v>
      </c>
      <c r="AV142" s="233">
        <f>F142*AN142</f>
        <v>0</v>
      </c>
      <c r="AW142" s="234" t="s">
        <v>366</v>
      </c>
      <c r="AX142" s="234" t="s">
        <v>356</v>
      </c>
      <c r="AY142" s="229" t="s">
        <v>164</v>
      </c>
      <c r="BA142" s="233">
        <f>AU142+AV142</f>
        <v>0</v>
      </c>
      <c r="BB142" s="233">
        <f>G142/(100-BC142)*100</f>
        <v>0</v>
      </c>
      <c r="BC142" s="233">
        <v>0</v>
      </c>
      <c r="BD142" s="233">
        <f>L142</f>
        <v>0</v>
      </c>
      <c r="BF142" s="233">
        <f>F142*AM142</f>
        <v>0</v>
      </c>
      <c r="BG142" s="233">
        <f>F142*AN142</f>
        <v>0</v>
      </c>
      <c r="BH142" s="233">
        <f>F142*G142</f>
        <v>0</v>
      </c>
      <c r="BI142" s="233"/>
      <c r="BJ142" s="233">
        <v>89</v>
      </c>
      <c r="BU142" s="233" t="e">
        <f>#REF!</f>
        <v>#REF!</v>
      </c>
      <c r="BV142" s="225" t="s">
        <v>439</v>
      </c>
    </row>
    <row r="143" spans="1:74" ht="40.5" customHeight="1" x14ac:dyDescent="0.3">
      <c r="A143" s="244"/>
      <c r="B143" s="245" t="s">
        <v>165</v>
      </c>
      <c r="C143" s="540" t="s">
        <v>1762</v>
      </c>
      <c r="D143" s="541"/>
      <c r="E143" s="541"/>
      <c r="F143" s="541"/>
      <c r="G143" s="541"/>
      <c r="H143" s="541"/>
      <c r="I143" s="541"/>
      <c r="J143" s="541"/>
      <c r="K143" s="541"/>
      <c r="L143" s="541"/>
      <c r="M143" s="542"/>
    </row>
    <row r="144" spans="1:74" ht="14.4" x14ac:dyDescent="0.3">
      <c r="A144" s="237" t="s">
        <v>154</v>
      </c>
      <c r="B144" s="260" t="s">
        <v>370</v>
      </c>
      <c r="C144" s="545" t="s">
        <v>371</v>
      </c>
      <c r="D144" s="546"/>
      <c r="E144" s="238" t="s">
        <v>114</v>
      </c>
      <c r="F144" s="238" t="s">
        <v>114</v>
      </c>
      <c r="G144" s="238" t="s">
        <v>114</v>
      </c>
      <c r="H144" s="261">
        <f>SUM(H145:H145)</f>
        <v>0</v>
      </c>
      <c r="I144" s="261">
        <f>SUM(I145:I145)</f>
        <v>0</v>
      </c>
      <c r="J144" s="261">
        <f>SUM(J145:J145)</f>
        <v>0</v>
      </c>
      <c r="K144" s="262" t="s">
        <v>154</v>
      </c>
      <c r="L144" s="261">
        <f>SUM(L145:L145)</f>
        <v>1.26E-2</v>
      </c>
      <c r="M144" s="263" t="s">
        <v>154</v>
      </c>
      <c r="AG144" s="229" t="s">
        <v>154</v>
      </c>
      <c r="AQ144" s="222">
        <f>SUM(AH145:AH145)</f>
        <v>0</v>
      </c>
      <c r="AR144" s="222">
        <f>SUM(AI145:AI145)</f>
        <v>0</v>
      </c>
      <c r="AS144" s="222">
        <f>SUM(AJ145:AJ145)</f>
        <v>0</v>
      </c>
    </row>
    <row r="145" spans="1:74" ht="14.4" x14ac:dyDescent="0.3">
      <c r="A145" s="239" t="s">
        <v>390</v>
      </c>
      <c r="B145" s="223" t="s">
        <v>372</v>
      </c>
      <c r="C145" s="521" t="s">
        <v>373</v>
      </c>
      <c r="D145" s="519"/>
      <c r="E145" s="223" t="s">
        <v>160</v>
      </c>
      <c r="F145" s="233">
        <v>18</v>
      </c>
      <c r="G145" s="311">
        <v>0</v>
      </c>
      <c r="H145" s="233">
        <f>F145*AM145</f>
        <v>0</v>
      </c>
      <c r="I145" s="233">
        <f>F145*AN145</f>
        <v>0</v>
      </c>
      <c r="J145" s="233">
        <f>F145*G145</f>
        <v>0</v>
      </c>
      <c r="K145" s="233">
        <v>6.9999999999999999E-4</v>
      </c>
      <c r="L145" s="233">
        <f>F145*K145</f>
        <v>1.26E-2</v>
      </c>
      <c r="M145" s="240" t="s">
        <v>472</v>
      </c>
      <c r="X145" s="233">
        <f>IF(AO145="5",BH145,0)</f>
        <v>0</v>
      </c>
      <c r="Z145" s="233">
        <f>IF(AO145="1",BF145,0)</f>
        <v>0</v>
      </c>
      <c r="AA145" s="233">
        <f>IF(AO145="1",BG145,0)</f>
        <v>0</v>
      </c>
      <c r="AB145" s="233">
        <f>IF(AO145="7",BF145,0)</f>
        <v>0</v>
      </c>
      <c r="AC145" s="233">
        <f>IF(AO145="7",BG145,0)</f>
        <v>0</v>
      </c>
      <c r="AD145" s="233">
        <f>IF(AO145="2",BF145,0)</f>
        <v>0</v>
      </c>
      <c r="AE145" s="233">
        <f>IF(AO145="2",BG145,0)</f>
        <v>0</v>
      </c>
      <c r="AF145" s="233">
        <f>IF(AO145="0",BH145,0)</f>
        <v>0</v>
      </c>
      <c r="AG145" s="229" t="s">
        <v>154</v>
      </c>
      <c r="AH145" s="233">
        <f>IF(AL145=0,J145,0)</f>
        <v>0</v>
      </c>
      <c r="AI145" s="233">
        <f>IF(AL145=15,J145,0)</f>
        <v>0</v>
      </c>
      <c r="AJ145" s="233">
        <f>IF(AL145=21,J145,0)</f>
        <v>0</v>
      </c>
      <c r="AL145" s="233">
        <v>15</v>
      </c>
      <c r="AM145" s="233">
        <f>G145*0.0712134</f>
        <v>0</v>
      </c>
      <c r="AN145" s="233">
        <f>G145*(1-0.0712134)</f>
        <v>0</v>
      </c>
      <c r="AO145" s="234" t="s">
        <v>157</v>
      </c>
      <c r="AT145" s="233">
        <f>AU145+AV145</f>
        <v>0</v>
      </c>
      <c r="AU145" s="233">
        <f>F145*AM145</f>
        <v>0</v>
      </c>
      <c r="AV145" s="233">
        <f>F145*AN145</f>
        <v>0</v>
      </c>
      <c r="AW145" s="234" t="s">
        <v>374</v>
      </c>
      <c r="AX145" s="234" t="s">
        <v>375</v>
      </c>
      <c r="AY145" s="229" t="s">
        <v>164</v>
      </c>
      <c r="BA145" s="233">
        <f>AU145+AV145</f>
        <v>0</v>
      </c>
      <c r="BB145" s="233">
        <f>G145/(100-BC145)*100</f>
        <v>0</v>
      </c>
      <c r="BC145" s="233">
        <v>0</v>
      </c>
      <c r="BD145" s="233">
        <f>L145</f>
        <v>1.26E-2</v>
      </c>
      <c r="BF145" s="233">
        <f>F145*AM145</f>
        <v>0</v>
      </c>
      <c r="BG145" s="233">
        <f>F145*AN145</f>
        <v>0</v>
      </c>
      <c r="BH145" s="233">
        <f>F145*G145</f>
        <v>0</v>
      </c>
      <c r="BI145" s="233"/>
      <c r="BJ145" s="233">
        <v>93</v>
      </c>
      <c r="BU145" s="233" t="e">
        <f>#REF!</f>
        <v>#REF!</v>
      </c>
      <c r="BV145" s="225" t="s">
        <v>373</v>
      </c>
    </row>
    <row r="146" spans="1:74" ht="40.5" customHeight="1" x14ac:dyDescent="0.3">
      <c r="A146" s="241"/>
      <c r="B146" s="242" t="s">
        <v>165</v>
      </c>
      <c r="C146" s="530" t="s">
        <v>1763</v>
      </c>
      <c r="D146" s="531"/>
      <c r="E146" s="531"/>
      <c r="F146" s="531"/>
      <c r="G146" s="531"/>
      <c r="H146" s="531"/>
      <c r="I146" s="531"/>
      <c r="J146" s="531"/>
      <c r="K146" s="531"/>
      <c r="L146" s="531"/>
      <c r="M146" s="532"/>
    </row>
    <row r="147" spans="1:74" ht="14.4" x14ac:dyDescent="0.3">
      <c r="A147" s="239" t="s">
        <v>154</v>
      </c>
      <c r="B147" s="224" t="s">
        <v>376</v>
      </c>
      <c r="C147" s="526" t="s">
        <v>377</v>
      </c>
      <c r="D147" s="527"/>
      <c r="E147" s="223" t="s">
        <v>114</v>
      </c>
      <c r="F147" s="223" t="s">
        <v>114</v>
      </c>
      <c r="G147" s="223" t="s">
        <v>114</v>
      </c>
      <c r="H147" s="235">
        <f>SUM(H148:H148)</f>
        <v>0</v>
      </c>
      <c r="I147" s="235">
        <f>SUM(I148:I148)</f>
        <v>0</v>
      </c>
      <c r="J147" s="235">
        <f>SUM(J148:J148)</f>
        <v>0</v>
      </c>
      <c r="K147" s="230" t="s">
        <v>154</v>
      </c>
      <c r="L147" s="235">
        <f>SUM(L148:L148)</f>
        <v>0</v>
      </c>
      <c r="M147" s="243" t="s">
        <v>154</v>
      </c>
      <c r="AG147" s="229" t="s">
        <v>154</v>
      </c>
      <c r="AQ147" s="222">
        <f>SUM(AH148:AH148)</f>
        <v>0</v>
      </c>
      <c r="AR147" s="222">
        <f>SUM(AI148:AI148)</f>
        <v>0</v>
      </c>
      <c r="AS147" s="222">
        <f>SUM(AJ148:AJ148)</f>
        <v>0</v>
      </c>
    </row>
    <row r="148" spans="1:74" ht="14.4" x14ac:dyDescent="0.3">
      <c r="A148" s="239" t="s">
        <v>393</v>
      </c>
      <c r="B148" s="223" t="s">
        <v>378</v>
      </c>
      <c r="C148" s="521" t="s">
        <v>379</v>
      </c>
      <c r="D148" s="519"/>
      <c r="E148" s="223" t="s">
        <v>380</v>
      </c>
      <c r="F148" s="233">
        <v>5.29</v>
      </c>
      <c r="G148" s="311">
        <v>0</v>
      </c>
      <c r="H148" s="233">
        <f>F148*AM148</f>
        <v>0</v>
      </c>
      <c r="I148" s="233">
        <f>F148*AN148</f>
        <v>0</v>
      </c>
      <c r="J148" s="233">
        <f>F148*G148</f>
        <v>0</v>
      </c>
      <c r="K148" s="233">
        <v>0</v>
      </c>
      <c r="L148" s="233">
        <f>F148*K148</f>
        <v>0</v>
      </c>
      <c r="M148" s="240" t="s">
        <v>472</v>
      </c>
      <c r="X148" s="233">
        <f>IF(AO148="5",BH148,0)</f>
        <v>0</v>
      </c>
      <c r="Z148" s="233">
        <f>IF(AO148="1",BF148,0)</f>
        <v>0</v>
      </c>
      <c r="AA148" s="233">
        <f>IF(AO148="1",BG148,0)</f>
        <v>0</v>
      </c>
      <c r="AB148" s="233">
        <f>IF(AO148="7",BF148,0)</f>
        <v>0</v>
      </c>
      <c r="AC148" s="233">
        <f>IF(AO148="7",BG148,0)</f>
        <v>0</v>
      </c>
      <c r="AD148" s="233">
        <f>IF(AO148="2",BF148,0)</f>
        <v>0</v>
      </c>
      <c r="AE148" s="233">
        <f>IF(AO148="2",BG148,0)</f>
        <v>0</v>
      </c>
      <c r="AF148" s="233">
        <f>IF(AO148="0",BH148,0)</f>
        <v>0</v>
      </c>
      <c r="AG148" s="229" t="s">
        <v>154</v>
      </c>
      <c r="AH148" s="233">
        <f>IF(AL148=0,J148,0)</f>
        <v>0</v>
      </c>
      <c r="AI148" s="233">
        <f>IF(AL148=15,J148,0)</f>
        <v>0</v>
      </c>
      <c r="AJ148" s="233">
        <f>IF(AL148=21,J148,0)</f>
        <v>0</v>
      </c>
      <c r="AL148" s="233">
        <v>15</v>
      </c>
      <c r="AM148" s="233">
        <f>G148*0</f>
        <v>0</v>
      </c>
      <c r="AN148" s="233">
        <f>G148*(1-0)</f>
        <v>0</v>
      </c>
      <c r="AO148" s="234" t="s">
        <v>157</v>
      </c>
      <c r="AT148" s="233">
        <f>AU148+AV148</f>
        <v>0</v>
      </c>
      <c r="AU148" s="233">
        <f>F148*AM148</f>
        <v>0</v>
      </c>
      <c r="AV148" s="233">
        <f>F148*AN148</f>
        <v>0</v>
      </c>
      <c r="AW148" s="234" t="s">
        <v>381</v>
      </c>
      <c r="AX148" s="234" t="s">
        <v>375</v>
      </c>
      <c r="AY148" s="229" t="s">
        <v>164</v>
      </c>
      <c r="BA148" s="233">
        <f>AU148+AV148</f>
        <v>0</v>
      </c>
      <c r="BB148" s="233">
        <f>G148/(100-BC148)*100</f>
        <v>0</v>
      </c>
      <c r="BC148" s="233">
        <v>0</v>
      </c>
      <c r="BD148" s="233">
        <f>L148</f>
        <v>0</v>
      </c>
      <c r="BF148" s="233">
        <f>F148*AM148</f>
        <v>0</v>
      </c>
      <c r="BG148" s="233">
        <f>F148*AN148</f>
        <v>0</v>
      </c>
      <c r="BH148" s="233">
        <f>F148*G148</f>
        <v>0</v>
      </c>
      <c r="BI148" s="233"/>
      <c r="BJ148" s="233">
        <v>97</v>
      </c>
      <c r="BU148" s="233" t="e">
        <f>#REF!</f>
        <v>#REF!</v>
      </c>
      <c r="BV148" s="225" t="s">
        <v>379</v>
      </c>
    </row>
    <row r="149" spans="1:74" ht="27" customHeight="1" x14ac:dyDescent="0.3">
      <c r="A149" s="241"/>
      <c r="B149" s="242" t="s">
        <v>165</v>
      </c>
      <c r="C149" s="530" t="s">
        <v>1990</v>
      </c>
      <c r="D149" s="531"/>
      <c r="E149" s="531"/>
      <c r="F149" s="531"/>
      <c r="G149" s="531"/>
      <c r="H149" s="531"/>
      <c r="I149" s="531"/>
      <c r="J149" s="531"/>
      <c r="K149" s="531"/>
      <c r="L149" s="531"/>
      <c r="M149" s="532"/>
    </row>
    <row r="150" spans="1:74" ht="14.4" x14ac:dyDescent="0.3">
      <c r="A150" s="239" t="s">
        <v>154</v>
      </c>
      <c r="B150" s="224" t="s">
        <v>382</v>
      </c>
      <c r="C150" s="526" t="s">
        <v>383</v>
      </c>
      <c r="D150" s="527"/>
      <c r="E150" s="223" t="s">
        <v>114</v>
      </c>
      <c r="F150" s="223" t="s">
        <v>114</v>
      </c>
      <c r="G150" s="223" t="s">
        <v>114</v>
      </c>
      <c r="H150" s="235">
        <f>SUM(H151:H156)</f>
        <v>0</v>
      </c>
      <c r="I150" s="235">
        <f>SUM(I151:I156)</f>
        <v>0</v>
      </c>
      <c r="J150" s="235">
        <f>SUM(J151:J156)</f>
        <v>0</v>
      </c>
      <c r="K150" s="230" t="s">
        <v>154</v>
      </c>
      <c r="L150" s="235">
        <f>SUM(L151:L156)</f>
        <v>0</v>
      </c>
      <c r="M150" s="243" t="s">
        <v>154</v>
      </c>
      <c r="AG150" s="229" t="s">
        <v>154</v>
      </c>
      <c r="AQ150" s="222">
        <f>SUM(AH151:AH156)</f>
        <v>0</v>
      </c>
      <c r="AR150" s="222">
        <f>SUM(AI151:AI156)</f>
        <v>0</v>
      </c>
      <c r="AS150" s="222">
        <f>SUM(AJ151:AJ156)</f>
        <v>0</v>
      </c>
    </row>
    <row r="151" spans="1:74" ht="14.4" x14ac:dyDescent="0.3">
      <c r="A151" s="239" t="s">
        <v>396</v>
      </c>
      <c r="B151" s="223" t="s">
        <v>385</v>
      </c>
      <c r="C151" s="521" t="s">
        <v>386</v>
      </c>
      <c r="D151" s="519"/>
      <c r="E151" s="223" t="s">
        <v>380</v>
      </c>
      <c r="F151" s="233">
        <v>7.06</v>
      </c>
      <c r="G151" s="311">
        <v>0</v>
      </c>
      <c r="H151" s="233">
        <f>F151*AM151</f>
        <v>0</v>
      </c>
      <c r="I151" s="233">
        <f>F151*AN151</f>
        <v>0</v>
      </c>
      <c r="J151" s="233">
        <f>F151*G151</f>
        <v>0</v>
      </c>
      <c r="K151" s="233">
        <v>0</v>
      </c>
      <c r="L151" s="233">
        <f>F151*K151</f>
        <v>0</v>
      </c>
      <c r="M151" s="240" t="s">
        <v>472</v>
      </c>
      <c r="X151" s="233">
        <f>IF(AO151="5",BH151,0)</f>
        <v>0</v>
      </c>
      <c r="Z151" s="233">
        <f>IF(AO151="1",BF151,0)</f>
        <v>0</v>
      </c>
      <c r="AA151" s="233">
        <f>IF(AO151="1",BG151,0)</f>
        <v>0</v>
      </c>
      <c r="AB151" s="233">
        <f>IF(AO151="7",BF151,0)</f>
        <v>0</v>
      </c>
      <c r="AC151" s="233">
        <f>IF(AO151="7",BG151,0)</f>
        <v>0</v>
      </c>
      <c r="AD151" s="233">
        <f>IF(AO151="2",BF151,0)</f>
        <v>0</v>
      </c>
      <c r="AE151" s="233">
        <f>IF(AO151="2",BG151,0)</f>
        <v>0</v>
      </c>
      <c r="AF151" s="233">
        <f>IF(AO151="0",BH151,0)</f>
        <v>0</v>
      </c>
      <c r="AG151" s="229" t="s">
        <v>154</v>
      </c>
      <c r="AH151" s="233">
        <f>IF(AL151=0,J151,0)</f>
        <v>0</v>
      </c>
      <c r="AI151" s="233">
        <f>IF(AL151=15,J151,0)</f>
        <v>0</v>
      </c>
      <c r="AJ151" s="233">
        <f>IF(AL151=21,J151,0)</f>
        <v>0</v>
      </c>
      <c r="AL151" s="233">
        <v>15</v>
      </c>
      <c r="AM151" s="233">
        <f>G151*0</f>
        <v>0</v>
      </c>
      <c r="AN151" s="233">
        <f>G151*(1-0)</f>
        <v>0</v>
      </c>
      <c r="AO151" s="234" t="s">
        <v>177</v>
      </c>
      <c r="AT151" s="233">
        <f>AU151+AV151</f>
        <v>0</v>
      </c>
      <c r="AU151" s="233">
        <f>F151*AM151</f>
        <v>0</v>
      </c>
      <c r="AV151" s="233">
        <f>F151*AN151</f>
        <v>0</v>
      </c>
      <c r="AW151" s="234" t="s">
        <v>387</v>
      </c>
      <c r="AX151" s="234" t="s">
        <v>375</v>
      </c>
      <c r="AY151" s="229" t="s">
        <v>164</v>
      </c>
      <c r="BA151" s="233">
        <f>AU151+AV151</f>
        <v>0</v>
      </c>
      <c r="BB151" s="233">
        <f>G151/(100-BC151)*100</f>
        <v>0</v>
      </c>
      <c r="BC151" s="233">
        <v>0</v>
      </c>
      <c r="BD151" s="233">
        <f>L151</f>
        <v>0</v>
      </c>
      <c r="BF151" s="233">
        <f>F151*AM151</f>
        <v>0</v>
      </c>
      <c r="BG151" s="233">
        <f>F151*AN151</f>
        <v>0</v>
      </c>
      <c r="BH151" s="233">
        <f>F151*G151</f>
        <v>0</v>
      </c>
      <c r="BI151" s="233"/>
      <c r="BJ151" s="233"/>
      <c r="BU151" s="233" t="e">
        <f>#REF!</f>
        <v>#REF!</v>
      </c>
      <c r="BV151" s="225" t="s">
        <v>386</v>
      </c>
    </row>
    <row r="152" spans="1:74" ht="14.4" x14ac:dyDescent="0.3">
      <c r="A152" s="239" t="s">
        <v>401</v>
      </c>
      <c r="B152" s="223" t="s">
        <v>388</v>
      </c>
      <c r="C152" s="521" t="s">
        <v>389</v>
      </c>
      <c r="D152" s="519"/>
      <c r="E152" s="223" t="s">
        <v>380</v>
      </c>
      <c r="F152" s="233">
        <v>121.78</v>
      </c>
      <c r="G152" s="311">
        <v>0</v>
      </c>
      <c r="H152" s="233">
        <f>F152*AM152</f>
        <v>0</v>
      </c>
      <c r="I152" s="233">
        <f>F152*AN152</f>
        <v>0</v>
      </c>
      <c r="J152" s="233">
        <f>F152*G152</f>
        <v>0</v>
      </c>
      <c r="K152" s="233">
        <v>0</v>
      </c>
      <c r="L152" s="233">
        <f>F152*K152</f>
        <v>0</v>
      </c>
      <c r="M152" s="240" t="s">
        <v>472</v>
      </c>
      <c r="X152" s="233">
        <f>IF(AO152="5",BH152,0)</f>
        <v>0</v>
      </c>
      <c r="Z152" s="233">
        <f>IF(AO152="1",BF152,0)</f>
        <v>0</v>
      </c>
      <c r="AA152" s="233">
        <f>IF(AO152="1",BG152,0)</f>
        <v>0</v>
      </c>
      <c r="AB152" s="233">
        <f>IF(AO152="7",BF152,0)</f>
        <v>0</v>
      </c>
      <c r="AC152" s="233">
        <f>IF(AO152="7",BG152,0)</f>
        <v>0</v>
      </c>
      <c r="AD152" s="233">
        <f>IF(AO152="2",BF152,0)</f>
        <v>0</v>
      </c>
      <c r="AE152" s="233">
        <f>IF(AO152="2",BG152,0)</f>
        <v>0</v>
      </c>
      <c r="AF152" s="233">
        <f>IF(AO152="0",BH152,0)</f>
        <v>0</v>
      </c>
      <c r="AG152" s="229" t="s">
        <v>154</v>
      </c>
      <c r="AH152" s="233">
        <f>IF(AL152=0,J152,0)</f>
        <v>0</v>
      </c>
      <c r="AI152" s="233">
        <f>IF(AL152=15,J152,0)</f>
        <v>0</v>
      </c>
      <c r="AJ152" s="233">
        <f>IF(AL152=21,J152,0)</f>
        <v>0</v>
      </c>
      <c r="AL152" s="233">
        <v>15</v>
      </c>
      <c r="AM152" s="233">
        <f>G152*0</f>
        <v>0</v>
      </c>
      <c r="AN152" s="233">
        <f>G152*(1-0)</f>
        <v>0</v>
      </c>
      <c r="AO152" s="234" t="s">
        <v>177</v>
      </c>
      <c r="AT152" s="233">
        <f>AU152+AV152</f>
        <v>0</v>
      </c>
      <c r="AU152" s="233">
        <f>F152*AM152</f>
        <v>0</v>
      </c>
      <c r="AV152" s="233">
        <f>F152*AN152</f>
        <v>0</v>
      </c>
      <c r="AW152" s="234" t="s">
        <v>387</v>
      </c>
      <c r="AX152" s="234" t="s">
        <v>375</v>
      </c>
      <c r="AY152" s="229" t="s">
        <v>164</v>
      </c>
      <c r="BA152" s="233">
        <f>AU152+AV152</f>
        <v>0</v>
      </c>
      <c r="BB152" s="233">
        <f>G152/(100-BC152)*100</f>
        <v>0</v>
      </c>
      <c r="BC152" s="233">
        <v>0</v>
      </c>
      <c r="BD152" s="233">
        <f>L152</f>
        <v>0</v>
      </c>
      <c r="BF152" s="233">
        <f>F152*AM152</f>
        <v>0</v>
      </c>
      <c r="BG152" s="233">
        <f>F152*AN152</f>
        <v>0</v>
      </c>
      <c r="BH152" s="233">
        <f>F152*G152</f>
        <v>0</v>
      </c>
      <c r="BI152" s="233"/>
      <c r="BJ152" s="233"/>
      <c r="BU152" s="233" t="e">
        <f>#REF!</f>
        <v>#REF!</v>
      </c>
      <c r="BV152" s="225" t="s">
        <v>389</v>
      </c>
    </row>
    <row r="153" spans="1:74" ht="40.5" customHeight="1" x14ac:dyDescent="0.3">
      <c r="A153" s="241"/>
      <c r="B153" s="242" t="s">
        <v>165</v>
      </c>
      <c r="C153" s="530" t="s">
        <v>1991</v>
      </c>
      <c r="D153" s="531"/>
      <c r="E153" s="531"/>
      <c r="F153" s="531"/>
      <c r="G153" s="531"/>
      <c r="H153" s="531"/>
      <c r="I153" s="531"/>
      <c r="J153" s="531"/>
      <c r="K153" s="531"/>
      <c r="L153" s="531"/>
      <c r="M153" s="532"/>
    </row>
    <row r="154" spans="1:74" ht="14.4" x14ac:dyDescent="0.3">
      <c r="A154" s="239" t="s">
        <v>405</v>
      </c>
      <c r="B154" s="223" t="s">
        <v>391</v>
      </c>
      <c r="C154" s="521" t="s">
        <v>392</v>
      </c>
      <c r="D154" s="519"/>
      <c r="E154" s="223" t="s">
        <v>380</v>
      </c>
      <c r="F154" s="233">
        <v>1.76</v>
      </c>
      <c r="G154" s="311">
        <v>0</v>
      </c>
      <c r="H154" s="233">
        <f>F154*AM154</f>
        <v>0</v>
      </c>
      <c r="I154" s="233">
        <f>F154*AN154</f>
        <v>0</v>
      </c>
      <c r="J154" s="233">
        <f>F154*G154</f>
        <v>0</v>
      </c>
      <c r="K154" s="233">
        <v>0</v>
      </c>
      <c r="L154" s="233">
        <f>F154*K154</f>
        <v>0</v>
      </c>
      <c r="M154" s="240" t="s">
        <v>472</v>
      </c>
      <c r="X154" s="233">
        <f>IF(AO154="5",BH154,0)</f>
        <v>0</v>
      </c>
      <c r="Z154" s="233">
        <f>IF(AO154="1",BF154,0)</f>
        <v>0</v>
      </c>
      <c r="AA154" s="233">
        <f>IF(AO154="1",BG154,0)</f>
        <v>0</v>
      </c>
      <c r="AB154" s="233">
        <f>IF(AO154="7",BF154,0)</f>
        <v>0</v>
      </c>
      <c r="AC154" s="233">
        <f>IF(AO154="7",BG154,0)</f>
        <v>0</v>
      </c>
      <c r="AD154" s="233">
        <f>IF(AO154="2",BF154,0)</f>
        <v>0</v>
      </c>
      <c r="AE154" s="233">
        <f>IF(AO154="2",BG154,0)</f>
        <v>0</v>
      </c>
      <c r="AF154" s="233">
        <f>IF(AO154="0",BH154,0)</f>
        <v>0</v>
      </c>
      <c r="AG154" s="229" t="s">
        <v>154</v>
      </c>
      <c r="AH154" s="233">
        <f>IF(AL154=0,J154,0)</f>
        <v>0</v>
      </c>
      <c r="AI154" s="233">
        <f>IF(AL154=15,J154,0)</f>
        <v>0</v>
      </c>
      <c r="AJ154" s="233">
        <f>IF(AL154=21,J154,0)</f>
        <v>0</v>
      </c>
      <c r="AL154" s="233">
        <v>15</v>
      </c>
      <c r="AM154" s="233">
        <f>G154*0</f>
        <v>0</v>
      </c>
      <c r="AN154" s="233">
        <f>G154*(1-0)</f>
        <v>0</v>
      </c>
      <c r="AO154" s="234" t="s">
        <v>177</v>
      </c>
      <c r="AT154" s="233">
        <f>AU154+AV154</f>
        <v>0</v>
      </c>
      <c r="AU154" s="233">
        <f>F154*AM154</f>
        <v>0</v>
      </c>
      <c r="AV154" s="233">
        <f>F154*AN154</f>
        <v>0</v>
      </c>
      <c r="AW154" s="234" t="s">
        <v>387</v>
      </c>
      <c r="AX154" s="234" t="s">
        <v>375</v>
      </c>
      <c r="AY154" s="229" t="s">
        <v>164</v>
      </c>
      <c r="BA154" s="233">
        <f>AU154+AV154</f>
        <v>0</v>
      </c>
      <c r="BB154" s="233">
        <f>G154/(100-BC154)*100</f>
        <v>0</v>
      </c>
      <c r="BC154" s="233">
        <v>0</v>
      </c>
      <c r="BD154" s="233">
        <f>L154</f>
        <v>0</v>
      </c>
      <c r="BF154" s="233">
        <f>F154*AM154</f>
        <v>0</v>
      </c>
      <c r="BG154" s="233">
        <f>F154*AN154</f>
        <v>0</v>
      </c>
      <c r="BH154" s="233">
        <f>F154*G154</f>
        <v>0</v>
      </c>
      <c r="BI154" s="233"/>
      <c r="BJ154" s="233"/>
      <c r="BU154" s="233" t="e">
        <f>#REF!</f>
        <v>#REF!</v>
      </c>
      <c r="BV154" s="225" t="s">
        <v>392</v>
      </c>
    </row>
    <row r="155" spans="1:74" ht="40.5" customHeight="1" x14ac:dyDescent="0.3">
      <c r="A155" s="241"/>
      <c r="B155" s="242" t="s">
        <v>165</v>
      </c>
      <c r="C155" s="530" t="s">
        <v>1992</v>
      </c>
      <c r="D155" s="531"/>
      <c r="E155" s="531"/>
      <c r="F155" s="531"/>
      <c r="G155" s="531"/>
      <c r="H155" s="531"/>
      <c r="I155" s="531"/>
      <c r="J155" s="531"/>
      <c r="K155" s="531"/>
      <c r="L155" s="531"/>
      <c r="M155" s="532"/>
    </row>
    <row r="156" spans="1:74" ht="26.4" x14ac:dyDescent="0.3">
      <c r="A156" s="239" t="s">
        <v>408</v>
      </c>
      <c r="B156" s="223" t="s">
        <v>385</v>
      </c>
      <c r="C156" s="521" t="s">
        <v>443</v>
      </c>
      <c r="D156" s="519"/>
      <c r="E156" s="223" t="s">
        <v>380</v>
      </c>
      <c r="F156" s="233">
        <v>13.64</v>
      </c>
      <c r="G156" s="311">
        <v>0</v>
      </c>
      <c r="H156" s="233">
        <f>F156*AM156</f>
        <v>0</v>
      </c>
      <c r="I156" s="233">
        <f>F156*AN156</f>
        <v>0</v>
      </c>
      <c r="J156" s="233">
        <f>F156*G156</f>
        <v>0</v>
      </c>
      <c r="K156" s="233">
        <v>0</v>
      </c>
      <c r="L156" s="233">
        <f>F156*K156</f>
        <v>0</v>
      </c>
      <c r="M156" s="240" t="s">
        <v>472</v>
      </c>
      <c r="X156" s="233">
        <f>IF(AO156="5",BH156,0)</f>
        <v>0</v>
      </c>
      <c r="Z156" s="233">
        <f>IF(AO156="1",BF156,0)</f>
        <v>0</v>
      </c>
      <c r="AA156" s="233">
        <f>IF(AO156="1",BG156,0)</f>
        <v>0</v>
      </c>
      <c r="AB156" s="233">
        <f>IF(AO156="7",BF156,0)</f>
        <v>0</v>
      </c>
      <c r="AC156" s="233">
        <f>IF(AO156="7",BG156,0)</f>
        <v>0</v>
      </c>
      <c r="AD156" s="233">
        <f>IF(AO156="2",BF156,0)</f>
        <v>0</v>
      </c>
      <c r="AE156" s="233">
        <f>IF(AO156="2",BG156,0)</f>
        <v>0</v>
      </c>
      <c r="AF156" s="233">
        <f>IF(AO156="0",BH156,0)</f>
        <v>0</v>
      </c>
      <c r="AG156" s="229" t="s">
        <v>154</v>
      </c>
      <c r="AH156" s="233">
        <f>IF(AL156=0,J156,0)</f>
        <v>0</v>
      </c>
      <c r="AI156" s="233">
        <f>IF(AL156=15,J156,0)</f>
        <v>0</v>
      </c>
      <c r="AJ156" s="233">
        <f>IF(AL156=21,J156,0)</f>
        <v>0</v>
      </c>
      <c r="AL156" s="233">
        <v>15</v>
      </c>
      <c r="AM156" s="233">
        <f>G156*0</f>
        <v>0</v>
      </c>
      <c r="AN156" s="233">
        <f>G156*(1-0)</f>
        <v>0</v>
      </c>
      <c r="AO156" s="234" t="s">
        <v>177</v>
      </c>
      <c r="AT156" s="233">
        <f>AU156+AV156</f>
        <v>0</v>
      </c>
      <c r="AU156" s="233">
        <f>F156*AM156</f>
        <v>0</v>
      </c>
      <c r="AV156" s="233">
        <f>F156*AN156</f>
        <v>0</v>
      </c>
      <c r="AW156" s="234" t="s">
        <v>387</v>
      </c>
      <c r="AX156" s="234" t="s">
        <v>375</v>
      </c>
      <c r="AY156" s="229" t="s">
        <v>164</v>
      </c>
      <c r="BA156" s="233">
        <f>AU156+AV156</f>
        <v>0</v>
      </c>
      <c r="BB156" s="233">
        <f>G156/(100-BC156)*100</f>
        <v>0</v>
      </c>
      <c r="BC156" s="233">
        <v>0</v>
      </c>
      <c r="BD156" s="233">
        <f>L156</f>
        <v>0</v>
      </c>
      <c r="BF156" s="233">
        <f>F156*AM156</f>
        <v>0</v>
      </c>
      <c r="BG156" s="233">
        <f>F156*AN156</f>
        <v>0</v>
      </c>
      <c r="BH156" s="233">
        <f>F156*G156</f>
        <v>0</v>
      </c>
      <c r="BI156" s="233"/>
      <c r="BJ156" s="233"/>
      <c r="BU156" s="233" t="e">
        <f>#REF!</f>
        <v>#REF!</v>
      </c>
      <c r="BV156" s="225" t="s">
        <v>443</v>
      </c>
    </row>
    <row r="157" spans="1:74" ht="14.4" x14ac:dyDescent="0.3">
      <c r="A157" s="239" t="s">
        <v>154</v>
      </c>
      <c r="B157" s="224" t="s">
        <v>399</v>
      </c>
      <c r="C157" s="526" t="s">
        <v>400</v>
      </c>
      <c r="D157" s="527"/>
      <c r="E157" s="223" t="s">
        <v>114</v>
      </c>
      <c r="F157" s="223" t="s">
        <v>114</v>
      </c>
      <c r="G157" s="223" t="s">
        <v>114</v>
      </c>
      <c r="H157" s="235">
        <f>SUM(H158:H160)</f>
        <v>0</v>
      </c>
      <c r="I157" s="235">
        <f>SUM(I158:I160)</f>
        <v>0</v>
      </c>
      <c r="J157" s="235">
        <f>SUM(J158:J160)</f>
        <v>0</v>
      </c>
      <c r="K157" s="230" t="s">
        <v>154</v>
      </c>
      <c r="L157" s="235">
        <f>SUM(L158:L160)</f>
        <v>0</v>
      </c>
      <c r="M157" s="243" t="s">
        <v>154</v>
      </c>
      <c r="AG157" s="229" t="s">
        <v>154</v>
      </c>
      <c r="AQ157" s="222">
        <f>SUM(AH158:AH160)</f>
        <v>0</v>
      </c>
      <c r="AR157" s="222">
        <f>SUM(AI158:AI160)</f>
        <v>0</v>
      </c>
      <c r="AS157" s="222">
        <f>SUM(AJ158:AJ160)</f>
        <v>0</v>
      </c>
    </row>
    <row r="158" spans="1:74" ht="14.4" x14ac:dyDescent="0.3">
      <c r="A158" s="239" t="s">
        <v>413</v>
      </c>
      <c r="B158" s="223" t="s">
        <v>402</v>
      </c>
      <c r="C158" s="521" t="s">
        <v>403</v>
      </c>
      <c r="D158" s="519"/>
      <c r="E158" s="223" t="s">
        <v>380</v>
      </c>
      <c r="F158" s="233">
        <v>0.22</v>
      </c>
      <c r="G158" s="311">
        <v>0</v>
      </c>
      <c r="H158" s="233">
        <f>F158*AM158</f>
        <v>0</v>
      </c>
      <c r="I158" s="233">
        <f>F158*AN158</f>
        <v>0</v>
      </c>
      <c r="J158" s="233">
        <f>F158*G158</f>
        <v>0</v>
      </c>
      <c r="K158" s="233">
        <v>0</v>
      </c>
      <c r="L158" s="233">
        <f>F158*K158</f>
        <v>0</v>
      </c>
      <c r="M158" s="240" t="s">
        <v>472</v>
      </c>
      <c r="X158" s="233">
        <f>IF(AO158="5",BH158,0)</f>
        <v>0</v>
      </c>
      <c r="Z158" s="233">
        <f>IF(AO158="1",BF158,0)</f>
        <v>0</v>
      </c>
      <c r="AA158" s="233">
        <f>IF(AO158="1",BG158,0)</f>
        <v>0</v>
      </c>
      <c r="AB158" s="233">
        <f>IF(AO158="7",BF158,0)</f>
        <v>0</v>
      </c>
      <c r="AC158" s="233">
        <f>IF(AO158="7",BG158,0)</f>
        <v>0</v>
      </c>
      <c r="AD158" s="233">
        <f>IF(AO158="2",BF158,0)</f>
        <v>0</v>
      </c>
      <c r="AE158" s="233">
        <f>IF(AO158="2",BG158,0)</f>
        <v>0</v>
      </c>
      <c r="AF158" s="233">
        <f>IF(AO158="0",BH158,0)</f>
        <v>0</v>
      </c>
      <c r="AG158" s="229" t="s">
        <v>154</v>
      </c>
      <c r="AH158" s="233">
        <f>IF(AL158=0,J158,0)</f>
        <v>0</v>
      </c>
      <c r="AI158" s="233">
        <f>IF(AL158=15,J158,0)</f>
        <v>0</v>
      </c>
      <c r="AJ158" s="233">
        <f>IF(AL158=21,J158,0)</f>
        <v>0</v>
      </c>
      <c r="AL158" s="233">
        <v>15</v>
      </c>
      <c r="AM158" s="233">
        <f>G158*0</f>
        <v>0</v>
      </c>
      <c r="AN158" s="233">
        <f>G158*(1-0)</f>
        <v>0</v>
      </c>
      <c r="AO158" s="234" t="s">
        <v>177</v>
      </c>
      <c r="AT158" s="233">
        <f>AU158+AV158</f>
        <v>0</v>
      </c>
      <c r="AU158" s="233">
        <f>F158*AM158</f>
        <v>0</v>
      </c>
      <c r="AV158" s="233">
        <f>F158*AN158</f>
        <v>0</v>
      </c>
      <c r="AW158" s="234" t="s">
        <v>404</v>
      </c>
      <c r="AX158" s="234" t="s">
        <v>375</v>
      </c>
      <c r="AY158" s="229" t="s">
        <v>164</v>
      </c>
      <c r="BA158" s="233">
        <f>AU158+AV158</f>
        <v>0</v>
      </c>
      <c r="BB158" s="233">
        <f>G158/(100-BC158)*100</f>
        <v>0</v>
      </c>
      <c r="BC158" s="233">
        <v>0</v>
      </c>
      <c r="BD158" s="233">
        <f>L158</f>
        <v>0</v>
      </c>
      <c r="BF158" s="233">
        <f>F158*AM158</f>
        <v>0</v>
      </c>
      <c r="BG158" s="233">
        <f>F158*AN158</f>
        <v>0</v>
      </c>
      <c r="BH158" s="233">
        <f>F158*G158</f>
        <v>0</v>
      </c>
      <c r="BI158" s="233"/>
      <c r="BJ158" s="233"/>
      <c r="BU158" s="233" t="e">
        <f>#REF!</f>
        <v>#REF!</v>
      </c>
      <c r="BV158" s="225" t="s">
        <v>403</v>
      </c>
    </row>
    <row r="159" spans="1:74" ht="14.4" x14ac:dyDescent="0.3">
      <c r="A159" s="239" t="s">
        <v>419</v>
      </c>
      <c r="B159" s="223" t="s">
        <v>406</v>
      </c>
      <c r="C159" s="521" t="s">
        <v>407</v>
      </c>
      <c r="D159" s="519"/>
      <c r="E159" s="223" t="s">
        <v>380</v>
      </c>
      <c r="F159" s="233">
        <v>25.24</v>
      </c>
      <c r="G159" s="311">
        <v>0</v>
      </c>
      <c r="H159" s="233">
        <f>F159*AM159</f>
        <v>0</v>
      </c>
      <c r="I159" s="233">
        <f>F159*AN159</f>
        <v>0</v>
      </c>
      <c r="J159" s="233">
        <f>F159*G159</f>
        <v>0</v>
      </c>
      <c r="K159" s="233">
        <v>0</v>
      </c>
      <c r="L159" s="233">
        <f>F159*K159</f>
        <v>0</v>
      </c>
      <c r="M159" s="240" t="s">
        <v>472</v>
      </c>
      <c r="X159" s="233">
        <f>IF(AO159="5",BH159,0)</f>
        <v>0</v>
      </c>
      <c r="Z159" s="233">
        <f>IF(AO159="1",BF159,0)</f>
        <v>0</v>
      </c>
      <c r="AA159" s="233">
        <f>IF(AO159="1",BG159,0)</f>
        <v>0</v>
      </c>
      <c r="AB159" s="233">
        <f>IF(AO159="7",BF159,0)</f>
        <v>0</v>
      </c>
      <c r="AC159" s="233">
        <f>IF(AO159="7",BG159,0)</f>
        <v>0</v>
      </c>
      <c r="AD159" s="233">
        <f>IF(AO159="2",BF159,0)</f>
        <v>0</v>
      </c>
      <c r="AE159" s="233">
        <f>IF(AO159="2",BG159,0)</f>
        <v>0</v>
      </c>
      <c r="AF159" s="233">
        <f>IF(AO159="0",BH159,0)</f>
        <v>0</v>
      </c>
      <c r="AG159" s="229" t="s">
        <v>154</v>
      </c>
      <c r="AH159" s="233">
        <f>IF(AL159=0,J159,0)</f>
        <v>0</v>
      </c>
      <c r="AI159" s="233">
        <f>IF(AL159=15,J159,0)</f>
        <v>0</v>
      </c>
      <c r="AJ159" s="233">
        <f>IF(AL159=21,J159,0)</f>
        <v>0</v>
      </c>
      <c r="AL159" s="233">
        <v>15</v>
      </c>
      <c r="AM159" s="233">
        <f>G159*0</f>
        <v>0</v>
      </c>
      <c r="AN159" s="233">
        <f>G159*(1-0)</f>
        <v>0</v>
      </c>
      <c r="AO159" s="234" t="s">
        <v>177</v>
      </c>
      <c r="AT159" s="233">
        <f>AU159+AV159</f>
        <v>0</v>
      </c>
      <c r="AU159" s="233">
        <f>F159*AM159</f>
        <v>0</v>
      </c>
      <c r="AV159" s="233">
        <f>F159*AN159</f>
        <v>0</v>
      </c>
      <c r="AW159" s="234" t="s">
        <v>404</v>
      </c>
      <c r="AX159" s="234" t="s">
        <v>375</v>
      </c>
      <c r="AY159" s="229" t="s">
        <v>164</v>
      </c>
      <c r="BA159" s="233">
        <f>AU159+AV159</f>
        <v>0</v>
      </c>
      <c r="BB159" s="233">
        <f>G159/(100-BC159)*100</f>
        <v>0</v>
      </c>
      <c r="BC159" s="233">
        <v>0</v>
      </c>
      <c r="BD159" s="233">
        <f>L159</f>
        <v>0</v>
      </c>
      <c r="BF159" s="233">
        <f>F159*AM159</f>
        <v>0</v>
      </c>
      <c r="BG159" s="233">
        <f>F159*AN159</f>
        <v>0</v>
      </c>
      <c r="BH159" s="233">
        <f>F159*G159</f>
        <v>0</v>
      </c>
      <c r="BI159" s="233"/>
      <c r="BJ159" s="233"/>
      <c r="BU159" s="233" t="e">
        <f>#REF!</f>
        <v>#REF!</v>
      </c>
      <c r="BV159" s="225" t="s">
        <v>407</v>
      </c>
    </row>
    <row r="160" spans="1:74" ht="26.4" x14ac:dyDescent="0.3">
      <c r="A160" s="239" t="s">
        <v>548</v>
      </c>
      <c r="B160" s="223" t="s">
        <v>409</v>
      </c>
      <c r="C160" s="521" t="s">
        <v>1032</v>
      </c>
      <c r="D160" s="519"/>
      <c r="E160" s="223" t="s">
        <v>380</v>
      </c>
      <c r="F160" s="233">
        <v>1.57</v>
      </c>
      <c r="G160" s="311">
        <v>0</v>
      </c>
      <c r="H160" s="233">
        <f>F160*AM160</f>
        <v>0</v>
      </c>
      <c r="I160" s="233">
        <f>F160*AN160</f>
        <v>0</v>
      </c>
      <c r="J160" s="233">
        <f>F160*G160</f>
        <v>0</v>
      </c>
      <c r="K160" s="233">
        <v>0</v>
      </c>
      <c r="L160" s="233">
        <f>F160*K160</f>
        <v>0</v>
      </c>
      <c r="M160" s="240" t="s">
        <v>472</v>
      </c>
      <c r="X160" s="233">
        <f>IF(AO160="5",BH160,0)</f>
        <v>0</v>
      </c>
      <c r="Z160" s="233">
        <f>IF(AO160="1",BF160,0)</f>
        <v>0</v>
      </c>
      <c r="AA160" s="233">
        <f>IF(AO160="1",BG160,0)</f>
        <v>0</v>
      </c>
      <c r="AB160" s="233">
        <f>IF(AO160="7",BF160,0)</f>
        <v>0</v>
      </c>
      <c r="AC160" s="233">
        <f>IF(AO160="7",BG160,0)</f>
        <v>0</v>
      </c>
      <c r="AD160" s="233">
        <f>IF(AO160="2",BF160,0)</f>
        <v>0</v>
      </c>
      <c r="AE160" s="233">
        <f>IF(AO160="2",BG160,0)</f>
        <v>0</v>
      </c>
      <c r="AF160" s="233">
        <f>IF(AO160="0",BH160,0)</f>
        <v>0</v>
      </c>
      <c r="AG160" s="229" t="s">
        <v>154</v>
      </c>
      <c r="AH160" s="233">
        <f>IF(AL160=0,J160,0)</f>
        <v>0</v>
      </c>
      <c r="AI160" s="233">
        <f>IF(AL160=15,J160,0)</f>
        <v>0</v>
      </c>
      <c r="AJ160" s="233">
        <f>IF(AL160=21,J160,0)</f>
        <v>0</v>
      </c>
      <c r="AL160" s="233">
        <v>15</v>
      </c>
      <c r="AM160" s="233">
        <f>G160*0</f>
        <v>0</v>
      </c>
      <c r="AN160" s="233">
        <f>G160*(1-0)</f>
        <v>0</v>
      </c>
      <c r="AO160" s="234" t="s">
        <v>177</v>
      </c>
      <c r="AT160" s="233">
        <f>AU160+AV160</f>
        <v>0</v>
      </c>
      <c r="AU160" s="233">
        <f>F160*AM160</f>
        <v>0</v>
      </c>
      <c r="AV160" s="233">
        <f>F160*AN160</f>
        <v>0</v>
      </c>
      <c r="AW160" s="234" t="s">
        <v>404</v>
      </c>
      <c r="AX160" s="234" t="s">
        <v>375</v>
      </c>
      <c r="AY160" s="229" t="s">
        <v>164</v>
      </c>
      <c r="BA160" s="233">
        <f>AU160+AV160</f>
        <v>0</v>
      </c>
      <c r="BB160" s="233">
        <f>G160/(100-BC160)*100</f>
        <v>0</v>
      </c>
      <c r="BC160" s="233">
        <v>0</v>
      </c>
      <c r="BD160" s="233">
        <f>L160</f>
        <v>0</v>
      </c>
      <c r="BF160" s="233">
        <f>F160*AM160</f>
        <v>0</v>
      </c>
      <c r="BG160" s="233">
        <f>F160*AN160</f>
        <v>0</v>
      </c>
      <c r="BH160" s="233">
        <f>F160*G160</f>
        <v>0</v>
      </c>
      <c r="BI160" s="233"/>
      <c r="BJ160" s="233"/>
      <c r="BU160" s="233" t="e">
        <f>#REF!</f>
        <v>#REF!</v>
      </c>
      <c r="BV160" s="225" t="s">
        <v>1032</v>
      </c>
    </row>
    <row r="161" spans="1:74" ht="14.4" x14ac:dyDescent="0.3">
      <c r="A161" s="239" t="s">
        <v>154</v>
      </c>
      <c r="B161" s="224" t="s">
        <v>1383</v>
      </c>
      <c r="C161" s="526" t="s">
        <v>449</v>
      </c>
      <c r="D161" s="527"/>
      <c r="E161" s="223" t="s">
        <v>114</v>
      </c>
      <c r="F161" s="223" t="s">
        <v>114</v>
      </c>
      <c r="G161" s="223" t="s">
        <v>114</v>
      </c>
      <c r="H161" s="235">
        <f>SUM(H162:H182)</f>
        <v>0</v>
      </c>
      <c r="I161" s="235">
        <f>SUM(I162:I182)</f>
        <v>0</v>
      </c>
      <c r="J161" s="235">
        <f>SUM(J162:J182)</f>
        <v>0</v>
      </c>
      <c r="K161" s="230" t="s">
        <v>154</v>
      </c>
      <c r="L161" s="235">
        <f>SUM(L162:L182)</f>
        <v>0.6533582</v>
      </c>
      <c r="M161" s="243" t="s">
        <v>154</v>
      </c>
      <c r="AG161" s="229" t="s">
        <v>154</v>
      </c>
      <c r="AQ161" s="222">
        <f>SUM(AH162:AH182)</f>
        <v>0</v>
      </c>
      <c r="AR161" s="222">
        <f>SUM(AI162:AI182)</f>
        <v>0</v>
      </c>
      <c r="AS161" s="222">
        <f>SUM(AJ162:AJ182)</f>
        <v>0</v>
      </c>
    </row>
    <row r="162" spans="1:74" ht="14.4" x14ac:dyDescent="0.3">
      <c r="A162" s="239" t="s">
        <v>551</v>
      </c>
      <c r="B162" s="223" t="s">
        <v>929</v>
      </c>
      <c r="C162" s="521" t="s">
        <v>930</v>
      </c>
      <c r="D162" s="519"/>
      <c r="E162" s="223" t="s">
        <v>365</v>
      </c>
      <c r="F162" s="233">
        <v>2.48</v>
      </c>
      <c r="G162" s="311">
        <v>0</v>
      </c>
      <c r="H162" s="233">
        <f>F162*AM162</f>
        <v>0</v>
      </c>
      <c r="I162" s="233">
        <f>F162*AN162</f>
        <v>0</v>
      </c>
      <c r="J162" s="233">
        <f>F162*G162</f>
        <v>0</v>
      </c>
      <c r="K162" s="233">
        <v>5.8200000000000002E-2</v>
      </c>
      <c r="L162" s="233">
        <f>F162*K162</f>
        <v>0.14433599999999999</v>
      </c>
      <c r="M162" s="240" t="s">
        <v>472</v>
      </c>
      <c r="X162" s="233">
        <f>IF(AO162="5",BH162,0)</f>
        <v>0</v>
      </c>
      <c r="Z162" s="233">
        <f>IF(AO162="1",BF162,0)</f>
        <v>0</v>
      </c>
      <c r="AA162" s="233">
        <f>IF(AO162="1",BG162,0)</f>
        <v>0</v>
      </c>
      <c r="AB162" s="233">
        <f>IF(AO162="7",BF162,0)</f>
        <v>0</v>
      </c>
      <c r="AC162" s="233">
        <f>IF(AO162="7",BG162,0)</f>
        <v>0</v>
      </c>
      <c r="AD162" s="233">
        <f>IF(AO162="2",BF162,0)</f>
        <v>0</v>
      </c>
      <c r="AE162" s="233">
        <f>IF(AO162="2",BG162,0)</f>
        <v>0</v>
      </c>
      <c r="AF162" s="233">
        <f>IF(AO162="0",BH162,0)</f>
        <v>0</v>
      </c>
      <c r="AG162" s="229" t="s">
        <v>154</v>
      </c>
      <c r="AH162" s="233">
        <f>IF(AL162=0,J162,0)</f>
        <v>0</v>
      </c>
      <c r="AI162" s="233">
        <f>IF(AL162=15,J162,0)</f>
        <v>0</v>
      </c>
      <c r="AJ162" s="233">
        <f>IF(AL162=21,J162,0)</f>
        <v>0</v>
      </c>
      <c r="AL162" s="233">
        <v>15</v>
      </c>
      <c r="AM162" s="233">
        <f>G162*1</f>
        <v>0</v>
      </c>
      <c r="AN162" s="233">
        <f>G162*(1-1)</f>
        <v>0</v>
      </c>
      <c r="AO162" s="234" t="s">
        <v>453</v>
      </c>
      <c r="AT162" s="233">
        <f>AU162+AV162</f>
        <v>0</v>
      </c>
      <c r="AU162" s="233">
        <f>F162*AM162</f>
        <v>0</v>
      </c>
      <c r="AV162" s="233">
        <f>F162*AN162</f>
        <v>0</v>
      </c>
      <c r="AW162" s="234" t="s">
        <v>454</v>
      </c>
      <c r="AX162" s="234" t="s">
        <v>455</v>
      </c>
      <c r="AY162" s="229" t="s">
        <v>164</v>
      </c>
      <c r="BA162" s="233">
        <f>AU162+AV162</f>
        <v>0</v>
      </c>
      <c r="BB162" s="233">
        <f>G162/(100-BC162)*100</f>
        <v>0</v>
      </c>
      <c r="BC162" s="233">
        <v>0</v>
      </c>
      <c r="BD162" s="233">
        <f>L162</f>
        <v>0.14433599999999999</v>
      </c>
      <c r="BF162" s="233">
        <f>F162*AM162</f>
        <v>0</v>
      </c>
      <c r="BG162" s="233">
        <f>F162*AN162</f>
        <v>0</v>
      </c>
      <c r="BH162" s="233">
        <f>F162*G162</f>
        <v>0</v>
      </c>
      <c r="BI162" s="233"/>
      <c r="BJ162" s="233"/>
      <c r="BU162" s="233" t="e">
        <f>#REF!</f>
        <v>#REF!</v>
      </c>
      <c r="BV162" s="225" t="s">
        <v>930</v>
      </c>
    </row>
    <row r="163" spans="1:74" ht="67.5" customHeight="1" x14ac:dyDescent="0.3">
      <c r="A163" s="241"/>
      <c r="B163" s="242" t="s">
        <v>165</v>
      </c>
      <c r="C163" s="530" t="s">
        <v>1767</v>
      </c>
      <c r="D163" s="531"/>
      <c r="E163" s="531"/>
      <c r="F163" s="531"/>
      <c r="G163" s="531"/>
      <c r="H163" s="531"/>
      <c r="I163" s="531"/>
      <c r="J163" s="531"/>
      <c r="K163" s="531"/>
      <c r="L163" s="531"/>
      <c r="M163" s="532"/>
    </row>
    <row r="164" spans="1:74" ht="14.4" x14ac:dyDescent="0.3">
      <c r="A164" s="239" t="s">
        <v>555</v>
      </c>
      <c r="B164" s="223" t="s">
        <v>931</v>
      </c>
      <c r="C164" s="521" t="s">
        <v>932</v>
      </c>
      <c r="D164" s="519"/>
      <c r="E164" s="223" t="s">
        <v>365</v>
      </c>
      <c r="F164" s="233">
        <v>1.65</v>
      </c>
      <c r="G164" s="311">
        <v>0</v>
      </c>
      <c r="H164" s="233">
        <f>F164*AM164</f>
        <v>0</v>
      </c>
      <c r="I164" s="233">
        <f>F164*AN164</f>
        <v>0</v>
      </c>
      <c r="J164" s="233">
        <f>F164*G164</f>
        <v>0</v>
      </c>
      <c r="K164" s="233">
        <v>2.9100000000000001E-2</v>
      </c>
      <c r="L164" s="233">
        <f>F164*K164</f>
        <v>4.8015000000000002E-2</v>
      </c>
      <c r="M164" s="240" t="s">
        <v>472</v>
      </c>
      <c r="X164" s="233">
        <f>IF(AO164="5",BH164,0)</f>
        <v>0</v>
      </c>
      <c r="Z164" s="233">
        <f>IF(AO164="1",BF164,0)</f>
        <v>0</v>
      </c>
      <c r="AA164" s="233">
        <f>IF(AO164="1",BG164,0)</f>
        <v>0</v>
      </c>
      <c r="AB164" s="233">
        <f>IF(AO164="7",BF164,0)</f>
        <v>0</v>
      </c>
      <c r="AC164" s="233">
        <f>IF(AO164="7",BG164,0)</f>
        <v>0</v>
      </c>
      <c r="AD164" s="233">
        <f>IF(AO164="2",BF164,0)</f>
        <v>0</v>
      </c>
      <c r="AE164" s="233">
        <f>IF(AO164="2",BG164,0)</f>
        <v>0</v>
      </c>
      <c r="AF164" s="233">
        <f>IF(AO164="0",BH164,0)</f>
        <v>0</v>
      </c>
      <c r="AG164" s="229" t="s">
        <v>154</v>
      </c>
      <c r="AH164" s="233">
        <f>IF(AL164=0,J164,0)</f>
        <v>0</v>
      </c>
      <c r="AI164" s="233">
        <f>IF(AL164=15,J164,0)</f>
        <v>0</v>
      </c>
      <c r="AJ164" s="233">
        <f>IF(AL164=21,J164,0)</f>
        <v>0</v>
      </c>
      <c r="AL164" s="233">
        <v>15</v>
      </c>
      <c r="AM164" s="233">
        <f>G164*1</f>
        <v>0</v>
      </c>
      <c r="AN164" s="233">
        <f>G164*(1-1)</f>
        <v>0</v>
      </c>
      <c r="AO164" s="234" t="s">
        <v>453</v>
      </c>
      <c r="AT164" s="233">
        <f>AU164+AV164</f>
        <v>0</v>
      </c>
      <c r="AU164" s="233">
        <f>F164*AM164</f>
        <v>0</v>
      </c>
      <c r="AV164" s="233">
        <f>F164*AN164</f>
        <v>0</v>
      </c>
      <c r="AW164" s="234" t="s">
        <v>454</v>
      </c>
      <c r="AX164" s="234" t="s">
        <v>455</v>
      </c>
      <c r="AY164" s="229" t="s">
        <v>164</v>
      </c>
      <c r="BA164" s="233">
        <f>AU164+AV164</f>
        <v>0</v>
      </c>
      <c r="BB164" s="233">
        <f>G164/(100-BC164)*100</f>
        <v>0</v>
      </c>
      <c r="BC164" s="233">
        <v>0</v>
      </c>
      <c r="BD164" s="233">
        <f>L164</f>
        <v>4.8015000000000002E-2</v>
      </c>
      <c r="BF164" s="233">
        <f>F164*AM164</f>
        <v>0</v>
      </c>
      <c r="BG164" s="233">
        <f>F164*AN164</f>
        <v>0</v>
      </c>
      <c r="BH164" s="233">
        <f>F164*G164</f>
        <v>0</v>
      </c>
      <c r="BI164" s="233"/>
      <c r="BJ164" s="233"/>
      <c r="BU164" s="233" t="e">
        <f>#REF!</f>
        <v>#REF!</v>
      </c>
      <c r="BV164" s="225" t="s">
        <v>932</v>
      </c>
    </row>
    <row r="165" spans="1:74" ht="67.5" customHeight="1" x14ac:dyDescent="0.3">
      <c r="A165" s="241"/>
      <c r="B165" s="242" t="s">
        <v>165</v>
      </c>
      <c r="C165" s="530" t="s">
        <v>1768</v>
      </c>
      <c r="D165" s="531"/>
      <c r="E165" s="531"/>
      <c r="F165" s="531"/>
      <c r="G165" s="531"/>
      <c r="H165" s="531"/>
      <c r="I165" s="531"/>
      <c r="J165" s="531"/>
      <c r="K165" s="531"/>
      <c r="L165" s="531"/>
      <c r="M165" s="532"/>
    </row>
    <row r="166" spans="1:74" ht="14.4" x14ac:dyDescent="0.3">
      <c r="A166" s="239" t="s">
        <v>559</v>
      </c>
      <c r="B166" s="223" t="s">
        <v>933</v>
      </c>
      <c r="C166" s="521" t="s">
        <v>934</v>
      </c>
      <c r="D166" s="519"/>
      <c r="E166" s="223" t="s">
        <v>365</v>
      </c>
      <c r="F166" s="233">
        <v>1</v>
      </c>
      <c r="G166" s="311">
        <v>0</v>
      </c>
      <c r="H166" s="233">
        <f>F166*AM166</f>
        <v>0</v>
      </c>
      <c r="I166" s="233">
        <f>F166*AN166</f>
        <v>0</v>
      </c>
      <c r="J166" s="233">
        <f>F166*G166</f>
        <v>0</v>
      </c>
      <c r="K166" s="233">
        <v>3.6700000000000001E-3</v>
      </c>
      <c r="L166" s="233">
        <f>F166*K166</f>
        <v>3.6700000000000001E-3</v>
      </c>
      <c r="M166" s="240" t="s">
        <v>472</v>
      </c>
      <c r="X166" s="233">
        <f>IF(AO166="5",BH166,0)</f>
        <v>0</v>
      </c>
      <c r="Z166" s="233">
        <f>IF(AO166="1",BF166,0)</f>
        <v>0</v>
      </c>
      <c r="AA166" s="233">
        <f>IF(AO166="1",BG166,0)</f>
        <v>0</v>
      </c>
      <c r="AB166" s="233">
        <f>IF(AO166="7",BF166,0)</f>
        <v>0</v>
      </c>
      <c r="AC166" s="233">
        <f>IF(AO166="7",BG166,0)</f>
        <v>0</v>
      </c>
      <c r="AD166" s="233">
        <f>IF(AO166="2",BF166,0)</f>
        <v>0</v>
      </c>
      <c r="AE166" s="233">
        <f>IF(AO166="2",BG166,0)</f>
        <v>0</v>
      </c>
      <c r="AF166" s="233">
        <f>IF(AO166="0",BH166,0)</f>
        <v>0</v>
      </c>
      <c r="AG166" s="229" t="s">
        <v>154</v>
      </c>
      <c r="AH166" s="233">
        <f>IF(AL166=0,J166,0)</f>
        <v>0</v>
      </c>
      <c r="AI166" s="233">
        <f>IF(AL166=15,J166,0)</f>
        <v>0</v>
      </c>
      <c r="AJ166" s="233">
        <f>IF(AL166=21,J166,0)</f>
        <v>0</v>
      </c>
      <c r="AL166" s="233">
        <v>15</v>
      </c>
      <c r="AM166" s="233">
        <f>G166*1</f>
        <v>0</v>
      </c>
      <c r="AN166" s="233">
        <f>G166*(1-1)</f>
        <v>0</v>
      </c>
      <c r="AO166" s="234" t="s">
        <v>453</v>
      </c>
      <c r="AT166" s="233">
        <f>AU166+AV166</f>
        <v>0</v>
      </c>
      <c r="AU166" s="233">
        <f>F166*AM166</f>
        <v>0</v>
      </c>
      <c r="AV166" s="233">
        <f>F166*AN166</f>
        <v>0</v>
      </c>
      <c r="AW166" s="234" t="s">
        <v>454</v>
      </c>
      <c r="AX166" s="234" t="s">
        <v>455</v>
      </c>
      <c r="AY166" s="229" t="s">
        <v>164</v>
      </c>
      <c r="BA166" s="233">
        <f>AU166+AV166</f>
        <v>0</v>
      </c>
      <c r="BB166" s="233">
        <f>G166/(100-BC166)*100</f>
        <v>0</v>
      </c>
      <c r="BC166" s="233">
        <v>0</v>
      </c>
      <c r="BD166" s="233">
        <f>L166</f>
        <v>3.6700000000000001E-3</v>
      </c>
      <c r="BF166" s="233">
        <f>F166*AM166</f>
        <v>0</v>
      </c>
      <c r="BG166" s="233">
        <f>F166*AN166</f>
        <v>0</v>
      </c>
      <c r="BH166" s="233">
        <f>F166*G166</f>
        <v>0</v>
      </c>
      <c r="BI166" s="233"/>
      <c r="BJ166" s="233"/>
      <c r="BU166" s="233" t="e">
        <f>#REF!</f>
        <v>#REF!</v>
      </c>
      <c r="BV166" s="225" t="s">
        <v>934</v>
      </c>
    </row>
    <row r="167" spans="1:74" ht="40.5" customHeight="1" x14ac:dyDescent="0.3">
      <c r="A167" s="241"/>
      <c r="B167" s="242" t="s">
        <v>165</v>
      </c>
      <c r="C167" s="530" t="s">
        <v>1993</v>
      </c>
      <c r="D167" s="531"/>
      <c r="E167" s="531"/>
      <c r="F167" s="531"/>
      <c r="G167" s="531"/>
      <c r="H167" s="531"/>
      <c r="I167" s="531"/>
      <c r="J167" s="531"/>
      <c r="K167" s="531"/>
      <c r="L167" s="531"/>
      <c r="M167" s="532"/>
    </row>
    <row r="168" spans="1:74" ht="14.4" x14ac:dyDescent="0.3">
      <c r="A168" s="239" t="s">
        <v>562</v>
      </c>
      <c r="B168" s="223" t="s">
        <v>935</v>
      </c>
      <c r="C168" s="521" t="s">
        <v>936</v>
      </c>
      <c r="D168" s="519"/>
      <c r="E168" s="223" t="s">
        <v>365</v>
      </c>
      <c r="F168" s="233">
        <v>1.01</v>
      </c>
      <c r="G168" s="311">
        <v>0</v>
      </c>
      <c r="H168" s="233">
        <f>F168*AM168</f>
        <v>0</v>
      </c>
      <c r="I168" s="233">
        <f>F168*AN168</f>
        <v>0</v>
      </c>
      <c r="J168" s="233">
        <f>F168*G168</f>
        <v>0</v>
      </c>
      <c r="K168" s="233">
        <v>2.65E-3</v>
      </c>
      <c r="L168" s="233">
        <f>F168*K168</f>
        <v>2.6765000000000001E-3</v>
      </c>
      <c r="M168" s="240" t="s">
        <v>472</v>
      </c>
      <c r="X168" s="233">
        <f>IF(AO168="5",BH168,0)</f>
        <v>0</v>
      </c>
      <c r="Z168" s="233">
        <f>IF(AO168="1",BF168,0)</f>
        <v>0</v>
      </c>
      <c r="AA168" s="233">
        <f>IF(AO168="1",BG168,0)</f>
        <v>0</v>
      </c>
      <c r="AB168" s="233">
        <f>IF(AO168="7",BF168,0)</f>
        <v>0</v>
      </c>
      <c r="AC168" s="233">
        <f>IF(AO168="7",BG168,0)</f>
        <v>0</v>
      </c>
      <c r="AD168" s="233">
        <f>IF(AO168="2",BF168,0)</f>
        <v>0</v>
      </c>
      <c r="AE168" s="233">
        <f>IF(AO168="2",BG168,0)</f>
        <v>0</v>
      </c>
      <c r="AF168" s="233">
        <f>IF(AO168="0",BH168,0)</f>
        <v>0</v>
      </c>
      <c r="AG168" s="229" t="s">
        <v>154</v>
      </c>
      <c r="AH168" s="233">
        <f>IF(AL168=0,J168,0)</f>
        <v>0</v>
      </c>
      <c r="AI168" s="233">
        <f>IF(AL168=15,J168,0)</f>
        <v>0</v>
      </c>
      <c r="AJ168" s="233">
        <f>IF(AL168=21,J168,0)</f>
        <v>0</v>
      </c>
      <c r="AL168" s="233">
        <v>15</v>
      </c>
      <c r="AM168" s="233">
        <f>G168*1</f>
        <v>0</v>
      </c>
      <c r="AN168" s="233">
        <f>G168*(1-1)</f>
        <v>0</v>
      </c>
      <c r="AO168" s="234" t="s">
        <v>453</v>
      </c>
      <c r="AT168" s="233">
        <f>AU168+AV168</f>
        <v>0</v>
      </c>
      <c r="AU168" s="233">
        <f>F168*AM168</f>
        <v>0</v>
      </c>
      <c r="AV168" s="233">
        <f>F168*AN168</f>
        <v>0</v>
      </c>
      <c r="AW168" s="234" t="s">
        <v>454</v>
      </c>
      <c r="AX168" s="234" t="s">
        <v>455</v>
      </c>
      <c r="AY168" s="229" t="s">
        <v>164</v>
      </c>
      <c r="BA168" s="233">
        <f>AU168+AV168</f>
        <v>0</v>
      </c>
      <c r="BB168" s="233">
        <f>G168/(100-BC168)*100</f>
        <v>0</v>
      </c>
      <c r="BC168" s="233">
        <v>0</v>
      </c>
      <c r="BD168" s="233">
        <f>L168</f>
        <v>2.6765000000000001E-3</v>
      </c>
      <c r="BF168" s="233">
        <f>F168*AM168</f>
        <v>0</v>
      </c>
      <c r="BG168" s="233">
        <f>F168*AN168</f>
        <v>0</v>
      </c>
      <c r="BH168" s="233">
        <f>F168*G168</f>
        <v>0</v>
      </c>
      <c r="BI168" s="233"/>
      <c r="BJ168" s="233"/>
      <c r="BU168" s="233" t="e">
        <f>#REF!</f>
        <v>#REF!</v>
      </c>
      <c r="BV168" s="225" t="s">
        <v>936</v>
      </c>
    </row>
    <row r="169" spans="1:74" ht="54" customHeight="1" x14ac:dyDescent="0.3">
      <c r="A169" s="241"/>
      <c r="B169" s="242" t="s">
        <v>165</v>
      </c>
      <c r="C169" s="530" t="s">
        <v>1769</v>
      </c>
      <c r="D169" s="531"/>
      <c r="E169" s="531"/>
      <c r="F169" s="531"/>
      <c r="G169" s="531"/>
      <c r="H169" s="531"/>
      <c r="I169" s="531"/>
      <c r="J169" s="531"/>
      <c r="K169" s="531"/>
      <c r="L169" s="531"/>
      <c r="M169" s="532"/>
    </row>
    <row r="170" spans="1:74" ht="14.4" x14ac:dyDescent="0.3">
      <c r="A170" s="239" t="s">
        <v>566</v>
      </c>
      <c r="B170" s="223" t="s">
        <v>937</v>
      </c>
      <c r="C170" s="521" t="s">
        <v>938</v>
      </c>
      <c r="D170" s="519"/>
      <c r="E170" s="223" t="s">
        <v>365</v>
      </c>
      <c r="F170" s="233">
        <v>2.0299999999999998</v>
      </c>
      <c r="G170" s="311">
        <v>0</v>
      </c>
      <c r="H170" s="233">
        <f>F170*AM170</f>
        <v>0</v>
      </c>
      <c r="I170" s="233">
        <f>F170*AN170</f>
        <v>0</v>
      </c>
      <c r="J170" s="233">
        <f>F170*G170</f>
        <v>0</v>
      </c>
      <c r="K170" s="233">
        <v>2.2499999999999998E-3</v>
      </c>
      <c r="L170" s="233">
        <f>F170*K170</f>
        <v>4.5674999999999995E-3</v>
      </c>
      <c r="M170" s="240" t="s">
        <v>472</v>
      </c>
      <c r="X170" s="233">
        <f>IF(AO170="5",BH170,0)</f>
        <v>0</v>
      </c>
      <c r="Z170" s="233">
        <f>IF(AO170="1",BF170,0)</f>
        <v>0</v>
      </c>
      <c r="AA170" s="233">
        <f>IF(AO170="1",BG170,0)</f>
        <v>0</v>
      </c>
      <c r="AB170" s="233">
        <f>IF(AO170="7",BF170,0)</f>
        <v>0</v>
      </c>
      <c r="AC170" s="233">
        <f>IF(AO170="7",BG170,0)</f>
        <v>0</v>
      </c>
      <c r="AD170" s="233">
        <f>IF(AO170="2",BF170,0)</f>
        <v>0</v>
      </c>
      <c r="AE170" s="233">
        <f>IF(AO170="2",BG170,0)</f>
        <v>0</v>
      </c>
      <c r="AF170" s="233">
        <f>IF(AO170="0",BH170,0)</f>
        <v>0</v>
      </c>
      <c r="AG170" s="229" t="s">
        <v>154</v>
      </c>
      <c r="AH170" s="233">
        <f>IF(AL170=0,J170,0)</f>
        <v>0</v>
      </c>
      <c r="AI170" s="233">
        <f>IF(AL170=15,J170,0)</f>
        <v>0</v>
      </c>
      <c r="AJ170" s="233">
        <f>IF(AL170=21,J170,0)</f>
        <v>0</v>
      </c>
      <c r="AL170" s="233">
        <v>15</v>
      </c>
      <c r="AM170" s="233">
        <f>G170*1</f>
        <v>0</v>
      </c>
      <c r="AN170" s="233">
        <f>G170*(1-1)</f>
        <v>0</v>
      </c>
      <c r="AO170" s="234" t="s">
        <v>453</v>
      </c>
      <c r="AT170" s="233">
        <f>AU170+AV170</f>
        <v>0</v>
      </c>
      <c r="AU170" s="233">
        <f>F170*AM170</f>
        <v>0</v>
      </c>
      <c r="AV170" s="233">
        <f>F170*AN170</f>
        <v>0</v>
      </c>
      <c r="AW170" s="234" t="s">
        <v>454</v>
      </c>
      <c r="AX170" s="234" t="s">
        <v>455</v>
      </c>
      <c r="AY170" s="229" t="s">
        <v>164</v>
      </c>
      <c r="BA170" s="233">
        <f>AU170+AV170</f>
        <v>0</v>
      </c>
      <c r="BB170" s="233">
        <f>G170/(100-BC170)*100</f>
        <v>0</v>
      </c>
      <c r="BC170" s="233">
        <v>0</v>
      </c>
      <c r="BD170" s="233">
        <f>L170</f>
        <v>4.5674999999999995E-3</v>
      </c>
      <c r="BF170" s="233">
        <f>F170*AM170</f>
        <v>0</v>
      </c>
      <c r="BG170" s="233">
        <f>F170*AN170</f>
        <v>0</v>
      </c>
      <c r="BH170" s="233">
        <f>F170*G170</f>
        <v>0</v>
      </c>
      <c r="BI170" s="233"/>
      <c r="BJ170" s="233"/>
      <c r="BU170" s="233" t="e">
        <f>#REF!</f>
        <v>#REF!</v>
      </c>
      <c r="BV170" s="225" t="s">
        <v>938</v>
      </c>
    </row>
    <row r="171" spans="1:74" ht="54" customHeight="1" x14ac:dyDescent="0.3">
      <c r="A171" s="241"/>
      <c r="B171" s="242" t="s">
        <v>165</v>
      </c>
      <c r="C171" s="530" t="s">
        <v>1656</v>
      </c>
      <c r="D171" s="531"/>
      <c r="E171" s="531"/>
      <c r="F171" s="531"/>
      <c r="G171" s="531"/>
      <c r="H171" s="531"/>
      <c r="I171" s="531"/>
      <c r="J171" s="531"/>
      <c r="K171" s="531"/>
      <c r="L171" s="531"/>
      <c r="M171" s="532"/>
    </row>
    <row r="172" spans="1:74" ht="14.4" x14ac:dyDescent="0.3">
      <c r="A172" s="239" t="s">
        <v>570</v>
      </c>
      <c r="B172" s="223" t="s">
        <v>939</v>
      </c>
      <c r="C172" s="521" t="s">
        <v>940</v>
      </c>
      <c r="D172" s="519"/>
      <c r="E172" s="223" t="s">
        <v>365</v>
      </c>
      <c r="F172" s="233">
        <v>2.0299999999999998</v>
      </c>
      <c r="G172" s="311">
        <v>0</v>
      </c>
      <c r="H172" s="233">
        <f>F172*AM172</f>
        <v>0</v>
      </c>
      <c r="I172" s="233">
        <f>F172*AN172</f>
        <v>0</v>
      </c>
      <c r="J172" s="233">
        <f>F172*G172</f>
        <v>0</v>
      </c>
      <c r="K172" s="233">
        <v>2E-3</v>
      </c>
      <c r="L172" s="233">
        <f>F172*K172</f>
        <v>4.0599999999999994E-3</v>
      </c>
      <c r="M172" s="240" t="s">
        <v>472</v>
      </c>
      <c r="X172" s="233">
        <f>IF(AO172="5",BH172,0)</f>
        <v>0</v>
      </c>
      <c r="Z172" s="233">
        <f>IF(AO172="1",BF172,0)</f>
        <v>0</v>
      </c>
      <c r="AA172" s="233">
        <f>IF(AO172="1",BG172,0)</f>
        <v>0</v>
      </c>
      <c r="AB172" s="233">
        <f>IF(AO172="7",BF172,0)</f>
        <v>0</v>
      </c>
      <c r="AC172" s="233">
        <f>IF(AO172="7",BG172,0)</f>
        <v>0</v>
      </c>
      <c r="AD172" s="233">
        <f>IF(AO172="2",BF172,0)</f>
        <v>0</v>
      </c>
      <c r="AE172" s="233">
        <f>IF(AO172="2",BG172,0)</f>
        <v>0</v>
      </c>
      <c r="AF172" s="233">
        <f>IF(AO172="0",BH172,0)</f>
        <v>0</v>
      </c>
      <c r="AG172" s="229" t="s">
        <v>154</v>
      </c>
      <c r="AH172" s="233">
        <f>IF(AL172=0,J172,0)</f>
        <v>0</v>
      </c>
      <c r="AI172" s="233">
        <f>IF(AL172=15,J172,0)</f>
        <v>0</v>
      </c>
      <c r="AJ172" s="233">
        <f>IF(AL172=21,J172,0)</f>
        <v>0</v>
      </c>
      <c r="AL172" s="233">
        <v>15</v>
      </c>
      <c r="AM172" s="233">
        <f>G172*1</f>
        <v>0</v>
      </c>
      <c r="AN172" s="233">
        <f>G172*(1-1)</f>
        <v>0</v>
      </c>
      <c r="AO172" s="234" t="s">
        <v>453</v>
      </c>
      <c r="AT172" s="233">
        <f>AU172+AV172</f>
        <v>0</v>
      </c>
      <c r="AU172" s="233">
        <f>F172*AM172</f>
        <v>0</v>
      </c>
      <c r="AV172" s="233">
        <f>F172*AN172</f>
        <v>0</v>
      </c>
      <c r="AW172" s="234" t="s">
        <v>454</v>
      </c>
      <c r="AX172" s="234" t="s">
        <v>455</v>
      </c>
      <c r="AY172" s="229" t="s">
        <v>164</v>
      </c>
      <c r="BA172" s="233">
        <f>AU172+AV172</f>
        <v>0</v>
      </c>
      <c r="BB172" s="233">
        <f>G172/(100-BC172)*100</f>
        <v>0</v>
      </c>
      <c r="BC172" s="233">
        <v>0</v>
      </c>
      <c r="BD172" s="233">
        <f>L172</f>
        <v>4.0599999999999994E-3</v>
      </c>
      <c r="BF172" s="233">
        <f>F172*AM172</f>
        <v>0</v>
      </c>
      <c r="BG172" s="233">
        <f>F172*AN172</f>
        <v>0</v>
      </c>
      <c r="BH172" s="233">
        <f>F172*G172</f>
        <v>0</v>
      </c>
      <c r="BI172" s="233"/>
      <c r="BJ172" s="233"/>
      <c r="BU172" s="233" t="e">
        <f>#REF!</f>
        <v>#REF!</v>
      </c>
      <c r="BV172" s="225" t="s">
        <v>940</v>
      </c>
    </row>
    <row r="173" spans="1:74" ht="54" customHeight="1" x14ac:dyDescent="0.3">
      <c r="A173" s="241"/>
      <c r="B173" s="242" t="s">
        <v>165</v>
      </c>
      <c r="C173" s="530" t="s">
        <v>1770</v>
      </c>
      <c r="D173" s="531"/>
      <c r="E173" s="531"/>
      <c r="F173" s="531"/>
      <c r="G173" s="531"/>
      <c r="H173" s="531"/>
      <c r="I173" s="531"/>
      <c r="J173" s="531"/>
      <c r="K173" s="531"/>
      <c r="L173" s="531"/>
      <c r="M173" s="532"/>
    </row>
    <row r="174" spans="1:74" ht="14.4" x14ac:dyDescent="0.3">
      <c r="A174" s="239" t="s">
        <v>573</v>
      </c>
      <c r="B174" s="223" t="s">
        <v>941</v>
      </c>
      <c r="C174" s="521" t="s">
        <v>942</v>
      </c>
      <c r="D174" s="519"/>
      <c r="E174" s="223" t="s">
        <v>365</v>
      </c>
      <c r="F174" s="233">
        <v>3.04</v>
      </c>
      <c r="G174" s="311">
        <v>0</v>
      </c>
      <c r="H174" s="233">
        <f>F174*AM174</f>
        <v>0</v>
      </c>
      <c r="I174" s="233">
        <f>F174*AN174</f>
        <v>0</v>
      </c>
      <c r="J174" s="233">
        <f>F174*G174</f>
        <v>0</v>
      </c>
      <c r="K174" s="233">
        <v>2.33E-3</v>
      </c>
      <c r="L174" s="233">
        <f>F174*K174</f>
        <v>7.0832000000000004E-3</v>
      </c>
      <c r="M174" s="240" t="s">
        <v>472</v>
      </c>
      <c r="X174" s="233">
        <f>IF(AO174="5",BH174,0)</f>
        <v>0</v>
      </c>
      <c r="Z174" s="233">
        <f>IF(AO174="1",BF174,0)</f>
        <v>0</v>
      </c>
      <c r="AA174" s="233">
        <f>IF(AO174="1",BG174,0)</f>
        <v>0</v>
      </c>
      <c r="AB174" s="233">
        <f>IF(AO174="7",BF174,0)</f>
        <v>0</v>
      </c>
      <c r="AC174" s="233">
        <f>IF(AO174="7",BG174,0)</f>
        <v>0</v>
      </c>
      <c r="AD174" s="233">
        <f>IF(AO174="2",BF174,0)</f>
        <v>0</v>
      </c>
      <c r="AE174" s="233">
        <f>IF(AO174="2",BG174,0)</f>
        <v>0</v>
      </c>
      <c r="AF174" s="233">
        <f>IF(AO174="0",BH174,0)</f>
        <v>0</v>
      </c>
      <c r="AG174" s="229" t="s">
        <v>154</v>
      </c>
      <c r="AH174" s="233">
        <f>IF(AL174=0,J174,0)</f>
        <v>0</v>
      </c>
      <c r="AI174" s="233">
        <f>IF(AL174=15,J174,0)</f>
        <v>0</v>
      </c>
      <c r="AJ174" s="233">
        <f>IF(AL174=21,J174,0)</f>
        <v>0</v>
      </c>
      <c r="AL174" s="233">
        <v>15</v>
      </c>
      <c r="AM174" s="233">
        <f>G174*1</f>
        <v>0</v>
      </c>
      <c r="AN174" s="233">
        <f>G174*(1-1)</f>
        <v>0</v>
      </c>
      <c r="AO174" s="234" t="s">
        <v>453</v>
      </c>
      <c r="AT174" s="233">
        <f>AU174+AV174</f>
        <v>0</v>
      </c>
      <c r="AU174" s="233">
        <f>F174*AM174</f>
        <v>0</v>
      </c>
      <c r="AV174" s="233">
        <f>F174*AN174</f>
        <v>0</v>
      </c>
      <c r="AW174" s="234" t="s">
        <v>454</v>
      </c>
      <c r="AX174" s="234" t="s">
        <v>455</v>
      </c>
      <c r="AY174" s="229" t="s">
        <v>164</v>
      </c>
      <c r="BA174" s="233">
        <f>AU174+AV174</f>
        <v>0</v>
      </c>
      <c r="BB174" s="233">
        <f>G174/(100-BC174)*100</f>
        <v>0</v>
      </c>
      <c r="BC174" s="233">
        <v>0</v>
      </c>
      <c r="BD174" s="233">
        <f>L174</f>
        <v>7.0832000000000004E-3</v>
      </c>
      <c r="BF174" s="233">
        <f>F174*AM174</f>
        <v>0</v>
      </c>
      <c r="BG174" s="233">
        <f>F174*AN174</f>
        <v>0</v>
      </c>
      <c r="BH174" s="233">
        <f>F174*G174</f>
        <v>0</v>
      </c>
      <c r="BI174" s="233"/>
      <c r="BJ174" s="233"/>
      <c r="BU174" s="233" t="e">
        <f>#REF!</f>
        <v>#REF!</v>
      </c>
      <c r="BV174" s="225" t="s">
        <v>942</v>
      </c>
    </row>
    <row r="175" spans="1:74" ht="54" customHeight="1" x14ac:dyDescent="0.3">
      <c r="A175" s="244"/>
      <c r="B175" s="245" t="s">
        <v>165</v>
      </c>
      <c r="C175" s="540" t="s">
        <v>1771</v>
      </c>
      <c r="D175" s="541"/>
      <c r="E175" s="541"/>
      <c r="F175" s="541"/>
      <c r="G175" s="541"/>
      <c r="H175" s="541"/>
      <c r="I175" s="541"/>
      <c r="J175" s="541"/>
      <c r="K175" s="541"/>
      <c r="L175" s="541"/>
      <c r="M175" s="542"/>
    </row>
    <row r="176" spans="1:74" ht="14.4" x14ac:dyDescent="0.3">
      <c r="A176" s="237" t="s">
        <v>576</v>
      </c>
      <c r="B176" s="238" t="s">
        <v>1033</v>
      </c>
      <c r="C176" s="543" t="s">
        <v>1034</v>
      </c>
      <c r="D176" s="544"/>
      <c r="E176" s="238" t="s">
        <v>365</v>
      </c>
      <c r="F176" s="258">
        <v>1</v>
      </c>
      <c r="G176" s="311">
        <v>0</v>
      </c>
      <c r="H176" s="258">
        <f>F176*AM176</f>
        <v>0</v>
      </c>
      <c r="I176" s="258">
        <f>F176*AN176</f>
        <v>0</v>
      </c>
      <c r="J176" s="258">
        <f>F176*G176</f>
        <v>0</v>
      </c>
      <c r="K176" s="258">
        <v>1.65E-3</v>
      </c>
      <c r="L176" s="258">
        <f>F176*K176</f>
        <v>1.65E-3</v>
      </c>
      <c r="M176" s="259" t="s">
        <v>472</v>
      </c>
      <c r="X176" s="233">
        <f>IF(AO176="5",BH176,0)</f>
        <v>0</v>
      </c>
      <c r="Z176" s="233">
        <f>IF(AO176="1",BF176,0)</f>
        <v>0</v>
      </c>
      <c r="AA176" s="233">
        <f>IF(AO176="1",BG176,0)</f>
        <v>0</v>
      </c>
      <c r="AB176" s="233">
        <f>IF(AO176="7",BF176,0)</f>
        <v>0</v>
      </c>
      <c r="AC176" s="233">
        <f>IF(AO176="7",BG176,0)</f>
        <v>0</v>
      </c>
      <c r="AD176" s="233">
        <f>IF(AO176="2",BF176,0)</f>
        <v>0</v>
      </c>
      <c r="AE176" s="233">
        <f>IF(AO176="2",BG176,0)</f>
        <v>0</v>
      </c>
      <c r="AF176" s="233">
        <f>IF(AO176="0",BH176,0)</f>
        <v>0</v>
      </c>
      <c r="AG176" s="229" t="s">
        <v>154</v>
      </c>
      <c r="AH176" s="233">
        <f>IF(AL176=0,J176,0)</f>
        <v>0</v>
      </c>
      <c r="AI176" s="233">
        <f>IF(AL176=15,J176,0)</f>
        <v>0</v>
      </c>
      <c r="AJ176" s="233">
        <f>IF(AL176=21,J176,0)</f>
        <v>0</v>
      </c>
      <c r="AL176" s="233">
        <v>15</v>
      </c>
      <c r="AM176" s="233">
        <f>G176*1</f>
        <v>0</v>
      </c>
      <c r="AN176" s="233">
        <f>G176*(1-1)</f>
        <v>0</v>
      </c>
      <c r="AO176" s="234" t="s">
        <v>453</v>
      </c>
      <c r="AT176" s="233">
        <f>AU176+AV176</f>
        <v>0</v>
      </c>
      <c r="AU176" s="233">
        <f>F176*AM176</f>
        <v>0</v>
      </c>
      <c r="AV176" s="233">
        <f>F176*AN176</f>
        <v>0</v>
      </c>
      <c r="AW176" s="234" t="s">
        <v>454</v>
      </c>
      <c r="AX176" s="234" t="s">
        <v>455</v>
      </c>
      <c r="AY176" s="229" t="s">
        <v>164</v>
      </c>
      <c r="BA176" s="233">
        <f>AU176+AV176</f>
        <v>0</v>
      </c>
      <c r="BB176" s="233">
        <f>G176/(100-BC176)*100</f>
        <v>0</v>
      </c>
      <c r="BC176" s="233">
        <v>0</v>
      </c>
      <c r="BD176" s="233">
        <f>L176</f>
        <v>1.65E-3</v>
      </c>
      <c r="BF176" s="233">
        <f>F176*AM176</f>
        <v>0</v>
      </c>
      <c r="BG176" s="233">
        <f>F176*AN176</f>
        <v>0</v>
      </c>
      <c r="BH176" s="233">
        <f>F176*G176</f>
        <v>0</v>
      </c>
      <c r="BI176" s="233"/>
      <c r="BJ176" s="233"/>
      <c r="BU176" s="233" t="e">
        <f>#REF!</f>
        <v>#REF!</v>
      </c>
      <c r="BV176" s="225" t="s">
        <v>1034</v>
      </c>
    </row>
    <row r="177" spans="1:74" ht="54" customHeight="1" x14ac:dyDescent="0.3">
      <c r="A177" s="241"/>
      <c r="B177" s="242" t="s">
        <v>165</v>
      </c>
      <c r="C177" s="530" t="s">
        <v>1772</v>
      </c>
      <c r="D177" s="531"/>
      <c r="E177" s="531"/>
      <c r="F177" s="531"/>
      <c r="G177" s="531"/>
      <c r="H177" s="531"/>
      <c r="I177" s="531"/>
      <c r="J177" s="531"/>
      <c r="K177" s="531"/>
      <c r="L177" s="531"/>
      <c r="M177" s="532"/>
    </row>
    <row r="178" spans="1:74" ht="14.4" x14ac:dyDescent="0.3">
      <c r="A178" s="239" t="s">
        <v>580</v>
      </c>
      <c r="B178" s="223" t="s">
        <v>988</v>
      </c>
      <c r="C178" s="521" t="s">
        <v>989</v>
      </c>
      <c r="D178" s="519"/>
      <c r="E178" s="223" t="s">
        <v>365</v>
      </c>
      <c r="F178" s="233">
        <v>1</v>
      </c>
      <c r="G178" s="311">
        <v>0</v>
      </c>
      <c r="H178" s="233">
        <f>F178*AM178</f>
        <v>0</v>
      </c>
      <c r="I178" s="233">
        <f>F178*AN178</f>
        <v>0</v>
      </c>
      <c r="J178" s="233">
        <f>F178*G178</f>
        <v>0</v>
      </c>
      <c r="K178" s="233">
        <v>1.2999999999999999E-3</v>
      </c>
      <c r="L178" s="233">
        <f>F178*K178</f>
        <v>1.2999999999999999E-3</v>
      </c>
      <c r="M178" s="240" t="s">
        <v>472</v>
      </c>
      <c r="X178" s="233">
        <f>IF(AO178="5",BH178,0)</f>
        <v>0</v>
      </c>
      <c r="Z178" s="233">
        <f>IF(AO178="1",BF178,0)</f>
        <v>0</v>
      </c>
      <c r="AA178" s="233">
        <f>IF(AO178="1",BG178,0)</f>
        <v>0</v>
      </c>
      <c r="AB178" s="233">
        <f>IF(AO178="7",BF178,0)</f>
        <v>0</v>
      </c>
      <c r="AC178" s="233">
        <f>IF(AO178="7",BG178,0)</f>
        <v>0</v>
      </c>
      <c r="AD178" s="233">
        <f>IF(AO178="2",BF178,0)</f>
        <v>0</v>
      </c>
      <c r="AE178" s="233">
        <f>IF(AO178="2",BG178,0)</f>
        <v>0</v>
      </c>
      <c r="AF178" s="233">
        <f>IF(AO178="0",BH178,0)</f>
        <v>0</v>
      </c>
      <c r="AG178" s="229" t="s">
        <v>154</v>
      </c>
      <c r="AH178" s="233">
        <f>IF(AL178=0,J178,0)</f>
        <v>0</v>
      </c>
      <c r="AI178" s="233">
        <f>IF(AL178=15,J178,0)</f>
        <v>0</v>
      </c>
      <c r="AJ178" s="233">
        <f>IF(AL178=21,J178,0)</f>
        <v>0</v>
      </c>
      <c r="AL178" s="233">
        <v>15</v>
      </c>
      <c r="AM178" s="233">
        <f>G178*1</f>
        <v>0</v>
      </c>
      <c r="AN178" s="233">
        <f>G178*(1-1)</f>
        <v>0</v>
      </c>
      <c r="AO178" s="234" t="s">
        <v>453</v>
      </c>
      <c r="AT178" s="233">
        <f>AU178+AV178</f>
        <v>0</v>
      </c>
      <c r="AU178" s="233">
        <f>F178*AM178</f>
        <v>0</v>
      </c>
      <c r="AV178" s="233">
        <f>F178*AN178</f>
        <v>0</v>
      </c>
      <c r="AW178" s="234" t="s">
        <v>454</v>
      </c>
      <c r="AX178" s="234" t="s">
        <v>455</v>
      </c>
      <c r="AY178" s="229" t="s">
        <v>164</v>
      </c>
      <c r="BA178" s="233">
        <f>AU178+AV178</f>
        <v>0</v>
      </c>
      <c r="BB178" s="233">
        <f>G178/(100-BC178)*100</f>
        <v>0</v>
      </c>
      <c r="BC178" s="233">
        <v>0</v>
      </c>
      <c r="BD178" s="233">
        <f>L178</f>
        <v>1.2999999999999999E-3</v>
      </c>
      <c r="BF178" s="233">
        <f>F178*AM178</f>
        <v>0</v>
      </c>
      <c r="BG178" s="233">
        <f>F178*AN178</f>
        <v>0</v>
      </c>
      <c r="BH178" s="233">
        <f>F178*G178</f>
        <v>0</v>
      </c>
      <c r="BI178" s="233"/>
      <c r="BJ178" s="233"/>
      <c r="BU178" s="233" t="e">
        <f>#REF!</f>
        <v>#REF!</v>
      </c>
      <c r="BV178" s="225" t="s">
        <v>989</v>
      </c>
    </row>
    <row r="179" spans="1:74" ht="54" customHeight="1" x14ac:dyDescent="0.3">
      <c r="A179" s="241"/>
      <c r="B179" s="242" t="s">
        <v>165</v>
      </c>
      <c r="C179" s="530" t="s">
        <v>1772</v>
      </c>
      <c r="D179" s="531"/>
      <c r="E179" s="531"/>
      <c r="F179" s="531"/>
      <c r="G179" s="531"/>
      <c r="H179" s="531"/>
      <c r="I179" s="531"/>
      <c r="J179" s="531"/>
      <c r="K179" s="531"/>
      <c r="L179" s="531"/>
      <c r="M179" s="532"/>
    </row>
    <row r="180" spans="1:74" ht="14.4" x14ac:dyDescent="0.3">
      <c r="A180" s="239" t="s">
        <v>584</v>
      </c>
      <c r="B180" s="223" t="s">
        <v>966</v>
      </c>
      <c r="C180" s="521" t="s">
        <v>990</v>
      </c>
      <c r="D180" s="519"/>
      <c r="E180" s="223" t="s">
        <v>365</v>
      </c>
      <c r="F180" s="233">
        <v>2</v>
      </c>
      <c r="G180" s="311">
        <v>0</v>
      </c>
      <c r="H180" s="233">
        <f>F180*AM180</f>
        <v>0</v>
      </c>
      <c r="I180" s="233">
        <f>F180*AN180</f>
        <v>0</v>
      </c>
      <c r="J180" s="233">
        <f>F180*G180</f>
        <v>0</v>
      </c>
      <c r="K180" s="233">
        <v>0.158</v>
      </c>
      <c r="L180" s="233">
        <f>F180*K180</f>
        <v>0.316</v>
      </c>
      <c r="M180" s="240" t="s">
        <v>472</v>
      </c>
      <c r="X180" s="233">
        <f>IF(AO180="5",BH180,0)</f>
        <v>0</v>
      </c>
      <c r="Z180" s="233">
        <f>IF(AO180="1",BF180,0)</f>
        <v>0</v>
      </c>
      <c r="AA180" s="233">
        <f>IF(AO180="1",BG180,0)</f>
        <v>0</v>
      </c>
      <c r="AB180" s="233">
        <f>IF(AO180="7",BF180,0)</f>
        <v>0</v>
      </c>
      <c r="AC180" s="233">
        <f>IF(AO180="7",BG180,0)</f>
        <v>0</v>
      </c>
      <c r="AD180" s="233">
        <f>IF(AO180="2",BF180,0)</f>
        <v>0</v>
      </c>
      <c r="AE180" s="233">
        <f>IF(AO180="2",BG180,0)</f>
        <v>0</v>
      </c>
      <c r="AF180" s="233">
        <f>IF(AO180="0",BH180,0)</f>
        <v>0</v>
      </c>
      <c r="AG180" s="229" t="s">
        <v>154</v>
      </c>
      <c r="AH180" s="233">
        <f>IF(AL180=0,J180,0)</f>
        <v>0</v>
      </c>
      <c r="AI180" s="233">
        <f>IF(AL180=15,J180,0)</f>
        <v>0</v>
      </c>
      <c r="AJ180" s="233">
        <f>IF(AL180=21,J180,0)</f>
        <v>0</v>
      </c>
      <c r="AL180" s="233">
        <v>15</v>
      </c>
      <c r="AM180" s="233">
        <f>G180*1</f>
        <v>0</v>
      </c>
      <c r="AN180" s="233">
        <f>G180*(1-1)</f>
        <v>0</v>
      </c>
      <c r="AO180" s="234" t="s">
        <v>453</v>
      </c>
      <c r="AT180" s="233">
        <f>AU180+AV180</f>
        <v>0</v>
      </c>
      <c r="AU180" s="233">
        <f>F180*AM180</f>
        <v>0</v>
      </c>
      <c r="AV180" s="233">
        <f>F180*AN180</f>
        <v>0</v>
      </c>
      <c r="AW180" s="234" t="s">
        <v>454</v>
      </c>
      <c r="AX180" s="234" t="s">
        <v>455</v>
      </c>
      <c r="AY180" s="229" t="s">
        <v>164</v>
      </c>
      <c r="BA180" s="233">
        <f>AU180+AV180</f>
        <v>0</v>
      </c>
      <c r="BB180" s="233">
        <f>G180/(100-BC180)*100</f>
        <v>0</v>
      </c>
      <c r="BC180" s="233">
        <v>0</v>
      </c>
      <c r="BD180" s="233">
        <f>L180</f>
        <v>0.316</v>
      </c>
      <c r="BF180" s="233">
        <f>F180*AM180</f>
        <v>0</v>
      </c>
      <c r="BG180" s="233">
        <f>F180*AN180</f>
        <v>0</v>
      </c>
      <c r="BH180" s="233">
        <f>F180*G180</f>
        <v>0</v>
      </c>
      <c r="BI180" s="233"/>
      <c r="BJ180" s="233"/>
      <c r="BU180" s="233" t="e">
        <f>#REF!</f>
        <v>#REF!</v>
      </c>
      <c r="BV180" s="225" t="s">
        <v>990</v>
      </c>
    </row>
    <row r="181" spans="1:74" ht="27" customHeight="1" x14ac:dyDescent="0.3">
      <c r="A181" s="241"/>
      <c r="B181" s="242" t="s">
        <v>165</v>
      </c>
      <c r="C181" s="530" t="s">
        <v>991</v>
      </c>
      <c r="D181" s="531"/>
      <c r="E181" s="531"/>
      <c r="F181" s="531"/>
      <c r="G181" s="531"/>
      <c r="H181" s="531"/>
      <c r="I181" s="531"/>
      <c r="J181" s="531"/>
      <c r="K181" s="531"/>
      <c r="L181" s="531"/>
      <c r="M181" s="532"/>
    </row>
    <row r="182" spans="1:74" ht="14.4" x14ac:dyDescent="0.3">
      <c r="A182" s="239" t="s">
        <v>585</v>
      </c>
      <c r="B182" s="223" t="s">
        <v>992</v>
      </c>
      <c r="C182" s="521" t="s">
        <v>1035</v>
      </c>
      <c r="D182" s="519"/>
      <c r="E182" s="223" t="s">
        <v>471</v>
      </c>
      <c r="F182" s="233">
        <v>2</v>
      </c>
      <c r="G182" s="311">
        <v>0</v>
      </c>
      <c r="H182" s="233">
        <f>F182*AM182</f>
        <v>0</v>
      </c>
      <c r="I182" s="233">
        <f>F182*AN182</f>
        <v>0</v>
      </c>
      <c r="J182" s="233">
        <f>F182*G182</f>
        <v>0</v>
      </c>
      <c r="K182" s="233">
        <v>0.06</v>
      </c>
      <c r="L182" s="233">
        <f>F182*K182</f>
        <v>0.12</v>
      </c>
      <c r="M182" s="240" t="s">
        <v>1773</v>
      </c>
      <c r="X182" s="233">
        <f>IF(AO182="5",BH182,0)</f>
        <v>0</v>
      </c>
      <c r="Z182" s="233">
        <f>IF(AO182="1",BF182,0)</f>
        <v>0</v>
      </c>
      <c r="AA182" s="233">
        <f>IF(AO182="1",BG182,0)</f>
        <v>0</v>
      </c>
      <c r="AB182" s="233">
        <f>IF(AO182="7",BF182,0)</f>
        <v>0</v>
      </c>
      <c r="AC182" s="233">
        <f>IF(AO182="7",BG182,0)</f>
        <v>0</v>
      </c>
      <c r="AD182" s="233">
        <f>IF(AO182="2",BF182,0)</f>
        <v>0</v>
      </c>
      <c r="AE182" s="233">
        <f>IF(AO182="2",BG182,0)</f>
        <v>0</v>
      </c>
      <c r="AF182" s="233">
        <f>IF(AO182="0",BH182,0)</f>
        <v>0</v>
      </c>
      <c r="AG182" s="229" t="s">
        <v>154</v>
      </c>
      <c r="AH182" s="233">
        <f>IF(AL182=0,J182,0)</f>
        <v>0</v>
      </c>
      <c r="AI182" s="233">
        <f>IF(AL182=15,J182,0)</f>
        <v>0</v>
      </c>
      <c r="AJ182" s="233">
        <f>IF(AL182=21,J182,0)</f>
        <v>0</v>
      </c>
      <c r="AL182" s="233">
        <v>15</v>
      </c>
      <c r="AM182" s="233">
        <f>G182*1</f>
        <v>0</v>
      </c>
      <c r="AN182" s="233">
        <f>G182*(1-1)</f>
        <v>0</v>
      </c>
      <c r="AO182" s="234" t="s">
        <v>453</v>
      </c>
      <c r="AT182" s="233">
        <f>AU182+AV182</f>
        <v>0</v>
      </c>
      <c r="AU182" s="233">
        <f>F182*AM182</f>
        <v>0</v>
      </c>
      <c r="AV182" s="233">
        <f>F182*AN182</f>
        <v>0</v>
      </c>
      <c r="AW182" s="234" t="s">
        <v>454</v>
      </c>
      <c r="AX182" s="234" t="s">
        <v>455</v>
      </c>
      <c r="AY182" s="229" t="s">
        <v>164</v>
      </c>
      <c r="BA182" s="233">
        <f>AU182+AV182</f>
        <v>0</v>
      </c>
      <c r="BB182" s="233">
        <f>G182/(100-BC182)*100</f>
        <v>0</v>
      </c>
      <c r="BC182" s="233">
        <v>0</v>
      </c>
      <c r="BD182" s="233">
        <f>L182</f>
        <v>0.12</v>
      </c>
      <c r="BF182" s="233">
        <f>F182*AM182</f>
        <v>0</v>
      </c>
      <c r="BG182" s="233">
        <f>F182*AN182</f>
        <v>0</v>
      </c>
      <c r="BH182" s="233">
        <f>F182*G182</f>
        <v>0</v>
      </c>
      <c r="BI182" s="233"/>
      <c r="BJ182" s="233"/>
      <c r="BU182" s="233" t="e">
        <f>#REF!</f>
        <v>#REF!</v>
      </c>
      <c r="BV182" s="225" t="s">
        <v>1035</v>
      </c>
    </row>
    <row r="183" spans="1:74" ht="40.5" customHeight="1" x14ac:dyDescent="0.3">
      <c r="A183" s="244"/>
      <c r="B183" s="245" t="s">
        <v>165</v>
      </c>
      <c r="C183" s="540" t="s">
        <v>1994</v>
      </c>
      <c r="D183" s="541"/>
      <c r="E183" s="541"/>
      <c r="F183" s="541"/>
      <c r="G183" s="541"/>
      <c r="H183" s="541"/>
      <c r="I183" s="541"/>
      <c r="J183" s="541"/>
      <c r="K183" s="541"/>
      <c r="L183" s="541"/>
      <c r="M183" s="542"/>
    </row>
    <row r="184" spans="1:74" ht="14.4" x14ac:dyDescent="0.3">
      <c r="H184" s="527" t="s">
        <v>423</v>
      </c>
      <c r="I184" s="527"/>
      <c r="J184" s="235">
        <f>J12+J27+J32+J49+J54+J75+J81+J84+J89+J95+J98+J101+J116+J119+J122+J129+J144+J147+J150+J157+J161</f>
        <v>0</v>
      </c>
    </row>
    <row r="185" spans="1:74" ht="14.4" x14ac:dyDescent="0.3">
      <c r="A185" s="236" t="s">
        <v>165</v>
      </c>
    </row>
    <row r="186" spans="1:74" ht="13.5" customHeight="1" x14ac:dyDescent="0.3">
      <c r="A186" s="521" t="s">
        <v>1387</v>
      </c>
      <c r="B186" s="519"/>
      <c r="C186" s="519"/>
      <c r="D186" s="519"/>
      <c r="E186" s="519"/>
      <c r="F186" s="519"/>
      <c r="G186" s="519"/>
      <c r="H186" s="519"/>
      <c r="I186" s="519"/>
      <c r="J186" s="519"/>
      <c r="K186" s="519"/>
      <c r="L186" s="519"/>
      <c r="M186" s="519"/>
    </row>
    <row r="187" spans="1:74" ht="15" customHeight="1" x14ac:dyDescent="0.3">
      <c r="A187" s="549" t="s">
        <v>1163</v>
      </c>
      <c r="B187" s="550"/>
      <c r="C187" s="550"/>
      <c r="D187" s="550"/>
      <c r="E187" s="550"/>
      <c r="F187" s="550"/>
      <c r="G187" s="550"/>
      <c r="H187" s="550"/>
      <c r="I187" s="550"/>
      <c r="J187" s="550"/>
      <c r="K187" s="550"/>
      <c r="L187" s="550"/>
      <c r="M187" s="550"/>
    </row>
  </sheetData>
  <sheetProtection algorithmName="SHA-512" hashValue="Z2IIZDLXizjdIZLbOp5TlIt4twabdgtzr05TNEzYySJvvEoPdHt7ESzh6p99NB+CIxTE1r/gMoyUK0wyMv7cSw==" saltValue="k0YZc/DYK6DC/8WHHnirRQ==" spinCount="100000" sheet="1" objects="1" scenarios="1" formatCells="0" formatColumns="0" formatRows="0" insertColumns="0" insertRows="0" insertHyperlinks="0"/>
  <mergeCells count="204">
    <mergeCell ref="A1:M1"/>
    <mergeCell ref="A2:B3"/>
    <mergeCell ref="C2:D3"/>
    <mergeCell ref="E2:F3"/>
    <mergeCell ref="G2:G3"/>
    <mergeCell ref="H2:H3"/>
    <mergeCell ref="A6:B7"/>
    <mergeCell ref="C6:D7"/>
    <mergeCell ref="E6:F7"/>
    <mergeCell ref="G6:G7"/>
    <mergeCell ref="H6:H7"/>
    <mergeCell ref="A4:B5"/>
    <mergeCell ref="C4:D5"/>
    <mergeCell ref="E4:F5"/>
    <mergeCell ref="G4:G5"/>
    <mergeCell ref="H4:H5"/>
    <mergeCell ref="C10:D10"/>
    <mergeCell ref="H10:J10"/>
    <mergeCell ref="K10:L10"/>
    <mergeCell ref="C11:D11"/>
    <mergeCell ref="C12:D12"/>
    <mergeCell ref="C13:D13"/>
    <mergeCell ref="A8:B9"/>
    <mergeCell ref="C8:D9"/>
    <mergeCell ref="E8:F9"/>
    <mergeCell ref="G8:G9"/>
    <mergeCell ref="H8:H9"/>
    <mergeCell ref="C20:M20"/>
    <mergeCell ref="C21:D21"/>
    <mergeCell ref="C22:M22"/>
    <mergeCell ref="C23:D23"/>
    <mergeCell ref="C24:M24"/>
    <mergeCell ref="C25:D25"/>
    <mergeCell ref="C14:M14"/>
    <mergeCell ref="C15:D15"/>
    <mergeCell ref="C16:M16"/>
    <mergeCell ref="C17:D17"/>
    <mergeCell ref="C18:M18"/>
    <mergeCell ref="C19:D19"/>
    <mergeCell ref="C32:D32"/>
    <mergeCell ref="C33:D33"/>
    <mergeCell ref="C34:M34"/>
    <mergeCell ref="C35:D35"/>
    <mergeCell ref="C36:M36"/>
    <mergeCell ref="C37:D37"/>
    <mergeCell ref="C26:M26"/>
    <mergeCell ref="C27:D27"/>
    <mergeCell ref="C28:D28"/>
    <mergeCell ref="C29:M29"/>
    <mergeCell ref="C30:D30"/>
    <mergeCell ref="C31:M31"/>
    <mergeCell ref="C44:M44"/>
    <mergeCell ref="C45:D45"/>
    <mergeCell ref="C46:M46"/>
    <mergeCell ref="C47:D47"/>
    <mergeCell ref="C48:M48"/>
    <mergeCell ref="C49:D49"/>
    <mergeCell ref="C38:M38"/>
    <mergeCell ref="C39:D39"/>
    <mergeCell ref="C40:M40"/>
    <mergeCell ref="C41:D41"/>
    <mergeCell ref="C42:M42"/>
    <mergeCell ref="C43:D43"/>
    <mergeCell ref="C56:M56"/>
    <mergeCell ref="C57:D57"/>
    <mergeCell ref="C58:M58"/>
    <mergeCell ref="C59:D59"/>
    <mergeCell ref="C60:M60"/>
    <mergeCell ref="C61:D61"/>
    <mergeCell ref="C50:D50"/>
    <mergeCell ref="C51:M51"/>
    <mergeCell ref="C52:D52"/>
    <mergeCell ref="C53:M53"/>
    <mergeCell ref="C54:D54"/>
    <mergeCell ref="C55:D55"/>
    <mergeCell ref="C68:M68"/>
    <mergeCell ref="C69:D69"/>
    <mergeCell ref="C70:M70"/>
    <mergeCell ref="C71:D71"/>
    <mergeCell ref="C72:M72"/>
    <mergeCell ref="C73:D73"/>
    <mergeCell ref="C62:M62"/>
    <mergeCell ref="C63:D63"/>
    <mergeCell ref="C64:M64"/>
    <mergeCell ref="C65:D65"/>
    <mergeCell ref="C66:M66"/>
    <mergeCell ref="C67:D67"/>
    <mergeCell ref="C80:M80"/>
    <mergeCell ref="C81:D81"/>
    <mergeCell ref="C82:D82"/>
    <mergeCell ref="C83:M83"/>
    <mergeCell ref="C84:D84"/>
    <mergeCell ref="C85:D85"/>
    <mergeCell ref="C74:M74"/>
    <mergeCell ref="C75:D75"/>
    <mergeCell ref="C76:D76"/>
    <mergeCell ref="C77:M77"/>
    <mergeCell ref="C78:D78"/>
    <mergeCell ref="C79:D79"/>
    <mergeCell ref="C92:D92"/>
    <mergeCell ref="C93:M93"/>
    <mergeCell ref="C94:D94"/>
    <mergeCell ref="C95:D95"/>
    <mergeCell ref="C96:D96"/>
    <mergeCell ref="C97:M97"/>
    <mergeCell ref="C86:M86"/>
    <mergeCell ref="C87:D87"/>
    <mergeCell ref="C88:M88"/>
    <mergeCell ref="C89:D89"/>
    <mergeCell ref="C90:D90"/>
    <mergeCell ref="C91:M91"/>
    <mergeCell ref="C104:D104"/>
    <mergeCell ref="C105:M105"/>
    <mergeCell ref="C106:D106"/>
    <mergeCell ref="C107:M107"/>
    <mergeCell ref="C108:D108"/>
    <mergeCell ref="C109:M109"/>
    <mergeCell ref="C98:D98"/>
    <mergeCell ref="C99:D99"/>
    <mergeCell ref="C100:M100"/>
    <mergeCell ref="C101:D101"/>
    <mergeCell ref="C102:D102"/>
    <mergeCell ref="C103:M103"/>
    <mergeCell ref="C116:D116"/>
    <mergeCell ref="C117:D117"/>
    <mergeCell ref="C118:M118"/>
    <mergeCell ref="C119:D119"/>
    <mergeCell ref="C120:D120"/>
    <mergeCell ref="C121:M121"/>
    <mergeCell ref="C110:D110"/>
    <mergeCell ref="C111:M111"/>
    <mergeCell ref="C112:D112"/>
    <mergeCell ref="C113:M113"/>
    <mergeCell ref="C114:D114"/>
    <mergeCell ref="C115:M115"/>
    <mergeCell ref="C128:M128"/>
    <mergeCell ref="C129:D129"/>
    <mergeCell ref="C130:D130"/>
    <mergeCell ref="C131:M131"/>
    <mergeCell ref="C132:D132"/>
    <mergeCell ref="C133:M133"/>
    <mergeCell ref="C122:D122"/>
    <mergeCell ref="C123:D123"/>
    <mergeCell ref="C124:M124"/>
    <mergeCell ref="C125:D125"/>
    <mergeCell ref="C126:M126"/>
    <mergeCell ref="C127:D127"/>
    <mergeCell ref="C140:D140"/>
    <mergeCell ref="C141:M141"/>
    <mergeCell ref="C142:D142"/>
    <mergeCell ref="C143:M143"/>
    <mergeCell ref="C144:D144"/>
    <mergeCell ref="C145:D145"/>
    <mergeCell ref="C134:D134"/>
    <mergeCell ref="C135:M135"/>
    <mergeCell ref="C136:D136"/>
    <mergeCell ref="C137:M137"/>
    <mergeCell ref="C138:D138"/>
    <mergeCell ref="C139:M139"/>
    <mergeCell ref="C152:D152"/>
    <mergeCell ref="C153:M153"/>
    <mergeCell ref="C154:D154"/>
    <mergeCell ref="C155:M155"/>
    <mergeCell ref="C156:D156"/>
    <mergeCell ref="C157:D157"/>
    <mergeCell ref="C146:M146"/>
    <mergeCell ref="C147:D147"/>
    <mergeCell ref="C148:D148"/>
    <mergeCell ref="C149:M149"/>
    <mergeCell ref="C150:D150"/>
    <mergeCell ref="C151:D151"/>
    <mergeCell ref="C167:M167"/>
    <mergeCell ref="C168:D168"/>
    <mergeCell ref="C169:M169"/>
    <mergeCell ref="C158:D158"/>
    <mergeCell ref="C159:D159"/>
    <mergeCell ref="C160:D160"/>
    <mergeCell ref="C161:D161"/>
    <mergeCell ref="C162:D162"/>
    <mergeCell ref="C163:M163"/>
    <mergeCell ref="A187:M187"/>
    <mergeCell ref="C182:D182"/>
    <mergeCell ref="C183:M183"/>
    <mergeCell ref="H184:I184"/>
    <mergeCell ref="A186:M186"/>
    <mergeCell ref="I2:M3"/>
    <mergeCell ref="I4:M5"/>
    <mergeCell ref="I6:M7"/>
    <mergeCell ref="I8:M9"/>
    <mergeCell ref="C176:D176"/>
    <mergeCell ref="C177:M177"/>
    <mergeCell ref="C178:D178"/>
    <mergeCell ref="C179:M179"/>
    <mergeCell ref="C180:D180"/>
    <mergeCell ref="C181:M181"/>
    <mergeCell ref="C170:D170"/>
    <mergeCell ref="C171:M171"/>
    <mergeCell ref="C172:D172"/>
    <mergeCell ref="C173:M173"/>
    <mergeCell ref="C174:D174"/>
    <mergeCell ref="C175:M175"/>
    <mergeCell ref="C164:D164"/>
    <mergeCell ref="C165:M165"/>
    <mergeCell ref="C166:D166"/>
  </mergeCells>
  <pageMargins left="0.78740157480314965" right="0.39370078740157483" top="0.39370078740157483" bottom="0.39370078740157483" header="0" footer="0.39370078740157483"/>
  <pageSetup paperSize="9" scale="57" fitToHeight="0" orientation="landscape" r:id="rId1"/>
  <headerFooter>
    <oddFooter>&amp;L&amp;A&amp;C&amp;F&amp;Rstran &amp;N / strana &amp;P</oddFooter>
  </headerFooter>
  <rowBreaks count="6" manualBreakCount="6">
    <brk id="31" max="12" man="1"/>
    <brk id="56" max="12" man="1"/>
    <brk id="83" max="12" man="1"/>
    <brk id="118" max="12" man="1"/>
    <brk id="143" max="12" man="1"/>
    <brk id="175" max="12" man="1"/>
  </row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2E2D3-DD68-4D8B-BAD6-B57533D91C12}">
  <sheetPr codeName="List15">
    <pageSetUpPr fitToPage="1"/>
  </sheetPr>
  <dimension ref="A1:BV166"/>
  <sheetViews>
    <sheetView view="pageBreakPreview" zoomScale="55" zoomScaleNormal="70" zoomScaleSheetLayoutView="55" workbookViewId="0">
      <pane ySplit="11" topLeftCell="A12" activePane="bottomLeft" state="frozen"/>
      <selection pane="bottomLeft" activeCell="G13" sqref="G13"/>
    </sheetView>
  </sheetViews>
  <sheetFormatPr defaultColWidth="12.109375" defaultRowHeight="15" customHeight="1" x14ac:dyDescent="0.3"/>
  <cols>
    <col min="1" max="1" width="5.6640625" style="221" customWidth="1"/>
    <col min="2" max="2" width="16.6640625" style="221" customWidth="1"/>
    <col min="3" max="3" width="81.33203125" style="221" customWidth="1"/>
    <col min="4" max="4" width="12.6640625" style="221" customWidth="1"/>
    <col min="5" max="5" width="8.6640625" style="221" customWidth="1"/>
    <col min="6" max="6" width="10.6640625" style="221" customWidth="1"/>
    <col min="7" max="13" width="14.6640625" style="221" customWidth="1"/>
    <col min="14" max="73" width="12.109375" style="221"/>
    <col min="74" max="74" width="78.5546875" style="221" hidden="1" customWidth="1"/>
    <col min="75" max="16384" width="12.109375" style="221"/>
  </cols>
  <sheetData>
    <row r="1" spans="1:74" ht="54.75" customHeight="1" thickBot="1" x14ac:dyDescent="0.35">
      <c r="A1" s="523" t="s">
        <v>2303</v>
      </c>
      <c r="B1" s="524"/>
      <c r="C1" s="524"/>
      <c r="D1" s="524"/>
      <c r="E1" s="524"/>
      <c r="F1" s="524"/>
      <c r="G1" s="524"/>
      <c r="H1" s="524"/>
      <c r="I1" s="524"/>
      <c r="J1" s="524"/>
      <c r="K1" s="524"/>
      <c r="L1" s="524"/>
      <c r="M1" s="525"/>
      <c r="AQ1" s="222">
        <f>SUM(AH1:AH2)</f>
        <v>0</v>
      </c>
      <c r="AR1" s="222">
        <f>SUM(AI1:AI2)</f>
        <v>0</v>
      </c>
      <c r="AS1" s="222">
        <f>SUM(AJ1:AJ2)</f>
        <v>0</v>
      </c>
    </row>
    <row r="2" spans="1:74" ht="15" customHeight="1" x14ac:dyDescent="0.3">
      <c r="A2" s="601" t="s">
        <v>112</v>
      </c>
      <c r="B2" s="602"/>
      <c r="C2" s="603" t="s">
        <v>68</v>
      </c>
      <c r="D2" s="555"/>
      <c r="E2" s="612" t="s">
        <v>113</v>
      </c>
      <c r="F2" s="612"/>
      <c r="G2" s="604" t="s">
        <v>1156</v>
      </c>
      <c r="H2" s="605" t="s">
        <v>457</v>
      </c>
      <c r="I2" s="605" t="s">
        <v>69</v>
      </c>
      <c r="J2" s="605"/>
      <c r="K2" s="605"/>
      <c r="L2" s="605"/>
      <c r="M2" s="606"/>
    </row>
    <row r="3" spans="1:74" ht="14.4" x14ac:dyDescent="0.3">
      <c r="A3" s="520"/>
      <c r="B3" s="519"/>
      <c r="C3" s="527"/>
      <c r="D3" s="527"/>
      <c r="E3" s="565"/>
      <c r="F3" s="565"/>
      <c r="G3" s="522"/>
      <c r="H3" s="551"/>
      <c r="I3" s="551"/>
      <c r="J3" s="551"/>
      <c r="K3" s="551"/>
      <c r="L3" s="551"/>
      <c r="M3" s="552"/>
    </row>
    <row r="4" spans="1:74" ht="15" customHeight="1" x14ac:dyDescent="0.3">
      <c r="A4" s="518" t="s">
        <v>115</v>
      </c>
      <c r="B4" s="519"/>
      <c r="C4" s="521" t="s">
        <v>97</v>
      </c>
      <c r="D4" s="519"/>
      <c r="E4" s="565" t="s">
        <v>116</v>
      </c>
      <c r="F4" s="565"/>
      <c r="G4" s="522" t="s">
        <v>1156</v>
      </c>
      <c r="H4" s="551" t="s">
        <v>458</v>
      </c>
      <c r="I4" s="551" t="s">
        <v>1157</v>
      </c>
      <c r="J4" s="551"/>
      <c r="K4" s="551"/>
      <c r="L4" s="551"/>
      <c r="M4" s="552"/>
    </row>
    <row r="5" spans="1:74" ht="14.4" x14ac:dyDescent="0.3">
      <c r="A5" s="520"/>
      <c r="B5" s="519"/>
      <c r="C5" s="519"/>
      <c r="D5" s="519"/>
      <c r="E5" s="565"/>
      <c r="F5" s="565"/>
      <c r="G5" s="522"/>
      <c r="H5" s="551"/>
      <c r="I5" s="551"/>
      <c r="J5" s="551"/>
      <c r="K5" s="551"/>
      <c r="L5" s="551"/>
      <c r="M5" s="552"/>
    </row>
    <row r="6" spans="1:74" ht="15" customHeight="1" x14ac:dyDescent="0.3">
      <c r="A6" s="518" t="s">
        <v>117</v>
      </c>
      <c r="B6" s="519"/>
      <c r="C6" s="521" t="s">
        <v>459</v>
      </c>
      <c r="D6" s="519"/>
      <c r="E6" s="565" t="s">
        <v>119</v>
      </c>
      <c r="F6" s="565"/>
      <c r="G6" s="522" t="s">
        <v>1156</v>
      </c>
      <c r="H6" s="551" t="s">
        <v>460</v>
      </c>
      <c r="I6" s="551" t="s">
        <v>461</v>
      </c>
      <c r="J6" s="551"/>
      <c r="K6" s="551"/>
      <c r="L6" s="551"/>
      <c r="M6" s="552"/>
    </row>
    <row r="7" spans="1:74" ht="14.4" x14ac:dyDescent="0.3">
      <c r="A7" s="520"/>
      <c r="B7" s="519"/>
      <c r="C7" s="519"/>
      <c r="D7" s="519"/>
      <c r="E7" s="565"/>
      <c r="F7" s="565"/>
      <c r="G7" s="522"/>
      <c r="H7" s="551"/>
      <c r="I7" s="551"/>
      <c r="J7" s="551"/>
      <c r="K7" s="551"/>
      <c r="L7" s="551"/>
      <c r="M7" s="552"/>
    </row>
    <row r="8" spans="1:74" ht="14.4" x14ac:dyDescent="0.3">
      <c r="A8" s="518" t="s">
        <v>120</v>
      </c>
      <c r="B8" s="519"/>
      <c r="C8" s="521" t="s">
        <v>996</v>
      </c>
      <c r="D8" s="519"/>
      <c r="E8" s="565" t="s">
        <v>122</v>
      </c>
      <c r="F8" s="565"/>
      <c r="G8" s="522" t="s">
        <v>1155</v>
      </c>
      <c r="H8" s="551" t="s">
        <v>462</v>
      </c>
      <c r="I8" s="551" t="s">
        <v>1158</v>
      </c>
      <c r="J8" s="551"/>
      <c r="K8" s="551"/>
      <c r="L8" s="551"/>
      <c r="M8" s="552"/>
    </row>
    <row r="9" spans="1:74" thickBot="1" x14ac:dyDescent="0.35">
      <c r="A9" s="607"/>
      <c r="B9" s="533"/>
      <c r="C9" s="533"/>
      <c r="D9" s="533"/>
      <c r="E9" s="576"/>
      <c r="F9" s="576"/>
      <c r="G9" s="534"/>
      <c r="H9" s="553"/>
      <c r="I9" s="553"/>
      <c r="J9" s="553"/>
      <c r="K9" s="553"/>
      <c r="L9" s="553"/>
      <c r="M9" s="554"/>
    </row>
    <row r="10" spans="1:74" ht="14.4" x14ac:dyDescent="0.3">
      <c r="A10" s="246" t="s">
        <v>123</v>
      </c>
      <c r="B10" s="247" t="s">
        <v>124</v>
      </c>
      <c r="C10" s="555" t="s">
        <v>125</v>
      </c>
      <c r="D10" s="556"/>
      <c r="E10" s="247" t="s">
        <v>126</v>
      </c>
      <c r="F10" s="248" t="s">
        <v>127</v>
      </c>
      <c r="G10" s="249" t="s">
        <v>128</v>
      </c>
      <c r="H10" s="557" t="s">
        <v>129</v>
      </c>
      <c r="I10" s="558"/>
      <c r="J10" s="559"/>
      <c r="K10" s="558" t="s">
        <v>130</v>
      </c>
      <c r="L10" s="558"/>
      <c r="M10" s="250" t="s">
        <v>131</v>
      </c>
      <c r="BI10" s="229" t="s">
        <v>132</v>
      </c>
      <c r="BJ10" s="230" t="s">
        <v>133</v>
      </c>
      <c r="BU10" s="230" t="s">
        <v>134</v>
      </c>
    </row>
    <row r="11" spans="1:74" thickBot="1" x14ac:dyDescent="0.35">
      <c r="A11" s="251" t="s">
        <v>114</v>
      </c>
      <c r="B11" s="252" t="s">
        <v>114</v>
      </c>
      <c r="C11" s="528" t="s">
        <v>135</v>
      </c>
      <c r="D11" s="529"/>
      <c r="E11" s="252" t="s">
        <v>114</v>
      </c>
      <c r="F11" s="252" t="s">
        <v>114</v>
      </c>
      <c r="G11" s="253" t="s">
        <v>136</v>
      </c>
      <c r="H11" s="254" t="s">
        <v>137</v>
      </c>
      <c r="I11" s="255" t="s">
        <v>138</v>
      </c>
      <c r="J11" s="256" t="s">
        <v>139</v>
      </c>
      <c r="K11" s="255" t="s">
        <v>140</v>
      </c>
      <c r="L11" s="253" t="s">
        <v>139</v>
      </c>
      <c r="M11" s="257" t="s">
        <v>141</v>
      </c>
      <c r="X11" s="229" t="s">
        <v>142</v>
      </c>
      <c r="Y11" s="229" t="s">
        <v>143</v>
      </c>
      <c r="Z11" s="229" t="s">
        <v>144</v>
      </c>
      <c r="AA11" s="229" t="s">
        <v>145</v>
      </c>
      <c r="AB11" s="229" t="s">
        <v>146</v>
      </c>
      <c r="AC11" s="229" t="s">
        <v>147</v>
      </c>
      <c r="AD11" s="229" t="s">
        <v>148</v>
      </c>
      <c r="AE11" s="229" t="s">
        <v>149</v>
      </c>
      <c r="AF11" s="229" t="s">
        <v>150</v>
      </c>
      <c r="BF11" s="229" t="s">
        <v>151</v>
      </c>
      <c r="BG11" s="229" t="s">
        <v>152</v>
      </c>
      <c r="BH11" s="229" t="s">
        <v>153</v>
      </c>
    </row>
    <row r="12" spans="1:74" ht="14.4" x14ac:dyDescent="0.3">
      <c r="A12" s="239" t="s">
        <v>154</v>
      </c>
      <c r="B12" s="224" t="s">
        <v>453</v>
      </c>
      <c r="C12" s="526" t="s">
        <v>463</v>
      </c>
      <c r="D12" s="527"/>
      <c r="E12" s="223" t="s">
        <v>114</v>
      </c>
      <c r="F12" s="223" t="s">
        <v>114</v>
      </c>
      <c r="G12" s="223" t="s">
        <v>114</v>
      </c>
      <c r="H12" s="235">
        <f>SUM(H13:H13)</f>
        <v>0</v>
      </c>
      <c r="I12" s="235">
        <f>SUM(I13:I13)</f>
        <v>0</v>
      </c>
      <c r="J12" s="235">
        <f>SUM(J13:J13)</f>
        <v>0</v>
      </c>
      <c r="K12" s="230" t="s">
        <v>154</v>
      </c>
      <c r="L12" s="235">
        <f>SUM(L13:L13)</f>
        <v>0</v>
      </c>
      <c r="M12" s="243" t="s">
        <v>154</v>
      </c>
      <c r="AG12" s="229" t="s">
        <v>154</v>
      </c>
      <c r="AQ12" s="222">
        <f>SUM(AH13:AH13)</f>
        <v>0</v>
      </c>
      <c r="AR12" s="222">
        <f>SUM(AI13:AI13)</f>
        <v>0</v>
      </c>
      <c r="AS12" s="222">
        <f>SUM(AJ13:AJ13)</f>
        <v>0</v>
      </c>
    </row>
    <row r="13" spans="1:74" ht="14.4" x14ac:dyDescent="0.3">
      <c r="A13" s="239" t="s">
        <v>157</v>
      </c>
      <c r="B13" s="223" t="s">
        <v>464</v>
      </c>
      <c r="C13" s="521" t="s">
        <v>465</v>
      </c>
      <c r="D13" s="519"/>
      <c r="E13" s="223" t="s">
        <v>466</v>
      </c>
      <c r="F13" s="233">
        <v>2</v>
      </c>
      <c r="G13" s="311">
        <v>0</v>
      </c>
      <c r="H13" s="233">
        <f>F13*AM13</f>
        <v>0</v>
      </c>
      <c r="I13" s="233">
        <f>F13*AN13</f>
        <v>0</v>
      </c>
      <c r="J13" s="233">
        <f>F13*G13</f>
        <v>0</v>
      </c>
      <c r="K13" s="233">
        <v>0</v>
      </c>
      <c r="L13" s="233">
        <f>F13*K13</f>
        <v>0</v>
      </c>
      <c r="M13" s="240" t="s">
        <v>154</v>
      </c>
      <c r="X13" s="233">
        <f>IF(AO13="5",BH13,0)</f>
        <v>0</v>
      </c>
      <c r="Z13" s="233">
        <f>IF(AO13="1",BF13,0)</f>
        <v>0</v>
      </c>
      <c r="AA13" s="233">
        <f>IF(AO13="1",BG13,0)</f>
        <v>0</v>
      </c>
      <c r="AB13" s="233">
        <f>IF(AO13="7",BF13,0)</f>
        <v>0</v>
      </c>
      <c r="AC13" s="233">
        <f>IF(AO13="7",BG13,0)</f>
        <v>0</v>
      </c>
      <c r="AD13" s="233">
        <f>IF(AO13="2",BF13,0)</f>
        <v>0</v>
      </c>
      <c r="AE13" s="233">
        <f>IF(AO13="2",BG13,0)</f>
        <v>0</v>
      </c>
      <c r="AF13" s="233">
        <f>IF(AO13="0",BH13,0)</f>
        <v>0</v>
      </c>
      <c r="AG13" s="229" t="s">
        <v>154</v>
      </c>
      <c r="AH13" s="233">
        <f>IF(AL13=0,J13,0)</f>
        <v>0</v>
      </c>
      <c r="AI13" s="233">
        <f>IF(AL13=15,J13,0)</f>
        <v>0</v>
      </c>
      <c r="AJ13" s="233">
        <f>IF(AL13=21,J13,0)</f>
        <v>0</v>
      </c>
      <c r="AL13" s="233">
        <v>15</v>
      </c>
      <c r="AM13" s="233">
        <f>G13*0.125865324</f>
        <v>0</v>
      </c>
      <c r="AN13" s="233">
        <f>G13*(1-0.125865324)</f>
        <v>0</v>
      </c>
      <c r="AO13" s="234" t="s">
        <v>157</v>
      </c>
      <c r="AT13" s="233">
        <f>AU13+AV13</f>
        <v>0</v>
      </c>
      <c r="AU13" s="233">
        <f>F13*AM13</f>
        <v>0</v>
      </c>
      <c r="AV13" s="233">
        <f>F13*AN13</f>
        <v>0</v>
      </c>
      <c r="AW13" s="234" t="s">
        <v>467</v>
      </c>
      <c r="AX13" s="234" t="s">
        <v>467</v>
      </c>
      <c r="AY13" s="229" t="s">
        <v>164</v>
      </c>
      <c r="BA13" s="233">
        <f>AU13+AV13</f>
        <v>0</v>
      </c>
      <c r="BB13" s="233">
        <f>G13/(100-BC13)*100</f>
        <v>0</v>
      </c>
      <c r="BC13" s="233">
        <v>0</v>
      </c>
      <c r="BD13" s="233">
        <f>L13</f>
        <v>0</v>
      </c>
      <c r="BF13" s="233">
        <f>F13*AM13</f>
        <v>0</v>
      </c>
      <c r="BG13" s="233">
        <f>F13*AN13</f>
        <v>0</v>
      </c>
      <c r="BH13" s="233">
        <f>F13*G13</f>
        <v>0</v>
      </c>
      <c r="BI13" s="233"/>
      <c r="BJ13" s="233">
        <v>0</v>
      </c>
      <c r="BU13" s="233" t="e">
        <f>#REF!</f>
        <v>#REF!</v>
      </c>
      <c r="BV13" s="225" t="s">
        <v>465</v>
      </c>
    </row>
    <row r="14" spans="1:74" ht="40.5" customHeight="1" x14ac:dyDescent="0.3">
      <c r="A14" s="241"/>
      <c r="B14" s="242" t="s">
        <v>165</v>
      </c>
      <c r="C14" s="530" t="s">
        <v>1485</v>
      </c>
      <c r="D14" s="531"/>
      <c r="E14" s="531"/>
      <c r="F14" s="531"/>
      <c r="G14" s="531"/>
      <c r="H14" s="531"/>
      <c r="I14" s="531"/>
      <c r="J14" s="531"/>
      <c r="K14" s="531"/>
      <c r="L14" s="531"/>
      <c r="M14" s="532"/>
    </row>
    <row r="15" spans="1:74" ht="14.4" x14ac:dyDescent="0.3">
      <c r="A15" s="239" t="s">
        <v>154</v>
      </c>
      <c r="B15" s="224" t="s">
        <v>155</v>
      </c>
      <c r="C15" s="526" t="s">
        <v>156</v>
      </c>
      <c r="D15" s="527"/>
      <c r="E15" s="223" t="s">
        <v>114</v>
      </c>
      <c r="F15" s="223" t="s">
        <v>114</v>
      </c>
      <c r="G15" s="223" t="s">
        <v>114</v>
      </c>
      <c r="H15" s="235">
        <f>SUM(H16:H22)</f>
        <v>0</v>
      </c>
      <c r="I15" s="235">
        <f>SUM(I16:I22)</f>
        <v>0</v>
      </c>
      <c r="J15" s="235">
        <f>SUM(J16:J22)</f>
        <v>0</v>
      </c>
      <c r="K15" s="230" t="s">
        <v>154</v>
      </c>
      <c r="L15" s="235">
        <f>SUM(L16:L22)</f>
        <v>13.541046</v>
      </c>
      <c r="M15" s="243" t="s">
        <v>154</v>
      </c>
      <c r="AG15" s="229" t="s">
        <v>154</v>
      </c>
      <c r="AQ15" s="222">
        <f>SUM(AH16:AH22)</f>
        <v>0</v>
      </c>
      <c r="AR15" s="222">
        <f>SUM(AI16:AI22)</f>
        <v>0</v>
      </c>
      <c r="AS15" s="222">
        <f>SUM(AJ16:AJ22)</f>
        <v>0</v>
      </c>
    </row>
    <row r="16" spans="1:74" ht="14.4" x14ac:dyDescent="0.3">
      <c r="A16" s="239" t="s">
        <v>166</v>
      </c>
      <c r="B16" s="223" t="s">
        <v>170</v>
      </c>
      <c r="C16" s="521" t="s">
        <v>171</v>
      </c>
      <c r="D16" s="519"/>
      <c r="E16" s="223" t="s">
        <v>172</v>
      </c>
      <c r="F16" s="233">
        <v>32</v>
      </c>
      <c r="G16" s="311">
        <v>0</v>
      </c>
      <c r="H16" s="233">
        <f>F16*AM16</f>
        <v>0</v>
      </c>
      <c r="I16" s="233">
        <f>F16*AN16</f>
        <v>0</v>
      </c>
      <c r="J16" s="233">
        <f>F16*G16</f>
        <v>0</v>
      </c>
      <c r="K16" s="233">
        <v>0</v>
      </c>
      <c r="L16" s="233">
        <f>F16*K16</f>
        <v>0</v>
      </c>
      <c r="M16" s="240" t="s">
        <v>472</v>
      </c>
      <c r="X16" s="233">
        <f>IF(AO16="5",BH16,0)</f>
        <v>0</v>
      </c>
      <c r="Z16" s="233">
        <f>IF(AO16="1",BF16,0)</f>
        <v>0</v>
      </c>
      <c r="AA16" s="233">
        <f>IF(AO16="1",BG16,0)</f>
        <v>0</v>
      </c>
      <c r="AB16" s="233">
        <f>IF(AO16="7",BF16,0)</f>
        <v>0</v>
      </c>
      <c r="AC16" s="233">
        <f>IF(AO16="7",BG16,0)</f>
        <v>0</v>
      </c>
      <c r="AD16" s="233">
        <f>IF(AO16="2",BF16,0)</f>
        <v>0</v>
      </c>
      <c r="AE16" s="233">
        <f>IF(AO16="2",BG16,0)</f>
        <v>0</v>
      </c>
      <c r="AF16" s="233">
        <f>IF(AO16="0",BH16,0)</f>
        <v>0</v>
      </c>
      <c r="AG16" s="229" t="s">
        <v>154</v>
      </c>
      <c r="AH16" s="233">
        <f>IF(AL16=0,J16,0)</f>
        <v>0</v>
      </c>
      <c r="AI16" s="233">
        <f>IF(AL16=15,J16,0)</f>
        <v>0</v>
      </c>
      <c r="AJ16" s="233">
        <f>IF(AL16=21,J16,0)</f>
        <v>0</v>
      </c>
      <c r="AL16" s="233">
        <v>15</v>
      </c>
      <c r="AM16" s="233">
        <f>G16*0</f>
        <v>0</v>
      </c>
      <c r="AN16" s="233">
        <f>G16*(1-0)</f>
        <v>0</v>
      </c>
      <c r="AO16" s="234" t="s">
        <v>157</v>
      </c>
      <c r="AT16" s="233">
        <f>AU16+AV16</f>
        <v>0</v>
      </c>
      <c r="AU16" s="233">
        <f>F16*AM16</f>
        <v>0</v>
      </c>
      <c r="AV16" s="233">
        <f>F16*AN16</f>
        <v>0</v>
      </c>
      <c r="AW16" s="234" t="s">
        <v>162</v>
      </c>
      <c r="AX16" s="234" t="s">
        <v>163</v>
      </c>
      <c r="AY16" s="229" t="s">
        <v>164</v>
      </c>
      <c r="BA16" s="233">
        <f>AU16+AV16</f>
        <v>0</v>
      </c>
      <c r="BB16" s="233">
        <f>G16/(100-BC16)*100</f>
        <v>0</v>
      </c>
      <c r="BC16" s="233">
        <v>0</v>
      </c>
      <c r="BD16" s="233">
        <f>L16</f>
        <v>0</v>
      </c>
      <c r="BF16" s="233">
        <f>F16*AM16</f>
        <v>0</v>
      </c>
      <c r="BG16" s="233">
        <f>F16*AN16</f>
        <v>0</v>
      </c>
      <c r="BH16" s="233">
        <f>F16*G16</f>
        <v>0</v>
      </c>
      <c r="BI16" s="233"/>
      <c r="BJ16" s="233">
        <v>11</v>
      </c>
      <c r="BU16" s="233" t="e">
        <f>#REF!</f>
        <v>#REF!</v>
      </c>
      <c r="BV16" s="225" t="s">
        <v>171</v>
      </c>
    </row>
    <row r="17" spans="1:74" ht="40.5" customHeight="1" x14ac:dyDescent="0.3">
      <c r="A17" s="241"/>
      <c r="B17" s="242" t="s">
        <v>165</v>
      </c>
      <c r="C17" s="530" t="s">
        <v>1946</v>
      </c>
      <c r="D17" s="531"/>
      <c r="E17" s="531"/>
      <c r="F17" s="531"/>
      <c r="G17" s="531"/>
      <c r="H17" s="531"/>
      <c r="I17" s="531"/>
      <c r="J17" s="531"/>
      <c r="K17" s="531"/>
      <c r="L17" s="531"/>
      <c r="M17" s="532"/>
    </row>
    <row r="18" spans="1:74" ht="14.4" x14ac:dyDescent="0.3">
      <c r="A18" s="239" t="s">
        <v>169</v>
      </c>
      <c r="B18" s="223" t="s">
        <v>886</v>
      </c>
      <c r="C18" s="521" t="s">
        <v>887</v>
      </c>
      <c r="D18" s="519"/>
      <c r="E18" s="223" t="s">
        <v>176</v>
      </c>
      <c r="F18" s="233">
        <v>4</v>
      </c>
      <c r="G18" s="311">
        <v>0</v>
      </c>
      <c r="H18" s="233">
        <f>F18*AM18</f>
        <v>0</v>
      </c>
      <c r="I18" s="233">
        <f>F18*AN18</f>
        <v>0</v>
      </c>
      <c r="J18" s="233">
        <f>F18*G18</f>
        <v>0</v>
      </c>
      <c r="K18" s="233">
        <v>0</v>
      </c>
      <c r="L18" s="233">
        <f>F18*K18</f>
        <v>0</v>
      </c>
      <c r="M18" s="240" t="s">
        <v>472</v>
      </c>
      <c r="X18" s="233">
        <f>IF(AO18="5",BH18,0)</f>
        <v>0</v>
      </c>
      <c r="Z18" s="233">
        <f>IF(AO18="1",BF18,0)</f>
        <v>0</v>
      </c>
      <c r="AA18" s="233">
        <f>IF(AO18="1",BG18,0)</f>
        <v>0</v>
      </c>
      <c r="AB18" s="233">
        <f>IF(AO18="7",BF18,0)</f>
        <v>0</v>
      </c>
      <c r="AC18" s="233">
        <f>IF(AO18="7",BG18,0)</f>
        <v>0</v>
      </c>
      <c r="AD18" s="233">
        <f>IF(AO18="2",BF18,0)</f>
        <v>0</v>
      </c>
      <c r="AE18" s="233">
        <f>IF(AO18="2",BG18,0)</f>
        <v>0</v>
      </c>
      <c r="AF18" s="233">
        <f>IF(AO18="0",BH18,0)</f>
        <v>0</v>
      </c>
      <c r="AG18" s="229" t="s">
        <v>154</v>
      </c>
      <c r="AH18" s="233">
        <f>IF(AL18=0,J18,0)</f>
        <v>0</v>
      </c>
      <c r="AI18" s="233">
        <f>IF(AL18=15,J18,0)</f>
        <v>0</v>
      </c>
      <c r="AJ18" s="233">
        <f>IF(AL18=21,J18,0)</f>
        <v>0</v>
      </c>
      <c r="AL18" s="233">
        <v>15</v>
      </c>
      <c r="AM18" s="233">
        <f>G18*0</f>
        <v>0</v>
      </c>
      <c r="AN18" s="233">
        <f>G18*(1-0)</f>
        <v>0</v>
      </c>
      <c r="AO18" s="234" t="s">
        <v>157</v>
      </c>
      <c r="AT18" s="233">
        <f>AU18+AV18</f>
        <v>0</v>
      </c>
      <c r="AU18" s="233">
        <f>F18*AM18</f>
        <v>0</v>
      </c>
      <c r="AV18" s="233">
        <f>F18*AN18</f>
        <v>0</v>
      </c>
      <c r="AW18" s="234" t="s">
        <v>162</v>
      </c>
      <c r="AX18" s="234" t="s">
        <v>163</v>
      </c>
      <c r="AY18" s="229" t="s">
        <v>164</v>
      </c>
      <c r="BA18" s="233">
        <f>AU18+AV18</f>
        <v>0</v>
      </c>
      <c r="BB18" s="233">
        <f>G18/(100-BC18)*100</f>
        <v>0</v>
      </c>
      <c r="BC18" s="233">
        <v>0</v>
      </c>
      <c r="BD18" s="233">
        <f>L18</f>
        <v>0</v>
      </c>
      <c r="BF18" s="233">
        <f>F18*AM18</f>
        <v>0</v>
      </c>
      <c r="BG18" s="233">
        <f>F18*AN18</f>
        <v>0</v>
      </c>
      <c r="BH18" s="233">
        <f>F18*G18</f>
        <v>0</v>
      </c>
      <c r="BI18" s="233"/>
      <c r="BJ18" s="233">
        <v>11</v>
      </c>
      <c r="BU18" s="233" t="e">
        <f>#REF!</f>
        <v>#REF!</v>
      </c>
      <c r="BV18" s="225" t="s">
        <v>887</v>
      </c>
    </row>
    <row r="19" spans="1:74" ht="40.5" customHeight="1" x14ac:dyDescent="0.3">
      <c r="A19" s="241"/>
      <c r="B19" s="242" t="s">
        <v>165</v>
      </c>
      <c r="C19" s="530" t="s">
        <v>1995</v>
      </c>
      <c r="D19" s="531"/>
      <c r="E19" s="531"/>
      <c r="F19" s="531"/>
      <c r="G19" s="531"/>
      <c r="H19" s="531"/>
      <c r="I19" s="531"/>
      <c r="J19" s="531"/>
      <c r="K19" s="531"/>
      <c r="L19" s="531"/>
      <c r="M19" s="532"/>
    </row>
    <row r="20" spans="1:74" ht="14.4" x14ac:dyDescent="0.3">
      <c r="A20" s="239" t="s">
        <v>173</v>
      </c>
      <c r="B20" s="223" t="s">
        <v>178</v>
      </c>
      <c r="C20" s="521" t="s">
        <v>179</v>
      </c>
      <c r="D20" s="519"/>
      <c r="E20" s="223" t="s">
        <v>180</v>
      </c>
      <c r="F20" s="233">
        <v>10.6</v>
      </c>
      <c r="G20" s="311">
        <v>0</v>
      </c>
      <c r="H20" s="233">
        <f>F20*AM20</f>
        <v>0</v>
      </c>
      <c r="I20" s="233">
        <f>F20*AN20</f>
        <v>0</v>
      </c>
      <c r="J20" s="233">
        <f>F20*G20</f>
        <v>0</v>
      </c>
      <c r="K20" s="233">
        <v>0.90051000000000003</v>
      </c>
      <c r="L20" s="233">
        <f>F20*K20</f>
        <v>9.5454059999999998</v>
      </c>
      <c r="M20" s="240" t="s">
        <v>472</v>
      </c>
      <c r="X20" s="233">
        <f>IF(AO20="5",BH20,0)</f>
        <v>0</v>
      </c>
      <c r="Z20" s="233">
        <f>IF(AO20="1",BF20,0)</f>
        <v>0</v>
      </c>
      <c r="AA20" s="233">
        <f>IF(AO20="1",BG20,0)</f>
        <v>0</v>
      </c>
      <c r="AB20" s="233">
        <f>IF(AO20="7",BF20,0)</f>
        <v>0</v>
      </c>
      <c r="AC20" s="233">
        <f>IF(AO20="7",BG20,0)</f>
        <v>0</v>
      </c>
      <c r="AD20" s="233">
        <f>IF(AO20="2",BF20,0)</f>
        <v>0</v>
      </c>
      <c r="AE20" s="233">
        <f>IF(AO20="2",BG20,0)</f>
        <v>0</v>
      </c>
      <c r="AF20" s="233">
        <f>IF(AO20="0",BH20,0)</f>
        <v>0</v>
      </c>
      <c r="AG20" s="229" t="s">
        <v>154</v>
      </c>
      <c r="AH20" s="233">
        <f>IF(AL20=0,J20,0)</f>
        <v>0</v>
      </c>
      <c r="AI20" s="233">
        <f>IF(AL20=15,J20,0)</f>
        <v>0</v>
      </c>
      <c r="AJ20" s="233">
        <f>IF(AL20=21,J20,0)</f>
        <v>0</v>
      </c>
      <c r="AL20" s="233">
        <v>15</v>
      </c>
      <c r="AM20" s="233">
        <f>G20*0.022140899</f>
        <v>0</v>
      </c>
      <c r="AN20" s="233">
        <f>G20*(1-0.022140899)</f>
        <v>0</v>
      </c>
      <c r="AO20" s="234" t="s">
        <v>157</v>
      </c>
      <c r="AT20" s="233">
        <f>AU20+AV20</f>
        <v>0</v>
      </c>
      <c r="AU20" s="233">
        <f>F20*AM20</f>
        <v>0</v>
      </c>
      <c r="AV20" s="233">
        <f>F20*AN20</f>
        <v>0</v>
      </c>
      <c r="AW20" s="234" t="s">
        <v>162</v>
      </c>
      <c r="AX20" s="234" t="s">
        <v>163</v>
      </c>
      <c r="AY20" s="229" t="s">
        <v>164</v>
      </c>
      <c r="BA20" s="233">
        <f>AU20+AV20</f>
        <v>0</v>
      </c>
      <c r="BB20" s="233">
        <f>G20/(100-BC20)*100</f>
        <v>0</v>
      </c>
      <c r="BC20" s="233">
        <v>0</v>
      </c>
      <c r="BD20" s="233">
        <f>L20</f>
        <v>9.5454059999999998</v>
      </c>
      <c r="BF20" s="233">
        <f>F20*AM20</f>
        <v>0</v>
      </c>
      <c r="BG20" s="233">
        <f>F20*AN20</f>
        <v>0</v>
      </c>
      <c r="BH20" s="233">
        <f>F20*G20</f>
        <v>0</v>
      </c>
      <c r="BI20" s="233"/>
      <c r="BJ20" s="233">
        <v>11</v>
      </c>
      <c r="BU20" s="233" t="e">
        <f>#REF!</f>
        <v>#REF!</v>
      </c>
      <c r="BV20" s="225" t="s">
        <v>179</v>
      </c>
    </row>
    <row r="21" spans="1:74" ht="162" customHeight="1" x14ac:dyDescent="0.3">
      <c r="A21" s="241"/>
      <c r="B21" s="242" t="s">
        <v>165</v>
      </c>
      <c r="C21" s="530" t="s">
        <v>1996</v>
      </c>
      <c r="D21" s="531"/>
      <c r="E21" s="531"/>
      <c r="F21" s="531"/>
      <c r="G21" s="531"/>
      <c r="H21" s="531"/>
      <c r="I21" s="531"/>
      <c r="J21" s="531"/>
      <c r="K21" s="531"/>
      <c r="L21" s="531"/>
      <c r="M21" s="532"/>
    </row>
    <row r="22" spans="1:74" ht="14.4" x14ac:dyDescent="0.3">
      <c r="A22" s="239" t="s">
        <v>177</v>
      </c>
      <c r="B22" s="223" t="s">
        <v>476</v>
      </c>
      <c r="C22" s="521" t="s">
        <v>477</v>
      </c>
      <c r="D22" s="519"/>
      <c r="E22" s="223" t="s">
        <v>180</v>
      </c>
      <c r="F22" s="233">
        <v>10.09</v>
      </c>
      <c r="G22" s="311">
        <v>0</v>
      </c>
      <c r="H22" s="233">
        <f>F22*AM22</f>
        <v>0</v>
      </c>
      <c r="I22" s="233">
        <f>F22*AN22</f>
        <v>0</v>
      </c>
      <c r="J22" s="233">
        <f>F22*G22</f>
        <v>0</v>
      </c>
      <c r="K22" s="233">
        <v>0.39600000000000002</v>
      </c>
      <c r="L22" s="233">
        <f>F22*K22</f>
        <v>3.9956400000000003</v>
      </c>
      <c r="M22" s="240" t="s">
        <v>472</v>
      </c>
      <c r="X22" s="233">
        <f>IF(AO22="5",BH22,0)</f>
        <v>0</v>
      </c>
      <c r="Z22" s="233">
        <f>IF(AO22="1",BF22,0)</f>
        <v>0</v>
      </c>
      <c r="AA22" s="233">
        <f>IF(AO22="1",BG22,0)</f>
        <v>0</v>
      </c>
      <c r="AB22" s="233">
        <f>IF(AO22="7",BF22,0)</f>
        <v>0</v>
      </c>
      <c r="AC22" s="233">
        <f>IF(AO22="7",BG22,0)</f>
        <v>0</v>
      </c>
      <c r="AD22" s="233">
        <f>IF(AO22="2",BF22,0)</f>
        <v>0</v>
      </c>
      <c r="AE22" s="233">
        <f>IF(AO22="2",BG22,0)</f>
        <v>0</v>
      </c>
      <c r="AF22" s="233">
        <f>IF(AO22="0",BH22,0)</f>
        <v>0</v>
      </c>
      <c r="AG22" s="229" t="s">
        <v>154</v>
      </c>
      <c r="AH22" s="233">
        <f>IF(AL22=0,J22,0)</f>
        <v>0</v>
      </c>
      <c r="AI22" s="233">
        <f>IF(AL22=15,J22,0)</f>
        <v>0</v>
      </c>
      <c r="AJ22" s="233">
        <f>IF(AL22=21,J22,0)</f>
        <v>0</v>
      </c>
      <c r="AL22" s="233">
        <v>15</v>
      </c>
      <c r="AM22" s="233">
        <f>G22*0</f>
        <v>0</v>
      </c>
      <c r="AN22" s="233">
        <f>G22*(1-0)</f>
        <v>0</v>
      </c>
      <c r="AO22" s="234" t="s">
        <v>157</v>
      </c>
      <c r="AT22" s="233">
        <f>AU22+AV22</f>
        <v>0</v>
      </c>
      <c r="AU22" s="233">
        <f>F22*AM22</f>
        <v>0</v>
      </c>
      <c r="AV22" s="233">
        <f>F22*AN22</f>
        <v>0</v>
      </c>
      <c r="AW22" s="234" t="s">
        <v>162</v>
      </c>
      <c r="AX22" s="234" t="s">
        <v>163</v>
      </c>
      <c r="AY22" s="229" t="s">
        <v>164</v>
      </c>
      <c r="BA22" s="233">
        <f>AU22+AV22</f>
        <v>0</v>
      </c>
      <c r="BB22" s="233">
        <f>G22/(100-BC22)*100</f>
        <v>0</v>
      </c>
      <c r="BC22" s="233">
        <v>0</v>
      </c>
      <c r="BD22" s="233">
        <f>L22</f>
        <v>3.9956400000000003</v>
      </c>
      <c r="BF22" s="233">
        <f>F22*AM22</f>
        <v>0</v>
      </c>
      <c r="BG22" s="233">
        <f>F22*AN22</f>
        <v>0</v>
      </c>
      <c r="BH22" s="233">
        <f>F22*G22</f>
        <v>0</v>
      </c>
      <c r="BI22" s="233"/>
      <c r="BJ22" s="233">
        <v>11</v>
      </c>
      <c r="BU22" s="233" t="e">
        <f>#REF!</f>
        <v>#REF!</v>
      </c>
      <c r="BV22" s="225" t="s">
        <v>477</v>
      </c>
    </row>
    <row r="23" spans="1:74" ht="67.5" customHeight="1" x14ac:dyDescent="0.3">
      <c r="A23" s="241"/>
      <c r="B23" s="242" t="s">
        <v>165</v>
      </c>
      <c r="C23" s="530" t="s">
        <v>1997</v>
      </c>
      <c r="D23" s="531"/>
      <c r="E23" s="531"/>
      <c r="F23" s="531"/>
      <c r="G23" s="531"/>
      <c r="H23" s="531"/>
      <c r="I23" s="531"/>
      <c r="J23" s="531"/>
      <c r="K23" s="531"/>
      <c r="L23" s="531"/>
      <c r="M23" s="532"/>
    </row>
    <row r="24" spans="1:74" ht="14.4" x14ac:dyDescent="0.3">
      <c r="A24" s="239" t="s">
        <v>154</v>
      </c>
      <c r="B24" s="224" t="s">
        <v>191</v>
      </c>
      <c r="C24" s="526" t="s">
        <v>192</v>
      </c>
      <c r="D24" s="527"/>
      <c r="E24" s="223" t="s">
        <v>114</v>
      </c>
      <c r="F24" s="223" t="s">
        <v>114</v>
      </c>
      <c r="G24" s="223" t="s">
        <v>114</v>
      </c>
      <c r="H24" s="235">
        <f>SUM(H25:H25)</f>
        <v>0</v>
      </c>
      <c r="I24" s="235">
        <f>SUM(I25:I25)</f>
        <v>0</v>
      </c>
      <c r="J24" s="235">
        <f>SUM(J25:J25)</f>
        <v>0</v>
      </c>
      <c r="K24" s="230" t="s">
        <v>154</v>
      </c>
      <c r="L24" s="235">
        <f>SUM(L25:L25)</f>
        <v>0</v>
      </c>
      <c r="M24" s="243" t="s">
        <v>154</v>
      </c>
      <c r="AG24" s="229" t="s">
        <v>154</v>
      </c>
      <c r="AQ24" s="222">
        <f>SUM(AH25:AH25)</f>
        <v>0</v>
      </c>
      <c r="AR24" s="222">
        <f>SUM(AI25:AI25)</f>
        <v>0</v>
      </c>
      <c r="AS24" s="222">
        <f>SUM(AJ25:AJ25)</f>
        <v>0</v>
      </c>
    </row>
    <row r="25" spans="1:74" ht="14.4" x14ac:dyDescent="0.3">
      <c r="A25" s="239" t="s">
        <v>181</v>
      </c>
      <c r="B25" s="223" t="s">
        <v>194</v>
      </c>
      <c r="C25" s="521" t="s">
        <v>195</v>
      </c>
      <c r="D25" s="519"/>
      <c r="E25" s="223" t="s">
        <v>196</v>
      </c>
      <c r="F25" s="233">
        <v>1.17</v>
      </c>
      <c r="G25" s="311">
        <v>0</v>
      </c>
      <c r="H25" s="233">
        <f>F25*AM25</f>
        <v>0</v>
      </c>
      <c r="I25" s="233">
        <f>F25*AN25</f>
        <v>0</v>
      </c>
      <c r="J25" s="233">
        <f>F25*G25</f>
        <v>0</v>
      </c>
      <c r="K25" s="233">
        <v>0</v>
      </c>
      <c r="L25" s="233">
        <f>F25*K25</f>
        <v>0</v>
      </c>
      <c r="M25" s="240" t="s">
        <v>472</v>
      </c>
      <c r="X25" s="233">
        <f>IF(AO25="5",BH25,0)</f>
        <v>0</v>
      </c>
      <c r="Z25" s="233">
        <f>IF(AO25="1",BF25,0)</f>
        <v>0</v>
      </c>
      <c r="AA25" s="233">
        <f>IF(AO25="1",BG25,0)</f>
        <v>0</v>
      </c>
      <c r="AB25" s="233">
        <f>IF(AO25="7",BF25,0)</f>
        <v>0</v>
      </c>
      <c r="AC25" s="233">
        <f>IF(AO25="7",BG25,0)</f>
        <v>0</v>
      </c>
      <c r="AD25" s="233">
        <f>IF(AO25="2",BF25,0)</f>
        <v>0</v>
      </c>
      <c r="AE25" s="233">
        <f>IF(AO25="2",BG25,0)</f>
        <v>0</v>
      </c>
      <c r="AF25" s="233">
        <f>IF(AO25="0",BH25,0)</f>
        <v>0</v>
      </c>
      <c r="AG25" s="229" t="s">
        <v>154</v>
      </c>
      <c r="AH25" s="233">
        <f>IF(AL25=0,J25,0)</f>
        <v>0</v>
      </c>
      <c r="AI25" s="233">
        <f>IF(AL25=15,J25,0)</f>
        <v>0</v>
      </c>
      <c r="AJ25" s="233">
        <f>IF(AL25=21,J25,0)</f>
        <v>0</v>
      </c>
      <c r="AL25" s="233">
        <v>15</v>
      </c>
      <c r="AM25" s="233">
        <f>G25*0</f>
        <v>0</v>
      </c>
      <c r="AN25" s="233">
        <f>G25*(1-0)</f>
        <v>0</v>
      </c>
      <c r="AO25" s="234" t="s">
        <v>157</v>
      </c>
      <c r="AT25" s="233">
        <f>AU25+AV25</f>
        <v>0</v>
      </c>
      <c r="AU25" s="233">
        <f>F25*AM25</f>
        <v>0</v>
      </c>
      <c r="AV25" s="233">
        <f>F25*AN25</f>
        <v>0</v>
      </c>
      <c r="AW25" s="234" t="s">
        <v>197</v>
      </c>
      <c r="AX25" s="234" t="s">
        <v>163</v>
      </c>
      <c r="AY25" s="229" t="s">
        <v>164</v>
      </c>
      <c r="BA25" s="233">
        <f>AU25+AV25</f>
        <v>0</v>
      </c>
      <c r="BB25" s="233">
        <f>G25/(100-BC25)*100</f>
        <v>0</v>
      </c>
      <c r="BC25" s="233">
        <v>0</v>
      </c>
      <c r="BD25" s="233">
        <f>L25</f>
        <v>0</v>
      </c>
      <c r="BF25" s="233">
        <f>F25*AM25</f>
        <v>0</v>
      </c>
      <c r="BG25" s="233">
        <f>F25*AN25</f>
        <v>0</v>
      </c>
      <c r="BH25" s="233">
        <f>F25*G25</f>
        <v>0</v>
      </c>
      <c r="BI25" s="233"/>
      <c r="BJ25" s="233">
        <v>12</v>
      </c>
      <c r="BU25" s="233" t="e">
        <f>#REF!</f>
        <v>#REF!</v>
      </c>
      <c r="BV25" s="225" t="s">
        <v>195</v>
      </c>
    </row>
    <row r="26" spans="1:74" ht="40.5" customHeight="1" x14ac:dyDescent="0.3">
      <c r="A26" s="241"/>
      <c r="B26" s="242" t="s">
        <v>165</v>
      </c>
      <c r="C26" s="530" t="s">
        <v>1998</v>
      </c>
      <c r="D26" s="531"/>
      <c r="E26" s="531"/>
      <c r="F26" s="531"/>
      <c r="G26" s="531"/>
      <c r="H26" s="531"/>
      <c r="I26" s="531"/>
      <c r="J26" s="531"/>
      <c r="K26" s="531"/>
      <c r="L26" s="531"/>
      <c r="M26" s="532"/>
    </row>
    <row r="27" spans="1:74" ht="14.4" x14ac:dyDescent="0.3">
      <c r="A27" s="239" t="s">
        <v>154</v>
      </c>
      <c r="B27" s="224" t="s">
        <v>201</v>
      </c>
      <c r="C27" s="526" t="s">
        <v>202</v>
      </c>
      <c r="D27" s="527"/>
      <c r="E27" s="223" t="s">
        <v>114</v>
      </c>
      <c r="F27" s="223" t="s">
        <v>114</v>
      </c>
      <c r="G27" s="223" t="s">
        <v>114</v>
      </c>
      <c r="H27" s="235">
        <f>SUM(H28:H38)</f>
        <v>0</v>
      </c>
      <c r="I27" s="235">
        <f>SUM(I28:I38)</f>
        <v>0</v>
      </c>
      <c r="J27" s="235">
        <f>SUM(J28:J38)</f>
        <v>0</v>
      </c>
      <c r="K27" s="230" t="s">
        <v>154</v>
      </c>
      <c r="L27" s="235">
        <f>SUM(L28:L38)</f>
        <v>0</v>
      </c>
      <c r="M27" s="243" t="s">
        <v>154</v>
      </c>
      <c r="AG27" s="229" t="s">
        <v>154</v>
      </c>
      <c r="AQ27" s="222">
        <f>SUM(AH28:AH38)</f>
        <v>0</v>
      </c>
      <c r="AR27" s="222">
        <f>SUM(AI28:AI38)</f>
        <v>0</v>
      </c>
      <c r="AS27" s="222">
        <f>SUM(AJ28:AJ38)</f>
        <v>0</v>
      </c>
    </row>
    <row r="28" spans="1:74" ht="14.4" x14ac:dyDescent="0.3">
      <c r="A28" s="239" t="s">
        <v>184</v>
      </c>
      <c r="B28" s="223" t="s">
        <v>203</v>
      </c>
      <c r="C28" s="521" t="s">
        <v>204</v>
      </c>
      <c r="D28" s="519"/>
      <c r="E28" s="223" t="s">
        <v>196</v>
      </c>
      <c r="F28" s="233">
        <v>9.2100000000000009</v>
      </c>
      <c r="G28" s="311">
        <v>0</v>
      </c>
      <c r="H28" s="233">
        <f>F28*AM28</f>
        <v>0</v>
      </c>
      <c r="I28" s="233">
        <f>F28*AN28</f>
        <v>0</v>
      </c>
      <c r="J28" s="233">
        <f>F28*G28</f>
        <v>0</v>
      </c>
      <c r="K28" s="233">
        <v>0</v>
      </c>
      <c r="L28" s="233">
        <f>F28*K28</f>
        <v>0</v>
      </c>
      <c r="M28" s="240" t="s">
        <v>472</v>
      </c>
      <c r="X28" s="233">
        <f>IF(AO28="5",BH28,0)</f>
        <v>0</v>
      </c>
      <c r="Z28" s="233">
        <f>IF(AO28="1",BF28,0)</f>
        <v>0</v>
      </c>
      <c r="AA28" s="233">
        <f>IF(AO28="1",BG28,0)</f>
        <v>0</v>
      </c>
      <c r="AB28" s="233">
        <f>IF(AO28="7",BF28,0)</f>
        <v>0</v>
      </c>
      <c r="AC28" s="233">
        <f>IF(AO28="7",BG28,0)</f>
        <v>0</v>
      </c>
      <c r="AD28" s="233">
        <f>IF(AO28="2",BF28,0)</f>
        <v>0</v>
      </c>
      <c r="AE28" s="233">
        <f>IF(AO28="2",BG28,0)</f>
        <v>0</v>
      </c>
      <c r="AF28" s="233">
        <f>IF(AO28="0",BH28,0)</f>
        <v>0</v>
      </c>
      <c r="AG28" s="229" t="s">
        <v>154</v>
      </c>
      <c r="AH28" s="233">
        <f>IF(AL28=0,J28,0)</f>
        <v>0</v>
      </c>
      <c r="AI28" s="233">
        <f>IF(AL28=15,J28,0)</f>
        <v>0</v>
      </c>
      <c r="AJ28" s="233">
        <f>IF(AL28=21,J28,0)</f>
        <v>0</v>
      </c>
      <c r="AL28" s="233">
        <v>15</v>
      </c>
      <c r="AM28" s="233">
        <f>G28*0</f>
        <v>0</v>
      </c>
      <c r="AN28" s="233">
        <f>G28*(1-0)</f>
        <v>0</v>
      </c>
      <c r="AO28" s="234" t="s">
        <v>157</v>
      </c>
      <c r="AT28" s="233">
        <f>AU28+AV28</f>
        <v>0</v>
      </c>
      <c r="AU28" s="233">
        <f>F28*AM28</f>
        <v>0</v>
      </c>
      <c r="AV28" s="233">
        <f>F28*AN28</f>
        <v>0</v>
      </c>
      <c r="AW28" s="234" t="s">
        <v>205</v>
      </c>
      <c r="AX28" s="234" t="s">
        <v>163</v>
      </c>
      <c r="AY28" s="229" t="s">
        <v>164</v>
      </c>
      <c r="BA28" s="233">
        <f>AU28+AV28</f>
        <v>0</v>
      </c>
      <c r="BB28" s="233">
        <f>G28/(100-BC28)*100</f>
        <v>0</v>
      </c>
      <c r="BC28" s="233">
        <v>0</v>
      </c>
      <c r="BD28" s="233">
        <f>L28</f>
        <v>0</v>
      </c>
      <c r="BF28" s="233">
        <f>F28*AM28</f>
        <v>0</v>
      </c>
      <c r="BG28" s="233">
        <f>F28*AN28</f>
        <v>0</v>
      </c>
      <c r="BH28" s="233">
        <f>F28*G28</f>
        <v>0</v>
      </c>
      <c r="BI28" s="233"/>
      <c r="BJ28" s="233">
        <v>13</v>
      </c>
      <c r="BU28" s="233" t="e">
        <f>#REF!</f>
        <v>#REF!</v>
      </c>
      <c r="BV28" s="225" t="s">
        <v>204</v>
      </c>
    </row>
    <row r="29" spans="1:74" ht="81" customHeight="1" x14ac:dyDescent="0.3">
      <c r="A29" s="244"/>
      <c r="B29" s="245" t="s">
        <v>165</v>
      </c>
      <c r="C29" s="540" t="s">
        <v>1999</v>
      </c>
      <c r="D29" s="541"/>
      <c r="E29" s="541"/>
      <c r="F29" s="541"/>
      <c r="G29" s="541"/>
      <c r="H29" s="541"/>
      <c r="I29" s="541"/>
      <c r="J29" s="541"/>
      <c r="K29" s="541"/>
      <c r="L29" s="541"/>
      <c r="M29" s="542"/>
    </row>
    <row r="30" spans="1:74" ht="14.4" x14ac:dyDescent="0.3">
      <c r="A30" s="237" t="s">
        <v>187</v>
      </c>
      <c r="B30" s="238" t="s">
        <v>206</v>
      </c>
      <c r="C30" s="543" t="s">
        <v>481</v>
      </c>
      <c r="D30" s="544"/>
      <c r="E30" s="238" t="s">
        <v>196</v>
      </c>
      <c r="F30" s="258">
        <v>4.6100000000000003</v>
      </c>
      <c r="G30" s="311">
        <v>0</v>
      </c>
      <c r="H30" s="258">
        <f>F30*AM30</f>
        <v>0</v>
      </c>
      <c r="I30" s="258">
        <f>F30*AN30</f>
        <v>0</v>
      </c>
      <c r="J30" s="258">
        <f>F30*G30</f>
        <v>0</v>
      </c>
      <c r="K30" s="258">
        <v>0</v>
      </c>
      <c r="L30" s="258">
        <f>F30*K30</f>
        <v>0</v>
      </c>
      <c r="M30" s="259" t="s">
        <v>472</v>
      </c>
      <c r="X30" s="233">
        <f>IF(AO30="5",BH30,0)</f>
        <v>0</v>
      </c>
      <c r="Z30" s="233">
        <f>IF(AO30="1",BF30,0)</f>
        <v>0</v>
      </c>
      <c r="AA30" s="233">
        <f>IF(AO30="1",BG30,0)</f>
        <v>0</v>
      </c>
      <c r="AB30" s="233">
        <f>IF(AO30="7",BF30,0)</f>
        <v>0</v>
      </c>
      <c r="AC30" s="233">
        <f>IF(AO30="7",BG30,0)</f>
        <v>0</v>
      </c>
      <c r="AD30" s="233">
        <f>IF(AO30="2",BF30,0)</f>
        <v>0</v>
      </c>
      <c r="AE30" s="233">
        <f>IF(AO30="2",BG30,0)</f>
        <v>0</v>
      </c>
      <c r="AF30" s="233">
        <f>IF(AO30="0",BH30,0)</f>
        <v>0</v>
      </c>
      <c r="AG30" s="229" t="s">
        <v>154</v>
      </c>
      <c r="AH30" s="233">
        <f>IF(AL30=0,J30,0)</f>
        <v>0</v>
      </c>
      <c r="AI30" s="233">
        <f>IF(AL30=15,J30,0)</f>
        <v>0</v>
      </c>
      <c r="AJ30" s="233">
        <f>IF(AL30=21,J30,0)</f>
        <v>0</v>
      </c>
      <c r="AL30" s="233">
        <v>15</v>
      </c>
      <c r="AM30" s="233">
        <f>G30*0</f>
        <v>0</v>
      </c>
      <c r="AN30" s="233">
        <f>G30*(1-0)</f>
        <v>0</v>
      </c>
      <c r="AO30" s="234" t="s">
        <v>157</v>
      </c>
      <c r="AT30" s="233">
        <f>AU30+AV30</f>
        <v>0</v>
      </c>
      <c r="AU30" s="233">
        <f>F30*AM30</f>
        <v>0</v>
      </c>
      <c r="AV30" s="233">
        <f>F30*AN30</f>
        <v>0</v>
      </c>
      <c r="AW30" s="234" t="s">
        <v>205</v>
      </c>
      <c r="AX30" s="234" t="s">
        <v>163</v>
      </c>
      <c r="AY30" s="229" t="s">
        <v>164</v>
      </c>
      <c r="BA30" s="233">
        <f>AU30+AV30</f>
        <v>0</v>
      </c>
      <c r="BB30" s="233">
        <f>G30/(100-BC30)*100</f>
        <v>0</v>
      </c>
      <c r="BC30" s="233">
        <v>0</v>
      </c>
      <c r="BD30" s="233">
        <f>L30</f>
        <v>0</v>
      </c>
      <c r="BF30" s="233">
        <f>F30*AM30</f>
        <v>0</v>
      </c>
      <c r="BG30" s="233">
        <f>F30*AN30</f>
        <v>0</v>
      </c>
      <c r="BH30" s="233">
        <f>F30*G30</f>
        <v>0</v>
      </c>
      <c r="BI30" s="233"/>
      <c r="BJ30" s="233">
        <v>13</v>
      </c>
      <c r="BU30" s="233" t="e">
        <f>#REF!</f>
        <v>#REF!</v>
      </c>
      <c r="BV30" s="225" t="s">
        <v>481</v>
      </c>
    </row>
    <row r="31" spans="1:74" ht="40.5" customHeight="1" x14ac:dyDescent="0.3">
      <c r="A31" s="241"/>
      <c r="B31" s="242" t="s">
        <v>165</v>
      </c>
      <c r="C31" s="530" t="s">
        <v>2000</v>
      </c>
      <c r="D31" s="531"/>
      <c r="E31" s="531"/>
      <c r="F31" s="531"/>
      <c r="G31" s="531"/>
      <c r="H31" s="531"/>
      <c r="I31" s="531"/>
      <c r="J31" s="531"/>
      <c r="K31" s="531"/>
      <c r="L31" s="531"/>
      <c r="M31" s="532"/>
    </row>
    <row r="32" spans="1:74" ht="14.4" x14ac:dyDescent="0.3">
      <c r="A32" s="239" t="s">
        <v>193</v>
      </c>
      <c r="B32" s="223" t="s">
        <v>208</v>
      </c>
      <c r="C32" s="521" t="s">
        <v>209</v>
      </c>
      <c r="D32" s="519"/>
      <c r="E32" s="223" t="s">
        <v>196</v>
      </c>
      <c r="F32" s="233">
        <v>7.36</v>
      </c>
      <c r="G32" s="311">
        <v>0</v>
      </c>
      <c r="H32" s="233">
        <f>F32*AM32</f>
        <v>0</v>
      </c>
      <c r="I32" s="233">
        <f>F32*AN32</f>
        <v>0</v>
      </c>
      <c r="J32" s="233">
        <f>F32*G32</f>
        <v>0</v>
      </c>
      <c r="K32" s="233">
        <v>0</v>
      </c>
      <c r="L32" s="233">
        <f>F32*K32</f>
        <v>0</v>
      </c>
      <c r="M32" s="240" t="s">
        <v>472</v>
      </c>
      <c r="X32" s="233">
        <f>IF(AO32="5",BH32,0)</f>
        <v>0</v>
      </c>
      <c r="Z32" s="233">
        <f>IF(AO32="1",BF32,0)</f>
        <v>0</v>
      </c>
      <c r="AA32" s="233">
        <f>IF(AO32="1",BG32,0)</f>
        <v>0</v>
      </c>
      <c r="AB32" s="233">
        <f>IF(AO32="7",BF32,0)</f>
        <v>0</v>
      </c>
      <c r="AC32" s="233">
        <f>IF(AO32="7",BG32,0)</f>
        <v>0</v>
      </c>
      <c r="AD32" s="233">
        <f>IF(AO32="2",BF32,0)</f>
        <v>0</v>
      </c>
      <c r="AE32" s="233">
        <f>IF(AO32="2",BG32,0)</f>
        <v>0</v>
      </c>
      <c r="AF32" s="233">
        <f>IF(AO32="0",BH32,0)</f>
        <v>0</v>
      </c>
      <c r="AG32" s="229" t="s">
        <v>154</v>
      </c>
      <c r="AH32" s="233">
        <f>IF(AL32=0,J32,0)</f>
        <v>0</v>
      </c>
      <c r="AI32" s="233">
        <f>IF(AL32=15,J32,0)</f>
        <v>0</v>
      </c>
      <c r="AJ32" s="233">
        <f>IF(AL32=21,J32,0)</f>
        <v>0</v>
      </c>
      <c r="AL32" s="233">
        <v>15</v>
      </c>
      <c r="AM32" s="233">
        <f>G32*0</f>
        <v>0</v>
      </c>
      <c r="AN32" s="233">
        <f>G32*(1-0)</f>
        <v>0</v>
      </c>
      <c r="AO32" s="234" t="s">
        <v>157</v>
      </c>
      <c r="AT32" s="233">
        <f>AU32+AV32</f>
        <v>0</v>
      </c>
      <c r="AU32" s="233">
        <f>F32*AM32</f>
        <v>0</v>
      </c>
      <c r="AV32" s="233">
        <f>F32*AN32</f>
        <v>0</v>
      </c>
      <c r="AW32" s="234" t="s">
        <v>205</v>
      </c>
      <c r="AX32" s="234" t="s">
        <v>163</v>
      </c>
      <c r="AY32" s="229" t="s">
        <v>164</v>
      </c>
      <c r="BA32" s="233">
        <f>AU32+AV32</f>
        <v>0</v>
      </c>
      <c r="BB32" s="233">
        <f>G32/(100-BC32)*100</f>
        <v>0</v>
      </c>
      <c r="BC32" s="233">
        <v>0</v>
      </c>
      <c r="BD32" s="233">
        <f>L32</f>
        <v>0</v>
      </c>
      <c r="BF32" s="233">
        <f>F32*AM32</f>
        <v>0</v>
      </c>
      <c r="BG32" s="233">
        <f>F32*AN32</f>
        <v>0</v>
      </c>
      <c r="BH32" s="233">
        <f>F32*G32</f>
        <v>0</v>
      </c>
      <c r="BI32" s="233"/>
      <c r="BJ32" s="233">
        <v>13</v>
      </c>
      <c r="BU32" s="233" t="e">
        <f>#REF!</f>
        <v>#REF!</v>
      </c>
      <c r="BV32" s="225" t="s">
        <v>209</v>
      </c>
    </row>
    <row r="33" spans="1:74" ht="81" customHeight="1" x14ac:dyDescent="0.3">
      <c r="A33" s="241"/>
      <c r="B33" s="242" t="s">
        <v>165</v>
      </c>
      <c r="C33" s="530" t="s">
        <v>2001</v>
      </c>
      <c r="D33" s="531"/>
      <c r="E33" s="531"/>
      <c r="F33" s="531"/>
      <c r="G33" s="531"/>
      <c r="H33" s="531"/>
      <c r="I33" s="531"/>
      <c r="J33" s="531"/>
      <c r="K33" s="531"/>
      <c r="L33" s="531"/>
      <c r="M33" s="532"/>
    </row>
    <row r="34" spans="1:74" ht="14.4" x14ac:dyDescent="0.3">
      <c r="A34" s="239" t="s">
        <v>198</v>
      </c>
      <c r="B34" s="223" t="s">
        <v>211</v>
      </c>
      <c r="C34" s="521" t="s">
        <v>482</v>
      </c>
      <c r="D34" s="519"/>
      <c r="E34" s="223" t="s">
        <v>196</v>
      </c>
      <c r="F34" s="233">
        <v>1.84</v>
      </c>
      <c r="G34" s="311">
        <v>0</v>
      </c>
      <c r="H34" s="233">
        <f>F34*AM34</f>
        <v>0</v>
      </c>
      <c r="I34" s="233">
        <f>F34*AN34</f>
        <v>0</v>
      </c>
      <c r="J34" s="233">
        <f>F34*G34</f>
        <v>0</v>
      </c>
      <c r="K34" s="233">
        <v>0</v>
      </c>
      <c r="L34" s="233">
        <f>F34*K34</f>
        <v>0</v>
      </c>
      <c r="M34" s="240" t="s">
        <v>472</v>
      </c>
      <c r="X34" s="233">
        <f>IF(AO34="5",BH34,0)</f>
        <v>0</v>
      </c>
      <c r="Z34" s="233">
        <f>IF(AO34="1",BF34,0)</f>
        <v>0</v>
      </c>
      <c r="AA34" s="233">
        <f>IF(AO34="1",BG34,0)</f>
        <v>0</v>
      </c>
      <c r="AB34" s="233">
        <f>IF(AO34="7",BF34,0)</f>
        <v>0</v>
      </c>
      <c r="AC34" s="233">
        <f>IF(AO34="7",BG34,0)</f>
        <v>0</v>
      </c>
      <c r="AD34" s="233">
        <f>IF(AO34="2",BF34,0)</f>
        <v>0</v>
      </c>
      <c r="AE34" s="233">
        <f>IF(AO34="2",BG34,0)</f>
        <v>0</v>
      </c>
      <c r="AF34" s="233">
        <f>IF(AO34="0",BH34,0)</f>
        <v>0</v>
      </c>
      <c r="AG34" s="229" t="s">
        <v>154</v>
      </c>
      <c r="AH34" s="233">
        <f>IF(AL34=0,J34,0)</f>
        <v>0</v>
      </c>
      <c r="AI34" s="233">
        <f>IF(AL34=15,J34,0)</f>
        <v>0</v>
      </c>
      <c r="AJ34" s="233">
        <f>IF(AL34=21,J34,0)</f>
        <v>0</v>
      </c>
      <c r="AL34" s="233">
        <v>15</v>
      </c>
      <c r="AM34" s="233">
        <f>G34*0</f>
        <v>0</v>
      </c>
      <c r="AN34" s="233">
        <f>G34*(1-0)</f>
        <v>0</v>
      </c>
      <c r="AO34" s="234" t="s">
        <v>157</v>
      </c>
      <c r="AT34" s="233">
        <f>AU34+AV34</f>
        <v>0</v>
      </c>
      <c r="AU34" s="233">
        <f>F34*AM34</f>
        <v>0</v>
      </c>
      <c r="AV34" s="233">
        <f>F34*AN34</f>
        <v>0</v>
      </c>
      <c r="AW34" s="234" t="s">
        <v>205</v>
      </c>
      <c r="AX34" s="234" t="s">
        <v>163</v>
      </c>
      <c r="AY34" s="229" t="s">
        <v>164</v>
      </c>
      <c r="BA34" s="233">
        <f>AU34+AV34</f>
        <v>0</v>
      </c>
      <c r="BB34" s="233">
        <f>G34/(100-BC34)*100</f>
        <v>0</v>
      </c>
      <c r="BC34" s="233">
        <v>0</v>
      </c>
      <c r="BD34" s="233">
        <f>L34</f>
        <v>0</v>
      </c>
      <c r="BF34" s="233">
        <f>F34*AM34</f>
        <v>0</v>
      </c>
      <c r="BG34" s="233">
        <f>F34*AN34</f>
        <v>0</v>
      </c>
      <c r="BH34" s="233">
        <f>F34*G34</f>
        <v>0</v>
      </c>
      <c r="BI34" s="233"/>
      <c r="BJ34" s="233">
        <v>13</v>
      </c>
      <c r="BU34" s="233" t="e">
        <f>#REF!</f>
        <v>#REF!</v>
      </c>
      <c r="BV34" s="225" t="s">
        <v>482</v>
      </c>
    </row>
    <row r="35" spans="1:74" ht="40.5" customHeight="1" x14ac:dyDescent="0.3">
      <c r="A35" s="241"/>
      <c r="B35" s="242" t="s">
        <v>165</v>
      </c>
      <c r="C35" s="530" t="s">
        <v>2002</v>
      </c>
      <c r="D35" s="531"/>
      <c r="E35" s="531"/>
      <c r="F35" s="531"/>
      <c r="G35" s="531"/>
      <c r="H35" s="531"/>
      <c r="I35" s="531"/>
      <c r="J35" s="531"/>
      <c r="K35" s="531"/>
      <c r="L35" s="531"/>
      <c r="M35" s="532"/>
    </row>
    <row r="36" spans="1:74" ht="14.4" x14ac:dyDescent="0.3">
      <c r="A36" s="239" t="s">
        <v>155</v>
      </c>
      <c r="B36" s="223" t="s">
        <v>213</v>
      </c>
      <c r="C36" s="521" t="s">
        <v>214</v>
      </c>
      <c r="D36" s="519"/>
      <c r="E36" s="223" t="s">
        <v>196</v>
      </c>
      <c r="F36" s="233">
        <v>1.84</v>
      </c>
      <c r="G36" s="311">
        <v>0</v>
      </c>
      <c r="H36" s="233">
        <f>F36*AM36</f>
        <v>0</v>
      </c>
      <c r="I36" s="233">
        <f>F36*AN36</f>
        <v>0</v>
      </c>
      <c r="J36" s="233">
        <f>F36*G36</f>
        <v>0</v>
      </c>
      <c r="K36" s="233">
        <v>0</v>
      </c>
      <c r="L36" s="233">
        <f>F36*K36</f>
        <v>0</v>
      </c>
      <c r="M36" s="240" t="s">
        <v>472</v>
      </c>
      <c r="X36" s="233">
        <f>IF(AO36="5",BH36,0)</f>
        <v>0</v>
      </c>
      <c r="Z36" s="233">
        <f>IF(AO36="1",BF36,0)</f>
        <v>0</v>
      </c>
      <c r="AA36" s="233">
        <f>IF(AO36="1",BG36,0)</f>
        <v>0</v>
      </c>
      <c r="AB36" s="233">
        <f>IF(AO36="7",BF36,0)</f>
        <v>0</v>
      </c>
      <c r="AC36" s="233">
        <f>IF(AO36="7",BG36,0)</f>
        <v>0</v>
      </c>
      <c r="AD36" s="233">
        <f>IF(AO36="2",BF36,0)</f>
        <v>0</v>
      </c>
      <c r="AE36" s="233">
        <f>IF(AO36="2",BG36,0)</f>
        <v>0</v>
      </c>
      <c r="AF36" s="233">
        <f>IF(AO36="0",BH36,0)</f>
        <v>0</v>
      </c>
      <c r="AG36" s="229" t="s">
        <v>154</v>
      </c>
      <c r="AH36" s="233">
        <f>IF(AL36=0,J36,0)</f>
        <v>0</v>
      </c>
      <c r="AI36" s="233">
        <f>IF(AL36=15,J36,0)</f>
        <v>0</v>
      </c>
      <c r="AJ36" s="233">
        <f>IF(AL36=21,J36,0)</f>
        <v>0</v>
      </c>
      <c r="AL36" s="233">
        <v>15</v>
      </c>
      <c r="AM36" s="233">
        <f>G36*0</f>
        <v>0</v>
      </c>
      <c r="AN36" s="233">
        <f>G36*(1-0)</f>
        <v>0</v>
      </c>
      <c r="AO36" s="234" t="s">
        <v>157</v>
      </c>
      <c r="AT36" s="233">
        <f>AU36+AV36</f>
        <v>0</v>
      </c>
      <c r="AU36" s="233">
        <f>F36*AM36</f>
        <v>0</v>
      </c>
      <c r="AV36" s="233">
        <f>F36*AN36</f>
        <v>0</v>
      </c>
      <c r="AW36" s="234" t="s">
        <v>205</v>
      </c>
      <c r="AX36" s="234" t="s">
        <v>163</v>
      </c>
      <c r="AY36" s="229" t="s">
        <v>164</v>
      </c>
      <c r="BA36" s="233">
        <f>AU36+AV36</f>
        <v>0</v>
      </c>
      <c r="BB36" s="233">
        <f>G36/(100-BC36)*100</f>
        <v>0</v>
      </c>
      <c r="BC36" s="233">
        <v>0</v>
      </c>
      <c r="BD36" s="233">
        <f>L36</f>
        <v>0</v>
      </c>
      <c r="BF36" s="233">
        <f>F36*AM36</f>
        <v>0</v>
      </c>
      <c r="BG36" s="233">
        <f>F36*AN36</f>
        <v>0</v>
      </c>
      <c r="BH36" s="233">
        <f>F36*G36</f>
        <v>0</v>
      </c>
      <c r="BI36" s="233"/>
      <c r="BJ36" s="233">
        <v>13</v>
      </c>
      <c r="BU36" s="233" t="e">
        <f>#REF!</f>
        <v>#REF!</v>
      </c>
      <c r="BV36" s="225" t="s">
        <v>214</v>
      </c>
    </row>
    <row r="37" spans="1:74" ht="94.5" customHeight="1" x14ac:dyDescent="0.3">
      <c r="A37" s="241"/>
      <c r="B37" s="242" t="s">
        <v>165</v>
      </c>
      <c r="C37" s="530" t="s">
        <v>2003</v>
      </c>
      <c r="D37" s="531"/>
      <c r="E37" s="531"/>
      <c r="F37" s="531"/>
      <c r="G37" s="531"/>
      <c r="H37" s="531"/>
      <c r="I37" s="531"/>
      <c r="J37" s="531"/>
      <c r="K37" s="531"/>
      <c r="L37" s="531"/>
      <c r="M37" s="532"/>
    </row>
    <row r="38" spans="1:74" ht="14.4" x14ac:dyDescent="0.3">
      <c r="A38" s="239" t="s">
        <v>191</v>
      </c>
      <c r="B38" s="223" t="s">
        <v>216</v>
      </c>
      <c r="C38" s="521" t="s">
        <v>217</v>
      </c>
      <c r="D38" s="519"/>
      <c r="E38" s="223" t="s">
        <v>196</v>
      </c>
      <c r="F38" s="233">
        <v>0.5</v>
      </c>
      <c r="G38" s="311">
        <v>0</v>
      </c>
      <c r="H38" s="233">
        <f>F38*AM38</f>
        <v>0</v>
      </c>
      <c r="I38" s="233">
        <f>F38*AN38</f>
        <v>0</v>
      </c>
      <c r="J38" s="233">
        <f>F38*G38</f>
        <v>0</v>
      </c>
      <c r="K38" s="233">
        <v>0</v>
      </c>
      <c r="L38" s="233">
        <f>F38*K38</f>
        <v>0</v>
      </c>
      <c r="M38" s="240" t="s">
        <v>472</v>
      </c>
      <c r="X38" s="233">
        <f>IF(AO38="5",BH38,0)</f>
        <v>0</v>
      </c>
      <c r="Z38" s="233">
        <f>IF(AO38="1",BF38,0)</f>
        <v>0</v>
      </c>
      <c r="AA38" s="233">
        <f>IF(AO38="1",BG38,0)</f>
        <v>0</v>
      </c>
      <c r="AB38" s="233">
        <f>IF(AO38="7",BF38,0)</f>
        <v>0</v>
      </c>
      <c r="AC38" s="233">
        <f>IF(AO38="7",BG38,0)</f>
        <v>0</v>
      </c>
      <c r="AD38" s="233">
        <f>IF(AO38="2",BF38,0)</f>
        <v>0</v>
      </c>
      <c r="AE38" s="233">
        <f>IF(AO38="2",BG38,0)</f>
        <v>0</v>
      </c>
      <c r="AF38" s="233">
        <f>IF(AO38="0",BH38,0)</f>
        <v>0</v>
      </c>
      <c r="AG38" s="229" t="s">
        <v>154</v>
      </c>
      <c r="AH38" s="233">
        <f>IF(AL38=0,J38,0)</f>
        <v>0</v>
      </c>
      <c r="AI38" s="233">
        <f>IF(AL38=15,J38,0)</f>
        <v>0</v>
      </c>
      <c r="AJ38" s="233">
        <f>IF(AL38=21,J38,0)</f>
        <v>0</v>
      </c>
      <c r="AL38" s="233">
        <v>15</v>
      </c>
      <c r="AM38" s="233">
        <f>G38*0</f>
        <v>0</v>
      </c>
      <c r="AN38" s="233">
        <f>G38*(1-0)</f>
        <v>0</v>
      </c>
      <c r="AO38" s="234" t="s">
        <v>157</v>
      </c>
      <c r="AT38" s="233">
        <f>AU38+AV38</f>
        <v>0</v>
      </c>
      <c r="AU38" s="233">
        <f>F38*AM38</f>
        <v>0</v>
      </c>
      <c r="AV38" s="233">
        <f>F38*AN38</f>
        <v>0</v>
      </c>
      <c r="AW38" s="234" t="s">
        <v>205</v>
      </c>
      <c r="AX38" s="234" t="s">
        <v>163</v>
      </c>
      <c r="AY38" s="229" t="s">
        <v>164</v>
      </c>
      <c r="BA38" s="233">
        <f>AU38+AV38</f>
        <v>0</v>
      </c>
      <c r="BB38" s="233">
        <f>G38/(100-BC38)*100</f>
        <v>0</v>
      </c>
      <c r="BC38" s="233">
        <v>0</v>
      </c>
      <c r="BD38" s="233">
        <f>L38</f>
        <v>0</v>
      </c>
      <c r="BF38" s="233">
        <f>F38*AM38</f>
        <v>0</v>
      </c>
      <c r="BG38" s="233">
        <f>F38*AN38</f>
        <v>0</v>
      </c>
      <c r="BH38" s="233">
        <f>F38*G38</f>
        <v>0</v>
      </c>
      <c r="BI38" s="233"/>
      <c r="BJ38" s="233">
        <v>13</v>
      </c>
      <c r="BU38" s="233" t="e">
        <f>#REF!</f>
        <v>#REF!</v>
      </c>
      <c r="BV38" s="225" t="s">
        <v>217</v>
      </c>
    </row>
    <row r="39" spans="1:74" ht="13.5" customHeight="1" x14ac:dyDescent="0.3">
      <c r="A39" s="241"/>
      <c r="B39" s="242" t="s">
        <v>165</v>
      </c>
      <c r="C39" s="530" t="s">
        <v>218</v>
      </c>
      <c r="D39" s="531"/>
      <c r="E39" s="531"/>
      <c r="F39" s="531"/>
      <c r="G39" s="531"/>
      <c r="H39" s="531"/>
      <c r="I39" s="531"/>
      <c r="J39" s="531"/>
      <c r="K39" s="531"/>
      <c r="L39" s="531"/>
      <c r="M39" s="532"/>
    </row>
    <row r="40" spans="1:74" ht="14.4" x14ac:dyDescent="0.3">
      <c r="A40" s="239" t="s">
        <v>154</v>
      </c>
      <c r="B40" s="224" t="s">
        <v>161</v>
      </c>
      <c r="C40" s="526" t="s">
        <v>219</v>
      </c>
      <c r="D40" s="527"/>
      <c r="E40" s="223" t="s">
        <v>114</v>
      </c>
      <c r="F40" s="223" t="s">
        <v>114</v>
      </c>
      <c r="G40" s="223" t="s">
        <v>114</v>
      </c>
      <c r="H40" s="235">
        <f>SUM(H41:H43)</f>
        <v>0</v>
      </c>
      <c r="I40" s="235">
        <f>SUM(I41:I43)</f>
        <v>0</v>
      </c>
      <c r="J40" s="235">
        <f>SUM(J41:J43)</f>
        <v>0</v>
      </c>
      <c r="K40" s="230" t="s">
        <v>154</v>
      </c>
      <c r="L40" s="235">
        <f>SUM(L41:L43)</f>
        <v>3.2076E-2</v>
      </c>
      <c r="M40" s="243" t="s">
        <v>154</v>
      </c>
      <c r="AG40" s="229" t="s">
        <v>154</v>
      </c>
      <c r="AQ40" s="222">
        <f>SUM(AH41:AH43)</f>
        <v>0</v>
      </c>
      <c r="AR40" s="222">
        <f>SUM(AI41:AI43)</f>
        <v>0</v>
      </c>
      <c r="AS40" s="222">
        <f>SUM(AJ41:AJ43)</f>
        <v>0</v>
      </c>
    </row>
    <row r="41" spans="1:74" ht="14.4" x14ac:dyDescent="0.3">
      <c r="A41" s="239" t="s">
        <v>201</v>
      </c>
      <c r="B41" s="223" t="s">
        <v>499</v>
      </c>
      <c r="C41" s="521" t="s">
        <v>500</v>
      </c>
      <c r="D41" s="519"/>
      <c r="E41" s="223" t="s">
        <v>180</v>
      </c>
      <c r="F41" s="233">
        <v>32.4</v>
      </c>
      <c r="G41" s="311">
        <v>0</v>
      </c>
      <c r="H41" s="233">
        <f>F41*AM41</f>
        <v>0</v>
      </c>
      <c r="I41" s="233">
        <f>F41*AN41</f>
        <v>0</v>
      </c>
      <c r="J41" s="233">
        <f>F41*G41</f>
        <v>0</v>
      </c>
      <c r="K41" s="233">
        <v>9.8999999999999999E-4</v>
      </c>
      <c r="L41" s="233">
        <f>F41*K41</f>
        <v>3.2076E-2</v>
      </c>
      <c r="M41" s="240" t="s">
        <v>472</v>
      </c>
      <c r="X41" s="233">
        <f>IF(AO41="5",BH41,0)</f>
        <v>0</v>
      </c>
      <c r="Z41" s="233">
        <f>IF(AO41="1",BF41,0)</f>
        <v>0</v>
      </c>
      <c r="AA41" s="233">
        <f>IF(AO41="1",BG41,0)</f>
        <v>0</v>
      </c>
      <c r="AB41" s="233">
        <f>IF(AO41="7",BF41,0)</f>
        <v>0</v>
      </c>
      <c r="AC41" s="233">
        <f>IF(AO41="7",BG41,0)</f>
        <v>0</v>
      </c>
      <c r="AD41" s="233">
        <f>IF(AO41="2",BF41,0)</f>
        <v>0</v>
      </c>
      <c r="AE41" s="233">
        <f>IF(AO41="2",BG41,0)</f>
        <v>0</v>
      </c>
      <c r="AF41" s="233">
        <f>IF(AO41="0",BH41,0)</f>
        <v>0</v>
      </c>
      <c r="AG41" s="229" t="s">
        <v>154</v>
      </c>
      <c r="AH41" s="233">
        <f>IF(AL41=0,J41,0)</f>
        <v>0</v>
      </c>
      <c r="AI41" s="233">
        <f>IF(AL41=15,J41,0)</f>
        <v>0</v>
      </c>
      <c r="AJ41" s="233">
        <f>IF(AL41=21,J41,0)</f>
        <v>0</v>
      </c>
      <c r="AL41" s="233">
        <v>15</v>
      </c>
      <c r="AM41" s="233">
        <f>G41*0.085202559</f>
        <v>0</v>
      </c>
      <c r="AN41" s="233">
        <f>G41*(1-0.085202559)</f>
        <v>0</v>
      </c>
      <c r="AO41" s="234" t="s">
        <v>157</v>
      </c>
      <c r="AT41" s="233">
        <f>AU41+AV41</f>
        <v>0</v>
      </c>
      <c r="AU41" s="233">
        <f>F41*AM41</f>
        <v>0</v>
      </c>
      <c r="AV41" s="233">
        <f>F41*AN41</f>
        <v>0</v>
      </c>
      <c r="AW41" s="234" t="s">
        <v>223</v>
      </c>
      <c r="AX41" s="234" t="s">
        <v>163</v>
      </c>
      <c r="AY41" s="229" t="s">
        <v>164</v>
      </c>
      <c r="BA41" s="233">
        <f>AU41+AV41</f>
        <v>0</v>
      </c>
      <c r="BB41" s="233">
        <f>G41/(100-BC41)*100</f>
        <v>0</v>
      </c>
      <c r="BC41" s="233">
        <v>0</v>
      </c>
      <c r="BD41" s="233">
        <f>L41</f>
        <v>3.2076E-2</v>
      </c>
      <c r="BF41" s="233">
        <f>F41*AM41</f>
        <v>0</v>
      </c>
      <c r="BG41" s="233">
        <f>F41*AN41</f>
        <v>0</v>
      </c>
      <c r="BH41" s="233">
        <f>F41*G41</f>
        <v>0</v>
      </c>
      <c r="BI41" s="233"/>
      <c r="BJ41" s="233">
        <v>15</v>
      </c>
      <c r="BU41" s="233" t="e">
        <f>#REF!</f>
        <v>#REF!</v>
      </c>
      <c r="BV41" s="225" t="s">
        <v>500</v>
      </c>
    </row>
    <row r="42" spans="1:74" ht="40.5" customHeight="1" x14ac:dyDescent="0.3">
      <c r="A42" s="241"/>
      <c r="B42" s="242" t="s">
        <v>165</v>
      </c>
      <c r="C42" s="530" t="s">
        <v>2004</v>
      </c>
      <c r="D42" s="531"/>
      <c r="E42" s="531"/>
      <c r="F42" s="531"/>
      <c r="G42" s="531"/>
      <c r="H42" s="531"/>
      <c r="I42" s="531"/>
      <c r="J42" s="531"/>
      <c r="K42" s="531"/>
      <c r="L42" s="531"/>
      <c r="M42" s="532"/>
    </row>
    <row r="43" spans="1:74" ht="14.4" x14ac:dyDescent="0.3">
      <c r="A43" s="239" t="s">
        <v>210</v>
      </c>
      <c r="B43" s="223" t="s">
        <v>501</v>
      </c>
      <c r="C43" s="521" t="s">
        <v>502</v>
      </c>
      <c r="D43" s="519"/>
      <c r="E43" s="223" t="s">
        <v>180</v>
      </c>
      <c r="F43" s="233">
        <v>32.4</v>
      </c>
      <c r="G43" s="311">
        <v>0</v>
      </c>
      <c r="H43" s="233">
        <f>F43*AM43</f>
        <v>0</v>
      </c>
      <c r="I43" s="233">
        <f>F43*AN43</f>
        <v>0</v>
      </c>
      <c r="J43" s="233">
        <f>F43*G43</f>
        <v>0</v>
      </c>
      <c r="K43" s="233">
        <v>0</v>
      </c>
      <c r="L43" s="233">
        <f>F43*K43</f>
        <v>0</v>
      </c>
      <c r="M43" s="240" t="s">
        <v>472</v>
      </c>
      <c r="X43" s="233">
        <f>IF(AO43="5",BH43,0)</f>
        <v>0</v>
      </c>
      <c r="Z43" s="233">
        <f>IF(AO43="1",BF43,0)</f>
        <v>0</v>
      </c>
      <c r="AA43" s="233">
        <f>IF(AO43="1",BG43,0)</f>
        <v>0</v>
      </c>
      <c r="AB43" s="233">
        <f>IF(AO43="7",BF43,0)</f>
        <v>0</v>
      </c>
      <c r="AC43" s="233">
        <f>IF(AO43="7",BG43,0)</f>
        <v>0</v>
      </c>
      <c r="AD43" s="233">
        <f>IF(AO43="2",BF43,0)</f>
        <v>0</v>
      </c>
      <c r="AE43" s="233">
        <f>IF(AO43="2",BG43,0)</f>
        <v>0</v>
      </c>
      <c r="AF43" s="233">
        <f>IF(AO43="0",BH43,0)</f>
        <v>0</v>
      </c>
      <c r="AG43" s="229" t="s">
        <v>154</v>
      </c>
      <c r="AH43" s="233">
        <f>IF(AL43=0,J43,0)</f>
        <v>0</v>
      </c>
      <c r="AI43" s="233">
        <f>IF(AL43=15,J43,0)</f>
        <v>0</v>
      </c>
      <c r="AJ43" s="233">
        <f>IF(AL43=21,J43,0)</f>
        <v>0</v>
      </c>
      <c r="AL43" s="233">
        <v>15</v>
      </c>
      <c r="AM43" s="233">
        <f>G43*0</f>
        <v>0</v>
      </c>
      <c r="AN43" s="233">
        <f>G43*(1-0)</f>
        <v>0</v>
      </c>
      <c r="AO43" s="234" t="s">
        <v>157</v>
      </c>
      <c r="AT43" s="233">
        <f>AU43+AV43</f>
        <v>0</v>
      </c>
      <c r="AU43" s="233">
        <f>F43*AM43</f>
        <v>0</v>
      </c>
      <c r="AV43" s="233">
        <f>F43*AN43</f>
        <v>0</v>
      </c>
      <c r="AW43" s="234" t="s">
        <v>223</v>
      </c>
      <c r="AX43" s="234" t="s">
        <v>163</v>
      </c>
      <c r="AY43" s="229" t="s">
        <v>164</v>
      </c>
      <c r="BA43" s="233">
        <f>AU43+AV43</f>
        <v>0</v>
      </c>
      <c r="BB43" s="233">
        <f>G43/(100-BC43)*100</f>
        <v>0</v>
      </c>
      <c r="BC43" s="233">
        <v>0</v>
      </c>
      <c r="BD43" s="233">
        <f>L43</f>
        <v>0</v>
      </c>
      <c r="BF43" s="233">
        <f>F43*AM43</f>
        <v>0</v>
      </c>
      <c r="BG43" s="233">
        <f>F43*AN43</f>
        <v>0</v>
      </c>
      <c r="BH43" s="233">
        <f>F43*G43</f>
        <v>0</v>
      </c>
      <c r="BI43" s="233"/>
      <c r="BJ43" s="233">
        <v>15</v>
      </c>
      <c r="BU43" s="233" t="e">
        <f>#REF!</f>
        <v>#REF!</v>
      </c>
      <c r="BV43" s="225" t="s">
        <v>502</v>
      </c>
    </row>
    <row r="44" spans="1:74" ht="40.5" customHeight="1" x14ac:dyDescent="0.3">
      <c r="A44" s="241"/>
      <c r="B44" s="242" t="s">
        <v>165</v>
      </c>
      <c r="C44" s="530" t="s">
        <v>2005</v>
      </c>
      <c r="D44" s="531"/>
      <c r="E44" s="531"/>
      <c r="F44" s="531"/>
      <c r="G44" s="531"/>
      <c r="H44" s="531"/>
      <c r="I44" s="531"/>
      <c r="J44" s="531"/>
      <c r="K44" s="531"/>
      <c r="L44" s="531"/>
      <c r="M44" s="532"/>
    </row>
    <row r="45" spans="1:74" ht="14.4" x14ac:dyDescent="0.3">
      <c r="A45" s="239" t="s">
        <v>154</v>
      </c>
      <c r="B45" s="224" t="s">
        <v>215</v>
      </c>
      <c r="C45" s="526" t="s">
        <v>227</v>
      </c>
      <c r="D45" s="527"/>
      <c r="E45" s="223" t="s">
        <v>114</v>
      </c>
      <c r="F45" s="223" t="s">
        <v>114</v>
      </c>
      <c r="G45" s="223" t="s">
        <v>114</v>
      </c>
      <c r="H45" s="235">
        <f>SUM(H46:H64)</f>
        <v>0</v>
      </c>
      <c r="I45" s="235">
        <f>SUM(I46:I64)</f>
        <v>0</v>
      </c>
      <c r="J45" s="235">
        <f>SUM(J46:J64)</f>
        <v>0</v>
      </c>
      <c r="K45" s="230" t="s">
        <v>154</v>
      </c>
      <c r="L45" s="235">
        <f>SUM(L46:L64)</f>
        <v>0</v>
      </c>
      <c r="M45" s="243" t="s">
        <v>154</v>
      </c>
      <c r="AG45" s="229" t="s">
        <v>154</v>
      </c>
      <c r="AQ45" s="222">
        <f>SUM(AH46:AH64)</f>
        <v>0</v>
      </c>
      <c r="AR45" s="222">
        <f>SUM(AI46:AI64)</f>
        <v>0</v>
      </c>
      <c r="AS45" s="222">
        <f>SUM(AJ46:AJ64)</f>
        <v>0</v>
      </c>
    </row>
    <row r="46" spans="1:74" ht="14.4" x14ac:dyDescent="0.3">
      <c r="A46" s="239" t="s">
        <v>161</v>
      </c>
      <c r="B46" s="223" t="s">
        <v>229</v>
      </c>
      <c r="C46" s="521" t="s">
        <v>230</v>
      </c>
      <c r="D46" s="519"/>
      <c r="E46" s="223" t="s">
        <v>196</v>
      </c>
      <c r="F46" s="233">
        <v>0.5</v>
      </c>
      <c r="G46" s="311">
        <v>0</v>
      </c>
      <c r="H46" s="233">
        <f>F46*AM46</f>
        <v>0</v>
      </c>
      <c r="I46" s="233">
        <f>F46*AN46</f>
        <v>0</v>
      </c>
      <c r="J46" s="233">
        <f>F46*G46</f>
        <v>0</v>
      </c>
      <c r="K46" s="233">
        <v>0</v>
      </c>
      <c r="L46" s="233">
        <f>F46*K46</f>
        <v>0</v>
      </c>
      <c r="M46" s="240" t="s">
        <v>472</v>
      </c>
      <c r="X46" s="233">
        <f>IF(AO46="5",BH46,0)</f>
        <v>0</v>
      </c>
      <c r="Z46" s="233">
        <f>IF(AO46="1",BF46,0)</f>
        <v>0</v>
      </c>
      <c r="AA46" s="233">
        <f>IF(AO46="1",BG46,0)</f>
        <v>0</v>
      </c>
      <c r="AB46" s="233">
        <f>IF(AO46="7",BF46,0)</f>
        <v>0</v>
      </c>
      <c r="AC46" s="233">
        <f>IF(AO46="7",BG46,0)</f>
        <v>0</v>
      </c>
      <c r="AD46" s="233">
        <f>IF(AO46="2",BF46,0)</f>
        <v>0</v>
      </c>
      <c r="AE46" s="233">
        <f>IF(AO46="2",BG46,0)</f>
        <v>0</v>
      </c>
      <c r="AF46" s="233">
        <f>IF(AO46="0",BH46,0)</f>
        <v>0</v>
      </c>
      <c r="AG46" s="229" t="s">
        <v>154</v>
      </c>
      <c r="AH46" s="233">
        <f>IF(AL46=0,J46,0)</f>
        <v>0</v>
      </c>
      <c r="AI46" s="233">
        <f>IF(AL46=15,J46,0)</f>
        <v>0</v>
      </c>
      <c r="AJ46" s="233">
        <f>IF(AL46=21,J46,0)</f>
        <v>0</v>
      </c>
      <c r="AL46" s="233">
        <v>15</v>
      </c>
      <c r="AM46" s="233">
        <f>G46*0</f>
        <v>0</v>
      </c>
      <c r="AN46" s="233">
        <f>G46*(1-0)</f>
        <v>0</v>
      </c>
      <c r="AO46" s="234" t="s">
        <v>157</v>
      </c>
      <c r="AT46" s="233">
        <f>AU46+AV46</f>
        <v>0</v>
      </c>
      <c r="AU46" s="233">
        <f>F46*AM46</f>
        <v>0</v>
      </c>
      <c r="AV46" s="233">
        <f>F46*AN46</f>
        <v>0</v>
      </c>
      <c r="AW46" s="234" t="s">
        <v>231</v>
      </c>
      <c r="AX46" s="234" t="s">
        <v>163</v>
      </c>
      <c r="AY46" s="229" t="s">
        <v>164</v>
      </c>
      <c r="BA46" s="233">
        <f>AU46+AV46</f>
        <v>0</v>
      </c>
      <c r="BB46" s="233">
        <f>G46/(100-BC46)*100</f>
        <v>0</v>
      </c>
      <c r="BC46" s="233">
        <v>0</v>
      </c>
      <c r="BD46" s="233">
        <f>L46</f>
        <v>0</v>
      </c>
      <c r="BF46" s="233">
        <f>F46*AM46</f>
        <v>0</v>
      </c>
      <c r="BG46" s="233">
        <f>F46*AN46</f>
        <v>0</v>
      </c>
      <c r="BH46" s="233">
        <f>F46*G46</f>
        <v>0</v>
      </c>
      <c r="BI46" s="233"/>
      <c r="BJ46" s="233">
        <v>16</v>
      </c>
      <c r="BU46" s="233" t="e">
        <f>#REF!</f>
        <v>#REF!</v>
      </c>
      <c r="BV46" s="225" t="s">
        <v>230</v>
      </c>
    </row>
    <row r="47" spans="1:74" ht="54" customHeight="1" x14ac:dyDescent="0.3">
      <c r="A47" s="241"/>
      <c r="B47" s="242" t="s">
        <v>165</v>
      </c>
      <c r="C47" s="530" t="s">
        <v>2006</v>
      </c>
      <c r="D47" s="531"/>
      <c r="E47" s="531"/>
      <c r="F47" s="531"/>
      <c r="G47" s="531"/>
      <c r="H47" s="531"/>
      <c r="I47" s="531"/>
      <c r="J47" s="531"/>
      <c r="K47" s="531"/>
      <c r="L47" s="531"/>
      <c r="M47" s="532"/>
    </row>
    <row r="48" spans="1:74" ht="14.4" x14ac:dyDescent="0.3">
      <c r="A48" s="239" t="s">
        <v>215</v>
      </c>
      <c r="B48" s="223" t="s">
        <v>233</v>
      </c>
      <c r="C48" s="521" t="s">
        <v>234</v>
      </c>
      <c r="D48" s="519"/>
      <c r="E48" s="223" t="s">
        <v>196</v>
      </c>
      <c r="F48" s="233">
        <v>0.16</v>
      </c>
      <c r="G48" s="311">
        <v>0</v>
      </c>
      <c r="H48" s="233">
        <f>F48*AM48</f>
        <v>0</v>
      </c>
      <c r="I48" s="233">
        <f>F48*AN48</f>
        <v>0</v>
      </c>
      <c r="J48" s="233">
        <f>F48*G48</f>
        <v>0</v>
      </c>
      <c r="K48" s="233">
        <v>0</v>
      </c>
      <c r="L48" s="233">
        <f>F48*K48</f>
        <v>0</v>
      </c>
      <c r="M48" s="240" t="s">
        <v>472</v>
      </c>
      <c r="X48" s="233">
        <f>IF(AO48="5",BH48,0)</f>
        <v>0</v>
      </c>
      <c r="Z48" s="233">
        <f>IF(AO48="1",BF48,0)</f>
        <v>0</v>
      </c>
      <c r="AA48" s="233">
        <f>IF(AO48="1",BG48,0)</f>
        <v>0</v>
      </c>
      <c r="AB48" s="233">
        <f>IF(AO48="7",BF48,0)</f>
        <v>0</v>
      </c>
      <c r="AC48" s="233">
        <f>IF(AO48="7",BG48,0)</f>
        <v>0</v>
      </c>
      <c r="AD48" s="233">
        <f>IF(AO48="2",BF48,0)</f>
        <v>0</v>
      </c>
      <c r="AE48" s="233">
        <f>IF(AO48="2",BG48,0)</f>
        <v>0</v>
      </c>
      <c r="AF48" s="233">
        <f>IF(AO48="0",BH48,0)</f>
        <v>0</v>
      </c>
      <c r="AG48" s="229" t="s">
        <v>154</v>
      </c>
      <c r="AH48" s="233">
        <f>IF(AL48=0,J48,0)</f>
        <v>0</v>
      </c>
      <c r="AI48" s="233">
        <f>IF(AL48=15,J48,0)</f>
        <v>0</v>
      </c>
      <c r="AJ48" s="233">
        <f>IF(AL48=21,J48,0)</f>
        <v>0</v>
      </c>
      <c r="AL48" s="233">
        <v>15</v>
      </c>
      <c r="AM48" s="233">
        <f>G48*0</f>
        <v>0</v>
      </c>
      <c r="AN48" s="233">
        <f>G48*(1-0)</f>
        <v>0</v>
      </c>
      <c r="AO48" s="234" t="s">
        <v>157</v>
      </c>
      <c r="AT48" s="233">
        <f>AU48+AV48</f>
        <v>0</v>
      </c>
      <c r="AU48" s="233">
        <f>F48*AM48</f>
        <v>0</v>
      </c>
      <c r="AV48" s="233">
        <f>F48*AN48</f>
        <v>0</v>
      </c>
      <c r="AW48" s="234" t="s">
        <v>231</v>
      </c>
      <c r="AX48" s="234" t="s">
        <v>163</v>
      </c>
      <c r="AY48" s="229" t="s">
        <v>164</v>
      </c>
      <c r="BA48" s="233">
        <f>AU48+AV48</f>
        <v>0</v>
      </c>
      <c r="BB48" s="233">
        <f>G48/(100-BC48)*100</f>
        <v>0</v>
      </c>
      <c r="BC48" s="233">
        <v>0</v>
      </c>
      <c r="BD48" s="233">
        <f>L48</f>
        <v>0</v>
      </c>
      <c r="BF48" s="233">
        <f>F48*AM48</f>
        <v>0</v>
      </c>
      <c r="BG48" s="233">
        <f>F48*AN48</f>
        <v>0</v>
      </c>
      <c r="BH48" s="233">
        <f>F48*G48</f>
        <v>0</v>
      </c>
      <c r="BI48" s="233"/>
      <c r="BJ48" s="233">
        <v>16</v>
      </c>
      <c r="BU48" s="233" t="e">
        <f>#REF!</f>
        <v>#REF!</v>
      </c>
      <c r="BV48" s="225" t="s">
        <v>234</v>
      </c>
    </row>
    <row r="49" spans="1:74" ht="67.5" customHeight="1" x14ac:dyDescent="0.3">
      <c r="A49" s="241"/>
      <c r="B49" s="242" t="s">
        <v>165</v>
      </c>
      <c r="C49" s="530" t="s">
        <v>2007</v>
      </c>
      <c r="D49" s="531"/>
      <c r="E49" s="531"/>
      <c r="F49" s="531"/>
      <c r="G49" s="531"/>
      <c r="H49" s="531"/>
      <c r="I49" s="531"/>
      <c r="J49" s="531"/>
      <c r="K49" s="531"/>
      <c r="L49" s="531"/>
      <c r="M49" s="532"/>
    </row>
    <row r="50" spans="1:74" ht="14.4" x14ac:dyDescent="0.3">
      <c r="A50" s="239" t="s">
        <v>220</v>
      </c>
      <c r="B50" s="223" t="s">
        <v>503</v>
      </c>
      <c r="C50" s="521" t="s">
        <v>237</v>
      </c>
      <c r="D50" s="519"/>
      <c r="E50" s="223" t="s">
        <v>196</v>
      </c>
      <c r="F50" s="233">
        <v>10.26</v>
      </c>
      <c r="G50" s="311">
        <v>0</v>
      </c>
      <c r="H50" s="233">
        <f>F50*AM50</f>
        <v>0</v>
      </c>
      <c r="I50" s="233">
        <f>F50*AN50</f>
        <v>0</v>
      </c>
      <c r="J50" s="233">
        <f>F50*G50</f>
        <v>0</v>
      </c>
      <c r="K50" s="233">
        <v>0</v>
      </c>
      <c r="L50" s="233">
        <f>F50*K50</f>
        <v>0</v>
      </c>
      <c r="M50" s="240" t="s">
        <v>472</v>
      </c>
      <c r="X50" s="233">
        <f>IF(AO50="5",BH50,0)</f>
        <v>0</v>
      </c>
      <c r="Z50" s="233">
        <f>IF(AO50="1",BF50,0)</f>
        <v>0</v>
      </c>
      <c r="AA50" s="233">
        <f>IF(AO50="1",BG50,0)</f>
        <v>0</v>
      </c>
      <c r="AB50" s="233">
        <f>IF(AO50="7",BF50,0)</f>
        <v>0</v>
      </c>
      <c r="AC50" s="233">
        <f>IF(AO50="7",BG50,0)</f>
        <v>0</v>
      </c>
      <c r="AD50" s="233">
        <f>IF(AO50="2",BF50,0)</f>
        <v>0</v>
      </c>
      <c r="AE50" s="233">
        <f>IF(AO50="2",BG50,0)</f>
        <v>0</v>
      </c>
      <c r="AF50" s="233">
        <f>IF(AO50="0",BH50,0)</f>
        <v>0</v>
      </c>
      <c r="AG50" s="229" t="s">
        <v>154</v>
      </c>
      <c r="AH50" s="233">
        <f>IF(AL50=0,J50,0)</f>
        <v>0</v>
      </c>
      <c r="AI50" s="233">
        <f>IF(AL50=15,J50,0)</f>
        <v>0</v>
      </c>
      <c r="AJ50" s="233">
        <f>IF(AL50=21,J50,0)</f>
        <v>0</v>
      </c>
      <c r="AL50" s="233">
        <v>15</v>
      </c>
      <c r="AM50" s="233">
        <f>G50*0</f>
        <v>0</v>
      </c>
      <c r="AN50" s="233">
        <f>G50*(1-0)</f>
        <v>0</v>
      </c>
      <c r="AO50" s="234" t="s">
        <v>157</v>
      </c>
      <c r="AT50" s="233">
        <f>AU50+AV50</f>
        <v>0</v>
      </c>
      <c r="AU50" s="233">
        <f>F50*AM50</f>
        <v>0</v>
      </c>
      <c r="AV50" s="233">
        <f>F50*AN50</f>
        <v>0</v>
      </c>
      <c r="AW50" s="234" t="s">
        <v>231</v>
      </c>
      <c r="AX50" s="234" t="s">
        <v>163</v>
      </c>
      <c r="AY50" s="229" t="s">
        <v>164</v>
      </c>
      <c r="BA50" s="233">
        <f>AU50+AV50</f>
        <v>0</v>
      </c>
      <c r="BB50" s="233">
        <f>G50/(100-BC50)*100</f>
        <v>0</v>
      </c>
      <c r="BC50" s="233">
        <v>0</v>
      </c>
      <c r="BD50" s="233">
        <f>L50</f>
        <v>0</v>
      </c>
      <c r="BF50" s="233">
        <f>F50*AM50</f>
        <v>0</v>
      </c>
      <c r="BG50" s="233">
        <f>F50*AN50</f>
        <v>0</v>
      </c>
      <c r="BH50" s="233">
        <f>F50*G50</f>
        <v>0</v>
      </c>
      <c r="BI50" s="233"/>
      <c r="BJ50" s="233">
        <v>16</v>
      </c>
      <c r="BU50" s="233" t="e">
        <f>#REF!</f>
        <v>#REF!</v>
      </c>
      <c r="BV50" s="225" t="s">
        <v>237</v>
      </c>
    </row>
    <row r="51" spans="1:74" ht="67.5" customHeight="1" x14ac:dyDescent="0.3">
      <c r="A51" s="241"/>
      <c r="B51" s="242" t="s">
        <v>165</v>
      </c>
      <c r="C51" s="530" t="s">
        <v>2008</v>
      </c>
      <c r="D51" s="531"/>
      <c r="E51" s="531"/>
      <c r="F51" s="531"/>
      <c r="G51" s="531"/>
      <c r="H51" s="531"/>
      <c r="I51" s="531"/>
      <c r="J51" s="531"/>
      <c r="K51" s="531"/>
      <c r="L51" s="531"/>
      <c r="M51" s="532"/>
    </row>
    <row r="52" spans="1:74" ht="14.4" x14ac:dyDescent="0.3">
      <c r="A52" s="239" t="s">
        <v>224</v>
      </c>
      <c r="B52" s="223" t="s">
        <v>504</v>
      </c>
      <c r="C52" s="521" t="s">
        <v>240</v>
      </c>
      <c r="D52" s="519"/>
      <c r="E52" s="223" t="s">
        <v>196</v>
      </c>
      <c r="F52" s="233">
        <v>143.63999999999999</v>
      </c>
      <c r="G52" s="311">
        <v>0</v>
      </c>
      <c r="H52" s="233">
        <f>F52*AM52</f>
        <v>0</v>
      </c>
      <c r="I52" s="233">
        <f>F52*AN52</f>
        <v>0</v>
      </c>
      <c r="J52" s="233">
        <f>F52*G52</f>
        <v>0</v>
      </c>
      <c r="K52" s="233">
        <v>0</v>
      </c>
      <c r="L52" s="233">
        <f>F52*K52</f>
        <v>0</v>
      </c>
      <c r="M52" s="240" t="s">
        <v>472</v>
      </c>
      <c r="X52" s="233">
        <f>IF(AO52="5",BH52,0)</f>
        <v>0</v>
      </c>
      <c r="Z52" s="233">
        <f>IF(AO52="1",BF52,0)</f>
        <v>0</v>
      </c>
      <c r="AA52" s="233">
        <f>IF(AO52="1",BG52,0)</f>
        <v>0</v>
      </c>
      <c r="AB52" s="233">
        <f>IF(AO52="7",BF52,0)</f>
        <v>0</v>
      </c>
      <c r="AC52" s="233">
        <f>IF(AO52="7",BG52,0)</f>
        <v>0</v>
      </c>
      <c r="AD52" s="233">
        <f>IF(AO52="2",BF52,0)</f>
        <v>0</v>
      </c>
      <c r="AE52" s="233">
        <f>IF(AO52="2",BG52,0)</f>
        <v>0</v>
      </c>
      <c r="AF52" s="233">
        <f>IF(AO52="0",BH52,0)</f>
        <v>0</v>
      </c>
      <c r="AG52" s="229" t="s">
        <v>154</v>
      </c>
      <c r="AH52" s="233">
        <f>IF(AL52=0,J52,0)</f>
        <v>0</v>
      </c>
      <c r="AI52" s="233">
        <f>IF(AL52=15,J52,0)</f>
        <v>0</v>
      </c>
      <c r="AJ52" s="233">
        <f>IF(AL52=21,J52,0)</f>
        <v>0</v>
      </c>
      <c r="AL52" s="233">
        <v>15</v>
      </c>
      <c r="AM52" s="233">
        <f>G52*0</f>
        <v>0</v>
      </c>
      <c r="AN52" s="233">
        <f>G52*(1-0)</f>
        <v>0</v>
      </c>
      <c r="AO52" s="234" t="s">
        <v>157</v>
      </c>
      <c r="AT52" s="233">
        <f>AU52+AV52</f>
        <v>0</v>
      </c>
      <c r="AU52" s="233">
        <f>F52*AM52</f>
        <v>0</v>
      </c>
      <c r="AV52" s="233">
        <f>F52*AN52</f>
        <v>0</v>
      </c>
      <c r="AW52" s="234" t="s">
        <v>231</v>
      </c>
      <c r="AX52" s="234" t="s">
        <v>163</v>
      </c>
      <c r="AY52" s="229" t="s">
        <v>164</v>
      </c>
      <c r="BA52" s="233">
        <f>AU52+AV52</f>
        <v>0</v>
      </c>
      <c r="BB52" s="233">
        <f>G52/(100-BC52)*100</f>
        <v>0</v>
      </c>
      <c r="BC52" s="233">
        <v>0</v>
      </c>
      <c r="BD52" s="233">
        <f>L52</f>
        <v>0</v>
      </c>
      <c r="BF52" s="233">
        <f>F52*AM52</f>
        <v>0</v>
      </c>
      <c r="BG52" s="233">
        <f>F52*AN52</f>
        <v>0</v>
      </c>
      <c r="BH52" s="233">
        <f>F52*G52</f>
        <v>0</v>
      </c>
      <c r="BI52" s="233"/>
      <c r="BJ52" s="233">
        <v>16</v>
      </c>
      <c r="BU52" s="233" t="e">
        <f>#REF!</f>
        <v>#REF!</v>
      </c>
      <c r="BV52" s="225" t="s">
        <v>240</v>
      </c>
    </row>
    <row r="53" spans="1:74" ht="54" customHeight="1" x14ac:dyDescent="0.3">
      <c r="A53" s="241"/>
      <c r="B53" s="242" t="s">
        <v>165</v>
      </c>
      <c r="C53" s="530" t="s">
        <v>2009</v>
      </c>
      <c r="D53" s="531"/>
      <c r="E53" s="531"/>
      <c r="F53" s="531"/>
      <c r="G53" s="531"/>
      <c r="H53" s="531"/>
      <c r="I53" s="531"/>
      <c r="J53" s="531"/>
      <c r="K53" s="531"/>
      <c r="L53" s="531"/>
      <c r="M53" s="532"/>
    </row>
    <row r="54" spans="1:74" ht="14.4" x14ac:dyDescent="0.3">
      <c r="A54" s="239" t="s">
        <v>228</v>
      </c>
      <c r="B54" s="223" t="s">
        <v>505</v>
      </c>
      <c r="C54" s="521" t="s">
        <v>243</v>
      </c>
      <c r="D54" s="519"/>
      <c r="E54" s="223" t="s">
        <v>196</v>
      </c>
      <c r="F54" s="233">
        <v>2.34</v>
      </c>
      <c r="G54" s="311">
        <v>0</v>
      </c>
      <c r="H54" s="233">
        <f>F54*AM54</f>
        <v>0</v>
      </c>
      <c r="I54" s="233">
        <f>F54*AN54</f>
        <v>0</v>
      </c>
      <c r="J54" s="233">
        <f>F54*G54</f>
        <v>0</v>
      </c>
      <c r="K54" s="233">
        <v>0</v>
      </c>
      <c r="L54" s="233">
        <f>F54*K54</f>
        <v>0</v>
      </c>
      <c r="M54" s="240" t="s">
        <v>472</v>
      </c>
      <c r="X54" s="233">
        <f>IF(AO54="5",BH54,0)</f>
        <v>0</v>
      </c>
      <c r="Z54" s="233">
        <f>IF(AO54="1",BF54,0)</f>
        <v>0</v>
      </c>
      <c r="AA54" s="233">
        <f>IF(AO54="1",BG54,0)</f>
        <v>0</v>
      </c>
      <c r="AB54" s="233">
        <f>IF(AO54="7",BF54,0)</f>
        <v>0</v>
      </c>
      <c r="AC54" s="233">
        <f>IF(AO54="7",BG54,0)</f>
        <v>0</v>
      </c>
      <c r="AD54" s="233">
        <f>IF(AO54="2",BF54,0)</f>
        <v>0</v>
      </c>
      <c r="AE54" s="233">
        <f>IF(AO54="2",BG54,0)</f>
        <v>0</v>
      </c>
      <c r="AF54" s="233">
        <f>IF(AO54="0",BH54,0)</f>
        <v>0</v>
      </c>
      <c r="AG54" s="229" t="s">
        <v>154</v>
      </c>
      <c r="AH54" s="233">
        <f>IF(AL54=0,J54,0)</f>
        <v>0</v>
      </c>
      <c r="AI54" s="233">
        <f>IF(AL54=15,J54,0)</f>
        <v>0</v>
      </c>
      <c r="AJ54" s="233">
        <f>IF(AL54=21,J54,0)</f>
        <v>0</v>
      </c>
      <c r="AL54" s="233">
        <v>15</v>
      </c>
      <c r="AM54" s="233">
        <f>G54*0</f>
        <v>0</v>
      </c>
      <c r="AN54" s="233">
        <f>G54*(1-0)</f>
        <v>0</v>
      </c>
      <c r="AO54" s="234" t="s">
        <v>157</v>
      </c>
      <c r="AT54" s="233">
        <f>AU54+AV54</f>
        <v>0</v>
      </c>
      <c r="AU54" s="233">
        <f>F54*AM54</f>
        <v>0</v>
      </c>
      <c r="AV54" s="233">
        <f>F54*AN54</f>
        <v>0</v>
      </c>
      <c r="AW54" s="234" t="s">
        <v>231</v>
      </c>
      <c r="AX54" s="234" t="s">
        <v>163</v>
      </c>
      <c r="AY54" s="229" t="s">
        <v>164</v>
      </c>
      <c r="BA54" s="233">
        <f>AU54+AV54</f>
        <v>0</v>
      </c>
      <c r="BB54" s="233">
        <f>G54/(100-BC54)*100</f>
        <v>0</v>
      </c>
      <c r="BC54" s="233">
        <v>0</v>
      </c>
      <c r="BD54" s="233">
        <f>L54</f>
        <v>0</v>
      </c>
      <c r="BF54" s="233">
        <f>F54*AM54</f>
        <v>0</v>
      </c>
      <c r="BG54" s="233">
        <f>F54*AN54</f>
        <v>0</v>
      </c>
      <c r="BH54" s="233">
        <f>F54*G54</f>
        <v>0</v>
      </c>
      <c r="BI54" s="233"/>
      <c r="BJ54" s="233">
        <v>16</v>
      </c>
      <c r="BU54" s="233" t="e">
        <f>#REF!</f>
        <v>#REF!</v>
      </c>
      <c r="BV54" s="225" t="s">
        <v>243</v>
      </c>
    </row>
    <row r="55" spans="1:74" ht="54" customHeight="1" x14ac:dyDescent="0.3">
      <c r="A55" s="244"/>
      <c r="B55" s="245" t="s">
        <v>165</v>
      </c>
      <c r="C55" s="540" t="s">
        <v>2010</v>
      </c>
      <c r="D55" s="541"/>
      <c r="E55" s="541"/>
      <c r="F55" s="541"/>
      <c r="G55" s="541"/>
      <c r="H55" s="541"/>
      <c r="I55" s="541"/>
      <c r="J55" s="541"/>
      <c r="K55" s="541"/>
      <c r="L55" s="541"/>
      <c r="M55" s="542"/>
    </row>
    <row r="56" spans="1:74" ht="14.4" x14ac:dyDescent="0.3">
      <c r="A56" s="237" t="s">
        <v>232</v>
      </c>
      <c r="B56" s="238" t="s">
        <v>506</v>
      </c>
      <c r="C56" s="543" t="s">
        <v>246</v>
      </c>
      <c r="D56" s="544"/>
      <c r="E56" s="238" t="s">
        <v>196</v>
      </c>
      <c r="F56" s="258">
        <v>32.76</v>
      </c>
      <c r="G56" s="311">
        <v>0</v>
      </c>
      <c r="H56" s="258">
        <f>F56*AM56</f>
        <v>0</v>
      </c>
      <c r="I56" s="258">
        <f>F56*AN56</f>
        <v>0</v>
      </c>
      <c r="J56" s="258">
        <f>F56*G56</f>
        <v>0</v>
      </c>
      <c r="K56" s="258">
        <v>0</v>
      </c>
      <c r="L56" s="258">
        <f>F56*K56</f>
        <v>0</v>
      </c>
      <c r="M56" s="259" t="s">
        <v>472</v>
      </c>
      <c r="X56" s="233">
        <f>IF(AO56="5",BH56,0)</f>
        <v>0</v>
      </c>
      <c r="Z56" s="233">
        <f>IF(AO56="1",BF56,0)</f>
        <v>0</v>
      </c>
      <c r="AA56" s="233">
        <f>IF(AO56="1",BG56,0)</f>
        <v>0</v>
      </c>
      <c r="AB56" s="233">
        <f>IF(AO56="7",BF56,0)</f>
        <v>0</v>
      </c>
      <c r="AC56" s="233">
        <f>IF(AO56="7",BG56,0)</f>
        <v>0</v>
      </c>
      <c r="AD56" s="233">
        <f>IF(AO56="2",BF56,0)</f>
        <v>0</v>
      </c>
      <c r="AE56" s="233">
        <f>IF(AO56="2",BG56,0)</f>
        <v>0</v>
      </c>
      <c r="AF56" s="233">
        <f>IF(AO56="0",BH56,0)</f>
        <v>0</v>
      </c>
      <c r="AG56" s="229" t="s">
        <v>154</v>
      </c>
      <c r="AH56" s="233">
        <f>IF(AL56=0,J56,0)</f>
        <v>0</v>
      </c>
      <c r="AI56" s="233">
        <f>IF(AL56=15,J56,0)</f>
        <v>0</v>
      </c>
      <c r="AJ56" s="233">
        <f>IF(AL56=21,J56,0)</f>
        <v>0</v>
      </c>
      <c r="AL56" s="233">
        <v>15</v>
      </c>
      <c r="AM56" s="233">
        <f>G56*0</f>
        <v>0</v>
      </c>
      <c r="AN56" s="233">
        <f>G56*(1-0)</f>
        <v>0</v>
      </c>
      <c r="AO56" s="234" t="s">
        <v>157</v>
      </c>
      <c r="AT56" s="233">
        <f>AU56+AV56</f>
        <v>0</v>
      </c>
      <c r="AU56" s="233">
        <f>F56*AM56</f>
        <v>0</v>
      </c>
      <c r="AV56" s="233">
        <f>F56*AN56</f>
        <v>0</v>
      </c>
      <c r="AW56" s="234" t="s">
        <v>231</v>
      </c>
      <c r="AX56" s="234" t="s">
        <v>163</v>
      </c>
      <c r="AY56" s="229" t="s">
        <v>164</v>
      </c>
      <c r="BA56" s="233">
        <f>AU56+AV56</f>
        <v>0</v>
      </c>
      <c r="BB56" s="233">
        <f>G56/(100-BC56)*100</f>
        <v>0</v>
      </c>
      <c r="BC56" s="233">
        <v>0</v>
      </c>
      <c r="BD56" s="233">
        <f>L56</f>
        <v>0</v>
      </c>
      <c r="BF56" s="233">
        <f>F56*AM56</f>
        <v>0</v>
      </c>
      <c r="BG56" s="233">
        <f>F56*AN56</f>
        <v>0</v>
      </c>
      <c r="BH56" s="233">
        <f>F56*G56</f>
        <v>0</v>
      </c>
      <c r="BI56" s="233"/>
      <c r="BJ56" s="233">
        <v>16</v>
      </c>
      <c r="BU56" s="233" t="e">
        <f>#REF!</f>
        <v>#REF!</v>
      </c>
      <c r="BV56" s="225" t="s">
        <v>246</v>
      </c>
    </row>
    <row r="57" spans="1:74" ht="54" customHeight="1" x14ac:dyDescent="0.3">
      <c r="A57" s="241"/>
      <c r="B57" s="242" t="s">
        <v>165</v>
      </c>
      <c r="C57" s="530" t="s">
        <v>2011</v>
      </c>
      <c r="D57" s="531"/>
      <c r="E57" s="531"/>
      <c r="F57" s="531"/>
      <c r="G57" s="531"/>
      <c r="H57" s="531"/>
      <c r="I57" s="531"/>
      <c r="J57" s="531"/>
      <c r="K57" s="531"/>
      <c r="L57" s="531"/>
      <c r="M57" s="532"/>
    </row>
    <row r="58" spans="1:74" ht="14.4" x14ac:dyDescent="0.3">
      <c r="A58" s="239" t="s">
        <v>235</v>
      </c>
      <c r="B58" s="223" t="s">
        <v>1036</v>
      </c>
      <c r="C58" s="521" t="s">
        <v>1037</v>
      </c>
      <c r="D58" s="519"/>
      <c r="E58" s="223" t="s">
        <v>196</v>
      </c>
      <c r="F58" s="233">
        <v>12.62</v>
      </c>
      <c r="G58" s="311">
        <v>0</v>
      </c>
      <c r="H58" s="233">
        <f>F58*AM58</f>
        <v>0</v>
      </c>
      <c r="I58" s="233">
        <f>F58*AN58</f>
        <v>0</v>
      </c>
      <c r="J58" s="233">
        <f>F58*G58</f>
        <v>0</v>
      </c>
      <c r="K58" s="233">
        <v>0</v>
      </c>
      <c r="L58" s="233">
        <f>F58*K58</f>
        <v>0</v>
      </c>
      <c r="M58" s="240" t="s">
        <v>472</v>
      </c>
      <c r="X58" s="233">
        <f>IF(AO58="5",BH58,0)</f>
        <v>0</v>
      </c>
      <c r="Z58" s="233">
        <f>IF(AO58="1",BF58,0)</f>
        <v>0</v>
      </c>
      <c r="AA58" s="233">
        <f>IF(AO58="1",BG58,0)</f>
        <v>0</v>
      </c>
      <c r="AB58" s="233">
        <f>IF(AO58="7",BF58,0)</f>
        <v>0</v>
      </c>
      <c r="AC58" s="233">
        <f>IF(AO58="7",BG58,0)</f>
        <v>0</v>
      </c>
      <c r="AD58" s="233">
        <f>IF(AO58="2",BF58,0)</f>
        <v>0</v>
      </c>
      <c r="AE58" s="233">
        <f>IF(AO58="2",BG58,0)</f>
        <v>0</v>
      </c>
      <c r="AF58" s="233">
        <f>IF(AO58="0",BH58,0)</f>
        <v>0</v>
      </c>
      <c r="AG58" s="229" t="s">
        <v>154</v>
      </c>
      <c r="AH58" s="233">
        <f>IF(AL58=0,J58,0)</f>
        <v>0</v>
      </c>
      <c r="AI58" s="233">
        <f>IF(AL58=15,J58,0)</f>
        <v>0</v>
      </c>
      <c r="AJ58" s="233">
        <f>IF(AL58=21,J58,0)</f>
        <v>0</v>
      </c>
      <c r="AL58" s="233">
        <v>15</v>
      </c>
      <c r="AM58" s="233">
        <f>G58*0</f>
        <v>0</v>
      </c>
      <c r="AN58" s="233">
        <f>G58*(1-0)</f>
        <v>0</v>
      </c>
      <c r="AO58" s="234" t="s">
        <v>157</v>
      </c>
      <c r="AT58" s="233">
        <f>AU58+AV58</f>
        <v>0</v>
      </c>
      <c r="AU58" s="233">
        <f>F58*AM58</f>
        <v>0</v>
      </c>
      <c r="AV58" s="233">
        <f>F58*AN58</f>
        <v>0</v>
      </c>
      <c r="AW58" s="234" t="s">
        <v>231</v>
      </c>
      <c r="AX58" s="234" t="s">
        <v>163</v>
      </c>
      <c r="AY58" s="229" t="s">
        <v>164</v>
      </c>
      <c r="BA58" s="233">
        <f>AU58+AV58</f>
        <v>0</v>
      </c>
      <c r="BB58" s="233">
        <f>G58/(100-BC58)*100</f>
        <v>0</v>
      </c>
      <c r="BC58" s="233">
        <v>0</v>
      </c>
      <c r="BD58" s="233">
        <f>L58</f>
        <v>0</v>
      </c>
      <c r="BF58" s="233">
        <f>F58*AM58</f>
        <v>0</v>
      </c>
      <c r="BG58" s="233">
        <f>F58*AN58</f>
        <v>0</v>
      </c>
      <c r="BH58" s="233">
        <f>F58*G58</f>
        <v>0</v>
      </c>
      <c r="BI58" s="233"/>
      <c r="BJ58" s="233">
        <v>16</v>
      </c>
      <c r="BU58" s="233" t="e">
        <f>#REF!</f>
        <v>#REF!</v>
      </c>
      <c r="BV58" s="225" t="s">
        <v>1037</v>
      </c>
    </row>
    <row r="59" spans="1:74" ht="40.5" customHeight="1" x14ac:dyDescent="0.3">
      <c r="A59" s="241"/>
      <c r="B59" s="242" t="s">
        <v>165</v>
      </c>
      <c r="C59" s="530" t="s">
        <v>2012</v>
      </c>
      <c r="D59" s="531"/>
      <c r="E59" s="531"/>
      <c r="F59" s="531"/>
      <c r="G59" s="531"/>
      <c r="H59" s="531"/>
      <c r="I59" s="531"/>
      <c r="J59" s="531"/>
      <c r="K59" s="531"/>
      <c r="L59" s="531"/>
      <c r="M59" s="532"/>
    </row>
    <row r="60" spans="1:74" ht="14.4" x14ac:dyDescent="0.3">
      <c r="A60" s="239" t="s">
        <v>238</v>
      </c>
      <c r="B60" s="223" t="s">
        <v>251</v>
      </c>
      <c r="C60" s="521" t="s">
        <v>252</v>
      </c>
      <c r="D60" s="519"/>
      <c r="E60" s="223" t="s">
        <v>196</v>
      </c>
      <c r="F60" s="233">
        <v>12.62</v>
      </c>
      <c r="G60" s="311">
        <v>0</v>
      </c>
      <c r="H60" s="233">
        <f>F60*AM60</f>
        <v>0</v>
      </c>
      <c r="I60" s="233">
        <f>F60*AN60</f>
        <v>0</v>
      </c>
      <c r="J60" s="233">
        <f>F60*G60</f>
        <v>0</v>
      </c>
      <c r="K60" s="233">
        <v>0</v>
      </c>
      <c r="L60" s="233">
        <f>F60*K60</f>
        <v>0</v>
      </c>
      <c r="M60" s="240" t="s">
        <v>472</v>
      </c>
      <c r="X60" s="233">
        <f>IF(AO60="5",BH60,0)</f>
        <v>0</v>
      </c>
      <c r="Z60" s="233">
        <f>IF(AO60="1",BF60,0)</f>
        <v>0</v>
      </c>
      <c r="AA60" s="233">
        <f>IF(AO60="1",BG60,0)</f>
        <v>0</v>
      </c>
      <c r="AB60" s="233">
        <f>IF(AO60="7",BF60,0)</f>
        <v>0</v>
      </c>
      <c r="AC60" s="233">
        <f>IF(AO60="7",BG60,0)</f>
        <v>0</v>
      </c>
      <c r="AD60" s="233">
        <f>IF(AO60="2",BF60,0)</f>
        <v>0</v>
      </c>
      <c r="AE60" s="233">
        <f>IF(AO60="2",BG60,0)</f>
        <v>0</v>
      </c>
      <c r="AF60" s="233">
        <f>IF(AO60="0",BH60,0)</f>
        <v>0</v>
      </c>
      <c r="AG60" s="229" t="s">
        <v>154</v>
      </c>
      <c r="AH60" s="233">
        <f>IF(AL60=0,J60,0)</f>
        <v>0</v>
      </c>
      <c r="AI60" s="233">
        <f>IF(AL60=15,J60,0)</f>
        <v>0</v>
      </c>
      <c r="AJ60" s="233">
        <f>IF(AL60=21,J60,0)</f>
        <v>0</v>
      </c>
      <c r="AL60" s="233">
        <v>15</v>
      </c>
      <c r="AM60" s="233">
        <f>G60*0</f>
        <v>0</v>
      </c>
      <c r="AN60" s="233">
        <f>G60*(1-0)</f>
        <v>0</v>
      </c>
      <c r="AO60" s="234" t="s">
        <v>157</v>
      </c>
      <c r="AT60" s="233">
        <f>AU60+AV60</f>
        <v>0</v>
      </c>
      <c r="AU60" s="233">
        <f>F60*AM60</f>
        <v>0</v>
      </c>
      <c r="AV60" s="233">
        <f>F60*AN60</f>
        <v>0</v>
      </c>
      <c r="AW60" s="234" t="s">
        <v>231</v>
      </c>
      <c r="AX60" s="234" t="s">
        <v>163</v>
      </c>
      <c r="AY60" s="229" t="s">
        <v>164</v>
      </c>
      <c r="BA60" s="233">
        <f>AU60+AV60</f>
        <v>0</v>
      </c>
      <c r="BB60" s="233">
        <f>G60/(100-BC60)*100</f>
        <v>0</v>
      </c>
      <c r="BC60" s="233">
        <v>0</v>
      </c>
      <c r="BD60" s="233">
        <f>L60</f>
        <v>0</v>
      </c>
      <c r="BF60" s="233">
        <f>F60*AM60</f>
        <v>0</v>
      </c>
      <c r="BG60" s="233">
        <f>F60*AN60</f>
        <v>0</v>
      </c>
      <c r="BH60" s="233">
        <f>F60*G60</f>
        <v>0</v>
      </c>
      <c r="BI60" s="233"/>
      <c r="BJ60" s="233">
        <v>16</v>
      </c>
      <c r="BU60" s="233" t="e">
        <f>#REF!</f>
        <v>#REF!</v>
      </c>
      <c r="BV60" s="225" t="s">
        <v>252</v>
      </c>
    </row>
    <row r="61" spans="1:74" ht="40.5" customHeight="1" x14ac:dyDescent="0.3">
      <c r="A61" s="241"/>
      <c r="B61" s="242" t="s">
        <v>165</v>
      </c>
      <c r="C61" s="530" t="s">
        <v>2013</v>
      </c>
      <c r="D61" s="531"/>
      <c r="E61" s="531"/>
      <c r="F61" s="531"/>
      <c r="G61" s="531"/>
      <c r="H61" s="531"/>
      <c r="I61" s="531"/>
      <c r="J61" s="531"/>
      <c r="K61" s="531"/>
      <c r="L61" s="531"/>
      <c r="M61" s="532"/>
    </row>
    <row r="62" spans="1:74" ht="14.4" x14ac:dyDescent="0.3">
      <c r="A62" s="239" t="s">
        <v>241</v>
      </c>
      <c r="B62" s="223" t="s">
        <v>254</v>
      </c>
      <c r="C62" s="521" t="s">
        <v>255</v>
      </c>
      <c r="D62" s="519"/>
      <c r="E62" s="223" t="s">
        <v>196</v>
      </c>
      <c r="F62" s="233">
        <v>2.34</v>
      </c>
      <c r="G62" s="311">
        <v>0</v>
      </c>
      <c r="H62" s="233">
        <f>F62*AM62</f>
        <v>0</v>
      </c>
      <c r="I62" s="233">
        <f>F62*AN62</f>
        <v>0</v>
      </c>
      <c r="J62" s="233">
        <f>F62*G62</f>
        <v>0</v>
      </c>
      <c r="K62" s="233">
        <v>0</v>
      </c>
      <c r="L62" s="233">
        <f>F62*K62</f>
        <v>0</v>
      </c>
      <c r="M62" s="240" t="s">
        <v>472</v>
      </c>
      <c r="X62" s="233">
        <f>IF(AO62="5",BH62,0)</f>
        <v>0</v>
      </c>
      <c r="Z62" s="233">
        <f>IF(AO62="1",BF62,0)</f>
        <v>0</v>
      </c>
      <c r="AA62" s="233">
        <f>IF(AO62="1",BG62,0)</f>
        <v>0</v>
      </c>
      <c r="AB62" s="233">
        <f>IF(AO62="7",BF62,0)</f>
        <v>0</v>
      </c>
      <c r="AC62" s="233">
        <f>IF(AO62="7",BG62,0)</f>
        <v>0</v>
      </c>
      <c r="AD62" s="233">
        <f>IF(AO62="2",BF62,0)</f>
        <v>0</v>
      </c>
      <c r="AE62" s="233">
        <f>IF(AO62="2",BG62,0)</f>
        <v>0</v>
      </c>
      <c r="AF62" s="233">
        <f>IF(AO62="0",BH62,0)</f>
        <v>0</v>
      </c>
      <c r="AG62" s="229" t="s">
        <v>154</v>
      </c>
      <c r="AH62" s="233">
        <f>IF(AL62=0,J62,0)</f>
        <v>0</v>
      </c>
      <c r="AI62" s="233">
        <f>IF(AL62=15,J62,0)</f>
        <v>0</v>
      </c>
      <c r="AJ62" s="233">
        <f>IF(AL62=21,J62,0)</f>
        <v>0</v>
      </c>
      <c r="AL62" s="233">
        <v>15</v>
      </c>
      <c r="AM62" s="233">
        <f>G62*0</f>
        <v>0</v>
      </c>
      <c r="AN62" s="233">
        <f>G62*(1-0)</f>
        <v>0</v>
      </c>
      <c r="AO62" s="234" t="s">
        <v>157</v>
      </c>
      <c r="AT62" s="233">
        <f>AU62+AV62</f>
        <v>0</v>
      </c>
      <c r="AU62" s="233">
        <f>F62*AM62</f>
        <v>0</v>
      </c>
      <c r="AV62" s="233">
        <f>F62*AN62</f>
        <v>0</v>
      </c>
      <c r="AW62" s="234" t="s">
        <v>231</v>
      </c>
      <c r="AX62" s="234" t="s">
        <v>163</v>
      </c>
      <c r="AY62" s="229" t="s">
        <v>164</v>
      </c>
      <c r="BA62" s="233">
        <f>AU62+AV62</f>
        <v>0</v>
      </c>
      <c r="BB62" s="233">
        <f>G62/(100-BC62)*100</f>
        <v>0</v>
      </c>
      <c r="BC62" s="233">
        <v>0</v>
      </c>
      <c r="BD62" s="233">
        <f>L62</f>
        <v>0</v>
      </c>
      <c r="BF62" s="233">
        <f>F62*AM62</f>
        <v>0</v>
      </c>
      <c r="BG62" s="233">
        <f>F62*AN62</f>
        <v>0</v>
      </c>
      <c r="BH62" s="233">
        <f>F62*G62</f>
        <v>0</v>
      </c>
      <c r="BI62" s="233"/>
      <c r="BJ62" s="233">
        <v>16</v>
      </c>
      <c r="BU62" s="233" t="e">
        <f>#REF!</f>
        <v>#REF!</v>
      </c>
      <c r="BV62" s="225" t="s">
        <v>255</v>
      </c>
    </row>
    <row r="63" spans="1:74" ht="40.5" customHeight="1" x14ac:dyDescent="0.3">
      <c r="A63" s="241"/>
      <c r="B63" s="242" t="s">
        <v>165</v>
      </c>
      <c r="C63" s="530" t="s">
        <v>2014</v>
      </c>
      <c r="D63" s="531"/>
      <c r="E63" s="531"/>
      <c r="F63" s="531"/>
      <c r="G63" s="531"/>
      <c r="H63" s="531"/>
      <c r="I63" s="531"/>
      <c r="J63" s="531"/>
      <c r="K63" s="531"/>
      <c r="L63" s="531"/>
      <c r="M63" s="532"/>
    </row>
    <row r="64" spans="1:74" ht="14.4" x14ac:dyDescent="0.3">
      <c r="A64" s="239" t="s">
        <v>244</v>
      </c>
      <c r="B64" s="223" t="s">
        <v>257</v>
      </c>
      <c r="C64" s="521" t="s">
        <v>258</v>
      </c>
      <c r="D64" s="519"/>
      <c r="E64" s="223" t="s">
        <v>196</v>
      </c>
      <c r="F64" s="233">
        <v>2.34</v>
      </c>
      <c r="G64" s="311">
        <v>0</v>
      </c>
      <c r="H64" s="233">
        <f>F64*AM64</f>
        <v>0</v>
      </c>
      <c r="I64" s="233">
        <f>F64*AN64</f>
        <v>0</v>
      </c>
      <c r="J64" s="233">
        <f>F64*G64</f>
        <v>0</v>
      </c>
      <c r="K64" s="233">
        <v>0</v>
      </c>
      <c r="L64" s="233">
        <f>F64*K64</f>
        <v>0</v>
      </c>
      <c r="M64" s="240" t="s">
        <v>472</v>
      </c>
      <c r="X64" s="233">
        <f>IF(AO64="5",BH64,0)</f>
        <v>0</v>
      </c>
      <c r="Z64" s="233">
        <f>IF(AO64="1",BF64,0)</f>
        <v>0</v>
      </c>
      <c r="AA64" s="233">
        <f>IF(AO64="1",BG64,0)</f>
        <v>0</v>
      </c>
      <c r="AB64" s="233">
        <f>IF(AO64="7",BF64,0)</f>
        <v>0</v>
      </c>
      <c r="AC64" s="233">
        <f>IF(AO64="7",BG64,0)</f>
        <v>0</v>
      </c>
      <c r="AD64" s="233">
        <f>IF(AO64="2",BF64,0)</f>
        <v>0</v>
      </c>
      <c r="AE64" s="233">
        <f>IF(AO64="2",BG64,0)</f>
        <v>0</v>
      </c>
      <c r="AF64" s="233">
        <f>IF(AO64="0",BH64,0)</f>
        <v>0</v>
      </c>
      <c r="AG64" s="229" t="s">
        <v>154</v>
      </c>
      <c r="AH64" s="233">
        <f>IF(AL64=0,J64,0)</f>
        <v>0</v>
      </c>
      <c r="AI64" s="233">
        <f>IF(AL64=15,J64,0)</f>
        <v>0</v>
      </c>
      <c r="AJ64" s="233">
        <f>IF(AL64=21,J64,0)</f>
        <v>0</v>
      </c>
      <c r="AL64" s="233">
        <v>15</v>
      </c>
      <c r="AM64" s="233">
        <f>G64*0</f>
        <v>0</v>
      </c>
      <c r="AN64" s="233">
        <f>G64*(1-0)</f>
        <v>0</v>
      </c>
      <c r="AO64" s="234" t="s">
        <v>157</v>
      </c>
      <c r="AT64" s="233">
        <f>AU64+AV64</f>
        <v>0</v>
      </c>
      <c r="AU64" s="233">
        <f>F64*AM64</f>
        <v>0</v>
      </c>
      <c r="AV64" s="233">
        <f>F64*AN64</f>
        <v>0</v>
      </c>
      <c r="AW64" s="234" t="s">
        <v>231</v>
      </c>
      <c r="AX64" s="234" t="s">
        <v>163</v>
      </c>
      <c r="AY64" s="229" t="s">
        <v>164</v>
      </c>
      <c r="BA64" s="233">
        <f>AU64+AV64</f>
        <v>0</v>
      </c>
      <c r="BB64" s="233">
        <f>G64/(100-BC64)*100</f>
        <v>0</v>
      </c>
      <c r="BC64" s="233">
        <v>0</v>
      </c>
      <c r="BD64" s="233">
        <f>L64</f>
        <v>0</v>
      </c>
      <c r="BF64" s="233">
        <f>F64*AM64</f>
        <v>0</v>
      </c>
      <c r="BG64" s="233">
        <f>F64*AN64</f>
        <v>0</v>
      </c>
      <c r="BH64" s="233">
        <f>F64*G64</f>
        <v>0</v>
      </c>
      <c r="BI64" s="233"/>
      <c r="BJ64" s="233">
        <v>16</v>
      </c>
      <c r="BU64" s="233" t="e">
        <f>#REF!</f>
        <v>#REF!</v>
      </c>
      <c r="BV64" s="225" t="s">
        <v>258</v>
      </c>
    </row>
    <row r="65" spans="1:74" ht="40.5" customHeight="1" x14ac:dyDescent="0.3">
      <c r="A65" s="241"/>
      <c r="B65" s="242" t="s">
        <v>165</v>
      </c>
      <c r="C65" s="530" t="s">
        <v>2015</v>
      </c>
      <c r="D65" s="531"/>
      <c r="E65" s="531"/>
      <c r="F65" s="531"/>
      <c r="G65" s="531"/>
      <c r="H65" s="531"/>
      <c r="I65" s="531"/>
      <c r="J65" s="531"/>
      <c r="K65" s="531"/>
      <c r="L65" s="531"/>
      <c r="M65" s="532"/>
    </row>
    <row r="66" spans="1:74" ht="14.4" x14ac:dyDescent="0.3">
      <c r="A66" s="239" t="s">
        <v>154</v>
      </c>
      <c r="B66" s="224" t="s">
        <v>220</v>
      </c>
      <c r="C66" s="526" t="s">
        <v>259</v>
      </c>
      <c r="D66" s="527"/>
      <c r="E66" s="223" t="s">
        <v>114</v>
      </c>
      <c r="F66" s="223" t="s">
        <v>114</v>
      </c>
      <c r="G66" s="223" t="s">
        <v>114</v>
      </c>
      <c r="H66" s="235">
        <f>SUM(H67:H70)</f>
        <v>0</v>
      </c>
      <c r="I66" s="235">
        <f>SUM(I67:I70)</f>
        <v>0</v>
      </c>
      <c r="J66" s="235">
        <f>SUM(J67:J70)</f>
        <v>0</v>
      </c>
      <c r="K66" s="230" t="s">
        <v>154</v>
      </c>
      <c r="L66" s="235">
        <f>SUM(L67:L70)</f>
        <v>13.344999999999999</v>
      </c>
      <c r="M66" s="243" t="s">
        <v>154</v>
      </c>
      <c r="AG66" s="229" t="s">
        <v>154</v>
      </c>
      <c r="AQ66" s="222">
        <f>SUM(AH67:AH70)</f>
        <v>0</v>
      </c>
      <c r="AR66" s="222">
        <f>SUM(AI67:AI70)</f>
        <v>0</v>
      </c>
      <c r="AS66" s="222">
        <f>SUM(AJ67:AJ70)</f>
        <v>0</v>
      </c>
    </row>
    <row r="67" spans="1:74" ht="14.4" x14ac:dyDescent="0.3">
      <c r="A67" s="239" t="s">
        <v>247</v>
      </c>
      <c r="B67" s="223" t="s">
        <v>261</v>
      </c>
      <c r="C67" s="521" t="s">
        <v>262</v>
      </c>
      <c r="D67" s="519"/>
      <c r="E67" s="223" t="s">
        <v>196</v>
      </c>
      <c r="F67" s="233">
        <v>7.85</v>
      </c>
      <c r="G67" s="311">
        <v>0</v>
      </c>
      <c r="H67" s="233">
        <f>F67*AM67</f>
        <v>0</v>
      </c>
      <c r="I67" s="233">
        <f>F67*AN67</f>
        <v>0</v>
      </c>
      <c r="J67" s="233">
        <f>F67*G67</f>
        <v>0</v>
      </c>
      <c r="K67" s="233">
        <v>1.7</v>
      </c>
      <c r="L67" s="233">
        <f>F67*K67</f>
        <v>13.344999999999999</v>
      </c>
      <c r="M67" s="240" t="s">
        <v>472</v>
      </c>
      <c r="X67" s="233">
        <f>IF(AO67="5",BH67,0)</f>
        <v>0</v>
      </c>
      <c r="Z67" s="233">
        <f>IF(AO67="1",BF67,0)</f>
        <v>0</v>
      </c>
      <c r="AA67" s="233">
        <f>IF(AO67="1",BG67,0)</f>
        <v>0</v>
      </c>
      <c r="AB67" s="233">
        <f>IF(AO67="7",BF67,0)</f>
        <v>0</v>
      </c>
      <c r="AC67" s="233">
        <f>IF(AO67="7",BG67,0)</f>
        <v>0</v>
      </c>
      <c r="AD67" s="233">
        <f>IF(AO67="2",BF67,0)</f>
        <v>0</v>
      </c>
      <c r="AE67" s="233">
        <f>IF(AO67="2",BG67,0)</f>
        <v>0</v>
      </c>
      <c r="AF67" s="233">
        <f>IF(AO67="0",BH67,0)</f>
        <v>0</v>
      </c>
      <c r="AG67" s="229" t="s">
        <v>154</v>
      </c>
      <c r="AH67" s="233">
        <f>IF(AL67=0,J67,0)</f>
        <v>0</v>
      </c>
      <c r="AI67" s="233">
        <f>IF(AL67=15,J67,0)</f>
        <v>0</v>
      </c>
      <c r="AJ67" s="233">
        <f>IF(AL67=21,J67,0)</f>
        <v>0</v>
      </c>
      <c r="AL67" s="233">
        <v>15</v>
      </c>
      <c r="AM67" s="233">
        <f>G67*0.517502873</f>
        <v>0</v>
      </c>
      <c r="AN67" s="233">
        <f>G67*(1-0.517502873)</f>
        <v>0</v>
      </c>
      <c r="AO67" s="234" t="s">
        <v>157</v>
      </c>
      <c r="AT67" s="233">
        <f>AU67+AV67</f>
        <v>0</v>
      </c>
      <c r="AU67" s="233">
        <f>F67*AM67</f>
        <v>0</v>
      </c>
      <c r="AV67" s="233">
        <f>F67*AN67</f>
        <v>0</v>
      </c>
      <c r="AW67" s="234" t="s">
        <v>263</v>
      </c>
      <c r="AX67" s="234" t="s">
        <v>163</v>
      </c>
      <c r="AY67" s="229" t="s">
        <v>164</v>
      </c>
      <c r="BA67" s="233">
        <f>AU67+AV67</f>
        <v>0</v>
      </c>
      <c r="BB67" s="233">
        <f>G67/(100-BC67)*100</f>
        <v>0</v>
      </c>
      <c r="BC67" s="233">
        <v>0</v>
      </c>
      <c r="BD67" s="233">
        <f>L67</f>
        <v>13.344999999999999</v>
      </c>
      <c r="BF67" s="233">
        <f>F67*AM67</f>
        <v>0</v>
      </c>
      <c r="BG67" s="233">
        <f>F67*AN67</f>
        <v>0</v>
      </c>
      <c r="BH67" s="233">
        <f>F67*G67</f>
        <v>0</v>
      </c>
      <c r="BI67" s="233"/>
      <c r="BJ67" s="233">
        <v>17</v>
      </c>
      <c r="BU67" s="233" t="e">
        <f>#REF!</f>
        <v>#REF!</v>
      </c>
      <c r="BV67" s="225" t="s">
        <v>262</v>
      </c>
    </row>
    <row r="68" spans="1:74" ht="67.5" customHeight="1" x14ac:dyDescent="0.3">
      <c r="A68" s="241"/>
      <c r="B68" s="242" t="s">
        <v>165</v>
      </c>
      <c r="C68" s="530" t="s">
        <v>2016</v>
      </c>
      <c r="D68" s="531"/>
      <c r="E68" s="531"/>
      <c r="F68" s="531"/>
      <c r="G68" s="531"/>
      <c r="H68" s="531"/>
      <c r="I68" s="531"/>
      <c r="J68" s="531"/>
      <c r="K68" s="531"/>
      <c r="L68" s="531"/>
      <c r="M68" s="532"/>
    </row>
    <row r="69" spans="1:74" ht="14.4" x14ac:dyDescent="0.3">
      <c r="A69" s="239" t="s">
        <v>250</v>
      </c>
      <c r="B69" s="223" t="s">
        <v>265</v>
      </c>
      <c r="C69" s="521" t="s">
        <v>266</v>
      </c>
      <c r="D69" s="519"/>
      <c r="E69" s="223" t="s">
        <v>196</v>
      </c>
      <c r="F69" s="233">
        <v>7.85</v>
      </c>
      <c r="G69" s="311">
        <v>0</v>
      </c>
      <c r="H69" s="233">
        <f>F69*AM69</f>
        <v>0</v>
      </c>
      <c r="I69" s="233">
        <f>F69*AN69</f>
        <v>0</v>
      </c>
      <c r="J69" s="233">
        <f>F69*G69</f>
        <v>0</v>
      </c>
      <c r="K69" s="233">
        <v>0</v>
      </c>
      <c r="L69" s="233">
        <f>F69*K69</f>
        <v>0</v>
      </c>
      <c r="M69" s="240" t="s">
        <v>472</v>
      </c>
      <c r="X69" s="233">
        <f>IF(AO69="5",BH69,0)</f>
        <v>0</v>
      </c>
      <c r="Z69" s="233">
        <f>IF(AO69="1",BF69,0)</f>
        <v>0</v>
      </c>
      <c r="AA69" s="233">
        <f>IF(AO69="1",BG69,0)</f>
        <v>0</v>
      </c>
      <c r="AB69" s="233">
        <f>IF(AO69="7",BF69,0)</f>
        <v>0</v>
      </c>
      <c r="AC69" s="233">
        <f>IF(AO69="7",BG69,0)</f>
        <v>0</v>
      </c>
      <c r="AD69" s="233">
        <f>IF(AO69="2",BF69,0)</f>
        <v>0</v>
      </c>
      <c r="AE69" s="233">
        <f>IF(AO69="2",BG69,0)</f>
        <v>0</v>
      </c>
      <c r="AF69" s="233">
        <f>IF(AO69="0",BH69,0)</f>
        <v>0</v>
      </c>
      <c r="AG69" s="229" t="s">
        <v>154</v>
      </c>
      <c r="AH69" s="233">
        <f>IF(AL69=0,J69,0)</f>
        <v>0</v>
      </c>
      <c r="AI69" s="233">
        <f>IF(AL69=15,J69,0)</f>
        <v>0</v>
      </c>
      <c r="AJ69" s="233">
        <f>IF(AL69=21,J69,0)</f>
        <v>0</v>
      </c>
      <c r="AL69" s="233">
        <v>15</v>
      </c>
      <c r="AM69" s="233">
        <f>G69*0</f>
        <v>0</v>
      </c>
      <c r="AN69" s="233">
        <f>G69*(1-0)</f>
        <v>0</v>
      </c>
      <c r="AO69" s="234" t="s">
        <v>157</v>
      </c>
      <c r="AT69" s="233">
        <f>AU69+AV69</f>
        <v>0</v>
      </c>
      <c r="AU69" s="233">
        <f>F69*AM69</f>
        <v>0</v>
      </c>
      <c r="AV69" s="233">
        <f>F69*AN69</f>
        <v>0</v>
      </c>
      <c r="AW69" s="234" t="s">
        <v>263</v>
      </c>
      <c r="AX69" s="234" t="s">
        <v>163</v>
      </c>
      <c r="AY69" s="229" t="s">
        <v>164</v>
      </c>
      <c r="BA69" s="233">
        <f>AU69+AV69</f>
        <v>0</v>
      </c>
      <c r="BB69" s="233">
        <f>G69/(100-BC69)*100</f>
        <v>0</v>
      </c>
      <c r="BC69" s="233">
        <v>0</v>
      </c>
      <c r="BD69" s="233">
        <f>L69</f>
        <v>0</v>
      </c>
      <c r="BF69" s="233">
        <f>F69*AM69</f>
        <v>0</v>
      </c>
      <c r="BG69" s="233">
        <f>F69*AN69</f>
        <v>0</v>
      </c>
      <c r="BH69" s="233">
        <f>F69*G69</f>
        <v>0</v>
      </c>
      <c r="BI69" s="233"/>
      <c r="BJ69" s="233">
        <v>17</v>
      </c>
      <c r="BU69" s="233" t="e">
        <f>#REF!</f>
        <v>#REF!</v>
      </c>
      <c r="BV69" s="225" t="s">
        <v>266</v>
      </c>
    </row>
    <row r="70" spans="1:74" ht="14.4" x14ac:dyDescent="0.3">
      <c r="A70" s="239" t="s">
        <v>253</v>
      </c>
      <c r="B70" s="223" t="s">
        <v>268</v>
      </c>
      <c r="C70" s="521" t="s">
        <v>269</v>
      </c>
      <c r="D70" s="519"/>
      <c r="E70" s="223" t="s">
        <v>196</v>
      </c>
      <c r="F70" s="233">
        <v>6.31</v>
      </c>
      <c r="G70" s="311">
        <v>0</v>
      </c>
      <c r="H70" s="233">
        <f>F70*AM70</f>
        <v>0</v>
      </c>
      <c r="I70" s="233">
        <f>F70*AN70</f>
        <v>0</v>
      </c>
      <c r="J70" s="233">
        <f>F70*G70</f>
        <v>0</v>
      </c>
      <c r="K70" s="233">
        <v>0</v>
      </c>
      <c r="L70" s="233">
        <f>F70*K70</f>
        <v>0</v>
      </c>
      <c r="M70" s="240" t="s">
        <v>472</v>
      </c>
      <c r="X70" s="233">
        <f>IF(AO70="5",BH70,0)</f>
        <v>0</v>
      </c>
      <c r="Z70" s="233">
        <f>IF(AO70="1",BF70,0)</f>
        <v>0</v>
      </c>
      <c r="AA70" s="233">
        <f>IF(AO70="1",BG70,0)</f>
        <v>0</v>
      </c>
      <c r="AB70" s="233">
        <f>IF(AO70="7",BF70,0)</f>
        <v>0</v>
      </c>
      <c r="AC70" s="233">
        <f>IF(AO70="7",BG70,0)</f>
        <v>0</v>
      </c>
      <c r="AD70" s="233">
        <f>IF(AO70="2",BF70,0)</f>
        <v>0</v>
      </c>
      <c r="AE70" s="233">
        <f>IF(AO70="2",BG70,0)</f>
        <v>0</v>
      </c>
      <c r="AF70" s="233">
        <f>IF(AO70="0",BH70,0)</f>
        <v>0</v>
      </c>
      <c r="AG70" s="229" t="s">
        <v>154</v>
      </c>
      <c r="AH70" s="233">
        <f>IF(AL70=0,J70,0)</f>
        <v>0</v>
      </c>
      <c r="AI70" s="233">
        <f>IF(AL70=15,J70,0)</f>
        <v>0</v>
      </c>
      <c r="AJ70" s="233">
        <f>IF(AL70=21,J70,0)</f>
        <v>0</v>
      </c>
      <c r="AL70" s="233">
        <v>15</v>
      </c>
      <c r="AM70" s="233">
        <f>G70*0</f>
        <v>0</v>
      </c>
      <c r="AN70" s="233">
        <f>G70*(1-0)</f>
        <v>0</v>
      </c>
      <c r="AO70" s="234" t="s">
        <v>157</v>
      </c>
      <c r="AT70" s="233">
        <f>AU70+AV70</f>
        <v>0</v>
      </c>
      <c r="AU70" s="233">
        <f>F70*AM70</f>
        <v>0</v>
      </c>
      <c r="AV70" s="233">
        <f>F70*AN70</f>
        <v>0</v>
      </c>
      <c r="AW70" s="234" t="s">
        <v>263</v>
      </c>
      <c r="AX70" s="234" t="s">
        <v>163</v>
      </c>
      <c r="AY70" s="229" t="s">
        <v>164</v>
      </c>
      <c r="BA70" s="233">
        <f>AU70+AV70</f>
        <v>0</v>
      </c>
      <c r="BB70" s="233">
        <f>G70/(100-BC70)*100</f>
        <v>0</v>
      </c>
      <c r="BC70" s="233">
        <v>0</v>
      </c>
      <c r="BD70" s="233">
        <f>L70</f>
        <v>0</v>
      </c>
      <c r="BF70" s="233">
        <f>F70*AM70</f>
        <v>0</v>
      </c>
      <c r="BG70" s="233">
        <f>F70*AN70</f>
        <v>0</v>
      </c>
      <c r="BH70" s="233">
        <f>F70*G70</f>
        <v>0</v>
      </c>
      <c r="BI70" s="233"/>
      <c r="BJ70" s="233">
        <v>17</v>
      </c>
      <c r="BU70" s="233" t="e">
        <f>#REF!</f>
        <v>#REF!</v>
      </c>
      <c r="BV70" s="225" t="s">
        <v>269</v>
      </c>
    </row>
    <row r="71" spans="1:74" ht="67.5" customHeight="1" x14ac:dyDescent="0.3">
      <c r="A71" s="241"/>
      <c r="B71" s="242" t="s">
        <v>165</v>
      </c>
      <c r="C71" s="530" t="s">
        <v>2017</v>
      </c>
      <c r="D71" s="531"/>
      <c r="E71" s="531"/>
      <c r="F71" s="531"/>
      <c r="G71" s="531"/>
      <c r="H71" s="531"/>
      <c r="I71" s="531"/>
      <c r="J71" s="531"/>
      <c r="K71" s="531"/>
      <c r="L71" s="531"/>
      <c r="M71" s="532"/>
    </row>
    <row r="72" spans="1:74" ht="14.4" x14ac:dyDescent="0.3">
      <c r="A72" s="239" t="s">
        <v>154</v>
      </c>
      <c r="B72" s="224" t="s">
        <v>224</v>
      </c>
      <c r="C72" s="526" t="s">
        <v>270</v>
      </c>
      <c r="D72" s="527"/>
      <c r="E72" s="223" t="s">
        <v>114</v>
      </c>
      <c r="F72" s="223" t="s">
        <v>114</v>
      </c>
      <c r="G72" s="223" t="s">
        <v>114</v>
      </c>
      <c r="H72" s="235">
        <f>SUM(H73:H73)</f>
        <v>0</v>
      </c>
      <c r="I72" s="235">
        <f>SUM(I73:I73)</f>
        <v>0</v>
      </c>
      <c r="J72" s="235">
        <f>SUM(J73:J73)</f>
        <v>0</v>
      </c>
      <c r="K72" s="230" t="s">
        <v>154</v>
      </c>
      <c r="L72" s="235">
        <f>SUM(L73:L73)</f>
        <v>1.7549999999999998E-4</v>
      </c>
      <c r="M72" s="243" t="s">
        <v>154</v>
      </c>
      <c r="AG72" s="229" t="s">
        <v>154</v>
      </c>
      <c r="AQ72" s="222">
        <f>SUM(AH73:AH73)</f>
        <v>0</v>
      </c>
      <c r="AR72" s="222">
        <f>SUM(AI73:AI73)</f>
        <v>0</v>
      </c>
      <c r="AS72" s="222">
        <f>SUM(AJ73:AJ73)</f>
        <v>0</v>
      </c>
    </row>
    <row r="73" spans="1:74" ht="14.4" x14ac:dyDescent="0.3">
      <c r="A73" s="239" t="s">
        <v>256</v>
      </c>
      <c r="B73" s="223" t="s">
        <v>980</v>
      </c>
      <c r="C73" s="521" t="s">
        <v>273</v>
      </c>
      <c r="D73" s="519"/>
      <c r="E73" s="223" t="s">
        <v>180</v>
      </c>
      <c r="F73" s="233">
        <v>5.85</v>
      </c>
      <c r="G73" s="311">
        <v>0</v>
      </c>
      <c r="H73" s="233">
        <f>F73*AM73</f>
        <v>0</v>
      </c>
      <c r="I73" s="233">
        <f>F73*AN73</f>
        <v>0</v>
      </c>
      <c r="J73" s="233">
        <f>F73*G73</f>
        <v>0</v>
      </c>
      <c r="K73" s="233">
        <v>3.0000000000000001E-5</v>
      </c>
      <c r="L73" s="233">
        <f>F73*K73</f>
        <v>1.7549999999999998E-4</v>
      </c>
      <c r="M73" s="240" t="s">
        <v>472</v>
      </c>
      <c r="X73" s="233">
        <f>IF(AO73="5",BH73,0)</f>
        <v>0</v>
      </c>
      <c r="Z73" s="233">
        <f>IF(AO73="1",BF73,0)</f>
        <v>0</v>
      </c>
      <c r="AA73" s="233">
        <f>IF(AO73="1",BG73,0)</f>
        <v>0</v>
      </c>
      <c r="AB73" s="233">
        <f>IF(AO73="7",BF73,0)</f>
        <v>0</v>
      </c>
      <c r="AC73" s="233">
        <f>IF(AO73="7",BG73,0)</f>
        <v>0</v>
      </c>
      <c r="AD73" s="233">
        <f>IF(AO73="2",BF73,0)</f>
        <v>0</v>
      </c>
      <c r="AE73" s="233">
        <f>IF(AO73="2",BG73,0)</f>
        <v>0</v>
      </c>
      <c r="AF73" s="233">
        <f>IF(AO73="0",BH73,0)</f>
        <v>0</v>
      </c>
      <c r="AG73" s="229" t="s">
        <v>154</v>
      </c>
      <c r="AH73" s="233">
        <f>IF(AL73=0,J73,0)</f>
        <v>0</v>
      </c>
      <c r="AI73" s="233">
        <f>IF(AL73=15,J73,0)</f>
        <v>0</v>
      </c>
      <c r="AJ73" s="233">
        <f>IF(AL73=21,J73,0)</f>
        <v>0</v>
      </c>
      <c r="AL73" s="233">
        <v>15</v>
      </c>
      <c r="AM73" s="233">
        <f>G73*0.041716596</f>
        <v>0</v>
      </c>
      <c r="AN73" s="233">
        <f>G73*(1-0.041716596)</f>
        <v>0</v>
      </c>
      <c r="AO73" s="234" t="s">
        <v>157</v>
      </c>
      <c r="AT73" s="233">
        <f>AU73+AV73</f>
        <v>0</v>
      </c>
      <c r="AU73" s="233">
        <f>F73*AM73</f>
        <v>0</v>
      </c>
      <c r="AV73" s="233">
        <f>F73*AN73</f>
        <v>0</v>
      </c>
      <c r="AW73" s="234" t="s">
        <v>274</v>
      </c>
      <c r="AX73" s="234" t="s">
        <v>163</v>
      </c>
      <c r="AY73" s="229" t="s">
        <v>164</v>
      </c>
      <c r="BA73" s="233">
        <f>AU73+AV73</f>
        <v>0</v>
      </c>
      <c r="BB73" s="233">
        <f>G73/(100-BC73)*100</f>
        <v>0</v>
      </c>
      <c r="BC73" s="233">
        <v>0</v>
      </c>
      <c r="BD73" s="233">
        <f>L73</f>
        <v>1.7549999999999998E-4</v>
      </c>
      <c r="BF73" s="233">
        <f>F73*AM73</f>
        <v>0</v>
      </c>
      <c r="BG73" s="233">
        <f>F73*AN73</f>
        <v>0</v>
      </c>
      <c r="BH73" s="233">
        <f>F73*G73</f>
        <v>0</v>
      </c>
      <c r="BI73" s="233"/>
      <c r="BJ73" s="233">
        <v>18</v>
      </c>
      <c r="BU73" s="233" t="e">
        <f>#REF!</f>
        <v>#REF!</v>
      </c>
      <c r="BV73" s="225" t="s">
        <v>273</v>
      </c>
    </row>
    <row r="74" spans="1:74" ht="40.5" customHeight="1" x14ac:dyDescent="0.3">
      <c r="A74" s="241"/>
      <c r="B74" s="242" t="s">
        <v>165</v>
      </c>
      <c r="C74" s="530" t="s">
        <v>2018</v>
      </c>
      <c r="D74" s="531"/>
      <c r="E74" s="531"/>
      <c r="F74" s="531"/>
      <c r="G74" s="531"/>
      <c r="H74" s="531"/>
      <c r="I74" s="531"/>
      <c r="J74" s="531"/>
      <c r="K74" s="531"/>
      <c r="L74" s="531"/>
      <c r="M74" s="532"/>
    </row>
    <row r="75" spans="1:74" ht="14.4" x14ac:dyDescent="0.3">
      <c r="A75" s="239" t="s">
        <v>154</v>
      </c>
      <c r="B75" s="224" t="s">
        <v>228</v>
      </c>
      <c r="C75" s="526" t="s">
        <v>275</v>
      </c>
      <c r="D75" s="527"/>
      <c r="E75" s="223" t="s">
        <v>114</v>
      </c>
      <c r="F75" s="223" t="s">
        <v>114</v>
      </c>
      <c r="G75" s="223" t="s">
        <v>114</v>
      </c>
      <c r="H75" s="235">
        <f>SUM(H76:H78)</f>
        <v>0</v>
      </c>
      <c r="I75" s="235">
        <f>SUM(I76:I78)</f>
        <v>0</v>
      </c>
      <c r="J75" s="235">
        <f>SUM(J76:J78)</f>
        <v>0</v>
      </c>
      <c r="K75" s="230" t="s">
        <v>154</v>
      </c>
      <c r="L75" s="235">
        <f>SUM(L76:L78)</f>
        <v>0</v>
      </c>
      <c r="M75" s="243" t="s">
        <v>154</v>
      </c>
      <c r="AG75" s="229" t="s">
        <v>154</v>
      </c>
      <c r="AQ75" s="222">
        <f>SUM(AH76:AH78)</f>
        <v>0</v>
      </c>
      <c r="AR75" s="222">
        <f>SUM(AI76:AI78)</f>
        <v>0</v>
      </c>
      <c r="AS75" s="222">
        <f>SUM(AJ76:AJ78)</f>
        <v>0</v>
      </c>
    </row>
    <row r="76" spans="1:74" ht="14.4" x14ac:dyDescent="0.3">
      <c r="A76" s="239" t="s">
        <v>260</v>
      </c>
      <c r="B76" s="223" t="s">
        <v>277</v>
      </c>
      <c r="C76" s="521" t="s">
        <v>278</v>
      </c>
      <c r="D76" s="519"/>
      <c r="E76" s="223" t="s">
        <v>196</v>
      </c>
      <c r="F76" s="233">
        <v>10.26</v>
      </c>
      <c r="G76" s="311">
        <v>0</v>
      </c>
      <c r="H76" s="233">
        <f>F76*AM76</f>
        <v>0</v>
      </c>
      <c r="I76" s="233">
        <f>F76*AN76</f>
        <v>0</v>
      </c>
      <c r="J76" s="233">
        <f>F76*G76</f>
        <v>0</v>
      </c>
      <c r="K76" s="233">
        <v>0</v>
      </c>
      <c r="L76" s="233">
        <f>F76*K76</f>
        <v>0</v>
      </c>
      <c r="M76" s="240" t="s">
        <v>472</v>
      </c>
      <c r="X76" s="233">
        <f>IF(AO76="5",BH76,0)</f>
        <v>0</v>
      </c>
      <c r="Z76" s="233">
        <f>IF(AO76="1",BF76,0)</f>
        <v>0</v>
      </c>
      <c r="AA76" s="233">
        <f>IF(AO76="1",BG76,0)</f>
        <v>0</v>
      </c>
      <c r="AB76" s="233">
        <f>IF(AO76="7",BF76,0)</f>
        <v>0</v>
      </c>
      <c r="AC76" s="233">
        <f>IF(AO76="7",BG76,0)</f>
        <v>0</v>
      </c>
      <c r="AD76" s="233">
        <f>IF(AO76="2",BF76,0)</f>
        <v>0</v>
      </c>
      <c r="AE76" s="233">
        <f>IF(AO76="2",BG76,0)</f>
        <v>0</v>
      </c>
      <c r="AF76" s="233">
        <f>IF(AO76="0",BH76,0)</f>
        <v>0</v>
      </c>
      <c r="AG76" s="229" t="s">
        <v>154</v>
      </c>
      <c r="AH76" s="233">
        <f>IF(AL76=0,J76,0)</f>
        <v>0</v>
      </c>
      <c r="AI76" s="233">
        <f>IF(AL76=15,J76,0)</f>
        <v>0</v>
      </c>
      <c r="AJ76" s="233">
        <f>IF(AL76=21,J76,0)</f>
        <v>0</v>
      </c>
      <c r="AL76" s="233">
        <v>15</v>
      </c>
      <c r="AM76" s="233">
        <f>G76*0</f>
        <v>0</v>
      </c>
      <c r="AN76" s="233">
        <f>G76*(1-0)</f>
        <v>0</v>
      </c>
      <c r="AO76" s="234" t="s">
        <v>157</v>
      </c>
      <c r="AT76" s="233">
        <f>AU76+AV76</f>
        <v>0</v>
      </c>
      <c r="AU76" s="233">
        <f>F76*AM76</f>
        <v>0</v>
      </c>
      <c r="AV76" s="233">
        <f>F76*AN76</f>
        <v>0</v>
      </c>
      <c r="AW76" s="234" t="s">
        <v>279</v>
      </c>
      <c r="AX76" s="234" t="s">
        <v>163</v>
      </c>
      <c r="AY76" s="229" t="s">
        <v>164</v>
      </c>
      <c r="BA76" s="233">
        <f>AU76+AV76</f>
        <v>0</v>
      </c>
      <c r="BB76" s="233">
        <f>G76/(100-BC76)*100</f>
        <v>0</v>
      </c>
      <c r="BC76" s="233">
        <v>0</v>
      </c>
      <c r="BD76" s="233">
        <f>L76</f>
        <v>0</v>
      </c>
      <c r="BF76" s="233">
        <f>F76*AM76</f>
        <v>0</v>
      </c>
      <c r="BG76" s="233">
        <f>F76*AN76</f>
        <v>0</v>
      </c>
      <c r="BH76" s="233">
        <f>F76*G76</f>
        <v>0</v>
      </c>
      <c r="BI76" s="233"/>
      <c r="BJ76" s="233">
        <v>19</v>
      </c>
      <c r="BU76" s="233" t="e">
        <f>#REF!</f>
        <v>#REF!</v>
      </c>
      <c r="BV76" s="225" t="s">
        <v>278</v>
      </c>
    </row>
    <row r="77" spans="1:74" ht="27" customHeight="1" x14ac:dyDescent="0.3">
      <c r="A77" s="241"/>
      <c r="B77" s="242" t="s">
        <v>165</v>
      </c>
      <c r="C77" s="530" t="s">
        <v>2019</v>
      </c>
      <c r="D77" s="531"/>
      <c r="E77" s="531"/>
      <c r="F77" s="531"/>
      <c r="G77" s="531"/>
      <c r="H77" s="531"/>
      <c r="I77" s="531"/>
      <c r="J77" s="531"/>
      <c r="K77" s="531"/>
      <c r="L77" s="531"/>
      <c r="M77" s="532"/>
    </row>
    <row r="78" spans="1:74" ht="14.4" x14ac:dyDescent="0.3">
      <c r="A78" s="239" t="s">
        <v>264</v>
      </c>
      <c r="B78" s="223" t="s">
        <v>282</v>
      </c>
      <c r="C78" s="521" t="s">
        <v>283</v>
      </c>
      <c r="D78" s="519"/>
      <c r="E78" s="223" t="s">
        <v>196</v>
      </c>
      <c r="F78" s="233">
        <v>2.34</v>
      </c>
      <c r="G78" s="311">
        <v>0</v>
      </c>
      <c r="H78" s="233">
        <f>F78*AM78</f>
        <v>0</v>
      </c>
      <c r="I78" s="233">
        <f>F78*AN78</f>
        <v>0</v>
      </c>
      <c r="J78" s="233">
        <f>F78*G78</f>
        <v>0</v>
      </c>
      <c r="K78" s="233">
        <v>0</v>
      </c>
      <c r="L78" s="233">
        <f>F78*K78</f>
        <v>0</v>
      </c>
      <c r="M78" s="240" t="s">
        <v>472</v>
      </c>
      <c r="X78" s="233">
        <f>IF(AO78="5",BH78,0)</f>
        <v>0</v>
      </c>
      <c r="Z78" s="233">
        <f>IF(AO78="1",BF78,0)</f>
        <v>0</v>
      </c>
      <c r="AA78" s="233">
        <f>IF(AO78="1",BG78,0)</f>
        <v>0</v>
      </c>
      <c r="AB78" s="233">
        <f>IF(AO78="7",BF78,0)</f>
        <v>0</v>
      </c>
      <c r="AC78" s="233">
        <f>IF(AO78="7",BG78,0)</f>
        <v>0</v>
      </c>
      <c r="AD78" s="233">
        <f>IF(AO78="2",BF78,0)</f>
        <v>0</v>
      </c>
      <c r="AE78" s="233">
        <f>IF(AO78="2",BG78,0)</f>
        <v>0</v>
      </c>
      <c r="AF78" s="233">
        <f>IF(AO78="0",BH78,0)</f>
        <v>0</v>
      </c>
      <c r="AG78" s="229" t="s">
        <v>154</v>
      </c>
      <c r="AH78" s="233">
        <f>IF(AL78=0,J78,0)</f>
        <v>0</v>
      </c>
      <c r="AI78" s="233">
        <f>IF(AL78=15,J78,0)</f>
        <v>0</v>
      </c>
      <c r="AJ78" s="233">
        <f>IF(AL78=21,J78,0)</f>
        <v>0</v>
      </c>
      <c r="AL78" s="233">
        <v>15</v>
      </c>
      <c r="AM78" s="233">
        <f>G78*0</f>
        <v>0</v>
      </c>
      <c r="AN78" s="233">
        <f>G78*(1-0)</f>
        <v>0</v>
      </c>
      <c r="AO78" s="234" t="s">
        <v>157</v>
      </c>
      <c r="AT78" s="233">
        <f>AU78+AV78</f>
        <v>0</v>
      </c>
      <c r="AU78" s="233">
        <f>F78*AM78</f>
        <v>0</v>
      </c>
      <c r="AV78" s="233">
        <f>F78*AN78</f>
        <v>0</v>
      </c>
      <c r="AW78" s="234" t="s">
        <v>279</v>
      </c>
      <c r="AX78" s="234" t="s">
        <v>163</v>
      </c>
      <c r="AY78" s="229" t="s">
        <v>164</v>
      </c>
      <c r="BA78" s="233">
        <f>AU78+AV78</f>
        <v>0</v>
      </c>
      <c r="BB78" s="233">
        <f>G78/(100-BC78)*100</f>
        <v>0</v>
      </c>
      <c r="BC78" s="233">
        <v>0</v>
      </c>
      <c r="BD78" s="233">
        <f>L78</f>
        <v>0</v>
      </c>
      <c r="BF78" s="233">
        <f>F78*AM78</f>
        <v>0</v>
      </c>
      <c r="BG78" s="233">
        <f>F78*AN78</f>
        <v>0</v>
      </c>
      <c r="BH78" s="233">
        <f>F78*G78</f>
        <v>0</v>
      </c>
      <c r="BI78" s="233"/>
      <c r="BJ78" s="233">
        <v>19</v>
      </c>
      <c r="BU78" s="233" t="e">
        <f>#REF!</f>
        <v>#REF!</v>
      </c>
      <c r="BV78" s="225" t="s">
        <v>283</v>
      </c>
    </row>
    <row r="79" spans="1:74" ht="27" customHeight="1" x14ac:dyDescent="0.3">
      <c r="A79" s="241"/>
      <c r="B79" s="242" t="s">
        <v>165</v>
      </c>
      <c r="C79" s="530" t="s">
        <v>2020</v>
      </c>
      <c r="D79" s="531"/>
      <c r="E79" s="531"/>
      <c r="F79" s="531"/>
      <c r="G79" s="531"/>
      <c r="H79" s="531"/>
      <c r="I79" s="531"/>
      <c r="J79" s="531"/>
      <c r="K79" s="531"/>
      <c r="L79" s="531"/>
      <c r="M79" s="532"/>
    </row>
    <row r="80" spans="1:74" ht="14.4" x14ac:dyDescent="0.3">
      <c r="A80" s="239" t="s">
        <v>154</v>
      </c>
      <c r="B80" s="224" t="s">
        <v>235</v>
      </c>
      <c r="C80" s="526" t="s">
        <v>284</v>
      </c>
      <c r="D80" s="527"/>
      <c r="E80" s="223" t="s">
        <v>114</v>
      </c>
      <c r="F80" s="223" t="s">
        <v>114</v>
      </c>
      <c r="G80" s="223" t="s">
        <v>114</v>
      </c>
      <c r="H80" s="235">
        <f>SUM(H81:H81)</f>
        <v>0</v>
      </c>
      <c r="I80" s="235">
        <f>SUM(I81:I81)</f>
        <v>0</v>
      </c>
      <c r="J80" s="235">
        <f>SUM(J81:J81)</f>
        <v>0</v>
      </c>
      <c r="K80" s="230" t="s">
        <v>154</v>
      </c>
      <c r="L80" s="235">
        <f>SUM(L81:L81)</f>
        <v>0</v>
      </c>
      <c r="M80" s="243" t="s">
        <v>154</v>
      </c>
      <c r="AG80" s="229" t="s">
        <v>154</v>
      </c>
      <c r="AQ80" s="222">
        <f>SUM(AH81:AH81)</f>
        <v>0</v>
      </c>
      <c r="AR80" s="222">
        <f>SUM(AI81:AI81)</f>
        <v>0</v>
      </c>
      <c r="AS80" s="222">
        <f>SUM(AJ81:AJ81)</f>
        <v>0</v>
      </c>
    </row>
    <row r="81" spans="1:74" ht="14.4" x14ac:dyDescent="0.3">
      <c r="A81" s="239" t="s">
        <v>267</v>
      </c>
      <c r="B81" s="223" t="s">
        <v>507</v>
      </c>
      <c r="C81" s="521" t="s">
        <v>287</v>
      </c>
      <c r="D81" s="519"/>
      <c r="E81" s="223" t="s">
        <v>180</v>
      </c>
      <c r="F81" s="233">
        <v>11.88</v>
      </c>
      <c r="G81" s="311">
        <v>0</v>
      </c>
      <c r="H81" s="233">
        <f>F81*AM81</f>
        <v>0</v>
      </c>
      <c r="I81" s="233">
        <f>F81*AN81</f>
        <v>0</v>
      </c>
      <c r="J81" s="233">
        <f>F81*G81</f>
        <v>0</v>
      </c>
      <c r="K81" s="233">
        <v>0</v>
      </c>
      <c r="L81" s="233">
        <f>F81*K81</f>
        <v>0</v>
      </c>
      <c r="M81" s="240" t="s">
        <v>472</v>
      </c>
      <c r="X81" s="233">
        <f>IF(AO81="5",BH81,0)</f>
        <v>0</v>
      </c>
      <c r="Z81" s="233">
        <f>IF(AO81="1",BF81,0)</f>
        <v>0</v>
      </c>
      <c r="AA81" s="233">
        <f>IF(AO81="1",BG81,0)</f>
        <v>0</v>
      </c>
      <c r="AB81" s="233">
        <f>IF(AO81="7",BF81,0)</f>
        <v>0</v>
      </c>
      <c r="AC81" s="233">
        <f>IF(AO81="7",BG81,0)</f>
        <v>0</v>
      </c>
      <c r="AD81" s="233">
        <f>IF(AO81="2",BF81,0)</f>
        <v>0</v>
      </c>
      <c r="AE81" s="233">
        <f>IF(AO81="2",BG81,0)</f>
        <v>0</v>
      </c>
      <c r="AF81" s="233">
        <f>IF(AO81="0",BH81,0)</f>
        <v>0</v>
      </c>
      <c r="AG81" s="229" t="s">
        <v>154</v>
      </c>
      <c r="AH81" s="233">
        <f>IF(AL81=0,J81,0)</f>
        <v>0</v>
      </c>
      <c r="AI81" s="233">
        <f>IF(AL81=15,J81,0)</f>
        <v>0</v>
      </c>
      <c r="AJ81" s="233">
        <f>IF(AL81=21,J81,0)</f>
        <v>0</v>
      </c>
      <c r="AL81" s="233">
        <v>15</v>
      </c>
      <c r="AM81" s="233">
        <f>G81*0</f>
        <v>0</v>
      </c>
      <c r="AN81" s="233">
        <f>G81*(1-0)</f>
        <v>0</v>
      </c>
      <c r="AO81" s="234" t="s">
        <v>157</v>
      </c>
      <c r="AT81" s="233">
        <f>AU81+AV81</f>
        <v>0</v>
      </c>
      <c r="AU81" s="233">
        <f>F81*AM81</f>
        <v>0</v>
      </c>
      <c r="AV81" s="233">
        <f>F81*AN81</f>
        <v>0</v>
      </c>
      <c r="AW81" s="234" t="s">
        <v>288</v>
      </c>
      <c r="AX81" s="234" t="s">
        <v>289</v>
      </c>
      <c r="AY81" s="229" t="s">
        <v>164</v>
      </c>
      <c r="BA81" s="233">
        <f>AU81+AV81</f>
        <v>0</v>
      </c>
      <c r="BB81" s="233">
        <f>G81/(100-BC81)*100</f>
        <v>0</v>
      </c>
      <c r="BC81" s="233">
        <v>0</v>
      </c>
      <c r="BD81" s="233">
        <f>L81</f>
        <v>0</v>
      </c>
      <c r="BF81" s="233">
        <f>F81*AM81</f>
        <v>0</v>
      </c>
      <c r="BG81" s="233">
        <f>F81*AN81</f>
        <v>0</v>
      </c>
      <c r="BH81" s="233">
        <f>F81*G81</f>
        <v>0</v>
      </c>
      <c r="BI81" s="233"/>
      <c r="BJ81" s="233">
        <v>21</v>
      </c>
      <c r="BU81" s="233" t="e">
        <f>#REF!</f>
        <v>#REF!</v>
      </c>
      <c r="BV81" s="225" t="s">
        <v>287</v>
      </c>
    </row>
    <row r="82" spans="1:74" ht="40.5" customHeight="1" x14ac:dyDescent="0.3">
      <c r="A82" s="241"/>
      <c r="B82" s="242" t="s">
        <v>165</v>
      </c>
      <c r="C82" s="530" t="s">
        <v>2021</v>
      </c>
      <c r="D82" s="531"/>
      <c r="E82" s="531"/>
      <c r="F82" s="531"/>
      <c r="G82" s="531"/>
      <c r="H82" s="531"/>
      <c r="I82" s="531"/>
      <c r="J82" s="531"/>
      <c r="K82" s="531"/>
      <c r="L82" s="531"/>
      <c r="M82" s="532"/>
    </row>
    <row r="83" spans="1:74" ht="14.4" x14ac:dyDescent="0.3">
      <c r="A83" s="239" t="s">
        <v>154</v>
      </c>
      <c r="B83" s="224" t="s">
        <v>253</v>
      </c>
      <c r="C83" s="526" t="s">
        <v>293</v>
      </c>
      <c r="D83" s="527"/>
      <c r="E83" s="223" t="s">
        <v>114</v>
      </c>
      <c r="F83" s="223" t="s">
        <v>114</v>
      </c>
      <c r="G83" s="223" t="s">
        <v>114</v>
      </c>
      <c r="H83" s="235">
        <f>SUM(H84:H84)</f>
        <v>0</v>
      </c>
      <c r="I83" s="235">
        <f>SUM(I84:I84)</f>
        <v>0</v>
      </c>
      <c r="J83" s="235">
        <f>SUM(J84:J84)</f>
        <v>0</v>
      </c>
      <c r="K83" s="230" t="s">
        <v>154</v>
      </c>
      <c r="L83" s="235">
        <f>SUM(L84:L84)</f>
        <v>0.7322905999999999</v>
      </c>
      <c r="M83" s="243" t="s">
        <v>154</v>
      </c>
      <c r="AG83" s="229" t="s">
        <v>154</v>
      </c>
      <c r="AQ83" s="222">
        <f>SUM(AH84:AH84)</f>
        <v>0</v>
      </c>
      <c r="AR83" s="222">
        <f>SUM(AI84:AI84)</f>
        <v>0</v>
      </c>
      <c r="AS83" s="222">
        <f>SUM(AJ84:AJ84)</f>
        <v>0</v>
      </c>
    </row>
    <row r="84" spans="1:74" ht="14.4" x14ac:dyDescent="0.3">
      <c r="A84" s="239" t="s">
        <v>271</v>
      </c>
      <c r="B84" s="223" t="s">
        <v>890</v>
      </c>
      <c r="C84" s="521" t="s">
        <v>296</v>
      </c>
      <c r="D84" s="519"/>
      <c r="E84" s="223" t="s">
        <v>196</v>
      </c>
      <c r="F84" s="233">
        <v>0.28999999999999998</v>
      </c>
      <c r="G84" s="311">
        <v>0</v>
      </c>
      <c r="H84" s="233">
        <f>F84*AM84</f>
        <v>0</v>
      </c>
      <c r="I84" s="233">
        <f>F84*AN84</f>
        <v>0</v>
      </c>
      <c r="J84" s="233">
        <f>F84*G84</f>
        <v>0</v>
      </c>
      <c r="K84" s="233">
        <v>2.5251399999999999</v>
      </c>
      <c r="L84" s="233">
        <f>F84*K84</f>
        <v>0.7322905999999999</v>
      </c>
      <c r="M84" s="240" t="s">
        <v>472</v>
      </c>
      <c r="X84" s="233">
        <f>IF(AO84="5",BH84,0)</f>
        <v>0</v>
      </c>
      <c r="Z84" s="233">
        <f>IF(AO84="1",BF84,0)</f>
        <v>0</v>
      </c>
      <c r="AA84" s="233">
        <f>IF(AO84="1",BG84,0)</f>
        <v>0</v>
      </c>
      <c r="AB84" s="233">
        <f>IF(AO84="7",BF84,0)</f>
        <v>0</v>
      </c>
      <c r="AC84" s="233">
        <f>IF(AO84="7",BG84,0)</f>
        <v>0</v>
      </c>
      <c r="AD84" s="233">
        <f>IF(AO84="2",BF84,0)</f>
        <v>0</v>
      </c>
      <c r="AE84" s="233">
        <f>IF(AO84="2",BG84,0)</f>
        <v>0</v>
      </c>
      <c r="AF84" s="233">
        <f>IF(AO84="0",BH84,0)</f>
        <v>0</v>
      </c>
      <c r="AG84" s="229" t="s">
        <v>154</v>
      </c>
      <c r="AH84" s="233">
        <f>IF(AL84=0,J84,0)</f>
        <v>0</v>
      </c>
      <c r="AI84" s="233">
        <f>IF(AL84=15,J84,0)</f>
        <v>0</v>
      </c>
      <c r="AJ84" s="233">
        <f>IF(AL84=21,J84,0)</f>
        <v>0</v>
      </c>
      <c r="AL84" s="233">
        <v>15</v>
      </c>
      <c r="AM84" s="233">
        <f>G84*0.848082628</f>
        <v>0</v>
      </c>
      <c r="AN84" s="233">
        <f>G84*(1-0.848082628)</f>
        <v>0</v>
      </c>
      <c r="AO84" s="234" t="s">
        <v>157</v>
      </c>
      <c r="AT84" s="233">
        <f>AU84+AV84</f>
        <v>0</v>
      </c>
      <c r="AU84" s="233">
        <f>F84*AM84</f>
        <v>0</v>
      </c>
      <c r="AV84" s="233">
        <f>F84*AN84</f>
        <v>0</v>
      </c>
      <c r="AW84" s="234" t="s">
        <v>297</v>
      </c>
      <c r="AX84" s="234" t="s">
        <v>289</v>
      </c>
      <c r="AY84" s="229" t="s">
        <v>164</v>
      </c>
      <c r="BA84" s="233">
        <f>AU84+AV84</f>
        <v>0</v>
      </c>
      <c r="BB84" s="233">
        <f>G84/(100-BC84)*100</f>
        <v>0</v>
      </c>
      <c r="BC84" s="233">
        <v>0</v>
      </c>
      <c r="BD84" s="233">
        <f>L84</f>
        <v>0.7322905999999999</v>
      </c>
      <c r="BF84" s="233">
        <f>F84*AM84</f>
        <v>0</v>
      </c>
      <c r="BG84" s="233">
        <f>F84*AN84</f>
        <v>0</v>
      </c>
      <c r="BH84" s="233">
        <f>F84*G84</f>
        <v>0</v>
      </c>
      <c r="BI84" s="233"/>
      <c r="BJ84" s="233">
        <v>27</v>
      </c>
      <c r="BU84" s="233" t="e">
        <f>#REF!</f>
        <v>#REF!</v>
      </c>
      <c r="BV84" s="225" t="s">
        <v>296</v>
      </c>
    </row>
    <row r="85" spans="1:74" ht="40.5" customHeight="1" x14ac:dyDescent="0.3">
      <c r="A85" s="241"/>
      <c r="B85" s="242" t="s">
        <v>165</v>
      </c>
      <c r="C85" s="530" t="s">
        <v>2022</v>
      </c>
      <c r="D85" s="531"/>
      <c r="E85" s="531"/>
      <c r="F85" s="531"/>
      <c r="G85" s="531"/>
      <c r="H85" s="531"/>
      <c r="I85" s="531"/>
      <c r="J85" s="531"/>
      <c r="K85" s="531"/>
      <c r="L85" s="531"/>
      <c r="M85" s="532"/>
    </row>
    <row r="86" spans="1:74" ht="14.4" x14ac:dyDescent="0.3">
      <c r="A86" s="239" t="s">
        <v>154</v>
      </c>
      <c r="B86" s="224" t="s">
        <v>298</v>
      </c>
      <c r="C86" s="526" t="s">
        <v>299</v>
      </c>
      <c r="D86" s="527"/>
      <c r="E86" s="223" t="s">
        <v>114</v>
      </c>
      <c r="F86" s="223" t="s">
        <v>114</v>
      </c>
      <c r="G86" s="223" t="s">
        <v>114</v>
      </c>
      <c r="H86" s="235">
        <f>SUM(H87:H87)</f>
        <v>0</v>
      </c>
      <c r="I86" s="235">
        <f>SUM(I87:I87)</f>
        <v>0</v>
      </c>
      <c r="J86" s="235">
        <f>SUM(J87:J87)</f>
        <v>0</v>
      </c>
      <c r="K86" s="230" t="s">
        <v>154</v>
      </c>
      <c r="L86" s="235">
        <f>SUM(L87:L87)</f>
        <v>3.5168322000000005</v>
      </c>
      <c r="M86" s="243" t="s">
        <v>154</v>
      </c>
      <c r="AG86" s="229" t="s">
        <v>154</v>
      </c>
      <c r="AQ86" s="222">
        <f>SUM(AH87:AH87)</f>
        <v>0</v>
      </c>
      <c r="AR86" s="222">
        <f>SUM(AI87:AI87)</f>
        <v>0</v>
      </c>
      <c r="AS86" s="222">
        <f>SUM(AJ87:AJ87)</f>
        <v>0</v>
      </c>
    </row>
    <row r="87" spans="1:74" ht="14.4" x14ac:dyDescent="0.3">
      <c r="A87" s="239" t="s">
        <v>276</v>
      </c>
      <c r="B87" s="223" t="s">
        <v>301</v>
      </c>
      <c r="C87" s="521" t="s">
        <v>891</v>
      </c>
      <c r="D87" s="519"/>
      <c r="E87" s="223" t="s">
        <v>196</v>
      </c>
      <c r="F87" s="233">
        <v>1.86</v>
      </c>
      <c r="G87" s="311">
        <v>0</v>
      </c>
      <c r="H87" s="233">
        <f>F87*AM87</f>
        <v>0</v>
      </c>
      <c r="I87" s="233">
        <f>F87*AN87</f>
        <v>0</v>
      </c>
      <c r="J87" s="233">
        <f>F87*G87</f>
        <v>0</v>
      </c>
      <c r="K87" s="233">
        <v>1.8907700000000001</v>
      </c>
      <c r="L87" s="233">
        <f>F87*K87</f>
        <v>3.5168322000000005</v>
      </c>
      <c r="M87" s="240" t="s">
        <v>472</v>
      </c>
      <c r="X87" s="233">
        <f>IF(AO87="5",BH87,0)</f>
        <v>0</v>
      </c>
      <c r="Z87" s="233">
        <f>IF(AO87="1",BF87,0)</f>
        <v>0</v>
      </c>
      <c r="AA87" s="233">
        <f>IF(AO87="1",BG87,0)</f>
        <v>0</v>
      </c>
      <c r="AB87" s="233">
        <f>IF(AO87="7",BF87,0)</f>
        <v>0</v>
      </c>
      <c r="AC87" s="233">
        <f>IF(AO87="7",BG87,0)</f>
        <v>0</v>
      </c>
      <c r="AD87" s="233">
        <f>IF(AO87="2",BF87,0)</f>
        <v>0</v>
      </c>
      <c r="AE87" s="233">
        <f>IF(AO87="2",BG87,0)</f>
        <v>0</v>
      </c>
      <c r="AF87" s="233">
        <f>IF(AO87="0",BH87,0)</f>
        <v>0</v>
      </c>
      <c r="AG87" s="229" t="s">
        <v>154</v>
      </c>
      <c r="AH87" s="233">
        <f>IF(AL87=0,J87,0)</f>
        <v>0</v>
      </c>
      <c r="AI87" s="233">
        <f>IF(AL87=15,J87,0)</f>
        <v>0</v>
      </c>
      <c r="AJ87" s="233">
        <f>IF(AL87=21,J87,0)</f>
        <v>0</v>
      </c>
      <c r="AL87" s="233">
        <v>15</v>
      </c>
      <c r="AM87" s="233">
        <f>G87*0.492392192</f>
        <v>0</v>
      </c>
      <c r="AN87" s="233">
        <f>G87*(1-0.492392192)</f>
        <v>0</v>
      </c>
      <c r="AO87" s="234" t="s">
        <v>157</v>
      </c>
      <c r="AT87" s="233">
        <f>AU87+AV87</f>
        <v>0</v>
      </c>
      <c r="AU87" s="233">
        <f>F87*AM87</f>
        <v>0</v>
      </c>
      <c r="AV87" s="233">
        <f>F87*AN87</f>
        <v>0</v>
      </c>
      <c r="AW87" s="234" t="s">
        <v>303</v>
      </c>
      <c r="AX87" s="234" t="s">
        <v>304</v>
      </c>
      <c r="AY87" s="229" t="s">
        <v>164</v>
      </c>
      <c r="BA87" s="233">
        <f>AU87+AV87</f>
        <v>0</v>
      </c>
      <c r="BB87" s="233">
        <f>G87/(100-BC87)*100</f>
        <v>0</v>
      </c>
      <c r="BC87" s="233">
        <v>0</v>
      </c>
      <c r="BD87" s="233">
        <f>L87</f>
        <v>3.5168322000000005</v>
      </c>
      <c r="BF87" s="233">
        <f>F87*AM87</f>
        <v>0</v>
      </c>
      <c r="BG87" s="233">
        <f>F87*AN87</f>
        <v>0</v>
      </c>
      <c r="BH87" s="233">
        <f>F87*G87</f>
        <v>0</v>
      </c>
      <c r="BI87" s="233"/>
      <c r="BJ87" s="233">
        <v>45</v>
      </c>
      <c r="BU87" s="233" t="e">
        <f>#REF!</f>
        <v>#REF!</v>
      </c>
      <c r="BV87" s="225" t="s">
        <v>891</v>
      </c>
    </row>
    <row r="88" spans="1:74" ht="40.5" customHeight="1" x14ac:dyDescent="0.3">
      <c r="A88" s="244"/>
      <c r="B88" s="245" t="s">
        <v>165</v>
      </c>
      <c r="C88" s="540" t="s">
        <v>2023</v>
      </c>
      <c r="D88" s="541"/>
      <c r="E88" s="541"/>
      <c r="F88" s="541"/>
      <c r="G88" s="541"/>
      <c r="H88" s="541"/>
      <c r="I88" s="541"/>
      <c r="J88" s="541"/>
      <c r="K88" s="541"/>
      <c r="L88" s="541"/>
      <c r="M88" s="542"/>
    </row>
    <row r="89" spans="1:74" ht="14.4" x14ac:dyDescent="0.3">
      <c r="A89" s="237" t="s">
        <v>154</v>
      </c>
      <c r="B89" s="260" t="s">
        <v>305</v>
      </c>
      <c r="C89" s="545" t="s">
        <v>306</v>
      </c>
      <c r="D89" s="546"/>
      <c r="E89" s="238" t="s">
        <v>114</v>
      </c>
      <c r="F89" s="238" t="s">
        <v>114</v>
      </c>
      <c r="G89" s="238" t="s">
        <v>114</v>
      </c>
      <c r="H89" s="261">
        <f>SUM(H90:H102)</f>
        <v>0</v>
      </c>
      <c r="I89" s="261">
        <f>SUM(I90:I102)</f>
        <v>0</v>
      </c>
      <c r="J89" s="261">
        <f>SUM(J90:J102)</f>
        <v>0</v>
      </c>
      <c r="K89" s="262" t="s">
        <v>154</v>
      </c>
      <c r="L89" s="261">
        <f>SUM(L90:L102)</f>
        <v>22.985150800000003</v>
      </c>
      <c r="M89" s="263" t="s">
        <v>154</v>
      </c>
      <c r="AG89" s="229" t="s">
        <v>154</v>
      </c>
      <c r="AQ89" s="222">
        <f>SUM(AH90:AH102)</f>
        <v>0</v>
      </c>
      <c r="AR89" s="222">
        <f>SUM(AI90:AI102)</f>
        <v>0</v>
      </c>
      <c r="AS89" s="222">
        <f>SUM(AJ90:AJ102)</f>
        <v>0</v>
      </c>
    </row>
    <row r="90" spans="1:74" ht="14.4" x14ac:dyDescent="0.3">
      <c r="A90" s="239" t="s">
        <v>281</v>
      </c>
      <c r="B90" s="223" t="s">
        <v>308</v>
      </c>
      <c r="C90" s="521" t="s">
        <v>309</v>
      </c>
      <c r="D90" s="519"/>
      <c r="E90" s="223" t="s">
        <v>180</v>
      </c>
      <c r="F90" s="233">
        <v>9.26</v>
      </c>
      <c r="G90" s="311">
        <v>0</v>
      </c>
      <c r="H90" s="233">
        <f>F90*AM90</f>
        <v>0</v>
      </c>
      <c r="I90" s="233">
        <f>F90*AN90</f>
        <v>0</v>
      </c>
      <c r="J90" s="233">
        <f>F90*G90</f>
        <v>0</v>
      </c>
      <c r="K90" s="233">
        <v>0.4284</v>
      </c>
      <c r="L90" s="233">
        <f>F90*K90</f>
        <v>3.9669840000000001</v>
      </c>
      <c r="M90" s="240" t="s">
        <v>472</v>
      </c>
      <c r="X90" s="233">
        <f>IF(AO90="5",BH90,0)</f>
        <v>0</v>
      </c>
      <c r="Z90" s="233">
        <f>IF(AO90="1",BF90,0)</f>
        <v>0</v>
      </c>
      <c r="AA90" s="233">
        <f>IF(AO90="1",BG90,0)</f>
        <v>0</v>
      </c>
      <c r="AB90" s="233">
        <f>IF(AO90="7",BF90,0)</f>
        <v>0</v>
      </c>
      <c r="AC90" s="233">
        <f>IF(AO90="7",BG90,0)</f>
        <v>0</v>
      </c>
      <c r="AD90" s="233">
        <f>IF(AO90="2",BF90,0)</f>
        <v>0</v>
      </c>
      <c r="AE90" s="233">
        <f>IF(AO90="2",BG90,0)</f>
        <v>0</v>
      </c>
      <c r="AF90" s="233">
        <f>IF(AO90="0",BH90,0)</f>
        <v>0</v>
      </c>
      <c r="AG90" s="229" t="s">
        <v>154</v>
      </c>
      <c r="AH90" s="233">
        <f>IF(AL90=0,J90,0)</f>
        <v>0</v>
      </c>
      <c r="AI90" s="233">
        <f>IF(AL90=15,J90,0)</f>
        <v>0</v>
      </c>
      <c r="AJ90" s="233">
        <f>IF(AL90=21,J90,0)</f>
        <v>0</v>
      </c>
      <c r="AL90" s="233">
        <v>15</v>
      </c>
      <c r="AM90" s="233">
        <f>G90*0.847957227</f>
        <v>0</v>
      </c>
      <c r="AN90" s="233">
        <f>G90*(1-0.847957227)</f>
        <v>0</v>
      </c>
      <c r="AO90" s="234" t="s">
        <v>157</v>
      </c>
      <c r="AT90" s="233">
        <f>AU90+AV90</f>
        <v>0</v>
      </c>
      <c r="AU90" s="233">
        <f>F90*AM90</f>
        <v>0</v>
      </c>
      <c r="AV90" s="233">
        <f>F90*AN90</f>
        <v>0</v>
      </c>
      <c r="AW90" s="234" t="s">
        <v>310</v>
      </c>
      <c r="AX90" s="234" t="s">
        <v>311</v>
      </c>
      <c r="AY90" s="229" t="s">
        <v>164</v>
      </c>
      <c r="BA90" s="233">
        <f>AU90+AV90</f>
        <v>0</v>
      </c>
      <c r="BB90" s="233">
        <f>G90/(100-BC90)*100</f>
        <v>0</v>
      </c>
      <c r="BC90" s="233">
        <v>0</v>
      </c>
      <c r="BD90" s="233">
        <f>L90</f>
        <v>3.9669840000000001</v>
      </c>
      <c r="BF90" s="233">
        <f>F90*AM90</f>
        <v>0</v>
      </c>
      <c r="BG90" s="233">
        <f>F90*AN90</f>
        <v>0</v>
      </c>
      <c r="BH90" s="233">
        <f>F90*G90</f>
        <v>0</v>
      </c>
      <c r="BI90" s="233"/>
      <c r="BJ90" s="233">
        <v>56</v>
      </c>
      <c r="BU90" s="233" t="e">
        <f>#REF!</f>
        <v>#REF!</v>
      </c>
      <c r="BV90" s="225" t="s">
        <v>309</v>
      </c>
    </row>
    <row r="91" spans="1:74" ht="40.5" customHeight="1" x14ac:dyDescent="0.3">
      <c r="A91" s="241"/>
      <c r="B91" s="242" t="s">
        <v>165</v>
      </c>
      <c r="C91" s="530" t="s">
        <v>2024</v>
      </c>
      <c r="D91" s="531"/>
      <c r="E91" s="531"/>
      <c r="F91" s="531"/>
      <c r="G91" s="531"/>
      <c r="H91" s="531"/>
      <c r="I91" s="531"/>
      <c r="J91" s="531"/>
      <c r="K91" s="531"/>
      <c r="L91" s="531"/>
      <c r="M91" s="532"/>
    </row>
    <row r="92" spans="1:74" ht="14.4" x14ac:dyDescent="0.3">
      <c r="A92" s="239" t="s">
        <v>285</v>
      </c>
      <c r="B92" s="223" t="s">
        <v>313</v>
      </c>
      <c r="C92" s="521" t="s">
        <v>314</v>
      </c>
      <c r="D92" s="519"/>
      <c r="E92" s="223" t="s">
        <v>180</v>
      </c>
      <c r="F92" s="233">
        <v>9.74</v>
      </c>
      <c r="G92" s="311">
        <v>0</v>
      </c>
      <c r="H92" s="233">
        <f>F92*AM92</f>
        <v>0</v>
      </c>
      <c r="I92" s="233">
        <f>F92*AN92</f>
        <v>0</v>
      </c>
      <c r="J92" s="233">
        <f>F92*G92</f>
        <v>0</v>
      </c>
      <c r="K92" s="233">
        <v>0.60104000000000002</v>
      </c>
      <c r="L92" s="233">
        <f>F92*K92</f>
        <v>5.8541296000000003</v>
      </c>
      <c r="M92" s="240" t="s">
        <v>472</v>
      </c>
      <c r="X92" s="233">
        <f>IF(AO92="5",BH92,0)</f>
        <v>0</v>
      </c>
      <c r="Z92" s="233">
        <f>IF(AO92="1",BF92,0)</f>
        <v>0</v>
      </c>
      <c r="AA92" s="233">
        <f>IF(AO92="1",BG92,0)</f>
        <v>0</v>
      </c>
      <c r="AB92" s="233">
        <f>IF(AO92="7",BF92,0)</f>
        <v>0</v>
      </c>
      <c r="AC92" s="233">
        <f>IF(AO92="7",BG92,0)</f>
        <v>0</v>
      </c>
      <c r="AD92" s="233">
        <f>IF(AO92="2",BF92,0)</f>
        <v>0</v>
      </c>
      <c r="AE92" s="233">
        <f>IF(AO92="2",BG92,0)</f>
        <v>0</v>
      </c>
      <c r="AF92" s="233">
        <f>IF(AO92="0",BH92,0)</f>
        <v>0</v>
      </c>
      <c r="AG92" s="229" t="s">
        <v>154</v>
      </c>
      <c r="AH92" s="233">
        <f>IF(AL92=0,J92,0)</f>
        <v>0</v>
      </c>
      <c r="AI92" s="233">
        <f>IF(AL92=15,J92,0)</f>
        <v>0</v>
      </c>
      <c r="AJ92" s="233">
        <f>IF(AL92=21,J92,0)</f>
        <v>0</v>
      </c>
      <c r="AL92" s="233">
        <v>15</v>
      </c>
      <c r="AM92" s="233">
        <f>G92*0.832425351</f>
        <v>0</v>
      </c>
      <c r="AN92" s="233">
        <f>G92*(1-0.832425351)</f>
        <v>0</v>
      </c>
      <c r="AO92" s="234" t="s">
        <v>157</v>
      </c>
      <c r="AT92" s="233">
        <f>AU92+AV92</f>
        <v>0</v>
      </c>
      <c r="AU92" s="233">
        <f>F92*AM92</f>
        <v>0</v>
      </c>
      <c r="AV92" s="233">
        <f>F92*AN92</f>
        <v>0</v>
      </c>
      <c r="AW92" s="234" t="s">
        <v>310</v>
      </c>
      <c r="AX92" s="234" t="s">
        <v>311</v>
      </c>
      <c r="AY92" s="229" t="s">
        <v>164</v>
      </c>
      <c r="BA92" s="233">
        <f>AU92+AV92</f>
        <v>0</v>
      </c>
      <c r="BB92" s="233">
        <f>G92/(100-BC92)*100</f>
        <v>0</v>
      </c>
      <c r="BC92" s="233">
        <v>0</v>
      </c>
      <c r="BD92" s="233">
        <f>L92</f>
        <v>5.8541296000000003</v>
      </c>
      <c r="BF92" s="233">
        <f>F92*AM92</f>
        <v>0</v>
      </c>
      <c r="BG92" s="233">
        <f>F92*AN92</f>
        <v>0</v>
      </c>
      <c r="BH92" s="233">
        <f>F92*G92</f>
        <v>0</v>
      </c>
      <c r="BI92" s="233"/>
      <c r="BJ92" s="233">
        <v>56</v>
      </c>
      <c r="BU92" s="233" t="e">
        <f>#REF!</f>
        <v>#REF!</v>
      </c>
      <c r="BV92" s="225" t="s">
        <v>314</v>
      </c>
    </row>
    <row r="93" spans="1:74" ht="40.5" customHeight="1" x14ac:dyDescent="0.3">
      <c r="A93" s="241"/>
      <c r="B93" s="242" t="s">
        <v>165</v>
      </c>
      <c r="C93" s="530" t="s">
        <v>2025</v>
      </c>
      <c r="D93" s="531"/>
      <c r="E93" s="531"/>
      <c r="F93" s="531"/>
      <c r="G93" s="531"/>
      <c r="H93" s="531"/>
      <c r="I93" s="531"/>
      <c r="J93" s="531"/>
      <c r="K93" s="531"/>
      <c r="L93" s="531"/>
      <c r="M93" s="532"/>
    </row>
    <row r="94" spans="1:74" ht="14.4" x14ac:dyDescent="0.3">
      <c r="A94" s="239" t="s">
        <v>290</v>
      </c>
      <c r="B94" s="223" t="s">
        <v>316</v>
      </c>
      <c r="C94" s="521" t="s">
        <v>317</v>
      </c>
      <c r="D94" s="519"/>
      <c r="E94" s="223" t="s">
        <v>180</v>
      </c>
      <c r="F94" s="233">
        <v>9.74</v>
      </c>
      <c r="G94" s="311">
        <v>0</v>
      </c>
      <c r="H94" s="233">
        <f>F94*AM94</f>
        <v>0</v>
      </c>
      <c r="I94" s="233">
        <f>F94*AN94</f>
        <v>0</v>
      </c>
      <c r="J94" s="233">
        <f>F94*G94</f>
        <v>0</v>
      </c>
      <c r="K94" s="233">
        <v>0.48574000000000001</v>
      </c>
      <c r="L94" s="233">
        <f>F94*K94</f>
        <v>4.7311076000000005</v>
      </c>
      <c r="M94" s="240" t="s">
        <v>472</v>
      </c>
      <c r="X94" s="233">
        <f>IF(AO94="5",BH94,0)</f>
        <v>0</v>
      </c>
      <c r="Z94" s="233">
        <f>IF(AO94="1",BF94,0)</f>
        <v>0</v>
      </c>
      <c r="AA94" s="233">
        <f>IF(AO94="1",BG94,0)</f>
        <v>0</v>
      </c>
      <c r="AB94" s="233">
        <f>IF(AO94="7",BF94,0)</f>
        <v>0</v>
      </c>
      <c r="AC94" s="233">
        <f>IF(AO94="7",BG94,0)</f>
        <v>0</v>
      </c>
      <c r="AD94" s="233">
        <f>IF(AO94="2",BF94,0)</f>
        <v>0</v>
      </c>
      <c r="AE94" s="233">
        <f>IF(AO94="2",BG94,0)</f>
        <v>0</v>
      </c>
      <c r="AF94" s="233">
        <f>IF(AO94="0",BH94,0)</f>
        <v>0</v>
      </c>
      <c r="AG94" s="229" t="s">
        <v>154</v>
      </c>
      <c r="AH94" s="233">
        <f>IF(AL94=0,J94,0)</f>
        <v>0</v>
      </c>
      <c r="AI94" s="233">
        <f>IF(AL94=15,J94,0)</f>
        <v>0</v>
      </c>
      <c r="AJ94" s="233">
        <f>IF(AL94=21,J94,0)</f>
        <v>0</v>
      </c>
      <c r="AL94" s="233">
        <v>15</v>
      </c>
      <c r="AM94" s="233">
        <f>G94*0.812883974</f>
        <v>0</v>
      </c>
      <c r="AN94" s="233">
        <f>G94*(1-0.812883974)</f>
        <v>0</v>
      </c>
      <c r="AO94" s="234" t="s">
        <v>157</v>
      </c>
      <c r="AT94" s="233">
        <f>AU94+AV94</f>
        <v>0</v>
      </c>
      <c r="AU94" s="233">
        <f>F94*AM94</f>
        <v>0</v>
      </c>
      <c r="AV94" s="233">
        <f>F94*AN94</f>
        <v>0</v>
      </c>
      <c r="AW94" s="234" t="s">
        <v>310</v>
      </c>
      <c r="AX94" s="234" t="s">
        <v>311</v>
      </c>
      <c r="AY94" s="229" t="s">
        <v>164</v>
      </c>
      <c r="BA94" s="233">
        <f>AU94+AV94</f>
        <v>0</v>
      </c>
      <c r="BB94" s="233">
        <f>G94/(100-BC94)*100</f>
        <v>0</v>
      </c>
      <c r="BC94" s="233">
        <v>0</v>
      </c>
      <c r="BD94" s="233">
        <f>L94</f>
        <v>4.7311076000000005</v>
      </c>
      <c r="BF94" s="233">
        <f>F94*AM94</f>
        <v>0</v>
      </c>
      <c r="BG94" s="233">
        <f>F94*AN94</f>
        <v>0</v>
      </c>
      <c r="BH94" s="233">
        <f>F94*G94</f>
        <v>0</v>
      </c>
      <c r="BI94" s="233"/>
      <c r="BJ94" s="233">
        <v>56</v>
      </c>
      <c r="BU94" s="233" t="e">
        <f>#REF!</f>
        <v>#REF!</v>
      </c>
      <c r="BV94" s="225" t="s">
        <v>317</v>
      </c>
    </row>
    <row r="95" spans="1:74" ht="40.5" customHeight="1" x14ac:dyDescent="0.3">
      <c r="A95" s="241"/>
      <c r="B95" s="242" t="s">
        <v>165</v>
      </c>
      <c r="C95" s="530" t="s">
        <v>2026</v>
      </c>
      <c r="D95" s="531"/>
      <c r="E95" s="531"/>
      <c r="F95" s="531"/>
      <c r="G95" s="531"/>
      <c r="H95" s="531"/>
      <c r="I95" s="531"/>
      <c r="J95" s="531"/>
      <c r="K95" s="531"/>
      <c r="L95" s="531"/>
      <c r="M95" s="532"/>
    </row>
    <row r="96" spans="1:74" ht="14.4" x14ac:dyDescent="0.3">
      <c r="A96" s="239" t="s">
        <v>294</v>
      </c>
      <c r="B96" s="223" t="s">
        <v>316</v>
      </c>
      <c r="C96" s="521" t="s">
        <v>317</v>
      </c>
      <c r="D96" s="519"/>
      <c r="E96" s="223" t="s">
        <v>180</v>
      </c>
      <c r="F96" s="233">
        <v>9.74</v>
      </c>
      <c r="G96" s="311">
        <v>0</v>
      </c>
      <c r="H96" s="233">
        <f>F96*AM96</f>
        <v>0</v>
      </c>
      <c r="I96" s="233">
        <f>F96*AN96</f>
        <v>0</v>
      </c>
      <c r="J96" s="233">
        <f>F96*G96</f>
        <v>0</v>
      </c>
      <c r="K96" s="233">
        <v>0.48574000000000001</v>
      </c>
      <c r="L96" s="233">
        <f>F96*K96</f>
        <v>4.7311076000000005</v>
      </c>
      <c r="M96" s="240" t="s">
        <v>472</v>
      </c>
      <c r="X96" s="233">
        <f>IF(AO96="5",BH96,0)</f>
        <v>0</v>
      </c>
      <c r="Z96" s="233">
        <f>IF(AO96="1",BF96,0)</f>
        <v>0</v>
      </c>
      <c r="AA96" s="233">
        <f>IF(AO96="1",BG96,0)</f>
        <v>0</v>
      </c>
      <c r="AB96" s="233">
        <f>IF(AO96="7",BF96,0)</f>
        <v>0</v>
      </c>
      <c r="AC96" s="233">
        <f>IF(AO96="7",BG96,0)</f>
        <v>0</v>
      </c>
      <c r="AD96" s="233">
        <f>IF(AO96="2",BF96,0)</f>
        <v>0</v>
      </c>
      <c r="AE96" s="233">
        <f>IF(AO96="2",BG96,0)</f>
        <v>0</v>
      </c>
      <c r="AF96" s="233">
        <f>IF(AO96="0",BH96,0)</f>
        <v>0</v>
      </c>
      <c r="AG96" s="229" t="s">
        <v>154</v>
      </c>
      <c r="AH96" s="233">
        <f>IF(AL96=0,J96,0)</f>
        <v>0</v>
      </c>
      <c r="AI96" s="233">
        <f>IF(AL96=15,J96,0)</f>
        <v>0</v>
      </c>
      <c r="AJ96" s="233">
        <f>IF(AL96=21,J96,0)</f>
        <v>0</v>
      </c>
      <c r="AL96" s="233">
        <v>15</v>
      </c>
      <c r="AM96" s="233">
        <f>G96*0.812883974</f>
        <v>0</v>
      </c>
      <c r="AN96" s="233">
        <f>G96*(1-0.812883974)</f>
        <v>0</v>
      </c>
      <c r="AO96" s="234" t="s">
        <v>157</v>
      </c>
      <c r="AT96" s="233">
        <f>AU96+AV96</f>
        <v>0</v>
      </c>
      <c r="AU96" s="233">
        <f>F96*AM96</f>
        <v>0</v>
      </c>
      <c r="AV96" s="233">
        <f>F96*AN96</f>
        <v>0</v>
      </c>
      <c r="AW96" s="234" t="s">
        <v>310</v>
      </c>
      <c r="AX96" s="234" t="s">
        <v>311</v>
      </c>
      <c r="AY96" s="229" t="s">
        <v>164</v>
      </c>
      <c r="BA96" s="233">
        <f>AU96+AV96</f>
        <v>0</v>
      </c>
      <c r="BB96" s="233">
        <f>G96/(100-BC96)*100</f>
        <v>0</v>
      </c>
      <c r="BC96" s="233">
        <v>0</v>
      </c>
      <c r="BD96" s="233">
        <f>L96</f>
        <v>4.7311076000000005</v>
      </c>
      <c r="BF96" s="233">
        <f>F96*AM96</f>
        <v>0</v>
      </c>
      <c r="BG96" s="233">
        <f>F96*AN96</f>
        <v>0</v>
      </c>
      <c r="BH96" s="233">
        <f>F96*G96</f>
        <v>0</v>
      </c>
      <c r="BI96" s="233"/>
      <c r="BJ96" s="233">
        <v>56</v>
      </c>
      <c r="BU96" s="233" t="e">
        <f>#REF!</f>
        <v>#REF!</v>
      </c>
      <c r="BV96" s="225" t="s">
        <v>317</v>
      </c>
    </row>
    <row r="97" spans="1:74" ht="40.5" customHeight="1" x14ac:dyDescent="0.3">
      <c r="A97" s="241"/>
      <c r="B97" s="242" t="s">
        <v>165</v>
      </c>
      <c r="C97" s="530" t="s">
        <v>2026</v>
      </c>
      <c r="D97" s="531"/>
      <c r="E97" s="531"/>
      <c r="F97" s="531"/>
      <c r="G97" s="531"/>
      <c r="H97" s="531"/>
      <c r="I97" s="531"/>
      <c r="J97" s="531"/>
      <c r="K97" s="531"/>
      <c r="L97" s="531"/>
      <c r="M97" s="532"/>
    </row>
    <row r="98" spans="1:74" ht="14.4" x14ac:dyDescent="0.3">
      <c r="A98" s="239" t="s">
        <v>300</v>
      </c>
      <c r="B98" s="223" t="s">
        <v>320</v>
      </c>
      <c r="C98" s="521" t="s">
        <v>321</v>
      </c>
      <c r="D98" s="519"/>
      <c r="E98" s="223" t="s">
        <v>180</v>
      </c>
      <c r="F98" s="233">
        <v>5.57</v>
      </c>
      <c r="G98" s="311">
        <v>0</v>
      </c>
      <c r="H98" s="233">
        <f>F98*AM98</f>
        <v>0</v>
      </c>
      <c r="I98" s="233">
        <f>F98*AN98</f>
        <v>0</v>
      </c>
      <c r="J98" s="233">
        <f>F98*G98</f>
        <v>0</v>
      </c>
      <c r="K98" s="233">
        <v>0.4536</v>
      </c>
      <c r="L98" s="233">
        <f>F98*K98</f>
        <v>2.5265520000000001</v>
      </c>
      <c r="M98" s="240" t="s">
        <v>472</v>
      </c>
      <c r="X98" s="233">
        <f>IF(AO98="5",BH98,0)</f>
        <v>0</v>
      </c>
      <c r="Z98" s="233">
        <f>IF(AO98="1",BF98,0)</f>
        <v>0</v>
      </c>
      <c r="AA98" s="233">
        <f>IF(AO98="1",BG98,0)</f>
        <v>0</v>
      </c>
      <c r="AB98" s="233">
        <f>IF(AO98="7",BF98,0)</f>
        <v>0</v>
      </c>
      <c r="AC98" s="233">
        <f>IF(AO98="7",BG98,0)</f>
        <v>0</v>
      </c>
      <c r="AD98" s="233">
        <f>IF(AO98="2",BF98,0)</f>
        <v>0</v>
      </c>
      <c r="AE98" s="233">
        <f>IF(AO98="2",BG98,0)</f>
        <v>0</v>
      </c>
      <c r="AF98" s="233">
        <f>IF(AO98="0",BH98,0)</f>
        <v>0</v>
      </c>
      <c r="AG98" s="229" t="s">
        <v>154</v>
      </c>
      <c r="AH98" s="233">
        <f>IF(AL98=0,J98,0)</f>
        <v>0</v>
      </c>
      <c r="AI98" s="233">
        <f>IF(AL98=15,J98,0)</f>
        <v>0</v>
      </c>
      <c r="AJ98" s="233">
        <f>IF(AL98=21,J98,0)</f>
        <v>0</v>
      </c>
      <c r="AL98" s="233">
        <v>15</v>
      </c>
      <c r="AM98" s="233">
        <f>G98*0.84296312</f>
        <v>0</v>
      </c>
      <c r="AN98" s="233">
        <f>G98*(1-0.84296312)</f>
        <v>0</v>
      </c>
      <c r="AO98" s="234" t="s">
        <v>157</v>
      </c>
      <c r="AT98" s="233">
        <f>AU98+AV98</f>
        <v>0</v>
      </c>
      <c r="AU98" s="233">
        <f>F98*AM98</f>
        <v>0</v>
      </c>
      <c r="AV98" s="233">
        <f>F98*AN98</f>
        <v>0</v>
      </c>
      <c r="AW98" s="234" t="s">
        <v>310</v>
      </c>
      <c r="AX98" s="234" t="s">
        <v>311</v>
      </c>
      <c r="AY98" s="229" t="s">
        <v>164</v>
      </c>
      <c r="BA98" s="233">
        <f>AU98+AV98</f>
        <v>0</v>
      </c>
      <c r="BB98" s="233">
        <f>G98/(100-BC98)*100</f>
        <v>0</v>
      </c>
      <c r="BC98" s="233">
        <v>0</v>
      </c>
      <c r="BD98" s="233">
        <f>L98</f>
        <v>2.5265520000000001</v>
      </c>
      <c r="BF98" s="233">
        <f>F98*AM98</f>
        <v>0</v>
      </c>
      <c r="BG98" s="233">
        <f>F98*AN98</f>
        <v>0</v>
      </c>
      <c r="BH98" s="233">
        <f>F98*G98</f>
        <v>0</v>
      </c>
      <c r="BI98" s="233"/>
      <c r="BJ98" s="233">
        <v>56</v>
      </c>
      <c r="BU98" s="233" t="e">
        <f>#REF!</f>
        <v>#REF!</v>
      </c>
      <c r="BV98" s="225" t="s">
        <v>321</v>
      </c>
    </row>
    <row r="99" spans="1:74" ht="40.5" customHeight="1" x14ac:dyDescent="0.3">
      <c r="A99" s="241"/>
      <c r="B99" s="242" t="s">
        <v>165</v>
      </c>
      <c r="C99" s="530" t="s">
        <v>2027</v>
      </c>
      <c r="D99" s="531"/>
      <c r="E99" s="531"/>
      <c r="F99" s="531"/>
      <c r="G99" s="531"/>
      <c r="H99" s="531"/>
      <c r="I99" s="531"/>
      <c r="J99" s="531"/>
      <c r="K99" s="531"/>
      <c r="L99" s="531"/>
      <c r="M99" s="532"/>
    </row>
    <row r="100" spans="1:74" ht="14.4" x14ac:dyDescent="0.3">
      <c r="A100" s="239" t="s">
        <v>307</v>
      </c>
      <c r="B100" s="223" t="s">
        <v>323</v>
      </c>
      <c r="C100" s="521" t="s">
        <v>324</v>
      </c>
      <c r="D100" s="519"/>
      <c r="E100" s="223" t="s">
        <v>180</v>
      </c>
      <c r="F100" s="233">
        <v>5.57</v>
      </c>
      <c r="G100" s="311">
        <v>0</v>
      </c>
      <c r="H100" s="233">
        <f>F100*AM100</f>
        <v>0</v>
      </c>
      <c r="I100" s="233">
        <f>F100*AN100</f>
        <v>0</v>
      </c>
      <c r="J100" s="233">
        <f>F100*G100</f>
        <v>0</v>
      </c>
      <c r="K100" s="233">
        <v>0.21099999999999999</v>
      </c>
      <c r="L100" s="233">
        <f>F100*K100</f>
        <v>1.17527</v>
      </c>
      <c r="M100" s="240" t="s">
        <v>472</v>
      </c>
      <c r="X100" s="233">
        <f>IF(AO100="5",BH100,0)</f>
        <v>0</v>
      </c>
      <c r="Z100" s="233">
        <f>IF(AO100="1",BF100,0)</f>
        <v>0</v>
      </c>
      <c r="AA100" s="233">
        <f>IF(AO100="1",BG100,0)</f>
        <v>0</v>
      </c>
      <c r="AB100" s="233">
        <f>IF(AO100="7",BF100,0)</f>
        <v>0</v>
      </c>
      <c r="AC100" s="233">
        <f>IF(AO100="7",BG100,0)</f>
        <v>0</v>
      </c>
      <c r="AD100" s="233">
        <f>IF(AO100="2",BF100,0)</f>
        <v>0</v>
      </c>
      <c r="AE100" s="233">
        <f>IF(AO100="2",BG100,0)</f>
        <v>0</v>
      </c>
      <c r="AF100" s="233">
        <f>IF(AO100="0",BH100,0)</f>
        <v>0</v>
      </c>
      <c r="AG100" s="229" t="s">
        <v>154</v>
      </c>
      <c r="AH100" s="233">
        <f>IF(AL100=0,J100,0)</f>
        <v>0</v>
      </c>
      <c r="AI100" s="233">
        <f>IF(AL100=15,J100,0)</f>
        <v>0</v>
      </c>
      <c r="AJ100" s="233">
        <f>IF(AL100=21,J100,0)</f>
        <v>0</v>
      </c>
      <c r="AL100" s="233">
        <v>15</v>
      </c>
      <c r="AM100" s="233">
        <f>G100*0.593945811</f>
        <v>0</v>
      </c>
      <c r="AN100" s="233">
        <f>G100*(1-0.593945811)</f>
        <v>0</v>
      </c>
      <c r="AO100" s="234" t="s">
        <v>157</v>
      </c>
      <c r="AT100" s="233">
        <f>AU100+AV100</f>
        <v>0</v>
      </c>
      <c r="AU100" s="233">
        <f>F100*AM100</f>
        <v>0</v>
      </c>
      <c r="AV100" s="233">
        <f>F100*AN100</f>
        <v>0</v>
      </c>
      <c r="AW100" s="234" t="s">
        <v>310</v>
      </c>
      <c r="AX100" s="234" t="s">
        <v>311</v>
      </c>
      <c r="AY100" s="229" t="s">
        <v>164</v>
      </c>
      <c r="BA100" s="233">
        <f>AU100+AV100</f>
        <v>0</v>
      </c>
      <c r="BB100" s="233">
        <f>G100/(100-BC100)*100</f>
        <v>0</v>
      </c>
      <c r="BC100" s="233">
        <v>0</v>
      </c>
      <c r="BD100" s="233">
        <f>L100</f>
        <v>1.17527</v>
      </c>
      <c r="BF100" s="233">
        <f>F100*AM100</f>
        <v>0</v>
      </c>
      <c r="BG100" s="233">
        <f>F100*AN100</f>
        <v>0</v>
      </c>
      <c r="BH100" s="233">
        <f>F100*G100</f>
        <v>0</v>
      </c>
      <c r="BI100" s="233"/>
      <c r="BJ100" s="233">
        <v>56</v>
      </c>
      <c r="BU100" s="233" t="e">
        <f>#REF!</f>
        <v>#REF!</v>
      </c>
      <c r="BV100" s="225" t="s">
        <v>324</v>
      </c>
    </row>
    <row r="101" spans="1:74" ht="40.5" customHeight="1" x14ac:dyDescent="0.3">
      <c r="A101" s="241"/>
      <c r="B101" s="242" t="s">
        <v>165</v>
      </c>
      <c r="C101" s="530" t="s">
        <v>2028</v>
      </c>
      <c r="D101" s="531"/>
      <c r="E101" s="531"/>
      <c r="F101" s="531"/>
      <c r="G101" s="531"/>
      <c r="H101" s="531"/>
      <c r="I101" s="531"/>
      <c r="J101" s="531"/>
      <c r="K101" s="531"/>
      <c r="L101" s="531"/>
      <c r="M101" s="532"/>
    </row>
    <row r="102" spans="1:74" ht="14.4" x14ac:dyDescent="0.3">
      <c r="A102" s="239" t="s">
        <v>312</v>
      </c>
      <c r="B102" s="223" t="s">
        <v>1436</v>
      </c>
      <c r="C102" s="521" t="s">
        <v>1437</v>
      </c>
      <c r="D102" s="519"/>
      <c r="E102" s="223" t="s">
        <v>180</v>
      </c>
      <c r="F102" s="233">
        <v>9.74</v>
      </c>
      <c r="G102" s="311">
        <v>0</v>
      </c>
      <c r="H102" s="233">
        <f>F102*AM102</f>
        <v>0</v>
      </c>
      <c r="I102" s="233">
        <f>F102*AN102</f>
        <v>0</v>
      </c>
      <c r="J102" s="233">
        <f>F102*G102</f>
        <v>0</v>
      </c>
      <c r="K102" s="233">
        <v>0</v>
      </c>
      <c r="L102" s="233">
        <f>F102*K102</f>
        <v>0</v>
      </c>
      <c r="M102" s="240" t="s">
        <v>472</v>
      </c>
      <c r="X102" s="233">
        <f>IF(AO102="5",BH102,0)</f>
        <v>0</v>
      </c>
      <c r="Z102" s="233">
        <f>IF(AO102="1",BF102,0)</f>
        <v>0</v>
      </c>
      <c r="AA102" s="233">
        <f>IF(AO102="1",BG102,0)</f>
        <v>0</v>
      </c>
      <c r="AB102" s="233">
        <f>IF(AO102="7",BF102,0)</f>
        <v>0</v>
      </c>
      <c r="AC102" s="233">
        <f>IF(AO102="7",BG102,0)</f>
        <v>0</v>
      </c>
      <c r="AD102" s="233">
        <f>IF(AO102="2",BF102,0)</f>
        <v>0</v>
      </c>
      <c r="AE102" s="233">
        <f>IF(AO102="2",BG102,0)</f>
        <v>0</v>
      </c>
      <c r="AF102" s="233">
        <f>IF(AO102="0",BH102,0)</f>
        <v>0</v>
      </c>
      <c r="AG102" s="229" t="s">
        <v>154</v>
      </c>
      <c r="AH102" s="233">
        <f>IF(AL102=0,J102,0)</f>
        <v>0</v>
      </c>
      <c r="AI102" s="233">
        <f>IF(AL102=15,J102,0)</f>
        <v>0</v>
      </c>
      <c r="AJ102" s="233">
        <f>IF(AL102=21,J102,0)</f>
        <v>0</v>
      </c>
      <c r="AL102" s="233">
        <v>15</v>
      </c>
      <c r="AM102" s="233">
        <f>G102*0.89899789</f>
        <v>0</v>
      </c>
      <c r="AN102" s="233">
        <f>G102*(1-0.89899789)</f>
        <v>0</v>
      </c>
      <c r="AO102" s="234" t="s">
        <v>157</v>
      </c>
      <c r="AT102" s="233">
        <f>AU102+AV102</f>
        <v>0</v>
      </c>
      <c r="AU102" s="233">
        <f>F102*AM102</f>
        <v>0</v>
      </c>
      <c r="AV102" s="233">
        <f>F102*AN102</f>
        <v>0</v>
      </c>
      <c r="AW102" s="234" t="s">
        <v>310</v>
      </c>
      <c r="AX102" s="234" t="s">
        <v>311</v>
      </c>
      <c r="AY102" s="229" t="s">
        <v>164</v>
      </c>
      <c r="BA102" s="233">
        <f>AU102+AV102</f>
        <v>0</v>
      </c>
      <c r="BB102" s="233">
        <f>G102/(100-BC102)*100</f>
        <v>0</v>
      </c>
      <c r="BC102" s="233">
        <v>0</v>
      </c>
      <c r="BD102" s="233">
        <f>L102</f>
        <v>0</v>
      </c>
      <c r="BF102" s="233">
        <f>F102*AM102</f>
        <v>0</v>
      </c>
      <c r="BG102" s="233">
        <f>F102*AN102</f>
        <v>0</v>
      </c>
      <c r="BH102" s="233">
        <f>F102*G102</f>
        <v>0</v>
      </c>
      <c r="BI102" s="233"/>
      <c r="BJ102" s="233">
        <v>56</v>
      </c>
      <c r="BU102" s="233" t="e">
        <f>#REF!</f>
        <v>#REF!</v>
      </c>
      <c r="BV102" s="225" t="s">
        <v>1437</v>
      </c>
    </row>
    <row r="103" spans="1:74" ht="40.5" customHeight="1" x14ac:dyDescent="0.3">
      <c r="A103" s="241"/>
      <c r="B103" s="242" t="s">
        <v>165</v>
      </c>
      <c r="C103" s="530" t="s">
        <v>2029</v>
      </c>
      <c r="D103" s="531"/>
      <c r="E103" s="531"/>
      <c r="F103" s="531"/>
      <c r="G103" s="531"/>
      <c r="H103" s="531"/>
      <c r="I103" s="531"/>
      <c r="J103" s="531"/>
      <c r="K103" s="531"/>
      <c r="L103" s="531"/>
      <c r="M103" s="532"/>
    </row>
    <row r="104" spans="1:74" ht="14.4" x14ac:dyDescent="0.3">
      <c r="A104" s="239" t="s">
        <v>154</v>
      </c>
      <c r="B104" s="224" t="s">
        <v>335</v>
      </c>
      <c r="C104" s="526" t="s">
        <v>336</v>
      </c>
      <c r="D104" s="527"/>
      <c r="E104" s="223" t="s">
        <v>114</v>
      </c>
      <c r="F104" s="223" t="s">
        <v>114</v>
      </c>
      <c r="G104" s="223" t="s">
        <v>114</v>
      </c>
      <c r="H104" s="235">
        <f>SUM(H105:H105)</f>
        <v>0</v>
      </c>
      <c r="I104" s="235">
        <f>SUM(I105:I105)</f>
        <v>0</v>
      </c>
      <c r="J104" s="235">
        <f>SUM(J105:J105)</f>
        <v>0</v>
      </c>
      <c r="K104" s="230" t="s">
        <v>154</v>
      </c>
      <c r="L104" s="235">
        <f>SUM(L105:L105)</f>
        <v>3.8990000000000001E-3</v>
      </c>
      <c r="M104" s="243" t="s">
        <v>154</v>
      </c>
      <c r="AG104" s="229" t="s">
        <v>154</v>
      </c>
      <c r="AQ104" s="222">
        <f>SUM(AH105:AH105)</f>
        <v>0</v>
      </c>
      <c r="AR104" s="222">
        <f>SUM(AI105:AI105)</f>
        <v>0</v>
      </c>
      <c r="AS104" s="222">
        <f>SUM(AJ105:AJ105)</f>
        <v>0</v>
      </c>
    </row>
    <row r="105" spans="1:74" ht="14.4" x14ac:dyDescent="0.3">
      <c r="A105" s="239" t="s">
        <v>315</v>
      </c>
      <c r="B105" s="223" t="s">
        <v>342</v>
      </c>
      <c r="C105" s="521" t="s">
        <v>427</v>
      </c>
      <c r="D105" s="519"/>
      <c r="E105" s="223" t="s">
        <v>180</v>
      </c>
      <c r="F105" s="233">
        <v>5.57</v>
      </c>
      <c r="G105" s="311">
        <v>0</v>
      </c>
      <c r="H105" s="233">
        <f>F105*AM105</f>
        <v>0</v>
      </c>
      <c r="I105" s="233">
        <f>F105*AN105</f>
        <v>0</v>
      </c>
      <c r="J105" s="233">
        <f>F105*G105</f>
        <v>0</v>
      </c>
      <c r="K105" s="233">
        <v>6.9999999999999999E-4</v>
      </c>
      <c r="L105" s="233">
        <f>F105*K105</f>
        <v>3.8990000000000001E-3</v>
      </c>
      <c r="M105" s="240" t="s">
        <v>472</v>
      </c>
      <c r="X105" s="233">
        <f>IF(AO105="5",BH105,0)</f>
        <v>0</v>
      </c>
      <c r="Z105" s="233">
        <f>IF(AO105="1",BF105,0)</f>
        <v>0</v>
      </c>
      <c r="AA105" s="233">
        <f>IF(AO105="1",BG105,0)</f>
        <v>0</v>
      </c>
      <c r="AB105" s="233">
        <f>IF(AO105="7",BF105,0)</f>
        <v>0</v>
      </c>
      <c r="AC105" s="233">
        <f>IF(AO105="7",BG105,0)</f>
        <v>0</v>
      </c>
      <c r="AD105" s="233">
        <f>IF(AO105="2",BF105,0)</f>
        <v>0</v>
      </c>
      <c r="AE105" s="233">
        <f>IF(AO105="2",BG105,0)</f>
        <v>0</v>
      </c>
      <c r="AF105" s="233">
        <f>IF(AO105="0",BH105,0)</f>
        <v>0</v>
      </c>
      <c r="AG105" s="229" t="s">
        <v>154</v>
      </c>
      <c r="AH105" s="233">
        <f>IF(AL105=0,J105,0)</f>
        <v>0</v>
      </c>
      <c r="AI105" s="233">
        <f>IF(AL105=15,J105,0)</f>
        <v>0</v>
      </c>
      <c r="AJ105" s="233">
        <f>IF(AL105=21,J105,0)</f>
        <v>0</v>
      </c>
      <c r="AL105" s="233">
        <v>15</v>
      </c>
      <c r="AM105" s="233">
        <f>G105*0.93128824</f>
        <v>0</v>
      </c>
      <c r="AN105" s="233">
        <f>G105*(1-0.93128824)</f>
        <v>0</v>
      </c>
      <c r="AO105" s="234" t="s">
        <v>157</v>
      </c>
      <c r="AT105" s="233">
        <f>AU105+AV105</f>
        <v>0</v>
      </c>
      <c r="AU105" s="233">
        <f>F105*AM105</f>
        <v>0</v>
      </c>
      <c r="AV105" s="233">
        <f>F105*AN105</f>
        <v>0</v>
      </c>
      <c r="AW105" s="234" t="s">
        <v>340</v>
      </c>
      <c r="AX105" s="234" t="s">
        <v>311</v>
      </c>
      <c r="AY105" s="229" t="s">
        <v>164</v>
      </c>
      <c r="BA105" s="233">
        <f>AU105+AV105</f>
        <v>0</v>
      </c>
      <c r="BB105" s="233">
        <f>G105/(100-BC105)*100</f>
        <v>0</v>
      </c>
      <c r="BC105" s="233">
        <v>0</v>
      </c>
      <c r="BD105" s="233">
        <f>L105</f>
        <v>3.8990000000000001E-3</v>
      </c>
      <c r="BF105" s="233">
        <f>F105*AM105</f>
        <v>0</v>
      </c>
      <c r="BG105" s="233">
        <f>F105*AN105</f>
        <v>0</v>
      </c>
      <c r="BH105" s="233">
        <f>F105*G105</f>
        <v>0</v>
      </c>
      <c r="BI105" s="233"/>
      <c r="BJ105" s="233">
        <v>57</v>
      </c>
      <c r="BU105" s="233" t="e">
        <f>#REF!</f>
        <v>#REF!</v>
      </c>
      <c r="BV105" s="225" t="s">
        <v>427</v>
      </c>
    </row>
    <row r="106" spans="1:74" ht="40.5" customHeight="1" x14ac:dyDescent="0.3">
      <c r="A106" s="241"/>
      <c r="B106" s="242" t="s">
        <v>165</v>
      </c>
      <c r="C106" s="530" t="s">
        <v>2030</v>
      </c>
      <c r="D106" s="531"/>
      <c r="E106" s="531"/>
      <c r="F106" s="531"/>
      <c r="G106" s="531"/>
      <c r="H106" s="531"/>
      <c r="I106" s="531"/>
      <c r="J106" s="531"/>
      <c r="K106" s="531"/>
      <c r="L106" s="531"/>
      <c r="M106" s="532"/>
    </row>
    <row r="107" spans="1:74" ht="14.4" x14ac:dyDescent="0.3">
      <c r="A107" s="239" t="s">
        <v>154</v>
      </c>
      <c r="B107" s="224" t="s">
        <v>539</v>
      </c>
      <c r="C107" s="526" t="s">
        <v>540</v>
      </c>
      <c r="D107" s="527"/>
      <c r="E107" s="223" t="s">
        <v>114</v>
      </c>
      <c r="F107" s="223" t="s">
        <v>114</v>
      </c>
      <c r="G107" s="223" t="s">
        <v>114</v>
      </c>
      <c r="H107" s="235">
        <f>SUM(H108:H110)</f>
        <v>0</v>
      </c>
      <c r="I107" s="235">
        <f>SUM(I108:I110)</f>
        <v>0</v>
      </c>
      <c r="J107" s="235">
        <f>SUM(J108:J110)</f>
        <v>0</v>
      </c>
      <c r="K107" s="230" t="s">
        <v>154</v>
      </c>
      <c r="L107" s="235">
        <f>SUM(L108:L110)</f>
        <v>3.4000000000000002E-4</v>
      </c>
      <c r="M107" s="243" t="s">
        <v>154</v>
      </c>
      <c r="AG107" s="229" t="s">
        <v>154</v>
      </c>
      <c r="AQ107" s="222">
        <f>SUM(AH108:AH110)</f>
        <v>0</v>
      </c>
      <c r="AR107" s="222">
        <f>SUM(AI108:AI110)</f>
        <v>0</v>
      </c>
      <c r="AS107" s="222">
        <f>SUM(AJ108:AJ110)</f>
        <v>0</v>
      </c>
    </row>
    <row r="108" spans="1:74" ht="14.4" x14ac:dyDescent="0.3">
      <c r="A108" s="239" t="s">
        <v>318</v>
      </c>
      <c r="B108" s="223" t="s">
        <v>898</v>
      </c>
      <c r="C108" s="521" t="s">
        <v>899</v>
      </c>
      <c r="D108" s="519"/>
      <c r="E108" s="223" t="s">
        <v>160</v>
      </c>
      <c r="F108" s="233">
        <v>9</v>
      </c>
      <c r="G108" s="311">
        <v>0</v>
      </c>
      <c r="H108" s="233">
        <f>F108*AM108</f>
        <v>0</v>
      </c>
      <c r="I108" s="233">
        <f>F108*AN108</f>
        <v>0</v>
      </c>
      <c r="J108" s="233">
        <f>F108*G108</f>
        <v>0</v>
      </c>
      <c r="K108" s="233">
        <v>1.0000000000000001E-5</v>
      </c>
      <c r="L108" s="233">
        <f>F108*K108</f>
        <v>9.0000000000000006E-5</v>
      </c>
      <c r="M108" s="240" t="s">
        <v>472</v>
      </c>
      <c r="X108" s="233">
        <f>IF(AO108="5",BH108,0)</f>
        <v>0</v>
      </c>
      <c r="Z108" s="233">
        <f>IF(AO108="1",BF108,0)</f>
        <v>0</v>
      </c>
      <c r="AA108" s="233">
        <f>IF(AO108="1",BG108,0)</f>
        <v>0</v>
      </c>
      <c r="AB108" s="233">
        <f>IF(AO108="7",BF108,0)</f>
        <v>0</v>
      </c>
      <c r="AC108" s="233">
        <f>IF(AO108="7",BG108,0)</f>
        <v>0</v>
      </c>
      <c r="AD108" s="233">
        <f>IF(AO108="2",BF108,0)</f>
        <v>0</v>
      </c>
      <c r="AE108" s="233">
        <f>IF(AO108="2",BG108,0)</f>
        <v>0</v>
      </c>
      <c r="AF108" s="233">
        <f>IF(AO108="0",BH108,0)</f>
        <v>0</v>
      </c>
      <c r="AG108" s="229" t="s">
        <v>154</v>
      </c>
      <c r="AH108" s="233">
        <f>IF(AL108=0,J108,0)</f>
        <v>0</v>
      </c>
      <c r="AI108" s="233">
        <f>IF(AL108=15,J108,0)</f>
        <v>0</v>
      </c>
      <c r="AJ108" s="233">
        <f>IF(AL108=21,J108,0)</f>
        <v>0</v>
      </c>
      <c r="AL108" s="233">
        <v>15</v>
      </c>
      <c r="AM108" s="233">
        <f>G108*0.005096904</f>
        <v>0</v>
      </c>
      <c r="AN108" s="233">
        <f>G108*(1-0.005096904)</f>
        <v>0</v>
      </c>
      <c r="AO108" s="234" t="s">
        <v>157</v>
      </c>
      <c r="AT108" s="233">
        <f>AU108+AV108</f>
        <v>0</v>
      </c>
      <c r="AU108" s="233">
        <f>F108*AM108</f>
        <v>0</v>
      </c>
      <c r="AV108" s="233">
        <f>F108*AN108</f>
        <v>0</v>
      </c>
      <c r="AW108" s="234" t="s">
        <v>543</v>
      </c>
      <c r="AX108" s="234" t="s">
        <v>356</v>
      </c>
      <c r="AY108" s="229" t="s">
        <v>164</v>
      </c>
      <c r="BA108" s="233">
        <f>AU108+AV108</f>
        <v>0</v>
      </c>
      <c r="BB108" s="233">
        <f>G108/(100-BC108)*100</f>
        <v>0</v>
      </c>
      <c r="BC108" s="233">
        <v>0</v>
      </c>
      <c r="BD108" s="233">
        <f>L108</f>
        <v>9.0000000000000006E-5</v>
      </c>
      <c r="BF108" s="233">
        <f>F108*AM108</f>
        <v>0</v>
      </c>
      <c r="BG108" s="233">
        <f>F108*AN108</f>
        <v>0</v>
      </c>
      <c r="BH108" s="233">
        <f>F108*G108</f>
        <v>0</v>
      </c>
      <c r="BI108" s="233"/>
      <c r="BJ108" s="233">
        <v>87</v>
      </c>
      <c r="BU108" s="233" t="e">
        <f>#REF!</f>
        <v>#REF!</v>
      </c>
      <c r="BV108" s="225" t="s">
        <v>899</v>
      </c>
    </row>
    <row r="109" spans="1:74" ht="54" customHeight="1" x14ac:dyDescent="0.3">
      <c r="A109" s="241"/>
      <c r="B109" s="242" t="s">
        <v>165</v>
      </c>
      <c r="C109" s="530" t="s">
        <v>2031</v>
      </c>
      <c r="D109" s="531"/>
      <c r="E109" s="531"/>
      <c r="F109" s="531"/>
      <c r="G109" s="531"/>
      <c r="H109" s="531"/>
      <c r="I109" s="531"/>
      <c r="J109" s="531"/>
      <c r="K109" s="531"/>
      <c r="L109" s="531"/>
      <c r="M109" s="532"/>
    </row>
    <row r="110" spans="1:74" ht="14.4" x14ac:dyDescent="0.3">
      <c r="A110" s="239" t="s">
        <v>319</v>
      </c>
      <c r="B110" s="223" t="s">
        <v>1004</v>
      </c>
      <c r="C110" s="521" t="s">
        <v>1005</v>
      </c>
      <c r="D110" s="519"/>
      <c r="E110" s="223" t="s">
        <v>365</v>
      </c>
      <c r="F110" s="233">
        <v>5</v>
      </c>
      <c r="G110" s="311">
        <v>0</v>
      </c>
      <c r="H110" s="233">
        <f>F110*AM110</f>
        <v>0</v>
      </c>
      <c r="I110" s="233">
        <f>F110*AN110</f>
        <v>0</v>
      </c>
      <c r="J110" s="233">
        <f>F110*G110</f>
        <v>0</v>
      </c>
      <c r="K110" s="233">
        <v>5.0000000000000002E-5</v>
      </c>
      <c r="L110" s="233">
        <f>F110*K110</f>
        <v>2.5000000000000001E-4</v>
      </c>
      <c r="M110" s="240" t="s">
        <v>472</v>
      </c>
      <c r="X110" s="233">
        <f>IF(AO110="5",BH110,0)</f>
        <v>0</v>
      </c>
      <c r="Z110" s="233">
        <f>IF(AO110="1",BF110,0)</f>
        <v>0</v>
      </c>
      <c r="AA110" s="233">
        <f>IF(AO110="1",BG110,0)</f>
        <v>0</v>
      </c>
      <c r="AB110" s="233">
        <f>IF(AO110="7",BF110,0)</f>
        <v>0</v>
      </c>
      <c r="AC110" s="233">
        <f>IF(AO110="7",BG110,0)</f>
        <v>0</v>
      </c>
      <c r="AD110" s="233">
        <f>IF(AO110="2",BF110,0)</f>
        <v>0</v>
      </c>
      <c r="AE110" s="233">
        <f>IF(AO110="2",BG110,0)</f>
        <v>0</v>
      </c>
      <c r="AF110" s="233">
        <f>IF(AO110="0",BH110,0)</f>
        <v>0</v>
      </c>
      <c r="AG110" s="229" t="s">
        <v>154</v>
      </c>
      <c r="AH110" s="233">
        <f>IF(AL110=0,J110,0)</f>
        <v>0</v>
      </c>
      <c r="AI110" s="233">
        <f>IF(AL110=15,J110,0)</f>
        <v>0</v>
      </c>
      <c r="AJ110" s="233">
        <f>IF(AL110=21,J110,0)</f>
        <v>0</v>
      </c>
      <c r="AL110" s="233">
        <v>15</v>
      </c>
      <c r="AM110" s="233">
        <f>G110*0.008443272</f>
        <v>0</v>
      </c>
      <c r="AN110" s="233">
        <f>G110*(1-0.008443272)</f>
        <v>0</v>
      </c>
      <c r="AO110" s="234" t="s">
        <v>157</v>
      </c>
      <c r="AT110" s="233">
        <f>AU110+AV110</f>
        <v>0</v>
      </c>
      <c r="AU110" s="233">
        <f>F110*AM110</f>
        <v>0</v>
      </c>
      <c r="AV110" s="233">
        <f>F110*AN110</f>
        <v>0</v>
      </c>
      <c r="AW110" s="234" t="s">
        <v>543</v>
      </c>
      <c r="AX110" s="234" t="s">
        <v>356</v>
      </c>
      <c r="AY110" s="229" t="s">
        <v>164</v>
      </c>
      <c r="BA110" s="233">
        <f>AU110+AV110</f>
        <v>0</v>
      </c>
      <c r="BB110" s="233">
        <f>G110/(100-BC110)*100</f>
        <v>0</v>
      </c>
      <c r="BC110" s="233">
        <v>0</v>
      </c>
      <c r="BD110" s="233">
        <f>L110</f>
        <v>2.5000000000000001E-4</v>
      </c>
      <c r="BF110" s="233">
        <f>F110*AM110</f>
        <v>0</v>
      </c>
      <c r="BG110" s="233">
        <f>F110*AN110</f>
        <v>0</v>
      </c>
      <c r="BH110" s="233">
        <f>F110*G110</f>
        <v>0</v>
      </c>
      <c r="BI110" s="233"/>
      <c r="BJ110" s="233">
        <v>87</v>
      </c>
      <c r="BU110" s="233" t="e">
        <f>#REF!</f>
        <v>#REF!</v>
      </c>
      <c r="BV110" s="225" t="s">
        <v>1005</v>
      </c>
    </row>
    <row r="111" spans="1:74" ht="40.5" customHeight="1" x14ac:dyDescent="0.3">
      <c r="A111" s="241"/>
      <c r="B111" s="242" t="s">
        <v>165</v>
      </c>
      <c r="C111" s="530" t="s">
        <v>1699</v>
      </c>
      <c r="D111" s="531"/>
      <c r="E111" s="531"/>
      <c r="F111" s="531"/>
      <c r="G111" s="531"/>
      <c r="H111" s="531"/>
      <c r="I111" s="531"/>
      <c r="J111" s="531"/>
      <c r="K111" s="531"/>
      <c r="L111" s="531"/>
      <c r="M111" s="532"/>
    </row>
    <row r="112" spans="1:74" ht="14.4" x14ac:dyDescent="0.3">
      <c r="A112" s="239" t="s">
        <v>154</v>
      </c>
      <c r="B112" s="224" t="s">
        <v>360</v>
      </c>
      <c r="C112" s="526" t="s">
        <v>361</v>
      </c>
      <c r="D112" s="527"/>
      <c r="E112" s="223" t="s">
        <v>114</v>
      </c>
      <c r="F112" s="223" t="s">
        <v>114</v>
      </c>
      <c r="G112" s="223" t="s">
        <v>114</v>
      </c>
      <c r="H112" s="235">
        <f>SUM(H113:H129)</f>
        <v>0</v>
      </c>
      <c r="I112" s="235">
        <f>SUM(I113:I129)</f>
        <v>0</v>
      </c>
      <c r="J112" s="235">
        <f>SUM(J113:J129)</f>
        <v>0</v>
      </c>
      <c r="K112" s="230" t="s">
        <v>154</v>
      </c>
      <c r="L112" s="235">
        <f>SUM(L113:L129)</f>
        <v>1.2110000000000001E-2</v>
      </c>
      <c r="M112" s="243" t="s">
        <v>154</v>
      </c>
      <c r="AG112" s="229" t="s">
        <v>154</v>
      </c>
      <c r="AQ112" s="222">
        <f>SUM(AH113:AH129)</f>
        <v>0</v>
      </c>
      <c r="AR112" s="222">
        <f>SUM(AI113:AI129)</f>
        <v>0</v>
      </c>
      <c r="AS112" s="222">
        <f>SUM(AJ113:AJ129)</f>
        <v>0</v>
      </c>
    </row>
    <row r="113" spans="1:74" ht="14.4" x14ac:dyDescent="0.3">
      <c r="A113" s="239" t="s">
        <v>322</v>
      </c>
      <c r="B113" s="223" t="s">
        <v>902</v>
      </c>
      <c r="C113" s="521" t="s">
        <v>903</v>
      </c>
      <c r="D113" s="519"/>
      <c r="E113" s="223" t="s">
        <v>365</v>
      </c>
      <c r="F113" s="233">
        <v>1</v>
      </c>
      <c r="G113" s="311">
        <v>0</v>
      </c>
      <c r="H113" s="233">
        <f>F113*AM113</f>
        <v>0</v>
      </c>
      <c r="I113" s="233">
        <f>F113*AN113</f>
        <v>0</v>
      </c>
      <c r="J113" s="233">
        <f>F113*G113</f>
        <v>0</v>
      </c>
      <c r="K113" s="233">
        <v>0</v>
      </c>
      <c r="L113" s="233">
        <f>F113*K113</f>
        <v>0</v>
      </c>
      <c r="M113" s="240" t="s">
        <v>472</v>
      </c>
      <c r="X113" s="233">
        <f>IF(AO113="5",BH113,0)</f>
        <v>0</v>
      </c>
      <c r="Z113" s="233">
        <f>IF(AO113="1",BF113,0)</f>
        <v>0</v>
      </c>
      <c r="AA113" s="233">
        <f>IF(AO113="1",BG113,0)</f>
        <v>0</v>
      </c>
      <c r="AB113" s="233">
        <f>IF(AO113="7",BF113,0)</f>
        <v>0</v>
      </c>
      <c r="AC113" s="233">
        <f>IF(AO113="7",BG113,0)</f>
        <v>0</v>
      </c>
      <c r="AD113" s="233">
        <f>IF(AO113="2",BF113,0)</f>
        <v>0</v>
      </c>
      <c r="AE113" s="233">
        <f>IF(AO113="2",BG113,0)</f>
        <v>0</v>
      </c>
      <c r="AF113" s="233">
        <f>IF(AO113="0",BH113,0)</f>
        <v>0</v>
      </c>
      <c r="AG113" s="229" t="s">
        <v>154</v>
      </c>
      <c r="AH113" s="233">
        <f>IF(AL113=0,J113,0)</f>
        <v>0</v>
      </c>
      <c r="AI113" s="233">
        <f>IF(AL113=15,J113,0)</f>
        <v>0</v>
      </c>
      <c r="AJ113" s="233">
        <f>IF(AL113=21,J113,0)</f>
        <v>0</v>
      </c>
      <c r="AL113" s="233">
        <v>15</v>
      </c>
      <c r="AM113" s="233">
        <f>G113*0</f>
        <v>0</v>
      </c>
      <c r="AN113" s="233">
        <f>G113*(1-0)</f>
        <v>0</v>
      </c>
      <c r="AO113" s="234" t="s">
        <v>157</v>
      </c>
      <c r="AT113" s="233">
        <f>AU113+AV113</f>
        <v>0</v>
      </c>
      <c r="AU113" s="233">
        <f>F113*AM113</f>
        <v>0</v>
      </c>
      <c r="AV113" s="233">
        <f>F113*AN113</f>
        <v>0</v>
      </c>
      <c r="AW113" s="234" t="s">
        <v>366</v>
      </c>
      <c r="AX113" s="234" t="s">
        <v>356</v>
      </c>
      <c r="AY113" s="229" t="s">
        <v>164</v>
      </c>
      <c r="BA113" s="233">
        <f>AU113+AV113</f>
        <v>0</v>
      </c>
      <c r="BB113" s="233">
        <f>G113/(100-BC113)*100</f>
        <v>0</v>
      </c>
      <c r="BC113" s="233">
        <v>0</v>
      </c>
      <c r="BD113" s="233">
        <f>L113</f>
        <v>0</v>
      </c>
      <c r="BF113" s="233">
        <f>F113*AM113</f>
        <v>0</v>
      </c>
      <c r="BG113" s="233">
        <f>F113*AN113</f>
        <v>0</v>
      </c>
      <c r="BH113" s="233">
        <f>F113*G113</f>
        <v>0</v>
      </c>
      <c r="BI113" s="233"/>
      <c r="BJ113" s="233">
        <v>89</v>
      </c>
      <c r="BU113" s="233" t="e">
        <f>#REF!</f>
        <v>#REF!</v>
      </c>
      <c r="BV113" s="225" t="s">
        <v>903</v>
      </c>
    </row>
    <row r="114" spans="1:74" ht="13.5" customHeight="1" x14ac:dyDescent="0.3">
      <c r="A114" s="241"/>
      <c r="B114" s="242" t="s">
        <v>165</v>
      </c>
      <c r="C114" s="530" t="s">
        <v>904</v>
      </c>
      <c r="D114" s="531"/>
      <c r="E114" s="531"/>
      <c r="F114" s="531"/>
      <c r="G114" s="531"/>
      <c r="H114" s="531"/>
      <c r="I114" s="531"/>
      <c r="J114" s="531"/>
      <c r="K114" s="531"/>
      <c r="L114" s="531"/>
      <c r="M114" s="532"/>
    </row>
    <row r="115" spans="1:74" ht="14.4" x14ac:dyDescent="0.3">
      <c r="A115" s="239" t="s">
        <v>298</v>
      </c>
      <c r="B115" s="223" t="s">
        <v>911</v>
      </c>
      <c r="C115" s="521" t="s">
        <v>912</v>
      </c>
      <c r="D115" s="519"/>
      <c r="E115" s="223" t="s">
        <v>365</v>
      </c>
      <c r="F115" s="233">
        <v>1</v>
      </c>
      <c r="G115" s="311">
        <v>0</v>
      </c>
      <c r="H115" s="233">
        <f>F115*AM115</f>
        <v>0</v>
      </c>
      <c r="I115" s="233">
        <f>F115*AN115</f>
        <v>0</v>
      </c>
      <c r="J115" s="233">
        <f>F115*G115</f>
        <v>0</v>
      </c>
      <c r="K115" s="233">
        <v>0</v>
      </c>
      <c r="L115" s="233">
        <f>F115*K115</f>
        <v>0</v>
      </c>
      <c r="M115" s="240" t="s">
        <v>472</v>
      </c>
      <c r="X115" s="233">
        <f>IF(AO115="5",BH115,0)</f>
        <v>0</v>
      </c>
      <c r="Z115" s="233">
        <f>IF(AO115="1",BF115,0)</f>
        <v>0</v>
      </c>
      <c r="AA115" s="233">
        <f>IF(AO115="1",BG115,0)</f>
        <v>0</v>
      </c>
      <c r="AB115" s="233">
        <f>IF(AO115="7",BF115,0)</f>
        <v>0</v>
      </c>
      <c r="AC115" s="233">
        <f>IF(AO115="7",BG115,0)</f>
        <v>0</v>
      </c>
      <c r="AD115" s="233">
        <f>IF(AO115="2",BF115,0)</f>
        <v>0</v>
      </c>
      <c r="AE115" s="233">
        <f>IF(AO115="2",BG115,0)</f>
        <v>0</v>
      </c>
      <c r="AF115" s="233">
        <f>IF(AO115="0",BH115,0)</f>
        <v>0</v>
      </c>
      <c r="AG115" s="229" t="s">
        <v>154</v>
      </c>
      <c r="AH115" s="233">
        <f>IF(AL115=0,J115,0)</f>
        <v>0</v>
      </c>
      <c r="AI115" s="233">
        <f>IF(AL115=15,J115,0)</f>
        <v>0</v>
      </c>
      <c r="AJ115" s="233">
        <f>IF(AL115=21,J115,0)</f>
        <v>0</v>
      </c>
      <c r="AL115" s="233">
        <v>15</v>
      </c>
      <c r="AM115" s="233">
        <f>G115*0</f>
        <v>0</v>
      </c>
      <c r="AN115" s="233">
        <f>G115*(1-0)</f>
        <v>0</v>
      </c>
      <c r="AO115" s="234" t="s">
        <v>157</v>
      </c>
      <c r="AT115" s="233">
        <f>AU115+AV115</f>
        <v>0</v>
      </c>
      <c r="AU115" s="233">
        <f>F115*AM115</f>
        <v>0</v>
      </c>
      <c r="AV115" s="233">
        <f>F115*AN115</f>
        <v>0</v>
      </c>
      <c r="AW115" s="234" t="s">
        <v>366</v>
      </c>
      <c r="AX115" s="234" t="s">
        <v>356</v>
      </c>
      <c r="AY115" s="229" t="s">
        <v>164</v>
      </c>
      <c r="BA115" s="233">
        <f>AU115+AV115</f>
        <v>0</v>
      </c>
      <c r="BB115" s="233">
        <f>G115/(100-BC115)*100</f>
        <v>0</v>
      </c>
      <c r="BC115" s="233">
        <v>0</v>
      </c>
      <c r="BD115" s="233">
        <f>L115</f>
        <v>0</v>
      </c>
      <c r="BF115" s="233">
        <f>F115*AM115</f>
        <v>0</v>
      </c>
      <c r="BG115" s="233">
        <f>F115*AN115</f>
        <v>0</v>
      </c>
      <c r="BH115" s="233">
        <f>F115*G115</f>
        <v>0</v>
      </c>
      <c r="BI115" s="233"/>
      <c r="BJ115" s="233">
        <v>89</v>
      </c>
      <c r="BU115" s="233" t="e">
        <f>#REF!</f>
        <v>#REF!</v>
      </c>
      <c r="BV115" s="225" t="s">
        <v>912</v>
      </c>
    </row>
    <row r="116" spans="1:74" ht="13.5" customHeight="1" x14ac:dyDescent="0.3">
      <c r="A116" s="241"/>
      <c r="B116" s="242" t="s">
        <v>165</v>
      </c>
      <c r="C116" s="530" t="s">
        <v>913</v>
      </c>
      <c r="D116" s="531"/>
      <c r="E116" s="531"/>
      <c r="F116" s="531"/>
      <c r="G116" s="531"/>
      <c r="H116" s="531"/>
      <c r="I116" s="531"/>
      <c r="J116" s="531"/>
      <c r="K116" s="531"/>
      <c r="L116" s="531"/>
      <c r="M116" s="532"/>
    </row>
    <row r="117" spans="1:74" ht="14.4" x14ac:dyDescent="0.3">
      <c r="A117" s="239" t="s">
        <v>327</v>
      </c>
      <c r="B117" s="223" t="s">
        <v>914</v>
      </c>
      <c r="C117" s="521" t="s">
        <v>915</v>
      </c>
      <c r="D117" s="519"/>
      <c r="E117" s="223" t="s">
        <v>365</v>
      </c>
      <c r="F117" s="233">
        <v>2</v>
      </c>
      <c r="G117" s="311">
        <v>0</v>
      </c>
      <c r="H117" s="233">
        <f>F117*AM117</f>
        <v>0</v>
      </c>
      <c r="I117" s="233">
        <f>F117*AN117</f>
        <v>0</v>
      </c>
      <c r="J117" s="233">
        <f>F117*G117</f>
        <v>0</v>
      </c>
      <c r="K117" s="233">
        <v>0</v>
      </c>
      <c r="L117" s="233">
        <f>F117*K117</f>
        <v>0</v>
      </c>
      <c r="M117" s="240" t="s">
        <v>472</v>
      </c>
      <c r="X117" s="233">
        <f>IF(AO117="5",BH117,0)</f>
        <v>0</v>
      </c>
      <c r="Z117" s="233">
        <f>IF(AO117="1",BF117,0)</f>
        <v>0</v>
      </c>
      <c r="AA117" s="233">
        <f>IF(AO117="1",BG117,0)</f>
        <v>0</v>
      </c>
      <c r="AB117" s="233">
        <f>IF(AO117="7",BF117,0)</f>
        <v>0</v>
      </c>
      <c r="AC117" s="233">
        <f>IF(AO117="7",BG117,0)</f>
        <v>0</v>
      </c>
      <c r="AD117" s="233">
        <f>IF(AO117="2",BF117,0)</f>
        <v>0</v>
      </c>
      <c r="AE117" s="233">
        <f>IF(AO117="2",BG117,0)</f>
        <v>0</v>
      </c>
      <c r="AF117" s="233">
        <f>IF(AO117="0",BH117,0)</f>
        <v>0</v>
      </c>
      <c r="AG117" s="229" t="s">
        <v>154</v>
      </c>
      <c r="AH117" s="233">
        <f>IF(AL117=0,J117,0)</f>
        <v>0</v>
      </c>
      <c r="AI117" s="233">
        <f>IF(AL117=15,J117,0)</f>
        <v>0</v>
      </c>
      <c r="AJ117" s="233">
        <f>IF(AL117=21,J117,0)</f>
        <v>0</v>
      </c>
      <c r="AL117" s="233">
        <v>15</v>
      </c>
      <c r="AM117" s="233">
        <f>G117*0</f>
        <v>0</v>
      </c>
      <c r="AN117" s="233">
        <f>G117*(1-0)</f>
        <v>0</v>
      </c>
      <c r="AO117" s="234" t="s">
        <v>157</v>
      </c>
      <c r="AT117" s="233">
        <f>AU117+AV117</f>
        <v>0</v>
      </c>
      <c r="AU117" s="233">
        <f>F117*AM117</f>
        <v>0</v>
      </c>
      <c r="AV117" s="233">
        <f>F117*AN117</f>
        <v>0</v>
      </c>
      <c r="AW117" s="234" t="s">
        <v>366</v>
      </c>
      <c r="AX117" s="234" t="s">
        <v>356</v>
      </c>
      <c r="AY117" s="229" t="s">
        <v>164</v>
      </c>
      <c r="BA117" s="233">
        <f>AU117+AV117</f>
        <v>0</v>
      </c>
      <c r="BB117" s="233">
        <f>G117/(100-BC117)*100</f>
        <v>0</v>
      </c>
      <c r="BC117" s="233">
        <v>0</v>
      </c>
      <c r="BD117" s="233">
        <f>L117</f>
        <v>0</v>
      </c>
      <c r="BF117" s="233">
        <f>F117*AM117</f>
        <v>0</v>
      </c>
      <c r="BG117" s="233">
        <f>F117*AN117</f>
        <v>0</v>
      </c>
      <c r="BH117" s="233">
        <f>F117*G117</f>
        <v>0</v>
      </c>
      <c r="BI117" s="233"/>
      <c r="BJ117" s="233">
        <v>89</v>
      </c>
      <c r="BU117" s="233" t="e">
        <f>#REF!</f>
        <v>#REF!</v>
      </c>
      <c r="BV117" s="225" t="s">
        <v>915</v>
      </c>
    </row>
    <row r="118" spans="1:74" ht="13.5" customHeight="1" x14ac:dyDescent="0.3">
      <c r="A118" s="241"/>
      <c r="B118" s="242" t="s">
        <v>165</v>
      </c>
      <c r="C118" s="530" t="s">
        <v>916</v>
      </c>
      <c r="D118" s="531"/>
      <c r="E118" s="531"/>
      <c r="F118" s="531"/>
      <c r="G118" s="531"/>
      <c r="H118" s="531"/>
      <c r="I118" s="531"/>
      <c r="J118" s="531"/>
      <c r="K118" s="531"/>
      <c r="L118" s="531"/>
      <c r="M118" s="532"/>
    </row>
    <row r="119" spans="1:74" ht="14.4" x14ac:dyDescent="0.3">
      <c r="A119" s="239" t="s">
        <v>329</v>
      </c>
      <c r="B119" s="223" t="s">
        <v>917</v>
      </c>
      <c r="C119" s="521" t="s">
        <v>918</v>
      </c>
      <c r="D119" s="519"/>
      <c r="E119" s="223" t="s">
        <v>365</v>
      </c>
      <c r="F119" s="233">
        <v>1</v>
      </c>
      <c r="G119" s="311">
        <v>0</v>
      </c>
      <c r="H119" s="233">
        <f>F119*AM119</f>
        <v>0</v>
      </c>
      <c r="I119" s="233">
        <f>F119*AN119</f>
        <v>0</v>
      </c>
      <c r="J119" s="233">
        <f>F119*G119</f>
        <v>0</v>
      </c>
      <c r="K119" s="233">
        <v>1.17E-2</v>
      </c>
      <c r="L119" s="233">
        <f>F119*K119</f>
        <v>1.17E-2</v>
      </c>
      <c r="M119" s="240" t="s">
        <v>472</v>
      </c>
      <c r="X119" s="233">
        <f>IF(AO119="5",BH119,0)</f>
        <v>0</v>
      </c>
      <c r="Z119" s="233">
        <f>IF(AO119="1",BF119,0)</f>
        <v>0</v>
      </c>
      <c r="AA119" s="233">
        <f>IF(AO119="1",BG119,0)</f>
        <v>0</v>
      </c>
      <c r="AB119" s="233">
        <f>IF(AO119="7",BF119,0)</f>
        <v>0</v>
      </c>
      <c r="AC119" s="233">
        <f>IF(AO119="7",BG119,0)</f>
        <v>0</v>
      </c>
      <c r="AD119" s="233">
        <f>IF(AO119="2",BF119,0)</f>
        <v>0</v>
      </c>
      <c r="AE119" s="233">
        <f>IF(AO119="2",BG119,0)</f>
        <v>0</v>
      </c>
      <c r="AF119" s="233">
        <f>IF(AO119="0",BH119,0)</f>
        <v>0</v>
      </c>
      <c r="AG119" s="229" t="s">
        <v>154</v>
      </c>
      <c r="AH119" s="233">
        <f>IF(AL119=0,J119,0)</f>
        <v>0</v>
      </c>
      <c r="AI119" s="233">
        <f>IF(AL119=15,J119,0)</f>
        <v>0</v>
      </c>
      <c r="AJ119" s="233">
        <f>IF(AL119=21,J119,0)</f>
        <v>0</v>
      </c>
      <c r="AL119" s="233">
        <v>15</v>
      </c>
      <c r="AM119" s="233">
        <f>G119*0.018124281</f>
        <v>0</v>
      </c>
      <c r="AN119" s="233">
        <f>G119*(1-0.018124281)</f>
        <v>0</v>
      </c>
      <c r="AO119" s="234" t="s">
        <v>157</v>
      </c>
      <c r="AT119" s="233">
        <f>AU119+AV119</f>
        <v>0</v>
      </c>
      <c r="AU119" s="233">
        <f>F119*AM119</f>
        <v>0</v>
      </c>
      <c r="AV119" s="233">
        <f>F119*AN119</f>
        <v>0</v>
      </c>
      <c r="AW119" s="234" t="s">
        <v>366</v>
      </c>
      <c r="AX119" s="234" t="s">
        <v>356</v>
      </c>
      <c r="AY119" s="229" t="s">
        <v>164</v>
      </c>
      <c r="BA119" s="233">
        <f>AU119+AV119</f>
        <v>0</v>
      </c>
      <c r="BB119" s="233">
        <f>G119/(100-BC119)*100</f>
        <v>0</v>
      </c>
      <c r="BC119" s="233">
        <v>0</v>
      </c>
      <c r="BD119" s="233">
        <f>L119</f>
        <v>1.17E-2</v>
      </c>
      <c r="BF119" s="233">
        <f>F119*AM119</f>
        <v>0</v>
      </c>
      <c r="BG119" s="233">
        <f>F119*AN119</f>
        <v>0</v>
      </c>
      <c r="BH119" s="233">
        <f>F119*G119</f>
        <v>0</v>
      </c>
      <c r="BI119" s="233"/>
      <c r="BJ119" s="233">
        <v>89</v>
      </c>
      <c r="BU119" s="233" t="e">
        <f>#REF!</f>
        <v>#REF!</v>
      </c>
      <c r="BV119" s="225" t="s">
        <v>918</v>
      </c>
    </row>
    <row r="120" spans="1:74" ht="13.5" customHeight="1" x14ac:dyDescent="0.3">
      <c r="A120" s="241"/>
      <c r="B120" s="242" t="s">
        <v>165</v>
      </c>
      <c r="C120" s="530" t="s">
        <v>919</v>
      </c>
      <c r="D120" s="531"/>
      <c r="E120" s="531"/>
      <c r="F120" s="531"/>
      <c r="G120" s="531"/>
      <c r="H120" s="531"/>
      <c r="I120" s="531"/>
      <c r="J120" s="531"/>
      <c r="K120" s="531"/>
      <c r="L120" s="531"/>
      <c r="M120" s="532"/>
    </row>
    <row r="121" spans="1:74" ht="14.4" x14ac:dyDescent="0.3">
      <c r="A121" s="239" t="s">
        <v>332</v>
      </c>
      <c r="B121" s="223" t="s">
        <v>920</v>
      </c>
      <c r="C121" s="521" t="s">
        <v>921</v>
      </c>
      <c r="D121" s="519"/>
      <c r="E121" s="223" t="s">
        <v>160</v>
      </c>
      <c r="F121" s="233">
        <v>9</v>
      </c>
      <c r="G121" s="311">
        <v>0</v>
      </c>
      <c r="H121" s="233">
        <f>F121*AM121</f>
        <v>0</v>
      </c>
      <c r="I121" s="233">
        <f>F121*AN121</f>
        <v>0</v>
      </c>
      <c r="J121" s="233">
        <f>F121*G121</f>
        <v>0</v>
      </c>
      <c r="K121" s="233">
        <v>0</v>
      </c>
      <c r="L121" s="233">
        <f>F121*K121</f>
        <v>0</v>
      </c>
      <c r="M121" s="240" t="s">
        <v>472</v>
      </c>
      <c r="X121" s="233">
        <f>IF(AO121="5",BH121,0)</f>
        <v>0</v>
      </c>
      <c r="Z121" s="233">
        <f>IF(AO121="1",BF121,0)</f>
        <v>0</v>
      </c>
      <c r="AA121" s="233">
        <f>IF(AO121="1",BG121,0)</f>
        <v>0</v>
      </c>
      <c r="AB121" s="233">
        <f>IF(AO121="7",BF121,0)</f>
        <v>0</v>
      </c>
      <c r="AC121" s="233">
        <f>IF(AO121="7",BG121,0)</f>
        <v>0</v>
      </c>
      <c r="AD121" s="233">
        <f>IF(AO121="2",BF121,0)</f>
        <v>0</v>
      </c>
      <c r="AE121" s="233">
        <f>IF(AO121="2",BG121,0)</f>
        <v>0</v>
      </c>
      <c r="AF121" s="233">
        <f>IF(AO121="0",BH121,0)</f>
        <v>0</v>
      </c>
      <c r="AG121" s="229" t="s">
        <v>154</v>
      </c>
      <c r="AH121" s="233">
        <f>IF(AL121=0,J121,0)</f>
        <v>0</v>
      </c>
      <c r="AI121" s="233">
        <f>IF(AL121=15,J121,0)</f>
        <v>0</v>
      </c>
      <c r="AJ121" s="233">
        <f>IF(AL121=21,J121,0)</f>
        <v>0</v>
      </c>
      <c r="AL121" s="233">
        <v>15</v>
      </c>
      <c r="AM121" s="233">
        <f>G121*0.008105378</f>
        <v>0</v>
      </c>
      <c r="AN121" s="233">
        <f>G121*(1-0.008105378)</f>
        <v>0</v>
      </c>
      <c r="AO121" s="234" t="s">
        <v>157</v>
      </c>
      <c r="AT121" s="233">
        <f>AU121+AV121</f>
        <v>0</v>
      </c>
      <c r="AU121" s="233">
        <f>F121*AM121</f>
        <v>0</v>
      </c>
      <c r="AV121" s="233">
        <f>F121*AN121</f>
        <v>0</v>
      </c>
      <c r="AW121" s="234" t="s">
        <v>366</v>
      </c>
      <c r="AX121" s="234" t="s">
        <v>356</v>
      </c>
      <c r="AY121" s="229" t="s">
        <v>164</v>
      </c>
      <c r="BA121" s="233">
        <f>AU121+AV121</f>
        <v>0</v>
      </c>
      <c r="BB121" s="233">
        <f>G121/(100-BC121)*100</f>
        <v>0</v>
      </c>
      <c r="BC121" s="233">
        <v>0</v>
      </c>
      <c r="BD121" s="233">
        <f>L121</f>
        <v>0</v>
      </c>
      <c r="BF121" s="233">
        <f>F121*AM121</f>
        <v>0</v>
      </c>
      <c r="BG121" s="233">
        <f>F121*AN121</f>
        <v>0</v>
      </c>
      <c r="BH121" s="233">
        <f>F121*G121</f>
        <v>0</v>
      </c>
      <c r="BI121" s="233"/>
      <c r="BJ121" s="233">
        <v>89</v>
      </c>
      <c r="BU121" s="233" t="e">
        <f>#REF!</f>
        <v>#REF!</v>
      </c>
      <c r="BV121" s="225" t="s">
        <v>921</v>
      </c>
    </row>
    <row r="122" spans="1:74" ht="40.5" customHeight="1" x14ac:dyDescent="0.3">
      <c r="A122" s="241"/>
      <c r="B122" s="242" t="s">
        <v>165</v>
      </c>
      <c r="C122" s="530" t="s">
        <v>2032</v>
      </c>
      <c r="D122" s="531"/>
      <c r="E122" s="531"/>
      <c r="F122" s="531"/>
      <c r="G122" s="531"/>
      <c r="H122" s="531"/>
      <c r="I122" s="531"/>
      <c r="J122" s="531"/>
      <c r="K122" s="531"/>
      <c r="L122" s="531"/>
      <c r="M122" s="532"/>
    </row>
    <row r="123" spans="1:74" ht="14.4" x14ac:dyDescent="0.3">
      <c r="A123" s="239" t="s">
        <v>337</v>
      </c>
      <c r="B123" s="223" t="s">
        <v>922</v>
      </c>
      <c r="C123" s="521" t="s">
        <v>923</v>
      </c>
      <c r="D123" s="519"/>
      <c r="E123" s="223" t="s">
        <v>924</v>
      </c>
      <c r="F123" s="233">
        <v>1</v>
      </c>
      <c r="G123" s="311">
        <v>0</v>
      </c>
      <c r="H123" s="233">
        <f>F123*AM123</f>
        <v>0</v>
      </c>
      <c r="I123" s="233">
        <f>F123*AN123</f>
        <v>0</v>
      </c>
      <c r="J123" s="233">
        <f>F123*G123</f>
        <v>0</v>
      </c>
      <c r="K123" s="233">
        <v>4.0999999999999999E-4</v>
      </c>
      <c r="L123" s="233">
        <f>F123*K123</f>
        <v>4.0999999999999999E-4</v>
      </c>
      <c r="M123" s="240" t="s">
        <v>472</v>
      </c>
      <c r="X123" s="233">
        <f>IF(AO123="5",BH123,0)</f>
        <v>0</v>
      </c>
      <c r="Z123" s="233">
        <f>IF(AO123="1",BF123,0)</f>
        <v>0</v>
      </c>
      <c r="AA123" s="233">
        <f>IF(AO123="1",BG123,0)</f>
        <v>0</v>
      </c>
      <c r="AB123" s="233">
        <f>IF(AO123="7",BF123,0)</f>
        <v>0</v>
      </c>
      <c r="AC123" s="233">
        <f>IF(AO123="7",BG123,0)</f>
        <v>0</v>
      </c>
      <c r="AD123" s="233">
        <f>IF(AO123="2",BF123,0)</f>
        <v>0</v>
      </c>
      <c r="AE123" s="233">
        <f>IF(AO123="2",BG123,0)</f>
        <v>0</v>
      </c>
      <c r="AF123" s="233">
        <f>IF(AO123="0",BH123,0)</f>
        <v>0</v>
      </c>
      <c r="AG123" s="229" t="s">
        <v>154</v>
      </c>
      <c r="AH123" s="233">
        <f>IF(AL123=0,J123,0)</f>
        <v>0</v>
      </c>
      <c r="AI123" s="233">
        <f>IF(AL123=15,J123,0)</f>
        <v>0</v>
      </c>
      <c r="AJ123" s="233">
        <f>IF(AL123=21,J123,0)</f>
        <v>0</v>
      </c>
      <c r="AL123" s="233">
        <v>15</v>
      </c>
      <c r="AM123" s="233">
        <f>G123*0.120871568</f>
        <v>0</v>
      </c>
      <c r="AN123" s="233">
        <f>G123*(1-0.120871568)</f>
        <v>0</v>
      </c>
      <c r="AO123" s="234" t="s">
        <v>157</v>
      </c>
      <c r="AT123" s="233">
        <f>AU123+AV123</f>
        <v>0</v>
      </c>
      <c r="AU123" s="233">
        <f>F123*AM123</f>
        <v>0</v>
      </c>
      <c r="AV123" s="233">
        <f>F123*AN123</f>
        <v>0</v>
      </c>
      <c r="AW123" s="234" t="s">
        <v>366</v>
      </c>
      <c r="AX123" s="234" t="s">
        <v>356</v>
      </c>
      <c r="AY123" s="229" t="s">
        <v>164</v>
      </c>
      <c r="BA123" s="233">
        <f>AU123+AV123</f>
        <v>0</v>
      </c>
      <c r="BB123" s="233">
        <f>G123/(100-BC123)*100</f>
        <v>0</v>
      </c>
      <c r="BC123" s="233">
        <v>0</v>
      </c>
      <c r="BD123" s="233">
        <f>L123</f>
        <v>4.0999999999999999E-4</v>
      </c>
      <c r="BF123" s="233">
        <f>F123*AM123</f>
        <v>0</v>
      </c>
      <c r="BG123" s="233">
        <f>F123*AN123</f>
        <v>0</v>
      </c>
      <c r="BH123" s="233">
        <f>F123*G123</f>
        <v>0</v>
      </c>
      <c r="BI123" s="233"/>
      <c r="BJ123" s="233">
        <v>89</v>
      </c>
      <c r="BU123" s="233" t="e">
        <f>#REF!</f>
        <v>#REF!</v>
      </c>
      <c r="BV123" s="225" t="s">
        <v>923</v>
      </c>
    </row>
    <row r="124" spans="1:74" ht="40.5" customHeight="1" x14ac:dyDescent="0.3">
      <c r="A124" s="241"/>
      <c r="B124" s="242" t="s">
        <v>165</v>
      </c>
      <c r="C124" s="530" t="s">
        <v>1927</v>
      </c>
      <c r="D124" s="531"/>
      <c r="E124" s="531"/>
      <c r="F124" s="531"/>
      <c r="G124" s="531"/>
      <c r="H124" s="531"/>
      <c r="I124" s="531"/>
      <c r="J124" s="531"/>
      <c r="K124" s="531"/>
      <c r="L124" s="531"/>
      <c r="M124" s="532"/>
    </row>
    <row r="125" spans="1:74" ht="14.4" x14ac:dyDescent="0.3">
      <c r="A125" s="239" t="s">
        <v>341</v>
      </c>
      <c r="B125" s="223" t="s">
        <v>1006</v>
      </c>
      <c r="C125" s="521" t="s">
        <v>1007</v>
      </c>
      <c r="D125" s="519"/>
      <c r="E125" s="223" t="s">
        <v>160</v>
      </c>
      <c r="F125" s="233">
        <v>9</v>
      </c>
      <c r="G125" s="311">
        <v>0</v>
      </c>
      <c r="H125" s="233">
        <f>F125*AM125</f>
        <v>0</v>
      </c>
      <c r="I125" s="233">
        <f>F125*AN125</f>
        <v>0</v>
      </c>
      <c r="J125" s="233">
        <f>F125*G125</f>
        <v>0</v>
      </c>
      <c r="K125" s="233">
        <v>0</v>
      </c>
      <c r="L125" s="233">
        <f>F125*K125</f>
        <v>0</v>
      </c>
      <c r="M125" s="240" t="s">
        <v>472</v>
      </c>
      <c r="X125" s="233">
        <f>IF(AO125="5",BH125,0)</f>
        <v>0</v>
      </c>
      <c r="Z125" s="233">
        <f>IF(AO125="1",BF125,0)</f>
        <v>0</v>
      </c>
      <c r="AA125" s="233">
        <f>IF(AO125="1",BG125,0)</f>
        <v>0</v>
      </c>
      <c r="AB125" s="233">
        <f>IF(AO125="7",BF125,0)</f>
        <v>0</v>
      </c>
      <c r="AC125" s="233">
        <f>IF(AO125="7",BG125,0)</f>
        <v>0</v>
      </c>
      <c r="AD125" s="233">
        <f>IF(AO125="2",BF125,0)</f>
        <v>0</v>
      </c>
      <c r="AE125" s="233">
        <f>IF(AO125="2",BG125,0)</f>
        <v>0</v>
      </c>
      <c r="AF125" s="233">
        <f>IF(AO125="0",BH125,0)</f>
        <v>0</v>
      </c>
      <c r="AG125" s="229" t="s">
        <v>154</v>
      </c>
      <c r="AH125" s="233">
        <f>IF(AL125=0,J125,0)</f>
        <v>0</v>
      </c>
      <c r="AI125" s="233">
        <f>IF(AL125=15,J125,0)</f>
        <v>0</v>
      </c>
      <c r="AJ125" s="233">
        <f>IF(AL125=21,J125,0)</f>
        <v>0</v>
      </c>
      <c r="AL125" s="233">
        <v>15</v>
      </c>
      <c r="AM125" s="233">
        <f>G125*0.134557596</f>
        <v>0</v>
      </c>
      <c r="AN125" s="233">
        <f>G125*(1-0.134557596)</f>
        <v>0</v>
      </c>
      <c r="AO125" s="234" t="s">
        <v>157</v>
      </c>
      <c r="AT125" s="233">
        <f>AU125+AV125</f>
        <v>0</v>
      </c>
      <c r="AU125" s="233">
        <f>F125*AM125</f>
        <v>0</v>
      </c>
      <c r="AV125" s="233">
        <f>F125*AN125</f>
        <v>0</v>
      </c>
      <c r="AW125" s="234" t="s">
        <v>366</v>
      </c>
      <c r="AX125" s="234" t="s">
        <v>356</v>
      </c>
      <c r="AY125" s="229" t="s">
        <v>164</v>
      </c>
      <c r="BA125" s="233">
        <f>AU125+AV125</f>
        <v>0</v>
      </c>
      <c r="BB125" s="233">
        <f>G125/(100-BC125)*100</f>
        <v>0</v>
      </c>
      <c r="BC125" s="233">
        <v>0</v>
      </c>
      <c r="BD125" s="233">
        <f>L125</f>
        <v>0</v>
      </c>
      <c r="BF125" s="233">
        <f>F125*AM125</f>
        <v>0</v>
      </c>
      <c r="BG125" s="233">
        <f>F125*AN125</f>
        <v>0</v>
      </c>
      <c r="BH125" s="233">
        <f>F125*G125</f>
        <v>0</v>
      </c>
      <c r="BI125" s="233"/>
      <c r="BJ125" s="233">
        <v>89</v>
      </c>
      <c r="BU125" s="233" t="e">
        <f>#REF!</f>
        <v>#REF!</v>
      </c>
      <c r="BV125" s="225" t="s">
        <v>1007</v>
      </c>
    </row>
    <row r="126" spans="1:74" ht="40.5" customHeight="1" x14ac:dyDescent="0.3">
      <c r="A126" s="244"/>
      <c r="B126" s="245" t="s">
        <v>165</v>
      </c>
      <c r="C126" s="540" t="s">
        <v>2033</v>
      </c>
      <c r="D126" s="541"/>
      <c r="E126" s="541"/>
      <c r="F126" s="541"/>
      <c r="G126" s="541"/>
      <c r="H126" s="541"/>
      <c r="I126" s="541"/>
      <c r="J126" s="541"/>
      <c r="K126" s="541"/>
      <c r="L126" s="541"/>
      <c r="M126" s="542"/>
    </row>
    <row r="127" spans="1:74" ht="14.4" x14ac:dyDescent="0.3">
      <c r="A127" s="237" t="s">
        <v>346</v>
      </c>
      <c r="B127" s="238" t="s">
        <v>986</v>
      </c>
      <c r="C127" s="543" t="s">
        <v>987</v>
      </c>
      <c r="D127" s="544"/>
      <c r="E127" s="238" t="s">
        <v>160</v>
      </c>
      <c r="F127" s="258">
        <v>9</v>
      </c>
      <c r="G127" s="311">
        <v>0</v>
      </c>
      <c r="H127" s="258">
        <f>F127*AM127</f>
        <v>0</v>
      </c>
      <c r="I127" s="258">
        <f>F127*AN127</f>
        <v>0</v>
      </c>
      <c r="J127" s="258">
        <f>F127*G127</f>
        <v>0</v>
      </c>
      <c r="K127" s="258">
        <v>0</v>
      </c>
      <c r="L127" s="258">
        <f>F127*K127</f>
        <v>0</v>
      </c>
      <c r="M127" s="259" t="s">
        <v>472</v>
      </c>
      <c r="X127" s="233">
        <f>IF(AO127="5",BH127,0)</f>
        <v>0</v>
      </c>
      <c r="Z127" s="233">
        <f>IF(AO127="1",BF127,0)</f>
        <v>0</v>
      </c>
      <c r="AA127" s="233">
        <f>IF(AO127="1",BG127,0)</f>
        <v>0</v>
      </c>
      <c r="AB127" s="233">
        <f>IF(AO127="7",BF127,0)</f>
        <v>0</v>
      </c>
      <c r="AC127" s="233">
        <f>IF(AO127="7",BG127,0)</f>
        <v>0</v>
      </c>
      <c r="AD127" s="233">
        <f>IF(AO127="2",BF127,0)</f>
        <v>0</v>
      </c>
      <c r="AE127" s="233">
        <f>IF(AO127="2",BG127,0)</f>
        <v>0</v>
      </c>
      <c r="AF127" s="233">
        <f>IF(AO127="0",BH127,0)</f>
        <v>0</v>
      </c>
      <c r="AG127" s="229" t="s">
        <v>154</v>
      </c>
      <c r="AH127" s="233">
        <f>IF(AL127=0,J127,0)</f>
        <v>0</v>
      </c>
      <c r="AI127" s="233">
        <f>IF(AL127=15,J127,0)</f>
        <v>0</v>
      </c>
      <c r="AJ127" s="233">
        <f>IF(AL127=21,J127,0)</f>
        <v>0</v>
      </c>
      <c r="AL127" s="233">
        <v>15</v>
      </c>
      <c r="AM127" s="233">
        <f>G127*0</f>
        <v>0</v>
      </c>
      <c r="AN127" s="233">
        <f>G127*(1-0)</f>
        <v>0</v>
      </c>
      <c r="AO127" s="234" t="s">
        <v>157</v>
      </c>
      <c r="AT127" s="233">
        <f>AU127+AV127</f>
        <v>0</v>
      </c>
      <c r="AU127" s="233">
        <f>F127*AM127</f>
        <v>0</v>
      </c>
      <c r="AV127" s="233">
        <f>F127*AN127</f>
        <v>0</v>
      </c>
      <c r="AW127" s="234" t="s">
        <v>366</v>
      </c>
      <c r="AX127" s="234" t="s">
        <v>356</v>
      </c>
      <c r="AY127" s="229" t="s">
        <v>164</v>
      </c>
      <c r="BA127" s="233">
        <f>AU127+AV127</f>
        <v>0</v>
      </c>
      <c r="BB127" s="233">
        <f>G127/(100-BC127)*100</f>
        <v>0</v>
      </c>
      <c r="BC127" s="233">
        <v>0</v>
      </c>
      <c r="BD127" s="233">
        <f>L127</f>
        <v>0</v>
      </c>
      <c r="BF127" s="233">
        <f>F127*AM127</f>
        <v>0</v>
      </c>
      <c r="BG127" s="233">
        <f>F127*AN127</f>
        <v>0</v>
      </c>
      <c r="BH127" s="233">
        <f>F127*G127</f>
        <v>0</v>
      </c>
      <c r="BI127" s="233"/>
      <c r="BJ127" s="233">
        <v>89</v>
      </c>
      <c r="BU127" s="233" t="e">
        <f>#REF!</f>
        <v>#REF!</v>
      </c>
      <c r="BV127" s="225" t="s">
        <v>987</v>
      </c>
    </row>
    <row r="128" spans="1:74" ht="40.5" customHeight="1" x14ac:dyDescent="0.3">
      <c r="A128" s="241"/>
      <c r="B128" s="242" t="s">
        <v>165</v>
      </c>
      <c r="C128" s="530" t="s">
        <v>2034</v>
      </c>
      <c r="D128" s="531"/>
      <c r="E128" s="531"/>
      <c r="F128" s="531"/>
      <c r="G128" s="531"/>
      <c r="H128" s="531"/>
      <c r="I128" s="531"/>
      <c r="J128" s="531"/>
      <c r="K128" s="531"/>
      <c r="L128" s="531"/>
      <c r="M128" s="532"/>
    </row>
    <row r="129" spans="1:74" ht="14.4" x14ac:dyDescent="0.3">
      <c r="A129" s="239" t="s">
        <v>352</v>
      </c>
      <c r="B129" s="223" t="s">
        <v>438</v>
      </c>
      <c r="C129" s="521" t="s">
        <v>439</v>
      </c>
      <c r="D129" s="519"/>
      <c r="E129" s="223" t="s">
        <v>160</v>
      </c>
      <c r="F129" s="233">
        <v>9.9</v>
      </c>
      <c r="G129" s="311">
        <v>0</v>
      </c>
      <c r="H129" s="233">
        <f>F129*AM129</f>
        <v>0</v>
      </c>
      <c r="I129" s="233">
        <f>F129*AN129</f>
        <v>0</v>
      </c>
      <c r="J129" s="233">
        <f>F129*G129</f>
        <v>0</v>
      </c>
      <c r="K129" s="233">
        <v>0</v>
      </c>
      <c r="L129" s="233">
        <f>F129*K129</f>
        <v>0</v>
      </c>
      <c r="M129" s="240" t="s">
        <v>472</v>
      </c>
      <c r="X129" s="233">
        <f>IF(AO129="5",BH129,0)</f>
        <v>0</v>
      </c>
      <c r="Z129" s="233">
        <f>IF(AO129="1",BF129,0)</f>
        <v>0</v>
      </c>
      <c r="AA129" s="233">
        <f>IF(AO129="1",BG129,0)</f>
        <v>0</v>
      </c>
      <c r="AB129" s="233">
        <f>IF(AO129="7",BF129,0)</f>
        <v>0</v>
      </c>
      <c r="AC129" s="233">
        <f>IF(AO129="7",BG129,0)</f>
        <v>0</v>
      </c>
      <c r="AD129" s="233">
        <f>IF(AO129="2",BF129,0)</f>
        <v>0</v>
      </c>
      <c r="AE129" s="233">
        <f>IF(AO129="2",BG129,0)</f>
        <v>0</v>
      </c>
      <c r="AF129" s="233">
        <f>IF(AO129="0",BH129,0)</f>
        <v>0</v>
      </c>
      <c r="AG129" s="229" t="s">
        <v>154</v>
      </c>
      <c r="AH129" s="233">
        <f>IF(AL129=0,J129,0)</f>
        <v>0</v>
      </c>
      <c r="AI129" s="233">
        <f>IF(AL129=15,J129,0)</f>
        <v>0</v>
      </c>
      <c r="AJ129" s="233">
        <f>IF(AL129=21,J129,0)</f>
        <v>0</v>
      </c>
      <c r="AL129" s="233">
        <v>15</v>
      </c>
      <c r="AM129" s="233">
        <f>G129*0.354010152</f>
        <v>0</v>
      </c>
      <c r="AN129" s="233">
        <f>G129*(1-0.354010152)</f>
        <v>0</v>
      </c>
      <c r="AO129" s="234" t="s">
        <v>157</v>
      </c>
      <c r="AT129" s="233">
        <f>AU129+AV129</f>
        <v>0</v>
      </c>
      <c r="AU129" s="233">
        <f>F129*AM129</f>
        <v>0</v>
      </c>
      <c r="AV129" s="233">
        <f>F129*AN129</f>
        <v>0</v>
      </c>
      <c r="AW129" s="234" t="s">
        <v>366</v>
      </c>
      <c r="AX129" s="234" t="s">
        <v>356</v>
      </c>
      <c r="AY129" s="229" t="s">
        <v>164</v>
      </c>
      <c r="BA129" s="233">
        <f>AU129+AV129</f>
        <v>0</v>
      </c>
      <c r="BB129" s="233">
        <f>G129/(100-BC129)*100</f>
        <v>0</v>
      </c>
      <c r="BC129" s="233">
        <v>0</v>
      </c>
      <c r="BD129" s="233">
        <f>L129</f>
        <v>0</v>
      </c>
      <c r="BF129" s="233">
        <f>F129*AM129</f>
        <v>0</v>
      </c>
      <c r="BG129" s="233">
        <f>F129*AN129</f>
        <v>0</v>
      </c>
      <c r="BH129" s="233">
        <f>F129*G129</f>
        <v>0</v>
      </c>
      <c r="BI129" s="233"/>
      <c r="BJ129" s="233">
        <v>89</v>
      </c>
      <c r="BU129" s="233" t="e">
        <f>#REF!</f>
        <v>#REF!</v>
      </c>
      <c r="BV129" s="225" t="s">
        <v>439</v>
      </c>
    </row>
    <row r="130" spans="1:74" ht="40.5" customHeight="1" x14ac:dyDescent="0.3">
      <c r="A130" s="241"/>
      <c r="B130" s="242" t="s">
        <v>165</v>
      </c>
      <c r="C130" s="530" t="s">
        <v>2035</v>
      </c>
      <c r="D130" s="531"/>
      <c r="E130" s="531"/>
      <c r="F130" s="531"/>
      <c r="G130" s="531"/>
      <c r="H130" s="531"/>
      <c r="I130" s="531"/>
      <c r="J130" s="531"/>
      <c r="K130" s="531"/>
      <c r="L130" s="531"/>
      <c r="M130" s="532"/>
    </row>
    <row r="131" spans="1:74" ht="14.4" x14ac:dyDescent="0.3">
      <c r="A131" s="239" t="s">
        <v>154</v>
      </c>
      <c r="B131" s="224" t="s">
        <v>376</v>
      </c>
      <c r="C131" s="526" t="s">
        <v>377</v>
      </c>
      <c r="D131" s="527"/>
      <c r="E131" s="223" t="s">
        <v>114</v>
      </c>
      <c r="F131" s="223" t="s">
        <v>114</v>
      </c>
      <c r="G131" s="223" t="s">
        <v>114</v>
      </c>
      <c r="H131" s="235">
        <f>SUM(H132:H132)</f>
        <v>0</v>
      </c>
      <c r="I131" s="235">
        <f>SUM(I132:I132)</f>
        <v>0</v>
      </c>
      <c r="J131" s="235">
        <f>SUM(J132:J132)</f>
        <v>0</v>
      </c>
      <c r="K131" s="230" t="s">
        <v>154</v>
      </c>
      <c r="L131" s="235">
        <f>SUM(L132:L132)</f>
        <v>0</v>
      </c>
      <c r="M131" s="243" t="s">
        <v>154</v>
      </c>
      <c r="AG131" s="229" t="s">
        <v>154</v>
      </c>
      <c r="AQ131" s="222">
        <f>SUM(AH132:AH132)</f>
        <v>0</v>
      </c>
      <c r="AR131" s="222">
        <f>SUM(AI132:AI132)</f>
        <v>0</v>
      </c>
      <c r="AS131" s="222">
        <f>SUM(AJ132:AJ132)</f>
        <v>0</v>
      </c>
    </row>
    <row r="132" spans="1:74" ht="14.4" x14ac:dyDescent="0.3">
      <c r="A132" s="239" t="s">
        <v>357</v>
      </c>
      <c r="B132" s="223" t="s">
        <v>378</v>
      </c>
      <c r="C132" s="521" t="s">
        <v>379</v>
      </c>
      <c r="D132" s="519"/>
      <c r="E132" s="223" t="s">
        <v>380</v>
      </c>
      <c r="F132" s="233">
        <v>10.15</v>
      </c>
      <c r="G132" s="311">
        <v>0</v>
      </c>
      <c r="H132" s="233">
        <f>F132*AM132</f>
        <v>0</v>
      </c>
      <c r="I132" s="233">
        <f>F132*AN132</f>
        <v>0</v>
      </c>
      <c r="J132" s="233">
        <f>F132*G132</f>
        <v>0</v>
      </c>
      <c r="K132" s="233">
        <v>0</v>
      </c>
      <c r="L132" s="233">
        <f>F132*K132</f>
        <v>0</v>
      </c>
      <c r="M132" s="240" t="s">
        <v>472</v>
      </c>
      <c r="X132" s="233">
        <f>IF(AO132="5",BH132,0)</f>
        <v>0</v>
      </c>
      <c r="Z132" s="233">
        <f>IF(AO132="1",BF132,0)</f>
        <v>0</v>
      </c>
      <c r="AA132" s="233">
        <f>IF(AO132="1",BG132,0)</f>
        <v>0</v>
      </c>
      <c r="AB132" s="233">
        <f>IF(AO132="7",BF132,0)</f>
        <v>0</v>
      </c>
      <c r="AC132" s="233">
        <f>IF(AO132="7",BG132,0)</f>
        <v>0</v>
      </c>
      <c r="AD132" s="233">
        <f>IF(AO132="2",BF132,0)</f>
        <v>0</v>
      </c>
      <c r="AE132" s="233">
        <f>IF(AO132="2",BG132,0)</f>
        <v>0</v>
      </c>
      <c r="AF132" s="233">
        <f>IF(AO132="0",BH132,0)</f>
        <v>0</v>
      </c>
      <c r="AG132" s="229" t="s">
        <v>154</v>
      </c>
      <c r="AH132" s="233">
        <f>IF(AL132=0,J132,0)</f>
        <v>0</v>
      </c>
      <c r="AI132" s="233">
        <f>IF(AL132=15,J132,0)</f>
        <v>0</v>
      </c>
      <c r="AJ132" s="233">
        <f>IF(AL132=21,J132,0)</f>
        <v>0</v>
      </c>
      <c r="AL132" s="233">
        <v>15</v>
      </c>
      <c r="AM132" s="233">
        <f>G132*0</f>
        <v>0</v>
      </c>
      <c r="AN132" s="233">
        <f>G132*(1-0)</f>
        <v>0</v>
      </c>
      <c r="AO132" s="234" t="s">
        <v>157</v>
      </c>
      <c r="AT132" s="233">
        <f>AU132+AV132</f>
        <v>0</v>
      </c>
      <c r="AU132" s="233">
        <f>F132*AM132</f>
        <v>0</v>
      </c>
      <c r="AV132" s="233">
        <f>F132*AN132</f>
        <v>0</v>
      </c>
      <c r="AW132" s="234" t="s">
        <v>381</v>
      </c>
      <c r="AX132" s="234" t="s">
        <v>375</v>
      </c>
      <c r="AY132" s="229" t="s">
        <v>164</v>
      </c>
      <c r="BA132" s="233">
        <f>AU132+AV132</f>
        <v>0</v>
      </c>
      <c r="BB132" s="233">
        <f>G132/(100-BC132)*100</f>
        <v>0</v>
      </c>
      <c r="BC132" s="233">
        <v>0</v>
      </c>
      <c r="BD132" s="233">
        <f>L132</f>
        <v>0</v>
      </c>
      <c r="BF132" s="233">
        <f>F132*AM132</f>
        <v>0</v>
      </c>
      <c r="BG132" s="233">
        <f>F132*AN132</f>
        <v>0</v>
      </c>
      <c r="BH132" s="233">
        <f>F132*G132</f>
        <v>0</v>
      </c>
      <c r="BI132" s="233"/>
      <c r="BJ132" s="233">
        <v>97</v>
      </c>
      <c r="BU132" s="233" t="e">
        <f>#REF!</f>
        <v>#REF!</v>
      </c>
      <c r="BV132" s="225" t="s">
        <v>379</v>
      </c>
    </row>
    <row r="133" spans="1:74" ht="27" customHeight="1" x14ac:dyDescent="0.3">
      <c r="A133" s="241"/>
      <c r="B133" s="242" t="s">
        <v>165</v>
      </c>
      <c r="C133" s="530" t="s">
        <v>2036</v>
      </c>
      <c r="D133" s="531"/>
      <c r="E133" s="531"/>
      <c r="F133" s="531"/>
      <c r="G133" s="531"/>
      <c r="H133" s="531"/>
      <c r="I133" s="531"/>
      <c r="J133" s="531"/>
      <c r="K133" s="531"/>
      <c r="L133" s="531"/>
      <c r="M133" s="532"/>
    </row>
    <row r="134" spans="1:74" ht="14.4" x14ac:dyDescent="0.3">
      <c r="A134" s="239" t="s">
        <v>154</v>
      </c>
      <c r="B134" s="224" t="s">
        <v>382</v>
      </c>
      <c r="C134" s="526" t="s">
        <v>383</v>
      </c>
      <c r="D134" s="527"/>
      <c r="E134" s="223" t="s">
        <v>114</v>
      </c>
      <c r="F134" s="223" t="s">
        <v>114</v>
      </c>
      <c r="G134" s="223" t="s">
        <v>114</v>
      </c>
      <c r="H134" s="235">
        <f>SUM(H135:H140)</f>
        <v>0</v>
      </c>
      <c r="I134" s="235">
        <f>SUM(I135:I140)</f>
        <v>0</v>
      </c>
      <c r="J134" s="235">
        <f>SUM(J135:J140)</f>
        <v>0</v>
      </c>
      <c r="K134" s="230" t="s">
        <v>154</v>
      </c>
      <c r="L134" s="235">
        <f>SUM(L135:L140)</f>
        <v>0</v>
      </c>
      <c r="M134" s="243" t="s">
        <v>154</v>
      </c>
      <c r="AG134" s="229" t="s">
        <v>154</v>
      </c>
      <c r="AQ134" s="222">
        <f>SUM(AH135:AH140)</f>
        <v>0</v>
      </c>
      <c r="AR134" s="222">
        <f>SUM(AI135:AI140)</f>
        <v>0</v>
      </c>
      <c r="AS134" s="222">
        <f>SUM(AJ135:AJ140)</f>
        <v>0</v>
      </c>
    </row>
    <row r="135" spans="1:74" ht="14.4" x14ac:dyDescent="0.3">
      <c r="A135" s="239" t="s">
        <v>362</v>
      </c>
      <c r="B135" s="223" t="s">
        <v>385</v>
      </c>
      <c r="C135" s="521" t="s">
        <v>386</v>
      </c>
      <c r="D135" s="519"/>
      <c r="E135" s="223" t="s">
        <v>380</v>
      </c>
      <c r="F135" s="233">
        <v>13.54</v>
      </c>
      <c r="G135" s="311">
        <v>0</v>
      </c>
      <c r="H135" s="233">
        <f>F135*AM135</f>
        <v>0</v>
      </c>
      <c r="I135" s="233">
        <f>F135*AN135</f>
        <v>0</v>
      </c>
      <c r="J135" s="233">
        <f>F135*G135</f>
        <v>0</v>
      </c>
      <c r="K135" s="233">
        <v>0</v>
      </c>
      <c r="L135" s="233">
        <f>F135*K135</f>
        <v>0</v>
      </c>
      <c r="M135" s="240" t="s">
        <v>472</v>
      </c>
      <c r="X135" s="233">
        <f>IF(AO135="5",BH135,0)</f>
        <v>0</v>
      </c>
      <c r="Z135" s="233">
        <f>IF(AO135="1",BF135,0)</f>
        <v>0</v>
      </c>
      <c r="AA135" s="233">
        <f>IF(AO135="1",BG135,0)</f>
        <v>0</v>
      </c>
      <c r="AB135" s="233">
        <f>IF(AO135="7",BF135,0)</f>
        <v>0</v>
      </c>
      <c r="AC135" s="233">
        <f>IF(AO135="7",BG135,0)</f>
        <v>0</v>
      </c>
      <c r="AD135" s="233">
        <f>IF(AO135="2",BF135,0)</f>
        <v>0</v>
      </c>
      <c r="AE135" s="233">
        <f>IF(AO135="2",BG135,0)</f>
        <v>0</v>
      </c>
      <c r="AF135" s="233">
        <f>IF(AO135="0",BH135,0)</f>
        <v>0</v>
      </c>
      <c r="AG135" s="229" t="s">
        <v>154</v>
      </c>
      <c r="AH135" s="233">
        <f>IF(AL135=0,J135,0)</f>
        <v>0</v>
      </c>
      <c r="AI135" s="233">
        <f>IF(AL135=15,J135,0)</f>
        <v>0</v>
      </c>
      <c r="AJ135" s="233">
        <f>IF(AL135=21,J135,0)</f>
        <v>0</v>
      </c>
      <c r="AL135" s="233">
        <v>15</v>
      </c>
      <c r="AM135" s="233">
        <f>G135*0</f>
        <v>0</v>
      </c>
      <c r="AN135" s="233">
        <f>G135*(1-0)</f>
        <v>0</v>
      </c>
      <c r="AO135" s="234" t="s">
        <v>177</v>
      </c>
      <c r="AT135" s="233">
        <f>AU135+AV135</f>
        <v>0</v>
      </c>
      <c r="AU135" s="233">
        <f>F135*AM135</f>
        <v>0</v>
      </c>
      <c r="AV135" s="233">
        <f>F135*AN135</f>
        <v>0</v>
      </c>
      <c r="AW135" s="234" t="s">
        <v>387</v>
      </c>
      <c r="AX135" s="234" t="s">
        <v>375</v>
      </c>
      <c r="AY135" s="229" t="s">
        <v>164</v>
      </c>
      <c r="BA135" s="233">
        <f>AU135+AV135</f>
        <v>0</v>
      </c>
      <c r="BB135" s="233">
        <f>G135/(100-BC135)*100</f>
        <v>0</v>
      </c>
      <c r="BC135" s="233">
        <v>0</v>
      </c>
      <c r="BD135" s="233">
        <f>L135</f>
        <v>0</v>
      </c>
      <c r="BF135" s="233">
        <f>F135*AM135</f>
        <v>0</v>
      </c>
      <c r="BG135" s="233">
        <f>F135*AN135</f>
        <v>0</v>
      </c>
      <c r="BH135" s="233">
        <f>F135*G135</f>
        <v>0</v>
      </c>
      <c r="BI135" s="233"/>
      <c r="BJ135" s="233"/>
      <c r="BU135" s="233" t="e">
        <f>#REF!</f>
        <v>#REF!</v>
      </c>
      <c r="BV135" s="225" t="s">
        <v>386</v>
      </c>
    </row>
    <row r="136" spans="1:74" ht="14.4" x14ac:dyDescent="0.3">
      <c r="A136" s="239" t="s">
        <v>367</v>
      </c>
      <c r="B136" s="223" t="s">
        <v>388</v>
      </c>
      <c r="C136" s="521" t="s">
        <v>389</v>
      </c>
      <c r="D136" s="519"/>
      <c r="E136" s="223" t="s">
        <v>380</v>
      </c>
      <c r="F136" s="233">
        <v>233.56</v>
      </c>
      <c r="G136" s="311">
        <v>0</v>
      </c>
      <c r="H136" s="233">
        <f>F136*AM136</f>
        <v>0</v>
      </c>
      <c r="I136" s="233">
        <f>F136*AN136</f>
        <v>0</v>
      </c>
      <c r="J136" s="233">
        <f>F136*G136</f>
        <v>0</v>
      </c>
      <c r="K136" s="233">
        <v>0</v>
      </c>
      <c r="L136" s="233">
        <f>F136*K136</f>
        <v>0</v>
      </c>
      <c r="M136" s="240" t="s">
        <v>472</v>
      </c>
      <c r="X136" s="233">
        <f>IF(AO136="5",BH136,0)</f>
        <v>0</v>
      </c>
      <c r="Z136" s="233">
        <f>IF(AO136="1",BF136,0)</f>
        <v>0</v>
      </c>
      <c r="AA136" s="233">
        <f>IF(AO136="1",BG136,0)</f>
        <v>0</v>
      </c>
      <c r="AB136" s="233">
        <f>IF(AO136="7",BF136,0)</f>
        <v>0</v>
      </c>
      <c r="AC136" s="233">
        <f>IF(AO136="7",BG136,0)</f>
        <v>0</v>
      </c>
      <c r="AD136" s="233">
        <f>IF(AO136="2",BF136,0)</f>
        <v>0</v>
      </c>
      <c r="AE136" s="233">
        <f>IF(AO136="2",BG136,0)</f>
        <v>0</v>
      </c>
      <c r="AF136" s="233">
        <f>IF(AO136="0",BH136,0)</f>
        <v>0</v>
      </c>
      <c r="AG136" s="229" t="s">
        <v>154</v>
      </c>
      <c r="AH136" s="233">
        <f>IF(AL136=0,J136,0)</f>
        <v>0</v>
      </c>
      <c r="AI136" s="233">
        <f>IF(AL136=15,J136,0)</f>
        <v>0</v>
      </c>
      <c r="AJ136" s="233">
        <f>IF(AL136=21,J136,0)</f>
        <v>0</v>
      </c>
      <c r="AL136" s="233">
        <v>15</v>
      </c>
      <c r="AM136" s="233">
        <f>G136*0</f>
        <v>0</v>
      </c>
      <c r="AN136" s="233">
        <f>G136*(1-0)</f>
        <v>0</v>
      </c>
      <c r="AO136" s="234" t="s">
        <v>177</v>
      </c>
      <c r="AT136" s="233">
        <f>AU136+AV136</f>
        <v>0</v>
      </c>
      <c r="AU136" s="233">
        <f>F136*AM136</f>
        <v>0</v>
      </c>
      <c r="AV136" s="233">
        <f>F136*AN136</f>
        <v>0</v>
      </c>
      <c r="AW136" s="234" t="s">
        <v>387</v>
      </c>
      <c r="AX136" s="234" t="s">
        <v>375</v>
      </c>
      <c r="AY136" s="229" t="s">
        <v>164</v>
      </c>
      <c r="BA136" s="233">
        <f>AU136+AV136</f>
        <v>0</v>
      </c>
      <c r="BB136" s="233">
        <f>G136/(100-BC136)*100</f>
        <v>0</v>
      </c>
      <c r="BC136" s="233">
        <v>0</v>
      </c>
      <c r="BD136" s="233">
        <f>L136</f>
        <v>0</v>
      </c>
      <c r="BF136" s="233">
        <f>F136*AM136</f>
        <v>0</v>
      </c>
      <c r="BG136" s="233">
        <f>F136*AN136</f>
        <v>0</v>
      </c>
      <c r="BH136" s="233">
        <f>F136*G136</f>
        <v>0</v>
      </c>
      <c r="BI136" s="233"/>
      <c r="BJ136" s="233"/>
      <c r="BU136" s="233" t="e">
        <f>#REF!</f>
        <v>#REF!</v>
      </c>
      <c r="BV136" s="225" t="s">
        <v>389</v>
      </c>
    </row>
    <row r="137" spans="1:74" ht="40.5" customHeight="1" x14ac:dyDescent="0.3">
      <c r="A137" s="241"/>
      <c r="B137" s="242" t="s">
        <v>165</v>
      </c>
      <c r="C137" s="530" t="s">
        <v>2037</v>
      </c>
      <c r="D137" s="531"/>
      <c r="E137" s="531"/>
      <c r="F137" s="531"/>
      <c r="G137" s="531"/>
      <c r="H137" s="531"/>
      <c r="I137" s="531"/>
      <c r="J137" s="531"/>
      <c r="K137" s="531"/>
      <c r="L137" s="531"/>
      <c r="M137" s="532"/>
    </row>
    <row r="138" spans="1:74" ht="14.4" x14ac:dyDescent="0.3">
      <c r="A138" s="239" t="s">
        <v>305</v>
      </c>
      <c r="B138" s="223" t="s">
        <v>391</v>
      </c>
      <c r="C138" s="521" t="s">
        <v>392</v>
      </c>
      <c r="D138" s="519"/>
      <c r="E138" s="223" t="s">
        <v>380</v>
      </c>
      <c r="F138" s="233">
        <v>3.38</v>
      </c>
      <c r="G138" s="311">
        <v>0</v>
      </c>
      <c r="H138" s="233">
        <f>F138*AM138</f>
        <v>0</v>
      </c>
      <c r="I138" s="233">
        <f>F138*AN138</f>
        <v>0</v>
      </c>
      <c r="J138" s="233">
        <f>F138*G138</f>
        <v>0</v>
      </c>
      <c r="K138" s="233">
        <v>0</v>
      </c>
      <c r="L138" s="233">
        <f>F138*K138</f>
        <v>0</v>
      </c>
      <c r="M138" s="240" t="s">
        <v>472</v>
      </c>
      <c r="X138" s="233">
        <f>IF(AO138="5",BH138,0)</f>
        <v>0</v>
      </c>
      <c r="Z138" s="233">
        <f>IF(AO138="1",BF138,0)</f>
        <v>0</v>
      </c>
      <c r="AA138" s="233">
        <f>IF(AO138="1",BG138,0)</f>
        <v>0</v>
      </c>
      <c r="AB138" s="233">
        <f>IF(AO138="7",BF138,0)</f>
        <v>0</v>
      </c>
      <c r="AC138" s="233">
        <f>IF(AO138="7",BG138,0)</f>
        <v>0</v>
      </c>
      <c r="AD138" s="233">
        <f>IF(AO138="2",BF138,0)</f>
        <v>0</v>
      </c>
      <c r="AE138" s="233">
        <f>IF(AO138="2",BG138,0)</f>
        <v>0</v>
      </c>
      <c r="AF138" s="233">
        <f>IF(AO138="0",BH138,0)</f>
        <v>0</v>
      </c>
      <c r="AG138" s="229" t="s">
        <v>154</v>
      </c>
      <c r="AH138" s="233">
        <f>IF(AL138=0,J138,0)</f>
        <v>0</v>
      </c>
      <c r="AI138" s="233">
        <f>IF(AL138=15,J138,0)</f>
        <v>0</v>
      </c>
      <c r="AJ138" s="233">
        <f>IF(AL138=21,J138,0)</f>
        <v>0</v>
      </c>
      <c r="AL138" s="233">
        <v>15</v>
      </c>
      <c r="AM138" s="233">
        <f>G138*0</f>
        <v>0</v>
      </c>
      <c r="AN138" s="233">
        <f>G138*(1-0)</f>
        <v>0</v>
      </c>
      <c r="AO138" s="234" t="s">
        <v>177</v>
      </c>
      <c r="AT138" s="233">
        <f>AU138+AV138</f>
        <v>0</v>
      </c>
      <c r="AU138" s="233">
        <f>F138*AM138</f>
        <v>0</v>
      </c>
      <c r="AV138" s="233">
        <f>F138*AN138</f>
        <v>0</v>
      </c>
      <c r="AW138" s="234" t="s">
        <v>387</v>
      </c>
      <c r="AX138" s="234" t="s">
        <v>375</v>
      </c>
      <c r="AY138" s="229" t="s">
        <v>164</v>
      </c>
      <c r="BA138" s="233">
        <f>AU138+AV138</f>
        <v>0</v>
      </c>
      <c r="BB138" s="233">
        <f>G138/(100-BC138)*100</f>
        <v>0</v>
      </c>
      <c r="BC138" s="233">
        <v>0</v>
      </c>
      <c r="BD138" s="233">
        <f>L138</f>
        <v>0</v>
      </c>
      <c r="BF138" s="233">
        <f>F138*AM138</f>
        <v>0</v>
      </c>
      <c r="BG138" s="233">
        <f>F138*AN138</f>
        <v>0</v>
      </c>
      <c r="BH138" s="233">
        <f>F138*G138</f>
        <v>0</v>
      </c>
      <c r="BI138" s="233"/>
      <c r="BJ138" s="233"/>
      <c r="BU138" s="233" t="e">
        <f>#REF!</f>
        <v>#REF!</v>
      </c>
      <c r="BV138" s="225" t="s">
        <v>392</v>
      </c>
    </row>
    <row r="139" spans="1:74" ht="40.5" customHeight="1" x14ac:dyDescent="0.3">
      <c r="A139" s="241"/>
      <c r="B139" s="242" t="s">
        <v>165</v>
      </c>
      <c r="C139" s="530" t="s">
        <v>2038</v>
      </c>
      <c r="D139" s="531"/>
      <c r="E139" s="531"/>
      <c r="F139" s="531"/>
      <c r="G139" s="531"/>
      <c r="H139" s="531"/>
      <c r="I139" s="531"/>
      <c r="J139" s="531"/>
      <c r="K139" s="531"/>
      <c r="L139" s="531"/>
      <c r="M139" s="532"/>
    </row>
    <row r="140" spans="1:74" ht="26.4" x14ac:dyDescent="0.3">
      <c r="A140" s="239" t="s">
        <v>335</v>
      </c>
      <c r="B140" s="223" t="s">
        <v>385</v>
      </c>
      <c r="C140" s="521" t="s">
        <v>443</v>
      </c>
      <c r="D140" s="519"/>
      <c r="E140" s="223" t="s">
        <v>380</v>
      </c>
      <c r="F140" s="233">
        <v>22.99</v>
      </c>
      <c r="G140" s="311">
        <v>0</v>
      </c>
      <c r="H140" s="233">
        <f>F140*AM140</f>
        <v>0</v>
      </c>
      <c r="I140" s="233">
        <f>F140*AN140</f>
        <v>0</v>
      </c>
      <c r="J140" s="233">
        <f>F140*G140</f>
        <v>0</v>
      </c>
      <c r="K140" s="233">
        <v>0</v>
      </c>
      <c r="L140" s="233">
        <f>F140*K140</f>
        <v>0</v>
      </c>
      <c r="M140" s="240" t="s">
        <v>472</v>
      </c>
      <c r="X140" s="233">
        <f>IF(AO140="5",BH140,0)</f>
        <v>0</v>
      </c>
      <c r="Z140" s="233">
        <f>IF(AO140="1",BF140,0)</f>
        <v>0</v>
      </c>
      <c r="AA140" s="233">
        <f>IF(AO140="1",BG140,0)</f>
        <v>0</v>
      </c>
      <c r="AB140" s="233">
        <f>IF(AO140="7",BF140,0)</f>
        <v>0</v>
      </c>
      <c r="AC140" s="233">
        <f>IF(AO140="7",BG140,0)</f>
        <v>0</v>
      </c>
      <c r="AD140" s="233">
        <f>IF(AO140="2",BF140,0)</f>
        <v>0</v>
      </c>
      <c r="AE140" s="233">
        <f>IF(AO140="2",BG140,0)</f>
        <v>0</v>
      </c>
      <c r="AF140" s="233">
        <f>IF(AO140="0",BH140,0)</f>
        <v>0</v>
      </c>
      <c r="AG140" s="229" t="s">
        <v>154</v>
      </c>
      <c r="AH140" s="233">
        <f>IF(AL140=0,J140,0)</f>
        <v>0</v>
      </c>
      <c r="AI140" s="233">
        <f>IF(AL140=15,J140,0)</f>
        <v>0</v>
      </c>
      <c r="AJ140" s="233">
        <f>IF(AL140=21,J140,0)</f>
        <v>0</v>
      </c>
      <c r="AL140" s="233">
        <v>15</v>
      </c>
      <c r="AM140" s="233">
        <f>G140*0</f>
        <v>0</v>
      </c>
      <c r="AN140" s="233">
        <f>G140*(1-0)</f>
        <v>0</v>
      </c>
      <c r="AO140" s="234" t="s">
        <v>177</v>
      </c>
      <c r="AT140" s="233">
        <f>AU140+AV140</f>
        <v>0</v>
      </c>
      <c r="AU140" s="233">
        <f>F140*AM140</f>
        <v>0</v>
      </c>
      <c r="AV140" s="233">
        <f>F140*AN140</f>
        <v>0</v>
      </c>
      <c r="AW140" s="234" t="s">
        <v>387</v>
      </c>
      <c r="AX140" s="234" t="s">
        <v>375</v>
      </c>
      <c r="AY140" s="229" t="s">
        <v>164</v>
      </c>
      <c r="BA140" s="233">
        <f>AU140+AV140</f>
        <v>0</v>
      </c>
      <c r="BB140" s="233">
        <f>G140/(100-BC140)*100</f>
        <v>0</v>
      </c>
      <c r="BC140" s="233">
        <v>0</v>
      </c>
      <c r="BD140" s="233">
        <f>L140</f>
        <v>0</v>
      </c>
      <c r="BF140" s="233">
        <f>F140*AM140</f>
        <v>0</v>
      </c>
      <c r="BG140" s="233">
        <f>F140*AN140</f>
        <v>0</v>
      </c>
      <c r="BH140" s="233">
        <f>F140*G140</f>
        <v>0</v>
      </c>
      <c r="BI140" s="233"/>
      <c r="BJ140" s="233"/>
      <c r="BU140" s="233" t="e">
        <f>#REF!</f>
        <v>#REF!</v>
      </c>
      <c r="BV140" s="225" t="s">
        <v>443</v>
      </c>
    </row>
    <row r="141" spans="1:74" ht="14.4" x14ac:dyDescent="0.3">
      <c r="A141" s="239" t="s">
        <v>154</v>
      </c>
      <c r="B141" s="224" t="s">
        <v>399</v>
      </c>
      <c r="C141" s="526" t="s">
        <v>400</v>
      </c>
      <c r="D141" s="527"/>
      <c r="E141" s="223" t="s">
        <v>114</v>
      </c>
      <c r="F141" s="223" t="s">
        <v>114</v>
      </c>
      <c r="G141" s="223" t="s">
        <v>114</v>
      </c>
      <c r="H141" s="235">
        <f>SUM(H142:H144)</f>
        <v>0</v>
      </c>
      <c r="I141" s="235">
        <f>SUM(I142:I144)</f>
        <v>0</v>
      </c>
      <c r="J141" s="235">
        <f>SUM(J142:J144)</f>
        <v>0</v>
      </c>
      <c r="K141" s="230" t="s">
        <v>154</v>
      </c>
      <c r="L141" s="235">
        <f>SUM(L142:L144)</f>
        <v>0</v>
      </c>
      <c r="M141" s="243" t="s">
        <v>154</v>
      </c>
      <c r="AG141" s="229" t="s">
        <v>154</v>
      </c>
      <c r="AQ141" s="222">
        <f>SUM(AH142:AH144)</f>
        <v>0</v>
      </c>
      <c r="AR141" s="222">
        <f>SUM(AI142:AI144)</f>
        <v>0</v>
      </c>
      <c r="AS141" s="222">
        <f>SUM(AJ142:AJ144)</f>
        <v>0</v>
      </c>
    </row>
    <row r="142" spans="1:74" ht="14.4" x14ac:dyDescent="0.3">
      <c r="A142" s="239" t="s">
        <v>384</v>
      </c>
      <c r="B142" s="223" t="s">
        <v>402</v>
      </c>
      <c r="C142" s="521" t="s">
        <v>403</v>
      </c>
      <c r="D142" s="519"/>
      <c r="E142" s="223" t="s">
        <v>380</v>
      </c>
      <c r="F142" s="233">
        <v>0.36</v>
      </c>
      <c r="G142" s="311">
        <v>0</v>
      </c>
      <c r="H142" s="233">
        <f>F142*AM142</f>
        <v>0</v>
      </c>
      <c r="I142" s="233">
        <f>F142*AN142</f>
        <v>0</v>
      </c>
      <c r="J142" s="233">
        <f>F142*G142</f>
        <v>0</v>
      </c>
      <c r="K142" s="233">
        <v>0</v>
      </c>
      <c r="L142" s="233">
        <f>F142*K142</f>
        <v>0</v>
      </c>
      <c r="M142" s="240" t="s">
        <v>472</v>
      </c>
      <c r="X142" s="233">
        <f>IF(AO142="5",BH142,0)</f>
        <v>0</v>
      </c>
      <c r="Z142" s="233">
        <f>IF(AO142="1",BF142,0)</f>
        <v>0</v>
      </c>
      <c r="AA142" s="233">
        <f>IF(AO142="1",BG142,0)</f>
        <v>0</v>
      </c>
      <c r="AB142" s="233">
        <f>IF(AO142="7",BF142,0)</f>
        <v>0</v>
      </c>
      <c r="AC142" s="233">
        <f>IF(AO142="7",BG142,0)</f>
        <v>0</v>
      </c>
      <c r="AD142" s="233">
        <f>IF(AO142="2",BF142,0)</f>
        <v>0</v>
      </c>
      <c r="AE142" s="233">
        <f>IF(AO142="2",BG142,0)</f>
        <v>0</v>
      </c>
      <c r="AF142" s="233">
        <f>IF(AO142="0",BH142,0)</f>
        <v>0</v>
      </c>
      <c r="AG142" s="229" t="s">
        <v>154</v>
      </c>
      <c r="AH142" s="233">
        <f>IF(AL142=0,J142,0)</f>
        <v>0</v>
      </c>
      <c r="AI142" s="233">
        <f>IF(AL142=15,J142,0)</f>
        <v>0</v>
      </c>
      <c r="AJ142" s="233">
        <f>IF(AL142=21,J142,0)</f>
        <v>0</v>
      </c>
      <c r="AL142" s="233">
        <v>15</v>
      </c>
      <c r="AM142" s="233">
        <f>G142*0</f>
        <v>0</v>
      </c>
      <c r="AN142" s="233">
        <f>G142*(1-0)</f>
        <v>0</v>
      </c>
      <c r="AO142" s="234" t="s">
        <v>177</v>
      </c>
      <c r="AT142" s="233">
        <f>AU142+AV142</f>
        <v>0</v>
      </c>
      <c r="AU142" s="233">
        <f>F142*AM142</f>
        <v>0</v>
      </c>
      <c r="AV142" s="233">
        <f>F142*AN142</f>
        <v>0</v>
      </c>
      <c r="AW142" s="234" t="s">
        <v>404</v>
      </c>
      <c r="AX142" s="234" t="s">
        <v>375</v>
      </c>
      <c r="AY142" s="229" t="s">
        <v>164</v>
      </c>
      <c r="BA142" s="233">
        <f>AU142+AV142</f>
        <v>0</v>
      </c>
      <c r="BB142" s="233">
        <f>G142/(100-BC142)*100</f>
        <v>0</v>
      </c>
      <c r="BC142" s="233">
        <v>0</v>
      </c>
      <c r="BD142" s="233">
        <f>L142</f>
        <v>0</v>
      </c>
      <c r="BF142" s="233">
        <f>F142*AM142</f>
        <v>0</v>
      </c>
      <c r="BG142" s="233">
        <f>F142*AN142</f>
        <v>0</v>
      </c>
      <c r="BH142" s="233">
        <f>F142*G142</f>
        <v>0</v>
      </c>
      <c r="BI142" s="233"/>
      <c r="BJ142" s="233"/>
      <c r="BU142" s="233" t="e">
        <f>#REF!</f>
        <v>#REF!</v>
      </c>
      <c r="BV142" s="225" t="s">
        <v>403</v>
      </c>
    </row>
    <row r="143" spans="1:74" ht="14.4" x14ac:dyDescent="0.3">
      <c r="A143" s="239" t="s">
        <v>344</v>
      </c>
      <c r="B143" s="223" t="s">
        <v>406</v>
      </c>
      <c r="C143" s="521" t="s">
        <v>407</v>
      </c>
      <c r="D143" s="519"/>
      <c r="E143" s="223" t="s">
        <v>380</v>
      </c>
      <c r="F143" s="233">
        <v>16.86</v>
      </c>
      <c r="G143" s="311">
        <v>0</v>
      </c>
      <c r="H143" s="233">
        <f>F143*AM143</f>
        <v>0</v>
      </c>
      <c r="I143" s="233">
        <f>F143*AN143</f>
        <v>0</v>
      </c>
      <c r="J143" s="233">
        <f>F143*G143</f>
        <v>0</v>
      </c>
      <c r="K143" s="233">
        <v>0</v>
      </c>
      <c r="L143" s="233">
        <f>F143*K143</f>
        <v>0</v>
      </c>
      <c r="M143" s="240" t="s">
        <v>472</v>
      </c>
      <c r="X143" s="233">
        <f>IF(AO143="5",BH143,0)</f>
        <v>0</v>
      </c>
      <c r="Z143" s="233">
        <f>IF(AO143="1",BF143,0)</f>
        <v>0</v>
      </c>
      <c r="AA143" s="233">
        <f>IF(AO143="1",BG143,0)</f>
        <v>0</v>
      </c>
      <c r="AB143" s="233">
        <f>IF(AO143="7",BF143,0)</f>
        <v>0</v>
      </c>
      <c r="AC143" s="233">
        <f>IF(AO143="7",BG143,0)</f>
        <v>0</v>
      </c>
      <c r="AD143" s="233">
        <f>IF(AO143="2",BF143,0)</f>
        <v>0</v>
      </c>
      <c r="AE143" s="233">
        <f>IF(AO143="2",BG143,0)</f>
        <v>0</v>
      </c>
      <c r="AF143" s="233">
        <f>IF(AO143="0",BH143,0)</f>
        <v>0</v>
      </c>
      <c r="AG143" s="229" t="s">
        <v>154</v>
      </c>
      <c r="AH143" s="233">
        <f>IF(AL143=0,J143,0)</f>
        <v>0</v>
      </c>
      <c r="AI143" s="233">
        <f>IF(AL143=15,J143,0)</f>
        <v>0</v>
      </c>
      <c r="AJ143" s="233">
        <f>IF(AL143=21,J143,0)</f>
        <v>0</v>
      </c>
      <c r="AL143" s="233">
        <v>15</v>
      </c>
      <c r="AM143" s="233">
        <f>G143*0</f>
        <v>0</v>
      </c>
      <c r="AN143" s="233">
        <f>G143*(1-0)</f>
        <v>0</v>
      </c>
      <c r="AO143" s="234" t="s">
        <v>177</v>
      </c>
      <c r="AT143" s="233">
        <f>AU143+AV143</f>
        <v>0</v>
      </c>
      <c r="AU143" s="233">
        <f>F143*AM143</f>
        <v>0</v>
      </c>
      <c r="AV143" s="233">
        <f>F143*AN143</f>
        <v>0</v>
      </c>
      <c r="AW143" s="234" t="s">
        <v>404</v>
      </c>
      <c r="AX143" s="234" t="s">
        <v>375</v>
      </c>
      <c r="AY143" s="229" t="s">
        <v>164</v>
      </c>
      <c r="BA143" s="233">
        <f>AU143+AV143</f>
        <v>0</v>
      </c>
      <c r="BB143" s="233">
        <f>G143/(100-BC143)*100</f>
        <v>0</v>
      </c>
      <c r="BC143" s="233">
        <v>0</v>
      </c>
      <c r="BD143" s="233">
        <f>L143</f>
        <v>0</v>
      </c>
      <c r="BF143" s="233">
        <f>F143*AM143</f>
        <v>0</v>
      </c>
      <c r="BG143" s="233">
        <f>F143*AN143</f>
        <v>0</v>
      </c>
      <c r="BH143" s="233">
        <f>F143*G143</f>
        <v>0</v>
      </c>
      <c r="BI143" s="233"/>
      <c r="BJ143" s="233"/>
      <c r="BU143" s="233" t="e">
        <f>#REF!</f>
        <v>#REF!</v>
      </c>
      <c r="BV143" s="225" t="s">
        <v>407</v>
      </c>
    </row>
    <row r="144" spans="1:74" ht="26.4" x14ac:dyDescent="0.3">
      <c r="A144" s="239" t="s">
        <v>390</v>
      </c>
      <c r="B144" s="223" t="s">
        <v>409</v>
      </c>
      <c r="C144" s="521" t="s">
        <v>1032</v>
      </c>
      <c r="D144" s="519"/>
      <c r="E144" s="223" t="s">
        <v>380</v>
      </c>
      <c r="F144" s="233">
        <v>3.55</v>
      </c>
      <c r="G144" s="311">
        <v>0</v>
      </c>
      <c r="H144" s="233">
        <f>F144*AM144</f>
        <v>0</v>
      </c>
      <c r="I144" s="233">
        <f>F144*AN144</f>
        <v>0</v>
      </c>
      <c r="J144" s="233">
        <f>F144*G144</f>
        <v>0</v>
      </c>
      <c r="K144" s="233">
        <v>0</v>
      </c>
      <c r="L144" s="233">
        <f>F144*K144</f>
        <v>0</v>
      </c>
      <c r="M144" s="240" t="s">
        <v>472</v>
      </c>
      <c r="X144" s="233">
        <f>IF(AO144="5",BH144,0)</f>
        <v>0</v>
      </c>
      <c r="Z144" s="233">
        <f>IF(AO144="1",BF144,0)</f>
        <v>0</v>
      </c>
      <c r="AA144" s="233">
        <f>IF(AO144="1",BG144,0)</f>
        <v>0</v>
      </c>
      <c r="AB144" s="233">
        <f>IF(AO144="7",BF144,0)</f>
        <v>0</v>
      </c>
      <c r="AC144" s="233">
        <f>IF(AO144="7",BG144,0)</f>
        <v>0</v>
      </c>
      <c r="AD144" s="233">
        <f>IF(AO144="2",BF144,0)</f>
        <v>0</v>
      </c>
      <c r="AE144" s="233">
        <f>IF(AO144="2",BG144,0)</f>
        <v>0</v>
      </c>
      <c r="AF144" s="233">
        <f>IF(AO144="0",BH144,0)</f>
        <v>0</v>
      </c>
      <c r="AG144" s="229" t="s">
        <v>154</v>
      </c>
      <c r="AH144" s="233">
        <f>IF(AL144=0,J144,0)</f>
        <v>0</v>
      </c>
      <c r="AI144" s="233">
        <f>IF(AL144=15,J144,0)</f>
        <v>0</v>
      </c>
      <c r="AJ144" s="233">
        <f>IF(AL144=21,J144,0)</f>
        <v>0</v>
      </c>
      <c r="AL144" s="233">
        <v>15</v>
      </c>
      <c r="AM144" s="233">
        <f>G144*0</f>
        <v>0</v>
      </c>
      <c r="AN144" s="233">
        <f>G144*(1-0)</f>
        <v>0</v>
      </c>
      <c r="AO144" s="234" t="s">
        <v>177</v>
      </c>
      <c r="AT144" s="233">
        <f>AU144+AV144</f>
        <v>0</v>
      </c>
      <c r="AU144" s="233">
        <f>F144*AM144</f>
        <v>0</v>
      </c>
      <c r="AV144" s="233">
        <f>F144*AN144</f>
        <v>0</v>
      </c>
      <c r="AW144" s="234" t="s">
        <v>404</v>
      </c>
      <c r="AX144" s="234" t="s">
        <v>375</v>
      </c>
      <c r="AY144" s="229" t="s">
        <v>164</v>
      </c>
      <c r="BA144" s="233">
        <f>AU144+AV144</f>
        <v>0</v>
      </c>
      <c r="BB144" s="233">
        <f>G144/(100-BC144)*100</f>
        <v>0</v>
      </c>
      <c r="BC144" s="233">
        <v>0</v>
      </c>
      <c r="BD144" s="233">
        <f>L144</f>
        <v>0</v>
      </c>
      <c r="BF144" s="233">
        <f>F144*AM144</f>
        <v>0</v>
      </c>
      <c r="BG144" s="233">
        <f>F144*AN144</f>
        <v>0</v>
      </c>
      <c r="BH144" s="233">
        <f>F144*G144</f>
        <v>0</v>
      </c>
      <c r="BI144" s="233"/>
      <c r="BJ144" s="233"/>
      <c r="BU144" s="233" t="e">
        <f>#REF!</f>
        <v>#REF!</v>
      </c>
      <c r="BV144" s="225" t="s">
        <v>1032</v>
      </c>
    </row>
    <row r="145" spans="1:74" ht="14.4" x14ac:dyDescent="0.3">
      <c r="A145" s="239" t="s">
        <v>154</v>
      </c>
      <c r="B145" s="224" t="s">
        <v>1383</v>
      </c>
      <c r="C145" s="526" t="s">
        <v>449</v>
      </c>
      <c r="D145" s="527"/>
      <c r="E145" s="223" t="s">
        <v>114</v>
      </c>
      <c r="F145" s="223" t="s">
        <v>114</v>
      </c>
      <c r="G145" s="223" t="s">
        <v>114</v>
      </c>
      <c r="H145" s="235">
        <f>SUM(H146:H161)</f>
        <v>0</v>
      </c>
      <c r="I145" s="235">
        <f>SUM(I146:I161)</f>
        <v>0</v>
      </c>
      <c r="J145" s="235">
        <f>SUM(J146:J161)</f>
        <v>0</v>
      </c>
      <c r="K145" s="230" t="s">
        <v>154</v>
      </c>
      <c r="L145" s="235">
        <f>SUM(L146:L161)</f>
        <v>3.2314216</v>
      </c>
      <c r="M145" s="243" t="s">
        <v>154</v>
      </c>
      <c r="AG145" s="229" t="s">
        <v>154</v>
      </c>
      <c r="AQ145" s="222">
        <f>SUM(AH146:AH161)</f>
        <v>0</v>
      </c>
      <c r="AR145" s="222">
        <f>SUM(AI146:AI161)</f>
        <v>0</v>
      </c>
      <c r="AS145" s="222">
        <f>SUM(AJ146:AJ161)</f>
        <v>0</v>
      </c>
    </row>
    <row r="146" spans="1:74" ht="14.4" x14ac:dyDescent="0.3">
      <c r="A146" s="239" t="s">
        <v>393</v>
      </c>
      <c r="B146" s="223" t="s">
        <v>1010</v>
      </c>
      <c r="C146" s="521" t="s">
        <v>1011</v>
      </c>
      <c r="D146" s="519"/>
      <c r="E146" s="223" t="s">
        <v>365</v>
      </c>
      <c r="F146" s="233">
        <v>4.4000000000000004</v>
      </c>
      <c r="G146" s="311">
        <v>0</v>
      </c>
      <c r="H146" s="233">
        <f>F146*AM146</f>
        <v>0</v>
      </c>
      <c r="I146" s="233">
        <f>F146*AN146</f>
        <v>0</v>
      </c>
      <c r="J146" s="233">
        <f>F146*G146</f>
        <v>0</v>
      </c>
      <c r="K146" s="233">
        <v>7.4399999999999994E-2</v>
      </c>
      <c r="L146" s="233">
        <f>F146*K146</f>
        <v>0.32735999999999998</v>
      </c>
      <c r="M146" s="240" t="s">
        <v>472</v>
      </c>
      <c r="X146" s="233">
        <f>IF(AO146="5",BH146,0)</f>
        <v>0</v>
      </c>
      <c r="Z146" s="233">
        <f>IF(AO146="1",BF146,0)</f>
        <v>0</v>
      </c>
      <c r="AA146" s="233">
        <f>IF(AO146="1",BG146,0)</f>
        <v>0</v>
      </c>
      <c r="AB146" s="233">
        <f>IF(AO146="7",BF146,0)</f>
        <v>0</v>
      </c>
      <c r="AC146" s="233">
        <f>IF(AO146="7",BG146,0)</f>
        <v>0</v>
      </c>
      <c r="AD146" s="233">
        <f>IF(AO146="2",BF146,0)</f>
        <v>0</v>
      </c>
      <c r="AE146" s="233">
        <f>IF(AO146="2",BG146,0)</f>
        <v>0</v>
      </c>
      <c r="AF146" s="233">
        <f>IF(AO146="0",BH146,0)</f>
        <v>0</v>
      </c>
      <c r="AG146" s="229" t="s">
        <v>154</v>
      </c>
      <c r="AH146" s="233">
        <f>IF(AL146=0,J146,0)</f>
        <v>0</v>
      </c>
      <c r="AI146" s="233">
        <f>IF(AL146=15,J146,0)</f>
        <v>0</v>
      </c>
      <c r="AJ146" s="233">
        <f>IF(AL146=21,J146,0)</f>
        <v>0</v>
      </c>
      <c r="AL146" s="233">
        <v>15</v>
      </c>
      <c r="AM146" s="233">
        <f>G146*1</f>
        <v>0</v>
      </c>
      <c r="AN146" s="233">
        <f>G146*(1-1)</f>
        <v>0</v>
      </c>
      <c r="AO146" s="234" t="s">
        <v>453</v>
      </c>
      <c r="AT146" s="233">
        <f>AU146+AV146</f>
        <v>0</v>
      </c>
      <c r="AU146" s="233">
        <f>F146*AM146</f>
        <v>0</v>
      </c>
      <c r="AV146" s="233">
        <f>F146*AN146</f>
        <v>0</v>
      </c>
      <c r="AW146" s="234" t="s">
        <v>454</v>
      </c>
      <c r="AX146" s="234" t="s">
        <v>455</v>
      </c>
      <c r="AY146" s="229" t="s">
        <v>164</v>
      </c>
      <c r="BA146" s="233">
        <f>AU146+AV146</f>
        <v>0</v>
      </c>
      <c r="BB146" s="233">
        <f>G146/(100-BC146)*100</f>
        <v>0</v>
      </c>
      <c r="BC146" s="233">
        <v>0</v>
      </c>
      <c r="BD146" s="233">
        <f>L146</f>
        <v>0.32735999999999998</v>
      </c>
      <c r="BF146" s="233">
        <f>F146*AM146</f>
        <v>0</v>
      </c>
      <c r="BG146" s="233">
        <f>F146*AN146</f>
        <v>0</v>
      </c>
      <c r="BH146" s="233">
        <f>F146*G146</f>
        <v>0</v>
      </c>
      <c r="BI146" s="233"/>
      <c r="BJ146" s="233"/>
      <c r="BU146" s="233" t="e">
        <f>#REF!</f>
        <v>#REF!</v>
      </c>
      <c r="BV146" s="225" t="s">
        <v>1011</v>
      </c>
    </row>
    <row r="147" spans="1:74" ht="67.5" customHeight="1" x14ac:dyDescent="0.3">
      <c r="A147" s="241"/>
      <c r="B147" s="242" t="s">
        <v>165</v>
      </c>
      <c r="C147" s="530" t="s">
        <v>2039</v>
      </c>
      <c r="D147" s="531"/>
      <c r="E147" s="531"/>
      <c r="F147" s="531"/>
      <c r="G147" s="531"/>
      <c r="H147" s="531"/>
      <c r="I147" s="531"/>
      <c r="J147" s="531"/>
      <c r="K147" s="531"/>
      <c r="L147" s="531"/>
      <c r="M147" s="532"/>
    </row>
    <row r="148" spans="1:74" ht="14.4" x14ac:dyDescent="0.3">
      <c r="A148" s="239" t="s">
        <v>396</v>
      </c>
      <c r="B148" s="223" t="s">
        <v>1018</v>
      </c>
      <c r="C148" s="521" t="s">
        <v>1019</v>
      </c>
      <c r="D148" s="519"/>
      <c r="E148" s="223" t="s">
        <v>365</v>
      </c>
      <c r="F148" s="233">
        <v>1.01</v>
      </c>
      <c r="G148" s="311">
        <v>0</v>
      </c>
      <c r="H148" s="233">
        <f>F148*AM148</f>
        <v>0</v>
      </c>
      <c r="I148" s="233">
        <f>F148*AN148</f>
        <v>0</v>
      </c>
      <c r="J148" s="233">
        <f>F148*G148</f>
        <v>0</v>
      </c>
      <c r="K148" s="233">
        <v>1.554E-2</v>
      </c>
      <c r="L148" s="233">
        <f>F148*K148</f>
        <v>1.5695400000000002E-2</v>
      </c>
      <c r="M148" s="240" t="s">
        <v>472</v>
      </c>
      <c r="X148" s="233">
        <f>IF(AO148="5",BH148,0)</f>
        <v>0</v>
      </c>
      <c r="Z148" s="233">
        <f>IF(AO148="1",BF148,0)</f>
        <v>0</v>
      </c>
      <c r="AA148" s="233">
        <f>IF(AO148="1",BG148,0)</f>
        <v>0</v>
      </c>
      <c r="AB148" s="233">
        <f>IF(AO148="7",BF148,0)</f>
        <v>0</v>
      </c>
      <c r="AC148" s="233">
        <f>IF(AO148="7",BG148,0)</f>
        <v>0</v>
      </c>
      <c r="AD148" s="233">
        <f>IF(AO148="2",BF148,0)</f>
        <v>0</v>
      </c>
      <c r="AE148" s="233">
        <f>IF(AO148="2",BG148,0)</f>
        <v>0</v>
      </c>
      <c r="AF148" s="233">
        <f>IF(AO148="0",BH148,0)</f>
        <v>0</v>
      </c>
      <c r="AG148" s="229" t="s">
        <v>154</v>
      </c>
      <c r="AH148" s="233">
        <f>IF(AL148=0,J148,0)</f>
        <v>0</v>
      </c>
      <c r="AI148" s="233">
        <f>IF(AL148=15,J148,0)</f>
        <v>0</v>
      </c>
      <c r="AJ148" s="233">
        <f>IF(AL148=21,J148,0)</f>
        <v>0</v>
      </c>
      <c r="AL148" s="233">
        <v>15</v>
      </c>
      <c r="AM148" s="233">
        <f>G148*1</f>
        <v>0</v>
      </c>
      <c r="AN148" s="233">
        <f>G148*(1-1)</f>
        <v>0</v>
      </c>
      <c r="AO148" s="234" t="s">
        <v>453</v>
      </c>
      <c r="AT148" s="233">
        <f>AU148+AV148</f>
        <v>0</v>
      </c>
      <c r="AU148" s="233">
        <f>F148*AM148</f>
        <v>0</v>
      </c>
      <c r="AV148" s="233">
        <f>F148*AN148</f>
        <v>0</v>
      </c>
      <c r="AW148" s="234" t="s">
        <v>454</v>
      </c>
      <c r="AX148" s="234" t="s">
        <v>455</v>
      </c>
      <c r="AY148" s="229" t="s">
        <v>164</v>
      </c>
      <c r="BA148" s="233">
        <f>AU148+AV148</f>
        <v>0</v>
      </c>
      <c r="BB148" s="233">
        <f>G148/(100-BC148)*100</f>
        <v>0</v>
      </c>
      <c r="BC148" s="233">
        <v>0</v>
      </c>
      <c r="BD148" s="233">
        <f>L148</f>
        <v>1.5695400000000002E-2</v>
      </c>
      <c r="BF148" s="233">
        <f>F148*AM148</f>
        <v>0</v>
      </c>
      <c r="BG148" s="233">
        <f>F148*AN148</f>
        <v>0</v>
      </c>
      <c r="BH148" s="233">
        <f>F148*G148</f>
        <v>0</v>
      </c>
      <c r="BI148" s="233"/>
      <c r="BJ148" s="233"/>
      <c r="BU148" s="233" t="e">
        <f>#REF!</f>
        <v>#REF!</v>
      </c>
      <c r="BV148" s="225" t="s">
        <v>1019</v>
      </c>
    </row>
    <row r="149" spans="1:74" ht="54" customHeight="1" x14ac:dyDescent="0.3">
      <c r="A149" s="241"/>
      <c r="B149" s="242" t="s">
        <v>165</v>
      </c>
      <c r="C149" s="530" t="s">
        <v>2040</v>
      </c>
      <c r="D149" s="531"/>
      <c r="E149" s="531"/>
      <c r="F149" s="531"/>
      <c r="G149" s="531"/>
      <c r="H149" s="531"/>
      <c r="I149" s="531"/>
      <c r="J149" s="531"/>
      <c r="K149" s="531"/>
      <c r="L149" s="531"/>
      <c r="M149" s="532"/>
    </row>
    <row r="150" spans="1:74" ht="14.4" x14ac:dyDescent="0.3">
      <c r="A150" s="239" t="s">
        <v>401</v>
      </c>
      <c r="B150" s="223" t="s">
        <v>939</v>
      </c>
      <c r="C150" s="521" t="s">
        <v>1020</v>
      </c>
      <c r="D150" s="519"/>
      <c r="E150" s="223" t="s">
        <v>365</v>
      </c>
      <c r="F150" s="233">
        <v>2.0299999999999998</v>
      </c>
      <c r="G150" s="311">
        <v>0</v>
      </c>
      <c r="H150" s="233">
        <f>F150*AM150</f>
        <v>0</v>
      </c>
      <c r="I150" s="233">
        <f>F150*AN150</f>
        <v>0</v>
      </c>
      <c r="J150" s="233">
        <f>F150*G150</f>
        <v>0</v>
      </c>
      <c r="K150" s="233">
        <v>2E-3</v>
      </c>
      <c r="L150" s="233">
        <f>F150*K150</f>
        <v>4.0599999999999994E-3</v>
      </c>
      <c r="M150" s="240" t="s">
        <v>472</v>
      </c>
      <c r="X150" s="233">
        <f>IF(AO150="5",BH150,0)</f>
        <v>0</v>
      </c>
      <c r="Z150" s="233">
        <f>IF(AO150="1",BF150,0)</f>
        <v>0</v>
      </c>
      <c r="AA150" s="233">
        <f>IF(AO150="1",BG150,0)</f>
        <v>0</v>
      </c>
      <c r="AB150" s="233">
        <f>IF(AO150="7",BF150,0)</f>
        <v>0</v>
      </c>
      <c r="AC150" s="233">
        <f>IF(AO150="7",BG150,0)</f>
        <v>0</v>
      </c>
      <c r="AD150" s="233">
        <f>IF(AO150="2",BF150,0)</f>
        <v>0</v>
      </c>
      <c r="AE150" s="233">
        <f>IF(AO150="2",BG150,0)</f>
        <v>0</v>
      </c>
      <c r="AF150" s="233">
        <f>IF(AO150="0",BH150,0)</f>
        <v>0</v>
      </c>
      <c r="AG150" s="229" t="s">
        <v>154</v>
      </c>
      <c r="AH150" s="233">
        <f>IF(AL150=0,J150,0)</f>
        <v>0</v>
      </c>
      <c r="AI150" s="233">
        <f>IF(AL150=15,J150,0)</f>
        <v>0</v>
      </c>
      <c r="AJ150" s="233">
        <f>IF(AL150=21,J150,0)</f>
        <v>0</v>
      </c>
      <c r="AL150" s="233">
        <v>15</v>
      </c>
      <c r="AM150" s="233">
        <f>G150*1</f>
        <v>0</v>
      </c>
      <c r="AN150" s="233">
        <f>G150*(1-1)</f>
        <v>0</v>
      </c>
      <c r="AO150" s="234" t="s">
        <v>453</v>
      </c>
      <c r="AT150" s="233">
        <f>AU150+AV150</f>
        <v>0</v>
      </c>
      <c r="AU150" s="233">
        <f>F150*AM150</f>
        <v>0</v>
      </c>
      <c r="AV150" s="233">
        <f>F150*AN150</f>
        <v>0</v>
      </c>
      <c r="AW150" s="234" t="s">
        <v>454</v>
      </c>
      <c r="AX150" s="234" t="s">
        <v>455</v>
      </c>
      <c r="AY150" s="229" t="s">
        <v>164</v>
      </c>
      <c r="BA150" s="233">
        <f>AU150+AV150</f>
        <v>0</v>
      </c>
      <c r="BB150" s="233">
        <f>G150/(100-BC150)*100</f>
        <v>0</v>
      </c>
      <c r="BC150" s="233">
        <v>0</v>
      </c>
      <c r="BD150" s="233">
        <f>L150</f>
        <v>4.0599999999999994E-3</v>
      </c>
      <c r="BF150" s="233">
        <f>F150*AM150</f>
        <v>0</v>
      </c>
      <c r="BG150" s="233">
        <f>F150*AN150</f>
        <v>0</v>
      </c>
      <c r="BH150" s="233">
        <f>F150*G150</f>
        <v>0</v>
      </c>
      <c r="BI150" s="233"/>
      <c r="BJ150" s="233"/>
      <c r="BU150" s="233" t="e">
        <f>#REF!</f>
        <v>#REF!</v>
      </c>
      <c r="BV150" s="225" t="s">
        <v>1020</v>
      </c>
    </row>
    <row r="151" spans="1:74" ht="54" customHeight="1" x14ac:dyDescent="0.3">
      <c r="A151" s="241"/>
      <c r="B151" s="242" t="s">
        <v>165</v>
      </c>
      <c r="C151" s="530" t="s">
        <v>2041</v>
      </c>
      <c r="D151" s="531"/>
      <c r="E151" s="531"/>
      <c r="F151" s="531"/>
      <c r="G151" s="531"/>
      <c r="H151" s="531"/>
      <c r="I151" s="531"/>
      <c r="J151" s="531"/>
      <c r="K151" s="531"/>
      <c r="L151" s="531"/>
      <c r="M151" s="532"/>
    </row>
    <row r="152" spans="1:74" ht="14.4" x14ac:dyDescent="0.3">
      <c r="A152" s="239" t="s">
        <v>405</v>
      </c>
      <c r="B152" s="223" t="s">
        <v>1021</v>
      </c>
      <c r="C152" s="521" t="s">
        <v>1022</v>
      </c>
      <c r="D152" s="519"/>
      <c r="E152" s="223" t="s">
        <v>365</v>
      </c>
      <c r="F152" s="233">
        <v>2.0299999999999998</v>
      </c>
      <c r="G152" s="311">
        <v>0</v>
      </c>
      <c r="H152" s="233">
        <f>F152*AM152</f>
        <v>0</v>
      </c>
      <c r="I152" s="233">
        <f>F152*AN152</f>
        <v>0</v>
      </c>
      <c r="J152" s="233">
        <f>F152*G152</f>
        <v>0</v>
      </c>
      <c r="K152" s="233">
        <v>7.5399999999999998E-3</v>
      </c>
      <c r="L152" s="233">
        <f>F152*K152</f>
        <v>1.5306199999999999E-2</v>
      </c>
      <c r="M152" s="240" t="s">
        <v>472</v>
      </c>
      <c r="X152" s="233">
        <f>IF(AO152="5",BH152,0)</f>
        <v>0</v>
      </c>
      <c r="Z152" s="233">
        <f>IF(AO152="1",BF152,0)</f>
        <v>0</v>
      </c>
      <c r="AA152" s="233">
        <f>IF(AO152="1",BG152,0)</f>
        <v>0</v>
      </c>
      <c r="AB152" s="233">
        <f>IF(AO152="7",BF152,0)</f>
        <v>0</v>
      </c>
      <c r="AC152" s="233">
        <f>IF(AO152="7",BG152,0)</f>
        <v>0</v>
      </c>
      <c r="AD152" s="233">
        <f>IF(AO152="2",BF152,0)</f>
        <v>0</v>
      </c>
      <c r="AE152" s="233">
        <f>IF(AO152="2",BG152,0)</f>
        <v>0</v>
      </c>
      <c r="AF152" s="233">
        <f>IF(AO152="0",BH152,0)</f>
        <v>0</v>
      </c>
      <c r="AG152" s="229" t="s">
        <v>154</v>
      </c>
      <c r="AH152" s="233">
        <f>IF(AL152=0,J152,0)</f>
        <v>0</v>
      </c>
      <c r="AI152" s="233">
        <f>IF(AL152=15,J152,0)</f>
        <v>0</v>
      </c>
      <c r="AJ152" s="233">
        <f>IF(AL152=21,J152,0)</f>
        <v>0</v>
      </c>
      <c r="AL152" s="233">
        <v>15</v>
      </c>
      <c r="AM152" s="233">
        <f>G152*1</f>
        <v>0</v>
      </c>
      <c r="AN152" s="233">
        <f>G152*(1-1)</f>
        <v>0</v>
      </c>
      <c r="AO152" s="234" t="s">
        <v>453</v>
      </c>
      <c r="AT152" s="233">
        <f>AU152+AV152</f>
        <v>0</v>
      </c>
      <c r="AU152" s="233">
        <f>F152*AM152</f>
        <v>0</v>
      </c>
      <c r="AV152" s="233">
        <f>F152*AN152</f>
        <v>0</v>
      </c>
      <c r="AW152" s="234" t="s">
        <v>454</v>
      </c>
      <c r="AX152" s="234" t="s">
        <v>455</v>
      </c>
      <c r="AY152" s="229" t="s">
        <v>164</v>
      </c>
      <c r="BA152" s="233">
        <f>AU152+AV152</f>
        <v>0</v>
      </c>
      <c r="BB152" s="233">
        <f>G152/(100-BC152)*100</f>
        <v>0</v>
      </c>
      <c r="BC152" s="233">
        <v>0</v>
      </c>
      <c r="BD152" s="233">
        <f>L152</f>
        <v>1.5306199999999999E-2</v>
      </c>
      <c r="BF152" s="233">
        <f>F152*AM152</f>
        <v>0</v>
      </c>
      <c r="BG152" s="233">
        <f>F152*AN152</f>
        <v>0</v>
      </c>
      <c r="BH152" s="233">
        <f>F152*G152</f>
        <v>0</v>
      </c>
      <c r="BI152" s="233"/>
      <c r="BJ152" s="233"/>
      <c r="BU152" s="233" t="e">
        <f>#REF!</f>
        <v>#REF!</v>
      </c>
      <c r="BV152" s="225" t="s">
        <v>1022</v>
      </c>
    </row>
    <row r="153" spans="1:74" ht="54" customHeight="1" x14ac:dyDescent="0.3">
      <c r="A153" s="241"/>
      <c r="B153" s="242" t="s">
        <v>165</v>
      </c>
      <c r="C153" s="530" t="s">
        <v>2042</v>
      </c>
      <c r="D153" s="531"/>
      <c r="E153" s="531"/>
      <c r="F153" s="531"/>
      <c r="G153" s="531"/>
      <c r="H153" s="531"/>
      <c r="I153" s="531"/>
      <c r="J153" s="531"/>
      <c r="K153" s="531"/>
      <c r="L153" s="531"/>
      <c r="M153" s="532"/>
    </row>
    <row r="154" spans="1:74" ht="14.4" x14ac:dyDescent="0.3">
      <c r="A154" s="239" t="s">
        <v>408</v>
      </c>
      <c r="B154" s="223" t="s">
        <v>943</v>
      </c>
      <c r="C154" s="521" t="s">
        <v>944</v>
      </c>
      <c r="D154" s="519"/>
      <c r="E154" s="223" t="s">
        <v>365</v>
      </c>
      <c r="F154" s="233">
        <v>1</v>
      </c>
      <c r="G154" s="311">
        <v>0</v>
      </c>
      <c r="H154" s="233">
        <f t="shared" ref="H154:H159" si="0">F154*AM154</f>
        <v>0</v>
      </c>
      <c r="I154" s="233">
        <f t="shared" ref="I154:I159" si="1">F154*AN154</f>
        <v>0</v>
      </c>
      <c r="J154" s="233">
        <f t="shared" ref="J154:J159" si="2">F154*G154</f>
        <v>0</v>
      </c>
      <c r="K154" s="233">
        <v>6.8000000000000005E-2</v>
      </c>
      <c r="L154" s="233">
        <f t="shared" ref="L154:L159" si="3">F154*K154</f>
        <v>6.8000000000000005E-2</v>
      </c>
      <c r="M154" s="240" t="s">
        <v>472</v>
      </c>
      <c r="X154" s="233">
        <f t="shared" ref="X154:X159" si="4">IF(AO154="5",BH154,0)</f>
        <v>0</v>
      </c>
      <c r="Z154" s="233">
        <f t="shared" ref="Z154:Z159" si="5">IF(AO154="1",BF154,0)</f>
        <v>0</v>
      </c>
      <c r="AA154" s="233">
        <f t="shared" ref="AA154:AA159" si="6">IF(AO154="1",BG154,0)</f>
        <v>0</v>
      </c>
      <c r="AB154" s="233">
        <f t="shared" ref="AB154:AB159" si="7">IF(AO154="7",BF154,0)</f>
        <v>0</v>
      </c>
      <c r="AC154" s="233">
        <f t="shared" ref="AC154:AC159" si="8">IF(AO154="7",BG154,0)</f>
        <v>0</v>
      </c>
      <c r="AD154" s="233">
        <f t="shared" ref="AD154:AD159" si="9">IF(AO154="2",BF154,0)</f>
        <v>0</v>
      </c>
      <c r="AE154" s="233">
        <f t="shared" ref="AE154:AE159" si="10">IF(AO154="2",BG154,0)</f>
        <v>0</v>
      </c>
      <c r="AF154" s="233">
        <f t="shared" ref="AF154:AF159" si="11">IF(AO154="0",BH154,0)</f>
        <v>0</v>
      </c>
      <c r="AG154" s="229" t="s">
        <v>154</v>
      </c>
      <c r="AH154" s="233">
        <f t="shared" ref="AH154:AH159" si="12">IF(AL154=0,J154,0)</f>
        <v>0</v>
      </c>
      <c r="AI154" s="233">
        <f t="shared" ref="AI154:AI159" si="13">IF(AL154=15,J154,0)</f>
        <v>0</v>
      </c>
      <c r="AJ154" s="233">
        <f t="shared" ref="AJ154:AJ159" si="14">IF(AL154=21,J154,0)</f>
        <v>0</v>
      </c>
      <c r="AL154" s="233">
        <v>15</v>
      </c>
      <c r="AM154" s="233">
        <f t="shared" ref="AM154:AM159" si="15">G154*1</f>
        <v>0</v>
      </c>
      <c r="AN154" s="233">
        <f t="shared" ref="AN154:AN159" si="16">G154*(1-1)</f>
        <v>0</v>
      </c>
      <c r="AO154" s="234" t="s">
        <v>453</v>
      </c>
      <c r="AT154" s="233">
        <f t="shared" ref="AT154:AT159" si="17">AU154+AV154</f>
        <v>0</v>
      </c>
      <c r="AU154" s="233">
        <f t="shared" ref="AU154:AU159" si="18">F154*AM154</f>
        <v>0</v>
      </c>
      <c r="AV154" s="233">
        <f t="shared" ref="AV154:AV159" si="19">F154*AN154</f>
        <v>0</v>
      </c>
      <c r="AW154" s="234" t="s">
        <v>454</v>
      </c>
      <c r="AX154" s="234" t="s">
        <v>455</v>
      </c>
      <c r="AY154" s="229" t="s">
        <v>164</v>
      </c>
      <c r="BA154" s="233">
        <f t="shared" ref="BA154:BA159" si="20">AU154+AV154</f>
        <v>0</v>
      </c>
      <c r="BB154" s="233">
        <f t="shared" ref="BB154:BB159" si="21">G154/(100-BC154)*100</f>
        <v>0</v>
      </c>
      <c r="BC154" s="233">
        <v>0</v>
      </c>
      <c r="BD154" s="233">
        <f t="shared" ref="BD154:BD159" si="22">L154</f>
        <v>6.8000000000000005E-2</v>
      </c>
      <c r="BF154" s="233">
        <f t="shared" ref="BF154:BF159" si="23">F154*AM154</f>
        <v>0</v>
      </c>
      <c r="BG154" s="233">
        <f t="shared" ref="BG154:BG159" si="24">F154*AN154</f>
        <v>0</v>
      </c>
      <c r="BH154" s="233">
        <f t="shared" ref="BH154:BH159" si="25">F154*G154</f>
        <v>0</v>
      </c>
      <c r="BI154" s="233"/>
      <c r="BJ154" s="233"/>
      <c r="BU154" s="233" t="e">
        <f>#REF!</f>
        <v>#REF!</v>
      </c>
      <c r="BV154" s="225" t="s">
        <v>944</v>
      </c>
    </row>
    <row r="155" spans="1:74" ht="14.4" x14ac:dyDescent="0.3">
      <c r="A155" s="239" t="s">
        <v>413</v>
      </c>
      <c r="B155" s="223" t="s">
        <v>945</v>
      </c>
      <c r="C155" s="521" t="s">
        <v>946</v>
      </c>
      <c r="D155" s="519"/>
      <c r="E155" s="223" t="s">
        <v>365</v>
      </c>
      <c r="F155" s="233">
        <v>1</v>
      </c>
      <c r="G155" s="311">
        <v>0</v>
      </c>
      <c r="H155" s="233">
        <f t="shared" si="0"/>
        <v>0</v>
      </c>
      <c r="I155" s="233">
        <f t="shared" si="1"/>
        <v>0</v>
      </c>
      <c r="J155" s="233">
        <f t="shared" si="2"/>
        <v>0</v>
      </c>
      <c r="K155" s="233">
        <v>5.0999999999999997E-2</v>
      </c>
      <c r="L155" s="233">
        <f t="shared" si="3"/>
        <v>5.0999999999999997E-2</v>
      </c>
      <c r="M155" s="240" t="s">
        <v>472</v>
      </c>
      <c r="X155" s="233">
        <f t="shared" si="4"/>
        <v>0</v>
      </c>
      <c r="Z155" s="233">
        <f t="shared" si="5"/>
        <v>0</v>
      </c>
      <c r="AA155" s="233">
        <f t="shared" si="6"/>
        <v>0</v>
      </c>
      <c r="AB155" s="233">
        <f t="shared" si="7"/>
        <v>0</v>
      </c>
      <c r="AC155" s="233">
        <f t="shared" si="8"/>
        <v>0</v>
      </c>
      <c r="AD155" s="233">
        <f t="shared" si="9"/>
        <v>0</v>
      </c>
      <c r="AE155" s="233">
        <f t="shared" si="10"/>
        <v>0</v>
      </c>
      <c r="AF155" s="233">
        <f t="shared" si="11"/>
        <v>0</v>
      </c>
      <c r="AG155" s="229" t="s">
        <v>154</v>
      </c>
      <c r="AH155" s="233">
        <f t="shared" si="12"/>
        <v>0</v>
      </c>
      <c r="AI155" s="233">
        <f t="shared" si="13"/>
        <v>0</v>
      </c>
      <c r="AJ155" s="233">
        <f t="shared" si="14"/>
        <v>0</v>
      </c>
      <c r="AL155" s="233">
        <v>15</v>
      </c>
      <c r="AM155" s="233">
        <f t="shared" si="15"/>
        <v>0</v>
      </c>
      <c r="AN155" s="233">
        <f t="shared" si="16"/>
        <v>0</v>
      </c>
      <c r="AO155" s="234" t="s">
        <v>453</v>
      </c>
      <c r="AT155" s="233">
        <f t="shared" si="17"/>
        <v>0</v>
      </c>
      <c r="AU155" s="233">
        <f t="shared" si="18"/>
        <v>0</v>
      </c>
      <c r="AV155" s="233">
        <f t="shared" si="19"/>
        <v>0</v>
      </c>
      <c r="AW155" s="234" t="s">
        <v>454</v>
      </c>
      <c r="AX155" s="234" t="s">
        <v>455</v>
      </c>
      <c r="AY155" s="229" t="s">
        <v>164</v>
      </c>
      <c r="BA155" s="233">
        <f t="shared" si="20"/>
        <v>0</v>
      </c>
      <c r="BB155" s="233">
        <f t="shared" si="21"/>
        <v>0</v>
      </c>
      <c r="BC155" s="233">
        <v>0</v>
      </c>
      <c r="BD155" s="233">
        <f t="shared" si="22"/>
        <v>5.0999999999999997E-2</v>
      </c>
      <c r="BF155" s="233">
        <f t="shared" si="23"/>
        <v>0</v>
      </c>
      <c r="BG155" s="233">
        <f t="shared" si="24"/>
        <v>0</v>
      </c>
      <c r="BH155" s="233">
        <f t="shared" si="25"/>
        <v>0</v>
      </c>
      <c r="BI155" s="233"/>
      <c r="BJ155" s="233"/>
      <c r="BU155" s="233" t="e">
        <f>#REF!</f>
        <v>#REF!</v>
      </c>
      <c r="BV155" s="225" t="s">
        <v>946</v>
      </c>
    </row>
    <row r="156" spans="1:74" ht="14.4" x14ac:dyDescent="0.3">
      <c r="A156" s="239" t="s">
        <v>419</v>
      </c>
      <c r="B156" s="223" t="s">
        <v>1025</v>
      </c>
      <c r="C156" s="521" t="s">
        <v>1026</v>
      </c>
      <c r="D156" s="519"/>
      <c r="E156" s="223" t="s">
        <v>365</v>
      </c>
      <c r="F156" s="233">
        <v>1</v>
      </c>
      <c r="G156" s="311">
        <v>0</v>
      </c>
      <c r="H156" s="233">
        <f t="shared" si="0"/>
        <v>0</v>
      </c>
      <c r="I156" s="233">
        <f t="shared" si="1"/>
        <v>0</v>
      </c>
      <c r="J156" s="233">
        <f t="shared" si="2"/>
        <v>0</v>
      </c>
      <c r="K156" s="233">
        <v>0.43</v>
      </c>
      <c r="L156" s="233">
        <f t="shared" si="3"/>
        <v>0.43</v>
      </c>
      <c r="M156" s="240" t="s">
        <v>472</v>
      </c>
      <c r="X156" s="233">
        <f t="shared" si="4"/>
        <v>0</v>
      </c>
      <c r="Z156" s="233">
        <f t="shared" si="5"/>
        <v>0</v>
      </c>
      <c r="AA156" s="233">
        <f t="shared" si="6"/>
        <v>0</v>
      </c>
      <c r="AB156" s="233">
        <f t="shared" si="7"/>
        <v>0</v>
      </c>
      <c r="AC156" s="233">
        <f t="shared" si="8"/>
        <v>0</v>
      </c>
      <c r="AD156" s="233">
        <f t="shared" si="9"/>
        <v>0</v>
      </c>
      <c r="AE156" s="233">
        <f t="shared" si="10"/>
        <v>0</v>
      </c>
      <c r="AF156" s="233">
        <f t="shared" si="11"/>
        <v>0</v>
      </c>
      <c r="AG156" s="229" t="s">
        <v>154</v>
      </c>
      <c r="AH156" s="233">
        <f t="shared" si="12"/>
        <v>0</v>
      </c>
      <c r="AI156" s="233">
        <f t="shared" si="13"/>
        <v>0</v>
      </c>
      <c r="AJ156" s="233">
        <f t="shared" si="14"/>
        <v>0</v>
      </c>
      <c r="AL156" s="233">
        <v>15</v>
      </c>
      <c r="AM156" s="233">
        <f t="shared" si="15"/>
        <v>0</v>
      </c>
      <c r="AN156" s="233">
        <f t="shared" si="16"/>
        <v>0</v>
      </c>
      <c r="AO156" s="234" t="s">
        <v>453</v>
      </c>
      <c r="AT156" s="233">
        <f t="shared" si="17"/>
        <v>0</v>
      </c>
      <c r="AU156" s="233">
        <f t="shared" si="18"/>
        <v>0</v>
      </c>
      <c r="AV156" s="233">
        <f t="shared" si="19"/>
        <v>0</v>
      </c>
      <c r="AW156" s="234" t="s">
        <v>454</v>
      </c>
      <c r="AX156" s="234" t="s">
        <v>455</v>
      </c>
      <c r="AY156" s="229" t="s">
        <v>164</v>
      </c>
      <c r="BA156" s="233">
        <f t="shared" si="20"/>
        <v>0</v>
      </c>
      <c r="BB156" s="233">
        <f t="shared" si="21"/>
        <v>0</v>
      </c>
      <c r="BC156" s="233">
        <v>0</v>
      </c>
      <c r="BD156" s="233">
        <f t="shared" si="22"/>
        <v>0.43</v>
      </c>
      <c r="BF156" s="233">
        <f t="shared" si="23"/>
        <v>0</v>
      </c>
      <c r="BG156" s="233">
        <f t="shared" si="24"/>
        <v>0</v>
      </c>
      <c r="BH156" s="233">
        <f t="shared" si="25"/>
        <v>0</v>
      </c>
      <c r="BI156" s="233"/>
      <c r="BJ156" s="233"/>
      <c r="BU156" s="233" t="e">
        <f>#REF!</f>
        <v>#REF!</v>
      </c>
      <c r="BV156" s="225" t="s">
        <v>1026</v>
      </c>
    </row>
    <row r="157" spans="1:74" ht="14.4" x14ac:dyDescent="0.3">
      <c r="A157" s="239" t="s">
        <v>548</v>
      </c>
      <c r="B157" s="223" t="s">
        <v>959</v>
      </c>
      <c r="C157" s="521" t="s">
        <v>960</v>
      </c>
      <c r="D157" s="519"/>
      <c r="E157" s="223" t="s">
        <v>365</v>
      </c>
      <c r="F157" s="233">
        <v>1</v>
      </c>
      <c r="G157" s="311">
        <v>0</v>
      </c>
      <c r="H157" s="233">
        <f t="shared" si="0"/>
        <v>0</v>
      </c>
      <c r="I157" s="233">
        <f t="shared" si="1"/>
        <v>0</v>
      </c>
      <c r="J157" s="233">
        <f t="shared" si="2"/>
        <v>0</v>
      </c>
      <c r="K157" s="233">
        <v>2.1</v>
      </c>
      <c r="L157" s="233">
        <f t="shared" si="3"/>
        <v>2.1</v>
      </c>
      <c r="M157" s="240" t="s">
        <v>472</v>
      </c>
      <c r="X157" s="233">
        <f t="shared" si="4"/>
        <v>0</v>
      </c>
      <c r="Z157" s="233">
        <f t="shared" si="5"/>
        <v>0</v>
      </c>
      <c r="AA157" s="233">
        <f t="shared" si="6"/>
        <v>0</v>
      </c>
      <c r="AB157" s="233">
        <f t="shared" si="7"/>
        <v>0</v>
      </c>
      <c r="AC157" s="233">
        <f t="shared" si="8"/>
        <v>0</v>
      </c>
      <c r="AD157" s="233">
        <f t="shared" si="9"/>
        <v>0</v>
      </c>
      <c r="AE157" s="233">
        <f t="shared" si="10"/>
        <v>0</v>
      </c>
      <c r="AF157" s="233">
        <f t="shared" si="11"/>
        <v>0</v>
      </c>
      <c r="AG157" s="229" t="s">
        <v>154</v>
      </c>
      <c r="AH157" s="233">
        <f t="shared" si="12"/>
        <v>0</v>
      </c>
      <c r="AI157" s="233">
        <f t="shared" si="13"/>
        <v>0</v>
      </c>
      <c r="AJ157" s="233">
        <f t="shared" si="14"/>
        <v>0</v>
      </c>
      <c r="AL157" s="233">
        <v>15</v>
      </c>
      <c r="AM157" s="233">
        <f t="shared" si="15"/>
        <v>0</v>
      </c>
      <c r="AN157" s="233">
        <f t="shared" si="16"/>
        <v>0</v>
      </c>
      <c r="AO157" s="234" t="s">
        <v>453</v>
      </c>
      <c r="AT157" s="233">
        <f t="shared" si="17"/>
        <v>0</v>
      </c>
      <c r="AU157" s="233">
        <f t="shared" si="18"/>
        <v>0</v>
      </c>
      <c r="AV157" s="233">
        <f t="shared" si="19"/>
        <v>0</v>
      </c>
      <c r="AW157" s="234" t="s">
        <v>454</v>
      </c>
      <c r="AX157" s="234" t="s">
        <v>455</v>
      </c>
      <c r="AY157" s="229" t="s">
        <v>164</v>
      </c>
      <c r="BA157" s="233">
        <f t="shared" si="20"/>
        <v>0</v>
      </c>
      <c r="BB157" s="233">
        <f t="shared" si="21"/>
        <v>0</v>
      </c>
      <c r="BC157" s="233">
        <v>0</v>
      </c>
      <c r="BD157" s="233">
        <f t="shared" si="22"/>
        <v>2.1</v>
      </c>
      <c r="BF157" s="233">
        <f t="shared" si="23"/>
        <v>0</v>
      </c>
      <c r="BG157" s="233">
        <f t="shared" si="24"/>
        <v>0</v>
      </c>
      <c r="BH157" s="233">
        <f t="shared" si="25"/>
        <v>0</v>
      </c>
      <c r="BI157" s="233"/>
      <c r="BJ157" s="233"/>
      <c r="BU157" s="233" t="e">
        <f>#REF!</f>
        <v>#REF!</v>
      </c>
      <c r="BV157" s="225" t="s">
        <v>960</v>
      </c>
    </row>
    <row r="158" spans="1:74" ht="14.4" x14ac:dyDescent="0.3">
      <c r="A158" s="239" t="s">
        <v>551</v>
      </c>
      <c r="B158" s="223" t="s">
        <v>961</v>
      </c>
      <c r="C158" s="521" t="s">
        <v>962</v>
      </c>
      <c r="D158" s="519"/>
      <c r="E158" s="223" t="s">
        <v>365</v>
      </c>
      <c r="F158" s="233">
        <v>1</v>
      </c>
      <c r="G158" s="311">
        <v>0</v>
      </c>
      <c r="H158" s="233">
        <f t="shared" si="0"/>
        <v>0</v>
      </c>
      <c r="I158" s="233">
        <f t="shared" si="1"/>
        <v>0</v>
      </c>
      <c r="J158" s="233">
        <f t="shared" si="2"/>
        <v>0</v>
      </c>
      <c r="K158" s="233">
        <v>2E-3</v>
      </c>
      <c r="L158" s="233">
        <f t="shared" si="3"/>
        <v>2E-3</v>
      </c>
      <c r="M158" s="240" t="s">
        <v>472</v>
      </c>
      <c r="X158" s="233">
        <f t="shared" si="4"/>
        <v>0</v>
      </c>
      <c r="Z158" s="233">
        <f t="shared" si="5"/>
        <v>0</v>
      </c>
      <c r="AA158" s="233">
        <f t="shared" si="6"/>
        <v>0</v>
      </c>
      <c r="AB158" s="233">
        <f t="shared" si="7"/>
        <v>0</v>
      </c>
      <c r="AC158" s="233">
        <f t="shared" si="8"/>
        <v>0</v>
      </c>
      <c r="AD158" s="233">
        <f t="shared" si="9"/>
        <v>0</v>
      </c>
      <c r="AE158" s="233">
        <f t="shared" si="10"/>
        <v>0</v>
      </c>
      <c r="AF158" s="233">
        <f t="shared" si="11"/>
        <v>0</v>
      </c>
      <c r="AG158" s="229" t="s">
        <v>154</v>
      </c>
      <c r="AH158" s="233">
        <f t="shared" si="12"/>
        <v>0</v>
      </c>
      <c r="AI158" s="233">
        <f t="shared" si="13"/>
        <v>0</v>
      </c>
      <c r="AJ158" s="233">
        <f t="shared" si="14"/>
        <v>0</v>
      </c>
      <c r="AL158" s="233">
        <v>15</v>
      </c>
      <c r="AM158" s="233">
        <f t="shared" si="15"/>
        <v>0</v>
      </c>
      <c r="AN158" s="233">
        <f t="shared" si="16"/>
        <v>0</v>
      </c>
      <c r="AO158" s="234" t="s">
        <v>453</v>
      </c>
      <c r="AT158" s="233">
        <f t="shared" si="17"/>
        <v>0</v>
      </c>
      <c r="AU158" s="233">
        <f t="shared" si="18"/>
        <v>0</v>
      </c>
      <c r="AV158" s="233">
        <f t="shared" si="19"/>
        <v>0</v>
      </c>
      <c r="AW158" s="234" t="s">
        <v>454</v>
      </c>
      <c r="AX158" s="234" t="s">
        <v>455</v>
      </c>
      <c r="AY158" s="229" t="s">
        <v>164</v>
      </c>
      <c r="BA158" s="233">
        <f t="shared" si="20"/>
        <v>0</v>
      </c>
      <c r="BB158" s="233">
        <f t="shared" si="21"/>
        <v>0</v>
      </c>
      <c r="BC158" s="233">
        <v>0</v>
      </c>
      <c r="BD158" s="233">
        <f t="shared" si="22"/>
        <v>2E-3</v>
      </c>
      <c r="BF158" s="233">
        <f t="shared" si="23"/>
        <v>0</v>
      </c>
      <c r="BG158" s="233">
        <f t="shared" si="24"/>
        <v>0</v>
      </c>
      <c r="BH158" s="233">
        <f t="shared" si="25"/>
        <v>0</v>
      </c>
      <c r="BI158" s="233"/>
      <c r="BJ158" s="233"/>
      <c r="BU158" s="233" t="e">
        <f>#REF!</f>
        <v>#REF!</v>
      </c>
      <c r="BV158" s="225" t="s">
        <v>962</v>
      </c>
    </row>
    <row r="159" spans="1:74" ht="14.4" x14ac:dyDescent="0.3">
      <c r="A159" s="239" t="s">
        <v>555</v>
      </c>
      <c r="B159" s="223" t="s">
        <v>966</v>
      </c>
      <c r="C159" s="521" t="s">
        <v>990</v>
      </c>
      <c r="D159" s="519"/>
      <c r="E159" s="223" t="s">
        <v>365</v>
      </c>
      <c r="F159" s="233">
        <v>1</v>
      </c>
      <c r="G159" s="311">
        <v>0</v>
      </c>
      <c r="H159" s="233">
        <f t="shared" si="0"/>
        <v>0</v>
      </c>
      <c r="I159" s="233">
        <f t="shared" si="1"/>
        <v>0</v>
      </c>
      <c r="J159" s="233">
        <f t="shared" si="2"/>
        <v>0</v>
      </c>
      <c r="K159" s="233">
        <v>0.158</v>
      </c>
      <c r="L159" s="233">
        <f t="shared" si="3"/>
        <v>0.158</v>
      </c>
      <c r="M159" s="240" t="s">
        <v>472</v>
      </c>
      <c r="X159" s="233">
        <f t="shared" si="4"/>
        <v>0</v>
      </c>
      <c r="Z159" s="233">
        <f t="shared" si="5"/>
        <v>0</v>
      </c>
      <c r="AA159" s="233">
        <f t="shared" si="6"/>
        <v>0</v>
      </c>
      <c r="AB159" s="233">
        <f t="shared" si="7"/>
        <v>0</v>
      </c>
      <c r="AC159" s="233">
        <f t="shared" si="8"/>
        <v>0</v>
      </c>
      <c r="AD159" s="233">
        <f t="shared" si="9"/>
        <v>0</v>
      </c>
      <c r="AE159" s="233">
        <f t="shared" si="10"/>
        <v>0</v>
      </c>
      <c r="AF159" s="233">
        <f t="shared" si="11"/>
        <v>0</v>
      </c>
      <c r="AG159" s="229" t="s">
        <v>154</v>
      </c>
      <c r="AH159" s="233">
        <f t="shared" si="12"/>
        <v>0</v>
      </c>
      <c r="AI159" s="233">
        <f t="shared" si="13"/>
        <v>0</v>
      </c>
      <c r="AJ159" s="233">
        <f t="shared" si="14"/>
        <v>0</v>
      </c>
      <c r="AL159" s="233">
        <v>15</v>
      </c>
      <c r="AM159" s="233">
        <f t="shared" si="15"/>
        <v>0</v>
      </c>
      <c r="AN159" s="233">
        <f t="shared" si="16"/>
        <v>0</v>
      </c>
      <c r="AO159" s="234" t="s">
        <v>453</v>
      </c>
      <c r="AT159" s="233">
        <f t="shared" si="17"/>
        <v>0</v>
      </c>
      <c r="AU159" s="233">
        <f t="shared" si="18"/>
        <v>0</v>
      </c>
      <c r="AV159" s="233">
        <f t="shared" si="19"/>
        <v>0</v>
      </c>
      <c r="AW159" s="234" t="s">
        <v>454</v>
      </c>
      <c r="AX159" s="234" t="s">
        <v>455</v>
      </c>
      <c r="AY159" s="229" t="s">
        <v>164</v>
      </c>
      <c r="BA159" s="233">
        <f t="shared" si="20"/>
        <v>0</v>
      </c>
      <c r="BB159" s="233">
        <f t="shared" si="21"/>
        <v>0</v>
      </c>
      <c r="BC159" s="233">
        <v>0</v>
      </c>
      <c r="BD159" s="233">
        <f t="shared" si="22"/>
        <v>0.158</v>
      </c>
      <c r="BF159" s="233">
        <f t="shared" si="23"/>
        <v>0</v>
      </c>
      <c r="BG159" s="233">
        <f t="shared" si="24"/>
        <v>0</v>
      </c>
      <c r="BH159" s="233">
        <f t="shared" si="25"/>
        <v>0</v>
      </c>
      <c r="BI159" s="233"/>
      <c r="BJ159" s="233"/>
      <c r="BU159" s="233" t="e">
        <f>#REF!</f>
        <v>#REF!</v>
      </c>
      <c r="BV159" s="225" t="s">
        <v>990</v>
      </c>
    </row>
    <row r="160" spans="1:74" ht="27" customHeight="1" x14ac:dyDescent="0.3">
      <c r="A160" s="241"/>
      <c r="B160" s="242" t="s">
        <v>165</v>
      </c>
      <c r="C160" s="530" t="s">
        <v>991</v>
      </c>
      <c r="D160" s="531"/>
      <c r="E160" s="531"/>
      <c r="F160" s="531"/>
      <c r="G160" s="531"/>
      <c r="H160" s="531"/>
      <c r="I160" s="531"/>
      <c r="J160" s="531"/>
      <c r="K160" s="531"/>
      <c r="L160" s="531"/>
      <c r="M160" s="532"/>
    </row>
    <row r="161" spans="1:74" ht="14.4" x14ac:dyDescent="0.3">
      <c r="A161" s="239" t="s">
        <v>559</v>
      </c>
      <c r="B161" s="223" t="s">
        <v>992</v>
      </c>
      <c r="C161" s="521" t="s">
        <v>1035</v>
      </c>
      <c r="D161" s="519"/>
      <c r="E161" s="223" t="s">
        <v>471</v>
      </c>
      <c r="F161" s="233">
        <v>1</v>
      </c>
      <c r="G161" s="311">
        <v>0</v>
      </c>
      <c r="H161" s="233">
        <f>F161*AM161</f>
        <v>0</v>
      </c>
      <c r="I161" s="233">
        <f>F161*AN161</f>
        <v>0</v>
      </c>
      <c r="J161" s="233">
        <f>F161*G161</f>
        <v>0</v>
      </c>
      <c r="K161" s="233">
        <v>0.06</v>
      </c>
      <c r="L161" s="233">
        <f>F161*K161</f>
        <v>0.06</v>
      </c>
      <c r="M161" s="240" t="s">
        <v>1773</v>
      </c>
      <c r="X161" s="233">
        <f>IF(AO161="5",BH161,0)</f>
        <v>0</v>
      </c>
      <c r="Z161" s="233">
        <f>IF(AO161="1",BF161,0)</f>
        <v>0</v>
      </c>
      <c r="AA161" s="233">
        <f>IF(AO161="1",BG161,0)</f>
        <v>0</v>
      </c>
      <c r="AB161" s="233">
        <f>IF(AO161="7",BF161,0)</f>
        <v>0</v>
      </c>
      <c r="AC161" s="233">
        <f>IF(AO161="7",BG161,0)</f>
        <v>0</v>
      </c>
      <c r="AD161" s="233">
        <f>IF(AO161="2",BF161,0)</f>
        <v>0</v>
      </c>
      <c r="AE161" s="233">
        <f>IF(AO161="2",BG161,0)</f>
        <v>0</v>
      </c>
      <c r="AF161" s="233">
        <f>IF(AO161="0",BH161,0)</f>
        <v>0</v>
      </c>
      <c r="AG161" s="229" t="s">
        <v>154</v>
      </c>
      <c r="AH161" s="233">
        <f>IF(AL161=0,J161,0)</f>
        <v>0</v>
      </c>
      <c r="AI161" s="233">
        <f>IF(AL161=15,J161,0)</f>
        <v>0</v>
      </c>
      <c r="AJ161" s="233">
        <f>IF(AL161=21,J161,0)</f>
        <v>0</v>
      </c>
      <c r="AL161" s="233">
        <v>15</v>
      </c>
      <c r="AM161" s="233">
        <f>G161*1</f>
        <v>0</v>
      </c>
      <c r="AN161" s="233">
        <f>G161*(1-1)</f>
        <v>0</v>
      </c>
      <c r="AO161" s="234" t="s">
        <v>453</v>
      </c>
      <c r="AT161" s="233">
        <f>AU161+AV161</f>
        <v>0</v>
      </c>
      <c r="AU161" s="233">
        <f>F161*AM161</f>
        <v>0</v>
      </c>
      <c r="AV161" s="233">
        <f>F161*AN161</f>
        <v>0</v>
      </c>
      <c r="AW161" s="234" t="s">
        <v>454</v>
      </c>
      <c r="AX161" s="234" t="s">
        <v>455</v>
      </c>
      <c r="AY161" s="229" t="s">
        <v>164</v>
      </c>
      <c r="BA161" s="233">
        <f>AU161+AV161</f>
        <v>0</v>
      </c>
      <c r="BB161" s="233">
        <f>G161/(100-BC161)*100</f>
        <v>0</v>
      </c>
      <c r="BC161" s="233">
        <v>0</v>
      </c>
      <c r="BD161" s="233">
        <f>L161</f>
        <v>0.06</v>
      </c>
      <c r="BF161" s="233">
        <f>F161*AM161</f>
        <v>0</v>
      </c>
      <c r="BG161" s="233">
        <f>F161*AN161</f>
        <v>0</v>
      </c>
      <c r="BH161" s="233">
        <f>F161*G161</f>
        <v>0</v>
      </c>
      <c r="BI161" s="233"/>
      <c r="BJ161" s="233"/>
      <c r="BU161" s="233" t="e">
        <f>#REF!</f>
        <v>#REF!</v>
      </c>
      <c r="BV161" s="225" t="s">
        <v>1035</v>
      </c>
    </row>
    <row r="162" spans="1:74" ht="40.5" customHeight="1" x14ac:dyDescent="0.3">
      <c r="A162" s="244"/>
      <c r="B162" s="245" t="s">
        <v>165</v>
      </c>
      <c r="C162" s="540" t="s">
        <v>2043</v>
      </c>
      <c r="D162" s="541"/>
      <c r="E162" s="541"/>
      <c r="F162" s="541"/>
      <c r="G162" s="541"/>
      <c r="H162" s="541"/>
      <c r="I162" s="541"/>
      <c r="J162" s="541"/>
      <c r="K162" s="541"/>
      <c r="L162" s="541"/>
      <c r="M162" s="542"/>
    </row>
    <row r="163" spans="1:74" ht="14.4" x14ac:dyDescent="0.3">
      <c r="H163" s="527" t="s">
        <v>423</v>
      </c>
      <c r="I163" s="527"/>
      <c r="J163" s="235">
        <f>J12+J15+J24+J27+J40+J45+J66+J72+J75+J80+J83+J86+J89+J104+J107+J112+J131+J134+J141+J145</f>
        <v>0</v>
      </c>
    </row>
    <row r="164" spans="1:74" ht="14.4" x14ac:dyDescent="0.3">
      <c r="A164" s="236" t="s">
        <v>165</v>
      </c>
    </row>
    <row r="165" spans="1:74" ht="13.5" customHeight="1" x14ac:dyDescent="0.3">
      <c r="A165" s="521" t="s">
        <v>1387</v>
      </c>
      <c r="B165" s="519"/>
      <c r="C165" s="519"/>
      <c r="D165" s="519"/>
      <c r="E165" s="519"/>
      <c r="F165" s="519"/>
      <c r="G165" s="519"/>
      <c r="H165" s="519"/>
      <c r="I165" s="519"/>
      <c r="J165" s="519"/>
      <c r="K165" s="519"/>
      <c r="L165" s="519"/>
      <c r="M165" s="519"/>
    </row>
    <row r="166" spans="1:74" ht="15" customHeight="1" x14ac:dyDescent="0.3">
      <c r="A166" s="549" t="s">
        <v>1163</v>
      </c>
      <c r="B166" s="550"/>
      <c r="C166" s="550"/>
      <c r="D166" s="550"/>
      <c r="E166" s="550"/>
      <c r="F166" s="550"/>
      <c r="G166" s="550"/>
      <c r="H166" s="550"/>
      <c r="I166" s="550"/>
      <c r="J166" s="550"/>
      <c r="K166" s="550"/>
      <c r="L166" s="550"/>
      <c r="M166" s="550"/>
    </row>
  </sheetData>
  <sheetProtection algorithmName="SHA-512" hashValue="rWQGUsGUvpUnvi53IflTEB45n1klqjiytRpbm6J3wpegW/Qnc75INnBSmHBYGo9ofYtuyAWe+c7PyhAGxQtvqw==" saltValue="5mtPPRlaZf5oNljOKNgeAA==" spinCount="100000" sheet="1" objects="1" scenarios="1" formatCells="0" formatColumns="0" formatRows="0" insertColumns="0" insertRows="0" insertHyperlinks="0"/>
  <mergeCells count="183">
    <mergeCell ref="A1:M1"/>
    <mergeCell ref="A2:B3"/>
    <mergeCell ref="C2:D3"/>
    <mergeCell ref="E2:F3"/>
    <mergeCell ref="G2:G3"/>
    <mergeCell ref="H2:H3"/>
    <mergeCell ref="A6:B7"/>
    <mergeCell ref="C6:D7"/>
    <mergeCell ref="E6:F7"/>
    <mergeCell ref="G6:G7"/>
    <mergeCell ref="H6:H7"/>
    <mergeCell ref="A4:B5"/>
    <mergeCell ref="C4:D5"/>
    <mergeCell ref="E4:F5"/>
    <mergeCell ref="G4:G5"/>
    <mergeCell ref="H4:H5"/>
    <mergeCell ref="C10:D10"/>
    <mergeCell ref="H10:J10"/>
    <mergeCell ref="K10:L10"/>
    <mergeCell ref="C11:D11"/>
    <mergeCell ref="C12:D12"/>
    <mergeCell ref="C13:D13"/>
    <mergeCell ref="A8:B9"/>
    <mergeCell ref="C8:D9"/>
    <mergeCell ref="E8:F9"/>
    <mergeCell ref="G8:G9"/>
    <mergeCell ref="H8:H9"/>
    <mergeCell ref="C20:D20"/>
    <mergeCell ref="C21:M21"/>
    <mergeCell ref="C22:D22"/>
    <mergeCell ref="C23:M23"/>
    <mergeCell ref="C24:D24"/>
    <mergeCell ref="C25:D25"/>
    <mergeCell ref="C14:M14"/>
    <mergeCell ref="C15:D15"/>
    <mergeCell ref="C16:D16"/>
    <mergeCell ref="C17:M17"/>
    <mergeCell ref="C18:D18"/>
    <mergeCell ref="C19:M19"/>
    <mergeCell ref="C32:D32"/>
    <mergeCell ref="C33:M33"/>
    <mergeCell ref="C34:D34"/>
    <mergeCell ref="C35:M35"/>
    <mergeCell ref="C36:D36"/>
    <mergeCell ref="C37:M37"/>
    <mergeCell ref="C26:M26"/>
    <mergeCell ref="C27:D27"/>
    <mergeCell ref="C28:D28"/>
    <mergeCell ref="C29:M29"/>
    <mergeCell ref="C30:D30"/>
    <mergeCell ref="C31:M31"/>
    <mergeCell ref="C44:M44"/>
    <mergeCell ref="C45:D45"/>
    <mergeCell ref="C46:D46"/>
    <mergeCell ref="C47:M47"/>
    <mergeCell ref="C48:D48"/>
    <mergeCell ref="C49:M49"/>
    <mergeCell ref="C38:D38"/>
    <mergeCell ref="C39:M39"/>
    <mergeCell ref="C40:D40"/>
    <mergeCell ref="C41:D41"/>
    <mergeCell ref="C42:M42"/>
    <mergeCell ref="C43:D43"/>
    <mergeCell ref="C56:D56"/>
    <mergeCell ref="C57:M57"/>
    <mergeCell ref="C58:D58"/>
    <mergeCell ref="C59:M59"/>
    <mergeCell ref="C60:D60"/>
    <mergeCell ref="C61:M61"/>
    <mergeCell ref="C50:D50"/>
    <mergeCell ref="C51:M51"/>
    <mergeCell ref="C52:D52"/>
    <mergeCell ref="C53:M53"/>
    <mergeCell ref="C54:D54"/>
    <mergeCell ref="C55:M55"/>
    <mergeCell ref="C68:M68"/>
    <mergeCell ref="C69:D69"/>
    <mergeCell ref="C70:D70"/>
    <mergeCell ref="C71:M71"/>
    <mergeCell ref="C72:D72"/>
    <mergeCell ref="C73:D73"/>
    <mergeCell ref="C62:D62"/>
    <mergeCell ref="C63:M63"/>
    <mergeCell ref="C64:D64"/>
    <mergeCell ref="C65:M65"/>
    <mergeCell ref="C66:D66"/>
    <mergeCell ref="C67:D67"/>
    <mergeCell ref="C80:D80"/>
    <mergeCell ref="C81:D81"/>
    <mergeCell ref="C82:M82"/>
    <mergeCell ref="C83:D83"/>
    <mergeCell ref="C84:D84"/>
    <mergeCell ref="C85:M85"/>
    <mergeCell ref="C74:M74"/>
    <mergeCell ref="C75:D75"/>
    <mergeCell ref="C76:D76"/>
    <mergeCell ref="C77:M77"/>
    <mergeCell ref="C78:D78"/>
    <mergeCell ref="C79:M79"/>
    <mergeCell ref="C92:D92"/>
    <mergeCell ref="C93:M93"/>
    <mergeCell ref="C94:D94"/>
    <mergeCell ref="C95:M95"/>
    <mergeCell ref="C96:D96"/>
    <mergeCell ref="C97:M97"/>
    <mergeCell ref="C86:D86"/>
    <mergeCell ref="C87:D87"/>
    <mergeCell ref="C88:M88"/>
    <mergeCell ref="C89:D89"/>
    <mergeCell ref="C90:D90"/>
    <mergeCell ref="C91:M91"/>
    <mergeCell ref="C104:D104"/>
    <mergeCell ref="C105:D105"/>
    <mergeCell ref="C106:M106"/>
    <mergeCell ref="C107:D107"/>
    <mergeCell ref="C108:D108"/>
    <mergeCell ref="C109:M109"/>
    <mergeCell ref="C98:D98"/>
    <mergeCell ref="C99:M99"/>
    <mergeCell ref="C100:D100"/>
    <mergeCell ref="C101:M101"/>
    <mergeCell ref="C102:D102"/>
    <mergeCell ref="C103:M103"/>
    <mergeCell ref="C116:M116"/>
    <mergeCell ref="C117:D117"/>
    <mergeCell ref="C118:M118"/>
    <mergeCell ref="C119:D119"/>
    <mergeCell ref="C120:M120"/>
    <mergeCell ref="C121:D121"/>
    <mergeCell ref="C110:D110"/>
    <mergeCell ref="C111:M111"/>
    <mergeCell ref="C112:D112"/>
    <mergeCell ref="C113:D113"/>
    <mergeCell ref="C114:M114"/>
    <mergeCell ref="C115:D115"/>
    <mergeCell ref="C128:M128"/>
    <mergeCell ref="C129:D129"/>
    <mergeCell ref="C130:M130"/>
    <mergeCell ref="C131:D131"/>
    <mergeCell ref="C132:D132"/>
    <mergeCell ref="C133:M133"/>
    <mergeCell ref="C122:M122"/>
    <mergeCell ref="C123:D123"/>
    <mergeCell ref="C124:M124"/>
    <mergeCell ref="C125:D125"/>
    <mergeCell ref="C126:M126"/>
    <mergeCell ref="C127:D127"/>
    <mergeCell ref="C140:D140"/>
    <mergeCell ref="C141:D141"/>
    <mergeCell ref="C142:D142"/>
    <mergeCell ref="C143:D143"/>
    <mergeCell ref="C144:D144"/>
    <mergeCell ref="C145:D145"/>
    <mergeCell ref="C134:D134"/>
    <mergeCell ref="C135:D135"/>
    <mergeCell ref="C136:D136"/>
    <mergeCell ref="C137:M137"/>
    <mergeCell ref="C138:D138"/>
    <mergeCell ref="C139:M139"/>
    <mergeCell ref="A165:M165"/>
    <mergeCell ref="A166:M166"/>
    <mergeCell ref="I2:M3"/>
    <mergeCell ref="I4:M5"/>
    <mergeCell ref="I6:M7"/>
    <mergeCell ref="I8:M9"/>
    <mergeCell ref="C158:D158"/>
    <mergeCell ref="C159:D159"/>
    <mergeCell ref="C160:M160"/>
    <mergeCell ref="C161:D161"/>
    <mergeCell ref="C162:M162"/>
    <mergeCell ref="H163:I163"/>
    <mergeCell ref="C152:D152"/>
    <mergeCell ref="C153:M153"/>
    <mergeCell ref="C154:D154"/>
    <mergeCell ref="C155:D155"/>
    <mergeCell ref="C156:D156"/>
    <mergeCell ref="C157:D157"/>
    <mergeCell ref="C146:D146"/>
    <mergeCell ref="C147:M147"/>
    <mergeCell ref="C148:D148"/>
    <mergeCell ref="C149:M149"/>
    <mergeCell ref="C150:D150"/>
    <mergeCell ref="C151:M151"/>
  </mergeCells>
  <pageMargins left="0.78740157480314965" right="0.39370078740157483" top="0.39370078740157483" bottom="0.39370078740157483" header="0" footer="0.39370078740157483"/>
  <pageSetup paperSize="9" scale="57" fitToHeight="0" orientation="landscape" r:id="rId1"/>
  <headerFooter>
    <oddFooter>&amp;L&amp;A&amp;C&amp;F&amp;Rstran &amp;N / strana &amp;P</oddFooter>
  </headerFooter>
  <rowBreaks count="4" manualBreakCount="4">
    <brk id="29" max="12" man="1"/>
    <brk id="55" max="12" man="1"/>
    <brk id="88" max="12" man="1"/>
    <brk id="126" max="12"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6583A-BDE3-48EE-9A28-A55174E4782C}">
  <sheetPr>
    <tabColor theme="0" tint="-0.14999847407452621"/>
    <pageSetUpPr fitToPage="1"/>
  </sheetPr>
  <dimension ref="A1:J42"/>
  <sheetViews>
    <sheetView view="pageBreakPreview" zoomScale="85" zoomScaleNormal="100" zoomScaleSheetLayoutView="85" workbookViewId="0">
      <selection activeCell="J42" sqref="J42"/>
    </sheetView>
  </sheetViews>
  <sheetFormatPr defaultColWidth="9.109375" defaultRowHeight="13.8" x14ac:dyDescent="0.25"/>
  <cols>
    <col min="1" max="1" width="4.33203125" style="329" customWidth="1"/>
    <col min="2" max="2" width="15.6640625" style="329" customWidth="1"/>
    <col min="3" max="3" width="1.88671875" style="329" customWidth="1"/>
    <col min="4" max="10" width="11.33203125" style="329" customWidth="1"/>
    <col min="11" max="11" width="0.6640625" style="329" customWidth="1"/>
    <col min="12" max="16384" width="9.109375" style="329"/>
  </cols>
  <sheetData>
    <row r="1" spans="1:10" ht="7.2" customHeight="1" thickBot="1" x14ac:dyDescent="0.3"/>
    <row r="2" spans="1:10" ht="22.2" customHeight="1" x14ac:dyDescent="0.25">
      <c r="A2" s="426" t="s">
        <v>2116</v>
      </c>
      <c r="B2" s="427"/>
      <c r="C2" s="427"/>
      <c r="D2" s="430" t="s">
        <v>2117</v>
      </c>
      <c r="E2" s="430"/>
      <c r="F2" s="430"/>
      <c r="G2" s="430"/>
      <c r="H2" s="430"/>
      <c r="I2" s="430"/>
      <c r="J2" s="330"/>
    </row>
    <row r="3" spans="1:10" ht="18.75" customHeight="1" x14ac:dyDescent="0.25">
      <c r="A3" s="428"/>
      <c r="B3" s="429"/>
      <c r="C3" s="429"/>
      <c r="D3" s="431" t="s">
        <v>2118</v>
      </c>
      <c r="E3" s="431"/>
      <c r="F3" s="431"/>
      <c r="G3" s="431"/>
      <c r="H3" s="431"/>
      <c r="I3" s="431"/>
      <c r="J3" s="331"/>
    </row>
    <row r="4" spans="1:10" ht="5.4" customHeight="1" x14ac:dyDescent="0.25">
      <c r="A4" s="432"/>
      <c r="B4" s="433"/>
      <c r="C4" s="433"/>
      <c r="D4" s="433"/>
      <c r="E4" s="433"/>
      <c r="F4" s="433"/>
      <c r="G4" s="433"/>
      <c r="H4" s="433"/>
      <c r="I4" s="433"/>
      <c r="J4" s="434"/>
    </row>
    <row r="5" spans="1:10" x14ac:dyDescent="0.25">
      <c r="A5" s="332" t="s">
        <v>2119</v>
      </c>
      <c r="B5" s="333"/>
      <c r="D5" s="334" t="s">
        <v>69</v>
      </c>
      <c r="J5" s="331"/>
    </row>
    <row r="6" spans="1:10" ht="5.4" customHeight="1" x14ac:dyDescent="0.25">
      <c r="A6" s="332"/>
      <c r="B6" s="333"/>
      <c r="J6" s="331"/>
    </row>
    <row r="7" spans="1:10" x14ac:dyDescent="0.25">
      <c r="A7" s="332" t="s">
        <v>2120</v>
      </c>
      <c r="B7" s="333"/>
      <c r="D7" s="333" t="s">
        <v>2121</v>
      </c>
      <c r="J7" s="331"/>
    </row>
    <row r="8" spans="1:10" ht="4.95" customHeight="1" x14ac:dyDescent="0.25">
      <c r="A8" s="332"/>
      <c r="B8" s="333"/>
      <c r="J8" s="331"/>
    </row>
    <row r="9" spans="1:10" x14ac:dyDescent="0.25">
      <c r="A9" s="332" t="s">
        <v>2122</v>
      </c>
      <c r="B9" s="333"/>
      <c r="D9" s="425" t="s">
        <v>2123</v>
      </c>
      <c r="E9" s="425"/>
      <c r="F9" s="425"/>
      <c r="G9" s="425"/>
      <c r="H9" s="425"/>
      <c r="I9" s="425"/>
      <c r="J9" s="331"/>
    </row>
    <row r="10" spans="1:10" x14ac:dyDescent="0.25">
      <c r="A10" s="332" t="s">
        <v>2124</v>
      </c>
      <c r="B10" s="333"/>
      <c r="D10" s="425" t="s">
        <v>2125</v>
      </c>
      <c r="E10" s="425"/>
      <c r="F10" s="425"/>
      <c r="G10" s="425"/>
      <c r="H10" s="425"/>
      <c r="I10" s="425"/>
      <c r="J10" s="331"/>
    </row>
    <row r="11" spans="1:10" ht="4.95" customHeight="1" x14ac:dyDescent="0.25">
      <c r="A11" s="335"/>
      <c r="J11" s="331"/>
    </row>
    <row r="12" spans="1:10" ht="18.600000000000001" customHeight="1" x14ac:dyDescent="0.25">
      <c r="A12" s="410" t="s">
        <v>2126</v>
      </c>
      <c r="B12" s="411"/>
      <c r="C12" s="411"/>
      <c r="D12" s="411"/>
      <c r="E12" s="411"/>
      <c r="F12" s="411"/>
      <c r="G12" s="411"/>
      <c r="H12" s="411"/>
      <c r="I12" s="411"/>
      <c r="J12" s="412"/>
    </row>
    <row r="13" spans="1:10" ht="4.95" customHeight="1" x14ac:dyDescent="0.25">
      <c r="A13" s="335"/>
      <c r="J13" s="331"/>
    </row>
    <row r="14" spans="1:10" x14ac:dyDescent="0.25">
      <c r="A14" s="332" t="s">
        <v>2127</v>
      </c>
      <c r="B14" s="333"/>
      <c r="D14" s="333" t="s">
        <v>2128</v>
      </c>
      <c r="J14" s="331"/>
    </row>
    <row r="15" spans="1:10" x14ac:dyDescent="0.25">
      <c r="A15" s="332" t="s">
        <v>2129</v>
      </c>
      <c r="B15" s="333"/>
      <c r="D15" s="333" t="s">
        <v>2130</v>
      </c>
      <c r="J15" s="331"/>
    </row>
    <row r="16" spans="1:10" ht="4.95" customHeight="1" x14ac:dyDescent="0.25">
      <c r="A16" s="335"/>
      <c r="J16" s="331"/>
    </row>
    <row r="17" spans="1:10" ht="15.6" x14ac:dyDescent="0.3">
      <c r="A17" s="413" t="s">
        <v>2131</v>
      </c>
      <c r="B17" s="414"/>
      <c r="C17" s="414"/>
      <c r="D17" s="414"/>
      <c r="E17" s="414"/>
      <c r="F17" s="414"/>
      <c r="G17" s="414"/>
      <c r="H17" s="414"/>
      <c r="I17" s="414"/>
      <c r="J17" s="415"/>
    </row>
    <row r="18" spans="1:10" x14ac:dyDescent="0.25">
      <c r="A18" s="332" t="s">
        <v>2132</v>
      </c>
      <c r="B18" s="333"/>
      <c r="D18" s="333" t="s">
        <v>2133</v>
      </c>
      <c r="J18" s="331"/>
    </row>
    <row r="19" spans="1:10" x14ac:dyDescent="0.25">
      <c r="A19" s="335"/>
      <c r="D19" s="333" t="s">
        <v>2134</v>
      </c>
      <c r="J19" s="331"/>
    </row>
    <row r="20" spans="1:10" ht="4.95" customHeight="1" x14ac:dyDescent="0.25">
      <c r="A20" s="335"/>
      <c r="J20" s="331"/>
    </row>
    <row r="21" spans="1:10" ht="15.6" x14ac:dyDescent="0.3">
      <c r="A21" s="413" t="s">
        <v>2135</v>
      </c>
      <c r="B21" s="414"/>
      <c r="C21" s="414"/>
      <c r="D21" s="414"/>
      <c r="E21" s="414"/>
      <c r="F21" s="414"/>
      <c r="G21" s="414"/>
      <c r="H21" s="414"/>
      <c r="I21" s="414"/>
      <c r="J21" s="415"/>
    </row>
    <row r="22" spans="1:10" x14ac:dyDescent="0.25">
      <c r="A22" s="332" t="s">
        <v>2132</v>
      </c>
      <c r="B22" s="333"/>
      <c r="J22" s="331"/>
    </row>
    <row r="23" spans="1:10" ht="4.95" customHeight="1" x14ac:dyDescent="0.25">
      <c r="A23" s="335"/>
      <c r="J23" s="331"/>
    </row>
    <row r="24" spans="1:10" ht="15.6" x14ac:dyDescent="0.3">
      <c r="A24" s="413" t="s">
        <v>2136</v>
      </c>
      <c r="B24" s="414"/>
      <c r="C24" s="414"/>
      <c r="D24" s="414"/>
      <c r="E24" s="414"/>
      <c r="F24" s="414"/>
      <c r="G24" s="414"/>
      <c r="H24" s="414"/>
      <c r="I24" s="414"/>
      <c r="J24" s="415"/>
    </row>
    <row r="25" spans="1:10" x14ac:dyDescent="0.25">
      <c r="A25" s="332" t="s">
        <v>2132</v>
      </c>
      <c r="B25" s="333"/>
      <c r="J25" s="331"/>
    </row>
    <row r="26" spans="1:10" ht="4.95" customHeight="1" x14ac:dyDescent="0.25">
      <c r="A26" s="335"/>
      <c r="J26" s="331"/>
    </row>
    <row r="27" spans="1:10" ht="15.6" x14ac:dyDescent="0.3">
      <c r="A27" s="413" t="s">
        <v>2137</v>
      </c>
      <c r="B27" s="414"/>
      <c r="C27" s="414"/>
      <c r="D27" s="414"/>
      <c r="E27" s="414"/>
      <c r="F27" s="414"/>
      <c r="G27" s="414"/>
      <c r="H27" s="414"/>
      <c r="I27" s="414"/>
      <c r="J27" s="415"/>
    </row>
    <row r="28" spans="1:10" x14ac:dyDescent="0.25">
      <c r="A28" s="332" t="s">
        <v>2132</v>
      </c>
      <c r="B28" s="333"/>
      <c r="J28" s="331"/>
    </row>
    <row r="29" spans="1:10" ht="6.6" customHeight="1" thickBot="1" x14ac:dyDescent="0.3">
      <c r="A29" s="336"/>
      <c r="B29" s="337"/>
      <c r="C29" s="337"/>
      <c r="D29" s="337"/>
      <c r="E29" s="337"/>
      <c r="F29" s="337"/>
      <c r="G29" s="337"/>
      <c r="H29" s="337"/>
      <c r="I29" s="337"/>
      <c r="J29" s="338"/>
    </row>
    <row r="30" spans="1:10" ht="50.1" customHeight="1" thickBot="1" x14ac:dyDescent="0.3"/>
    <row r="31" spans="1:10" ht="15.6" x14ac:dyDescent="0.25">
      <c r="A31" s="416" t="s">
        <v>2138</v>
      </c>
      <c r="B31" s="417"/>
      <c r="C31" s="417"/>
      <c r="D31" s="417"/>
      <c r="E31" s="417"/>
      <c r="F31" s="417"/>
      <c r="G31" s="417"/>
      <c r="H31" s="417"/>
      <c r="I31" s="417"/>
      <c r="J31" s="418"/>
    </row>
    <row r="32" spans="1:10" ht="4.95" customHeight="1" x14ac:dyDescent="0.25">
      <c r="A32" s="335"/>
      <c r="J32" s="331"/>
    </row>
    <row r="33" spans="1:10" x14ac:dyDescent="0.25">
      <c r="A33" s="339" t="s">
        <v>29</v>
      </c>
      <c r="B33" s="340" t="s">
        <v>2139</v>
      </c>
      <c r="C33" s="341"/>
      <c r="D33" s="341"/>
      <c r="E33" s="341"/>
      <c r="F33" s="341"/>
      <c r="G33" s="341"/>
      <c r="H33" s="341"/>
      <c r="J33" s="331"/>
    </row>
    <row r="34" spans="1:10" ht="49.2" customHeight="1" x14ac:dyDescent="0.25">
      <c r="A34" s="335"/>
      <c r="B34" s="419" t="s">
        <v>2140</v>
      </c>
      <c r="C34" s="419"/>
      <c r="D34" s="419"/>
      <c r="E34" s="419"/>
      <c r="F34" s="419"/>
      <c r="G34" s="419"/>
      <c r="H34" s="419"/>
      <c r="I34" s="419"/>
      <c r="J34" s="420"/>
    </row>
    <row r="35" spans="1:10" ht="7.2" customHeight="1" x14ac:dyDescent="0.25">
      <c r="A35" s="335"/>
      <c r="J35" s="331"/>
    </row>
    <row r="36" spans="1:10" ht="32.4" customHeight="1" x14ac:dyDescent="0.25">
      <c r="A36" s="343" t="s">
        <v>31</v>
      </c>
      <c r="B36" s="421" t="s">
        <v>2141</v>
      </c>
      <c r="C36" s="421"/>
      <c r="D36" s="421"/>
      <c r="E36" s="421"/>
      <c r="F36" s="421"/>
      <c r="G36" s="421"/>
      <c r="H36" s="421"/>
      <c r="I36" s="421"/>
      <c r="J36" s="422"/>
    </row>
    <row r="37" spans="1:10" ht="88.95" customHeight="1" x14ac:dyDescent="0.25">
      <c r="A37" s="335"/>
      <c r="B37" s="419" t="s">
        <v>2142</v>
      </c>
      <c r="C37" s="419"/>
      <c r="D37" s="419"/>
      <c r="E37" s="419"/>
      <c r="F37" s="419"/>
      <c r="G37" s="419"/>
      <c r="H37" s="419"/>
      <c r="I37" s="419"/>
      <c r="J37" s="420"/>
    </row>
    <row r="38" spans="1:10" ht="7.2" customHeight="1" x14ac:dyDescent="0.25">
      <c r="A38" s="335"/>
      <c r="B38" s="329" t="s">
        <v>114</v>
      </c>
      <c r="J38" s="331"/>
    </row>
    <row r="39" spans="1:10" ht="32.4" customHeight="1" x14ac:dyDescent="0.25">
      <c r="A39" s="343" t="s">
        <v>35</v>
      </c>
      <c r="B39" s="421" t="s">
        <v>2143</v>
      </c>
      <c r="C39" s="421"/>
      <c r="D39" s="421"/>
      <c r="E39" s="421"/>
      <c r="F39" s="421"/>
      <c r="G39" s="421"/>
      <c r="H39" s="421"/>
      <c r="I39" s="421"/>
      <c r="J39" s="422"/>
    </row>
    <row r="40" spans="1:10" ht="121.2" customHeight="1" thickBot="1" x14ac:dyDescent="0.3">
      <c r="A40" s="336"/>
      <c r="B40" s="423" t="s">
        <v>2144</v>
      </c>
      <c r="C40" s="423"/>
      <c r="D40" s="423"/>
      <c r="E40" s="423"/>
      <c r="F40" s="423"/>
      <c r="G40" s="423"/>
      <c r="H40" s="423"/>
      <c r="I40" s="423"/>
      <c r="J40" s="424"/>
    </row>
    <row r="41" spans="1:10" ht="65.099999999999994" customHeight="1" thickBot="1" x14ac:dyDescent="0.3"/>
    <row r="42" spans="1:10" ht="21.6" customHeight="1" thickBot="1" x14ac:dyDescent="0.3">
      <c r="A42" s="408" t="s">
        <v>2145</v>
      </c>
      <c r="B42" s="409"/>
      <c r="C42" s="409"/>
      <c r="D42" s="409"/>
      <c r="E42" s="409"/>
      <c r="F42" s="409"/>
      <c r="G42" s="409"/>
      <c r="H42" s="409"/>
      <c r="I42" s="409"/>
      <c r="J42" s="344">
        <v>45559</v>
      </c>
    </row>
  </sheetData>
  <sheetProtection algorithmName="SHA-512" hashValue="KylvPIfCQCaiqJ/DhgJKQ8fVHHuP8npRx+cyb38siKz6pcMzOoOmXEoYrJ4Ws2D7221zrFfBODtNY8Gk9wfWWw==" saltValue="/O0w9UHK4rzuRfg/D9vDGQ==" spinCount="100000" sheet="1" objects="1" scenarios="1" formatCells="0" formatColumns="0" formatRows="0" insertColumns="0" insertRows="0" insertHyperlinks="0"/>
  <mergeCells count="18">
    <mergeCell ref="D10:I10"/>
    <mergeCell ref="A2:C3"/>
    <mergeCell ref="D2:I2"/>
    <mergeCell ref="D3:I3"/>
    <mergeCell ref="A4:J4"/>
    <mergeCell ref="D9:I9"/>
    <mergeCell ref="A42:I42"/>
    <mergeCell ref="A12:J12"/>
    <mergeCell ref="A17:J17"/>
    <mergeCell ref="A21:J21"/>
    <mergeCell ref="A24:J24"/>
    <mergeCell ref="A27:J27"/>
    <mergeCell ref="A31:J31"/>
    <mergeCell ref="B34:J34"/>
    <mergeCell ref="B36:J36"/>
    <mergeCell ref="B37:J37"/>
    <mergeCell ref="B39:J39"/>
    <mergeCell ref="B40:J40"/>
  </mergeCells>
  <pageMargins left="0.78740157480314965" right="0.39370078740157483" top="0.39370078740157483" bottom="0.39370078740157483" header="0" footer="0.39370078740157483"/>
  <pageSetup paperSize="9" scale="91" fitToHeight="0" orientation="portrait" r:id="rId1"/>
  <headerFooter>
    <oddFooter>&amp;Rstran &amp;N / strana &amp;P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5A83A-45ED-4F56-942C-8AE7D68D01EB}">
  <sheetPr>
    <pageSetUpPr fitToPage="1"/>
  </sheetPr>
  <dimension ref="A1:BV83"/>
  <sheetViews>
    <sheetView view="pageBreakPreview" topLeftCell="E1" zoomScale="55" zoomScaleNormal="70" zoomScaleSheetLayoutView="55" workbookViewId="0">
      <pane ySplit="11" topLeftCell="A12" activePane="bottomLeft" state="frozen"/>
      <selection pane="bottomLeft" activeCell="C17" sqref="C17:M17"/>
    </sheetView>
  </sheetViews>
  <sheetFormatPr defaultColWidth="12.109375" defaultRowHeight="15" customHeight="1" x14ac:dyDescent="0.3"/>
  <cols>
    <col min="1" max="1" width="5.6640625" style="273" customWidth="1"/>
    <col min="2" max="2" width="16.6640625" style="273" customWidth="1"/>
    <col min="3" max="3" width="81.33203125" style="273" customWidth="1"/>
    <col min="4" max="4" width="12.6640625" style="273" customWidth="1"/>
    <col min="5" max="5" width="8.6640625" style="273" customWidth="1"/>
    <col min="6" max="6" width="10.6640625" style="273" customWidth="1"/>
    <col min="7" max="13" width="14.6640625" style="273" customWidth="1"/>
    <col min="14" max="73" width="12.109375" style="273"/>
    <col min="74" max="74" width="59.44140625" style="273" hidden="1" customWidth="1"/>
    <col min="75" max="16384" width="12.109375" style="273"/>
  </cols>
  <sheetData>
    <row r="1" spans="1:74" ht="54.75" customHeight="1" thickBot="1" x14ac:dyDescent="0.35">
      <c r="A1" s="645" t="s">
        <v>2303</v>
      </c>
      <c r="B1" s="646"/>
      <c r="C1" s="646"/>
      <c r="D1" s="646"/>
      <c r="E1" s="646"/>
      <c r="F1" s="646"/>
      <c r="G1" s="646"/>
      <c r="H1" s="646"/>
      <c r="I1" s="646"/>
      <c r="J1" s="646"/>
      <c r="K1" s="646"/>
      <c r="L1" s="646"/>
      <c r="M1" s="647"/>
      <c r="AQ1" s="274">
        <f>SUM(AH1:AH2)</f>
        <v>0</v>
      </c>
      <c r="AR1" s="274">
        <f>SUM(AI1:AI2)</f>
        <v>0</v>
      </c>
      <c r="AS1" s="274">
        <f>SUM(AJ1:AJ2)</f>
        <v>0</v>
      </c>
    </row>
    <row r="2" spans="1:74" ht="15" customHeight="1" x14ac:dyDescent="0.3">
      <c r="A2" s="563" t="s">
        <v>112</v>
      </c>
      <c r="B2" s="565"/>
      <c r="C2" s="564" t="s">
        <v>68</v>
      </c>
      <c r="D2" s="571"/>
      <c r="E2" s="571"/>
      <c r="F2" s="571"/>
      <c r="G2" s="565" t="s">
        <v>113</v>
      </c>
      <c r="H2" s="522" t="s">
        <v>1156</v>
      </c>
      <c r="I2" s="551" t="s">
        <v>457</v>
      </c>
      <c r="J2" s="551" t="s">
        <v>69</v>
      </c>
      <c r="K2" s="551"/>
      <c r="L2" s="551"/>
      <c r="M2" s="552"/>
    </row>
    <row r="3" spans="1:74" ht="14.4" x14ac:dyDescent="0.3">
      <c r="A3" s="591"/>
      <c r="B3" s="565"/>
      <c r="C3" s="571"/>
      <c r="D3" s="571"/>
      <c r="E3" s="571"/>
      <c r="F3" s="571"/>
      <c r="G3" s="565"/>
      <c r="H3" s="522"/>
      <c r="I3" s="551"/>
      <c r="J3" s="551"/>
      <c r="K3" s="551"/>
      <c r="L3" s="551"/>
      <c r="M3" s="552"/>
    </row>
    <row r="4" spans="1:74" ht="15" customHeight="1" x14ac:dyDescent="0.3">
      <c r="A4" s="563" t="s">
        <v>115</v>
      </c>
      <c r="B4" s="565"/>
      <c r="C4" s="551" t="s">
        <v>100</v>
      </c>
      <c r="D4" s="565"/>
      <c r="E4" s="565"/>
      <c r="F4" s="565"/>
      <c r="G4" s="565" t="s">
        <v>116</v>
      </c>
      <c r="H4" s="522" t="s">
        <v>1156</v>
      </c>
      <c r="I4" s="551" t="s">
        <v>458</v>
      </c>
      <c r="J4" s="551" t="s">
        <v>1157</v>
      </c>
      <c r="K4" s="551"/>
      <c r="L4" s="551"/>
      <c r="M4" s="552"/>
    </row>
    <row r="5" spans="1:74" ht="14.4" x14ac:dyDescent="0.3">
      <c r="A5" s="591"/>
      <c r="B5" s="565"/>
      <c r="C5" s="565"/>
      <c r="D5" s="565"/>
      <c r="E5" s="565"/>
      <c r="F5" s="565"/>
      <c r="G5" s="565"/>
      <c r="H5" s="522"/>
      <c r="I5" s="551"/>
      <c r="J5" s="551"/>
      <c r="K5" s="551"/>
      <c r="L5" s="551"/>
      <c r="M5" s="552"/>
    </row>
    <row r="6" spans="1:74" ht="15" customHeight="1" x14ac:dyDescent="0.3">
      <c r="A6" s="563" t="s">
        <v>117</v>
      </c>
      <c r="B6" s="565"/>
      <c r="C6" s="551" t="s">
        <v>459</v>
      </c>
      <c r="D6" s="565"/>
      <c r="E6" s="565"/>
      <c r="F6" s="565"/>
      <c r="G6" s="565" t="s">
        <v>119</v>
      </c>
      <c r="H6" s="522" t="s">
        <v>1156</v>
      </c>
      <c r="I6" s="551" t="s">
        <v>460</v>
      </c>
      <c r="J6" s="551" t="s">
        <v>461</v>
      </c>
      <c r="K6" s="551"/>
      <c r="L6" s="551"/>
      <c r="M6" s="552"/>
    </row>
    <row r="7" spans="1:74" ht="14.4" x14ac:dyDescent="0.3">
      <c r="A7" s="591"/>
      <c r="B7" s="565"/>
      <c r="C7" s="565"/>
      <c r="D7" s="565"/>
      <c r="E7" s="565"/>
      <c r="F7" s="565"/>
      <c r="G7" s="565"/>
      <c r="H7" s="522"/>
      <c r="I7" s="551"/>
      <c r="J7" s="551"/>
      <c r="K7" s="551"/>
      <c r="L7" s="551"/>
      <c r="M7" s="552"/>
    </row>
    <row r="8" spans="1:74" ht="15" customHeight="1" x14ac:dyDescent="0.3">
      <c r="A8" s="563" t="s">
        <v>120</v>
      </c>
      <c r="B8" s="565"/>
      <c r="C8" s="551" t="s">
        <v>1128</v>
      </c>
      <c r="D8" s="565"/>
      <c r="E8" s="565"/>
      <c r="F8" s="565"/>
      <c r="G8" s="565" t="s">
        <v>122</v>
      </c>
      <c r="H8" s="644" t="s">
        <v>2445</v>
      </c>
      <c r="I8" s="551" t="s">
        <v>462</v>
      </c>
      <c r="J8" s="577" t="s">
        <v>1158</v>
      </c>
      <c r="K8" s="577"/>
      <c r="L8" s="577"/>
      <c r="M8" s="578"/>
    </row>
    <row r="9" spans="1:74" ht="25.8" customHeight="1" thickBot="1" x14ac:dyDescent="0.35">
      <c r="A9" s="598"/>
      <c r="B9" s="576"/>
      <c r="C9" s="576"/>
      <c r="D9" s="576"/>
      <c r="E9" s="576"/>
      <c r="F9" s="576"/>
      <c r="G9" s="576"/>
      <c r="H9" s="534"/>
      <c r="I9" s="553"/>
      <c r="J9" s="579"/>
      <c r="K9" s="579"/>
      <c r="L9" s="579"/>
      <c r="M9" s="580"/>
    </row>
    <row r="10" spans="1:74" ht="14.4" x14ac:dyDescent="0.3">
      <c r="A10" s="299" t="s">
        <v>123</v>
      </c>
      <c r="B10" s="300" t="s">
        <v>124</v>
      </c>
      <c r="C10" s="627" t="s">
        <v>125</v>
      </c>
      <c r="D10" s="628"/>
      <c r="E10" s="300" t="s">
        <v>126</v>
      </c>
      <c r="F10" s="301" t="s">
        <v>127</v>
      </c>
      <c r="G10" s="302" t="s">
        <v>128</v>
      </c>
      <c r="H10" s="629" t="s">
        <v>129</v>
      </c>
      <c r="I10" s="630"/>
      <c r="J10" s="631"/>
      <c r="K10" s="630" t="s">
        <v>130</v>
      </c>
      <c r="L10" s="630"/>
      <c r="M10" s="303" t="s">
        <v>131</v>
      </c>
      <c r="BI10" s="278" t="s">
        <v>132</v>
      </c>
      <c r="BJ10" s="279" t="s">
        <v>133</v>
      </c>
      <c r="BU10" s="279" t="s">
        <v>134</v>
      </c>
    </row>
    <row r="11" spans="1:74" thickBot="1" x14ac:dyDescent="0.35">
      <c r="A11" s="304" t="s">
        <v>114</v>
      </c>
      <c r="B11" s="305" t="s">
        <v>114</v>
      </c>
      <c r="C11" s="632" t="s">
        <v>135</v>
      </c>
      <c r="D11" s="633"/>
      <c r="E11" s="305" t="s">
        <v>114</v>
      </c>
      <c r="F11" s="305" t="s">
        <v>114</v>
      </c>
      <c r="G11" s="306" t="s">
        <v>136</v>
      </c>
      <c r="H11" s="307" t="s">
        <v>137</v>
      </c>
      <c r="I11" s="308" t="s">
        <v>138</v>
      </c>
      <c r="J11" s="309" t="s">
        <v>139</v>
      </c>
      <c r="K11" s="308" t="s">
        <v>140</v>
      </c>
      <c r="L11" s="306" t="s">
        <v>139</v>
      </c>
      <c r="M11" s="310" t="s">
        <v>141</v>
      </c>
      <c r="X11" s="278" t="s">
        <v>142</v>
      </c>
      <c r="Y11" s="278" t="s">
        <v>143</v>
      </c>
      <c r="Z11" s="278" t="s">
        <v>144</v>
      </c>
      <c r="AA11" s="278" t="s">
        <v>145</v>
      </c>
      <c r="AB11" s="278" t="s">
        <v>146</v>
      </c>
      <c r="AC11" s="278" t="s">
        <v>147</v>
      </c>
      <c r="AD11" s="278" t="s">
        <v>148</v>
      </c>
      <c r="AE11" s="278" t="s">
        <v>149</v>
      </c>
      <c r="AF11" s="278" t="s">
        <v>150</v>
      </c>
      <c r="BF11" s="278" t="s">
        <v>151</v>
      </c>
      <c r="BG11" s="278" t="s">
        <v>152</v>
      </c>
      <c r="BH11" s="278" t="s">
        <v>153</v>
      </c>
    </row>
    <row r="12" spans="1:74" ht="14.4" x14ac:dyDescent="0.3">
      <c r="A12" s="290" t="s">
        <v>154</v>
      </c>
      <c r="B12" s="276" t="s">
        <v>191</v>
      </c>
      <c r="C12" s="624" t="s">
        <v>192</v>
      </c>
      <c r="D12" s="621"/>
      <c r="E12" s="275" t="s">
        <v>114</v>
      </c>
      <c r="F12" s="275" t="s">
        <v>114</v>
      </c>
      <c r="G12" s="275" t="s">
        <v>114</v>
      </c>
      <c r="H12" s="282">
        <f>SUM(H13:H13)</f>
        <v>0</v>
      </c>
      <c r="I12" s="282">
        <f>SUM(I13:I13)</f>
        <v>0</v>
      </c>
      <c r="J12" s="282">
        <f>SUM(J13:J13)</f>
        <v>0</v>
      </c>
      <c r="K12" s="279" t="s">
        <v>154</v>
      </c>
      <c r="L12" s="282">
        <f>SUM(L13:L13)</f>
        <v>0</v>
      </c>
      <c r="M12" s="294" t="s">
        <v>154</v>
      </c>
      <c r="AG12" s="278" t="s">
        <v>154</v>
      </c>
      <c r="AQ12" s="274">
        <f>SUM(AH13:AH13)</f>
        <v>0</v>
      </c>
      <c r="AR12" s="274">
        <f>SUM(AI13:AI13)</f>
        <v>0</v>
      </c>
      <c r="AS12" s="274">
        <f>SUM(AJ13:AJ13)</f>
        <v>0</v>
      </c>
    </row>
    <row r="13" spans="1:74" ht="14.4" x14ac:dyDescent="0.3">
      <c r="A13" s="290" t="s">
        <v>157</v>
      </c>
      <c r="B13" s="275" t="s">
        <v>194</v>
      </c>
      <c r="C13" s="613" t="s">
        <v>195</v>
      </c>
      <c r="D13" s="614"/>
      <c r="E13" s="275" t="s">
        <v>196</v>
      </c>
      <c r="F13" s="280">
        <v>15.75</v>
      </c>
      <c r="G13" s="311">
        <v>0</v>
      </c>
      <c r="H13" s="280">
        <f>F13*AM13</f>
        <v>0</v>
      </c>
      <c r="I13" s="280">
        <f>F13*AN13</f>
        <v>0</v>
      </c>
      <c r="J13" s="280">
        <f>F13*G13</f>
        <v>0</v>
      </c>
      <c r="K13" s="280">
        <v>0</v>
      </c>
      <c r="L13" s="280">
        <f>F13*K13</f>
        <v>0</v>
      </c>
      <c r="M13" s="291" t="s">
        <v>472</v>
      </c>
      <c r="X13" s="280">
        <f>IF(AO13="5",BH13,0)</f>
        <v>0</v>
      </c>
      <c r="Z13" s="280">
        <f>IF(AO13="1",BF13,0)</f>
        <v>0</v>
      </c>
      <c r="AA13" s="280">
        <f>IF(AO13="1",BG13,0)</f>
        <v>0</v>
      </c>
      <c r="AB13" s="280">
        <f>IF(AO13="7",BF13,0)</f>
        <v>0</v>
      </c>
      <c r="AC13" s="280">
        <f>IF(AO13="7",BG13,0)</f>
        <v>0</v>
      </c>
      <c r="AD13" s="280">
        <f>IF(AO13="2",BF13,0)</f>
        <v>0</v>
      </c>
      <c r="AE13" s="280">
        <f>IF(AO13="2",BG13,0)</f>
        <v>0</v>
      </c>
      <c r="AF13" s="280">
        <f>IF(AO13="0",BH13,0)</f>
        <v>0</v>
      </c>
      <c r="AG13" s="278" t="s">
        <v>154</v>
      </c>
      <c r="AH13" s="280">
        <f>IF(AL13=0,J13,0)</f>
        <v>0</v>
      </c>
      <c r="AI13" s="280">
        <f>IF(AL13=12,J13,0)</f>
        <v>0</v>
      </c>
      <c r="AJ13" s="280">
        <f>IF(AL13=21,J13,0)</f>
        <v>0</v>
      </c>
      <c r="AL13" s="280">
        <v>12</v>
      </c>
      <c r="AM13" s="280">
        <f>G13*0</f>
        <v>0</v>
      </c>
      <c r="AN13" s="280">
        <f>G13*(1-0)</f>
        <v>0</v>
      </c>
      <c r="AO13" s="281" t="s">
        <v>157</v>
      </c>
      <c r="AT13" s="280">
        <f>AU13+AV13</f>
        <v>0</v>
      </c>
      <c r="AU13" s="280">
        <f>F13*AM13</f>
        <v>0</v>
      </c>
      <c r="AV13" s="280">
        <f>F13*AN13</f>
        <v>0</v>
      </c>
      <c r="AW13" s="281" t="s">
        <v>197</v>
      </c>
      <c r="AX13" s="281" t="s">
        <v>163</v>
      </c>
      <c r="AY13" s="278" t="s">
        <v>164</v>
      </c>
      <c r="BA13" s="280">
        <f>AU13+AV13</f>
        <v>0</v>
      </c>
      <c r="BB13" s="280">
        <f>G13/(100-BC13)*100</f>
        <v>0</v>
      </c>
      <c r="BC13" s="280">
        <v>0</v>
      </c>
      <c r="BD13" s="280">
        <f>L13</f>
        <v>0</v>
      </c>
      <c r="BF13" s="280">
        <f>F13*AM13</f>
        <v>0</v>
      </c>
      <c r="BG13" s="280">
        <f>F13*AN13</f>
        <v>0</v>
      </c>
      <c r="BH13" s="280">
        <f>F13*G13</f>
        <v>0</v>
      </c>
      <c r="BI13" s="280"/>
      <c r="BJ13" s="280">
        <v>12</v>
      </c>
      <c r="BU13" s="280" t="e">
        <f>#REF!</f>
        <v>#REF!</v>
      </c>
      <c r="BV13" s="277" t="s">
        <v>195</v>
      </c>
    </row>
    <row r="14" spans="1:74" ht="40.5" customHeight="1" x14ac:dyDescent="0.3">
      <c r="A14" s="288"/>
      <c r="B14" s="289" t="s">
        <v>165</v>
      </c>
      <c r="C14" s="615" t="s">
        <v>2398</v>
      </c>
      <c r="D14" s="616"/>
      <c r="E14" s="616"/>
      <c r="F14" s="616"/>
      <c r="G14" s="616"/>
      <c r="H14" s="616"/>
      <c r="I14" s="616"/>
      <c r="J14" s="616"/>
      <c r="K14" s="616"/>
      <c r="L14" s="616"/>
      <c r="M14" s="617"/>
    </row>
    <row r="15" spans="1:74" ht="14.4" x14ac:dyDescent="0.3">
      <c r="A15" s="290" t="s">
        <v>154</v>
      </c>
      <c r="B15" s="276" t="s">
        <v>201</v>
      </c>
      <c r="C15" s="624" t="s">
        <v>202</v>
      </c>
      <c r="D15" s="621"/>
      <c r="E15" s="275" t="s">
        <v>114</v>
      </c>
      <c r="F15" s="275" t="s">
        <v>114</v>
      </c>
      <c r="G15" s="275" t="s">
        <v>114</v>
      </c>
      <c r="H15" s="282">
        <f>SUM(H16:H22)</f>
        <v>0</v>
      </c>
      <c r="I15" s="282">
        <f>SUM(I16:I22)</f>
        <v>0</v>
      </c>
      <c r="J15" s="282">
        <f>SUM(J16:J22)</f>
        <v>0</v>
      </c>
      <c r="K15" s="279" t="s">
        <v>154</v>
      </c>
      <c r="L15" s="282">
        <f>SUM(L16:L22)</f>
        <v>0</v>
      </c>
      <c r="M15" s="294" t="s">
        <v>154</v>
      </c>
      <c r="AG15" s="278" t="s">
        <v>154</v>
      </c>
      <c r="AQ15" s="274">
        <f>SUM(AH16:AH22)</f>
        <v>0</v>
      </c>
      <c r="AR15" s="274">
        <f>SUM(AI16:AI22)</f>
        <v>0</v>
      </c>
      <c r="AS15" s="274">
        <f>SUM(AJ16:AJ22)</f>
        <v>0</v>
      </c>
    </row>
    <row r="16" spans="1:74" ht="14.4" x14ac:dyDescent="0.3">
      <c r="A16" s="290" t="s">
        <v>166</v>
      </c>
      <c r="B16" s="275" t="s">
        <v>203</v>
      </c>
      <c r="C16" s="613" t="s">
        <v>204</v>
      </c>
      <c r="D16" s="614"/>
      <c r="E16" s="275" t="s">
        <v>196</v>
      </c>
      <c r="F16" s="280">
        <v>2.54</v>
      </c>
      <c r="G16" s="311">
        <v>0</v>
      </c>
      <c r="H16" s="280">
        <f>F16*AM16</f>
        <v>0</v>
      </c>
      <c r="I16" s="280">
        <f>F16*AN16</f>
        <v>0</v>
      </c>
      <c r="J16" s="280">
        <f>F16*G16</f>
        <v>0</v>
      </c>
      <c r="K16" s="280">
        <v>0</v>
      </c>
      <c r="L16" s="280">
        <f>F16*K16</f>
        <v>0</v>
      </c>
      <c r="M16" s="291" t="s">
        <v>472</v>
      </c>
      <c r="X16" s="280">
        <f>IF(AO16="5",BH16,0)</f>
        <v>0</v>
      </c>
      <c r="Z16" s="280">
        <f>IF(AO16="1",BF16,0)</f>
        <v>0</v>
      </c>
      <c r="AA16" s="280">
        <f>IF(AO16="1",BG16,0)</f>
        <v>0</v>
      </c>
      <c r="AB16" s="280">
        <f>IF(AO16="7",BF16,0)</f>
        <v>0</v>
      </c>
      <c r="AC16" s="280">
        <f>IF(AO16="7",BG16,0)</f>
        <v>0</v>
      </c>
      <c r="AD16" s="280">
        <f>IF(AO16="2",BF16,0)</f>
        <v>0</v>
      </c>
      <c r="AE16" s="280">
        <f>IF(AO16="2",BG16,0)</f>
        <v>0</v>
      </c>
      <c r="AF16" s="280">
        <f>IF(AO16="0",BH16,0)</f>
        <v>0</v>
      </c>
      <c r="AG16" s="278" t="s">
        <v>154</v>
      </c>
      <c r="AH16" s="280">
        <f>IF(AL16=0,J16,0)</f>
        <v>0</v>
      </c>
      <c r="AI16" s="280">
        <f>IF(AL16=12,J16,0)</f>
        <v>0</v>
      </c>
      <c r="AJ16" s="280">
        <f>IF(AL16=21,J16,0)</f>
        <v>0</v>
      </c>
      <c r="AL16" s="280">
        <v>12</v>
      </c>
      <c r="AM16" s="280">
        <f>G16*0</f>
        <v>0</v>
      </c>
      <c r="AN16" s="280">
        <f>G16*(1-0)</f>
        <v>0</v>
      </c>
      <c r="AO16" s="281" t="s">
        <v>157</v>
      </c>
      <c r="AT16" s="280">
        <f>AU16+AV16</f>
        <v>0</v>
      </c>
      <c r="AU16" s="280">
        <f>F16*AM16</f>
        <v>0</v>
      </c>
      <c r="AV16" s="280">
        <f>F16*AN16</f>
        <v>0</v>
      </c>
      <c r="AW16" s="281" t="s">
        <v>205</v>
      </c>
      <c r="AX16" s="281" t="s">
        <v>163</v>
      </c>
      <c r="AY16" s="278" t="s">
        <v>164</v>
      </c>
      <c r="BA16" s="280">
        <f>AU16+AV16</f>
        <v>0</v>
      </c>
      <c r="BB16" s="280">
        <f>G16/(100-BC16)*100</f>
        <v>0</v>
      </c>
      <c r="BC16" s="280">
        <v>0</v>
      </c>
      <c r="BD16" s="280">
        <f>L16</f>
        <v>0</v>
      </c>
      <c r="BF16" s="280">
        <f>F16*AM16</f>
        <v>0</v>
      </c>
      <c r="BG16" s="280">
        <f>F16*AN16</f>
        <v>0</v>
      </c>
      <c r="BH16" s="280">
        <f>F16*G16</f>
        <v>0</v>
      </c>
      <c r="BI16" s="280"/>
      <c r="BJ16" s="280">
        <v>13</v>
      </c>
      <c r="BU16" s="280" t="e">
        <f>#REF!</f>
        <v>#REF!</v>
      </c>
      <c r="BV16" s="277" t="s">
        <v>204</v>
      </c>
    </row>
    <row r="17" spans="1:74" ht="67.5" customHeight="1" x14ac:dyDescent="0.3">
      <c r="A17" s="288"/>
      <c r="B17" s="289" t="s">
        <v>165</v>
      </c>
      <c r="C17" s="615" t="s">
        <v>2397</v>
      </c>
      <c r="D17" s="616"/>
      <c r="E17" s="616"/>
      <c r="F17" s="616"/>
      <c r="G17" s="616"/>
      <c r="H17" s="616"/>
      <c r="I17" s="616"/>
      <c r="J17" s="616"/>
      <c r="K17" s="616"/>
      <c r="L17" s="616"/>
      <c r="M17" s="617"/>
    </row>
    <row r="18" spans="1:74" ht="14.4" x14ac:dyDescent="0.3">
      <c r="A18" s="290" t="s">
        <v>169</v>
      </c>
      <c r="B18" s="275" t="s">
        <v>206</v>
      </c>
      <c r="C18" s="613" t="s">
        <v>481</v>
      </c>
      <c r="D18" s="614"/>
      <c r="E18" s="275" t="s">
        <v>196</v>
      </c>
      <c r="F18" s="280">
        <v>1.27</v>
      </c>
      <c r="G18" s="311">
        <v>0</v>
      </c>
      <c r="H18" s="280">
        <f>F18*AM18</f>
        <v>0</v>
      </c>
      <c r="I18" s="280">
        <f>F18*AN18</f>
        <v>0</v>
      </c>
      <c r="J18" s="280">
        <f>F18*G18</f>
        <v>0</v>
      </c>
      <c r="K18" s="280">
        <v>0</v>
      </c>
      <c r="L18" s="280">
        <f>F18*K18</f>
        <v>0</v>
      </c>
      <c r="M18" s="291" t="s">
        <v>472</v>
      </c>
      <c r="X18" s="280">
        <f>IF(AO18="5",BH18,0)</f>
        <v>0</v>
      </c>
      <c r="Z18" s="280">
        <f>IF(AO18="1",BF18,0)</f>
        <v>0</v>
      </c>
      <c r="AA18" s="280">
        <f>IF(AO18="1",BG18,0)</f>
        <v>0</v>
      </c>
      <c r="AB18" s="280">
        <f>IF(AO18="7",BF18,0)</f>
        <v>0</v>
      </c>
      <c r="AC18" s="280">
        <f>IF(AO18="7",BG18,0)</f>
        <v>0</v>
      </c>
      <c r="AD18" s="280">
        <f>IF(AO18="2",BF18,0)</f>
        <v>0</v>
      </c>
      <c r="AE18" s="280">
        <f>IF(AO18="2",BG18,0)</f>
        <v>0</v>
      </c>
      <c r="AF18" s="280">
        <f>IF(AO18="0",BH18,0)</f>
        <v>0</v>
      </c>
      <c r="AG18" s="278" t="s">
        <v>154</v>
      </c>
      <c r="AH18" s="280">
        <f>IF(AL18=0,J18,0)</f>
        <v>0</v>
      </c>
      <c r="AI18" s="280">
        <f>IF(AL18=12,J18,0)</f>
        <v>0</v>
      </c>
      <c r="AJ18" s="280">
        <f>IF(AL18=21,J18,0)</f>
        <v>0</v>
      </c>
      <c r="AL18" s="280">
        <v>12</v>
      </c>
      <c r="AM18" s="280">
        <f>G18*0</f>
        <v>0</v>
      </c>
      <c r="AN18" s="280">
        <f>G18*(1-0)</f>
        <v>0</v>
      </c>
      <c r="AO18" s="281" t="s">
        <v>157</v>
      </c>
      <c r="AT18" s="280">
        <f>AU18+AV18</f>
        <v>0</v>
      </c>
      <c r="AU18" s="280">
        <f>F18*AM18</f>
        <v>0</v>
      </c>
      <c r="AV18" s="280">
        <f>F18*AN18</f>
        <v>0</v>
      </c>
      <c r="AW18" s="281" t="s">
        <v>205</v>
      </c>
      <c r="AX18" s="281" t="s">
        <v>163</v>
      </c>
      <c r="AY18" s="278" t="s">
        <v>164</v>
      </c>
      <c r="BA18" s="280">
        <f>AU18+AV18</f>
        <v>0</v>
      </c>
      <c r="BB18" s="280">
        <f>G18/(100-BC18)*100</f>
        <v>0</v>
      </c>
      <c r="BC18" s="280">
        <v>0</v>
      </c>
      <c r="BD18" s="280">
        <f>L18</f>
        <v>0</v>
      </c>
      <c r="BF18" s="280">
        <f>F18*AM18</f>
        <v>0</v>
      </c>
      <c r="BG18" s="280">
        <f>F18*AN18</f>
        <v>0</v>
      </c>
      <c r="BH18" s="280">
        <f>F18*G18</f>
        <v>0</v>
      </c>
      <c r="BI18" s="280"/>
      <c r="BJ18" s="280">
        <v>13</v>
      </c>
      <c r="BU18" s="280" t="e">
        <f>#REF!</f>
        <v>#REF!</v>
      </c>
      <c r="BV18" s="277" t="s">
        <v>481</v>
      </c>
    </row>
    <row r="19" spans="1:74" ht="40.5" customHeight="1" x14ac:dyDescent="0.3">
      <c r="A19" s="288"/>
      <c r="B19" s="289" t="s">
        <v>165</v>
      </c>
      <c r="C19" s="615" t="s">
        <v>2396</v>
      </c>
      <c r="D19" s="616"/>
      <c r="E19" s="616"/>
      <c r="F19" s="616"/>
      <c r="G19" s="616"/>
      <c r="H19" s="616"/>
      <c r="I19" s="616"/>
      <c r="J19" s="616"/>
      <c r="K19" s="616"/>
      <c r="L19" s="616"/>
      <c r="M19" s="617"/>
    </row>
    <row r="20" spans="1:74" ht="14.4" x14ac:dyDescent="0.3">
      <c r="A20" s="290" t="s">
        <v>173</v>
      </c>
      <c r="B20" s="275" t="s">
        <v>208</v>
      </c>
      <c r="C20" s="613" t="s">
        <v>209</v>
      </c>
      <c r="D20" s="614"/>
      <c r="E20" s="275" t="s">
        <v>196</v>
      </c>
      <c r="F20" s="280">
        <v>2.54</v>
      </c>
      <c r="G20" s="311">
        <v>0</v>
      </c>
      <c r="H20" s="280">
        <f>F20*AM20</f>
        <v>0</v>
      </c>
      <c r="I20" s="280">
        <f>F20*AN20</f>
        <v>0</v>
      </c>
      <c r="J20" s="280">
        <f>F20*G20</f>
        <v>0</v>
      </c>
      <c r="K20" s="280">
        <v>0</v>
      </c>
      <c r="L20" s="280">
        <f>F20*K20</f>
        <v>0</v>
      </c>
      <c r="M20" s="291" t="s">
        <v>472</v>
      </c>
      <c r="X20" s="280">
        <f>IF(AO20="5",BH20,0)</f>
        <v>0</v>
      </c>
      <c r="Z20" s="280">
        <f>IF(AO20="1",BF20,0)</f>
        <v>0</v>
      </c>
      <c r="AA20" s="280">
        <f>IF(AO20="1",BG20,0)</f>
        <v>0</v>
      </c>
      <c r="AB20" s="280">
        <f>IF(AO20="7",BF20,0)</f>
        <v>0</v>
      </c>
      <c r="AC20" s="280">
        <f>IF(AO20="7",BG20,0)</f>
        <v>0</v>
      </c>
      <c r="AD20" s="280">
        <f>IF(AO20="2",BF20,0)</f>
        <v>0</v>
      </c>
      <c r="AE20" s="280">
        <f>IF(AO20="2",BG20,0)</f>
        <v>0</v>
      </c>
      <c r="AF20" s="280">
        <f>IF(AO20="0",BH20,0)</f>
        <v>0</v>
      </c>
      <c r="AG20" s="278" t="s">
        <v>154</v>
      </c>
      <c r="AH20" s="280">
        <f>IF(AL20=0,J20,0)</f>
        <v>0</v>
      </c>
      <c r="AI20" s="280">
        <f>IF(AL20=12,J20,0)</f>
        <v>0</v>
      </c>
      <c r="AJ20" s="280">
        <f>IF(AL20=21,J20,0)</f>
        <v>0</v>
      </c>
      <c r="AL20" s="280">
        <v>12</v>
      </c>
      <c r="AM20" s="280">
        <f>G20*0</f>
        <v>0</v>
      </c>
      <c r="AN20" s="280">
        <f>G20*(1-0)</f>
        <v>0</v>
      </c>
      <c r="AO20" s="281" t="s">
        <v>157</v>
      </c>
      <c r="AT20" s="280">
        <f>AU20+AV20</f>
        <v>0</v>
      </c>
      <c r="AU20" s="280">
        <f>F20*AM20</f>
        <v>0</v>
      </c>
      <c r="AV20" s="280">
        <f>F20*AN20</f>
        <v>0</v>
      </c>
      <c r="AW20" s="281" t="s">
        <v>205</v>
      </c>
      <c r="AX20" s="281" t="s">
        <v>163</v>
      </c>
      <c r="AY20" s="278" t="s">
        <v>164</v>
      </c>
      <c r="BA20" s="280">
        <f>AU20+AV20</f>
        <v>0</v>
      </c>
      <c r="BB20" s="280">
        <f>G20/(100-BC20)*100</f>
        <v>0</v>
      </c>
      <c r="BC20" s="280">
        <v>0</v>
      </c>
      <c r="BD20" s="280">
        <f>L20</f>
        <v>0</v>
      </c>
      <c r="BF20" s="280">
        <f>F20*AM20</f>
        <v>0</v>
      </c>
      <c r="BG20" s="280">
        <f>F20*AN20</f>
        <v>0</v>
      </c>
      <c r="BH20" s="280">
        <f>F20*G20</f>
        <v>0</v>
      </c>
      <c r="BI20" s="280"/>
      <c r="BJ20" s="280">
        <v>13</v>
      </c>
      <c r="BU20" s="280" t="e">
        <f>#REF!</f>
        <v>#REF!</v>
      </c>
      <c r="BV20" s="277" t="s">
        <v>209</v>
      </c>
    </row>
    <row r="21" spans="1:74" ht="67.5" customHeight="1" x14ac:dyDescent="0.3">
      <c r="A21" s="288"/>
      <c r="B21" s="289" t="s">
        <v>165</v>
      </c>
      <c r="C21" s="615" t="s">
        <v>2395</v>
      </c>
      <c r="D21" s="616"/>
      <c r="E21" s="616"/>
      <c r="F21" s="616"/>
      <c r="G21" s="616"/>
      <c r="H21" s="616"/>
      <c r="I21" s="616"/>
      <c r="J21" s="616"/>
      <c r="K21" s="616"/>
      <c r="L21" s="616"/>
      <c r="M21" s="617"/>
    </row>
    <row r="22" spans="1:74" ht="14.4" x14ac:dyDescent="0.3">
      <c r="A22" s="290" t="s">
        <v>177</v>
      </c>
      <c r="B22" s="275" t="s">
        <v>211</v>
      </c>
      <c r="C22" s="613" t="s">
        <v>482</v>
      </c>
      <c r="D22" s="614"/>
      <c r="E22" s="275" t="s">
        <v>196</v>
      </c>
      <c r="F22" s="280">
        <v>0.64</v>
      </c>
      <c r="G22" s="311">
        <v>0</v>
      </c>
      <c r="H22" s="280">
        <f>F22*AM22</f>
        <v>0</v>
      </c>
      <c r="I22" s="280">
        <f>F22*AN22</f>
        <v>0</v>
      </c>
      <c r="J22" s="280">
        <f>F22*G22</f>
        <v>0</v>
      </c>
      <c r="K22" s="280">
        <v>0</v>
      </c>
      <c r="L22" s="280">
        <f>F22*K22</f>
        <v>0</v>
      </c>
      <c r="M22" s="291" t="s">
        <v>472</v>
      </c>
      <c r="X22" s="280">
        <f>IF(AO22="5",BH22,0)</f>
        <v>0</v>
      </c>
      <c r="Z22" s="280">
        <f>IF(AO22="1",BF22,0)</f>
        <v>0</v>
      </c>
      <c r="AA22" s="280">
        <f>IF(AO22="1",BG22,0)</f>
        <v>0</v>
      </c>
      <c r="AB22" s="280">
        <f>IF(AO22="7",BF22,0)</f>
        <v>0</v>
      </c>
      <c r="AC22" s="280">
        <f>IF(AO22="7",BG22,0)</f>
        <v>0</v>
      </c>
      <c r="AD22" s="280">
        <f>IF(AO22="2",BF22,0)</f>
        <v>0</v>
      </c>
      <c r="AE22" s="280">
        <f>IF(AO22="2",BG22,0)</f>
        <v>0</v>
      </c>
      <c r="AF22" s="280">
        <f>IF(AO22="0",BH22,0)</f>
        <v>0</v>
      </c>
      <c r="AG22" s="278" t="s">
        <v>154</v>
      </c>
      <c r="AH22" s="280">
        <f>IF(AL22=0,J22,0)</f>
        <v>0</v>
      </c>
      <c r="AI22" s="280">
        <f>IF(AL22=12,J22,0)</f>
        <v>0</v>
      </c>
      <c r="AJ22" s="280">
        <f>IF(AL22=21,J22,0)</f>
        <v>0</v>
      </c>
      <c r="AL22" s="280">
        <v>12</v>
      </c>
      <c r="AM22" s="280">
        <f>G22*0</f>
        <v>0</v>
      </c>
      <c r="AN22" s="280">
        <f>G22*(1-0)</f>
        <v>0</v>
      </c>
      <c r="AO22" s="281" t="s">
        <v>157</v>
      </c>
      <c r="AT22" s="280">
        <f>AU22+AV22</f>
        <v>0</v>
      </c>
      <c r="AU22" s="280">
        <f>F22*AM22</f>
        <v>0</v>
      </c>
      <c r="AV22" s="280">
        <f>F22*AN22</f>
        <v>0</v>
      </c>
      <c r="AW22" s="281" t="s">
        <v>205</v>
      </c>
      <c r="AX22" s="281" t="s">
        <v>163</v>
      </c>
      <c r="AY22" s="278" t="s">
        <v>164</v>
      </c>
      <c r="BA22" s="280">
        <f>AU22+AV22</f>
        <v>0</v>
      </c>
      <c r="BB22" s="280">
        <f>G22/(100-BC22)*100</f>
        <v>0</v>
      </c>
      <c r="BC22" s="280">
        <v>0</v>
      </c>
      <c r="BD22" s="280">
        <f>L22</f>
        <v>0</v>
      </c>
      <c r="BF22" s="280">
        <f>F22*AM22</f>
        <v>0</v>
      </c>
      <c r="BG22" s="280">
        <f>F22*AN22</f>
        <v>0</v>
      </c>
      <c r="BH22" s="280">
        <f>F22*G22</f>
        <v>0</v>
      </c>
      <c r="BI22" s="280"/>
      <c r="BJ22" s="280">
        <v>13</v>
      </c>
      <c r="BU22" s="280" t="e">
        <f>#REF!</f>
        <v>#REF!</v>
      </c>
      <c r="BV22" s="277" t="s">
        <v>482</v>
      </c>
    </row>
    <row r="23" spans="1:74" ht="40.5" customHeight="1" x14ac:dyDescent="0.3">
      <c r="A23" s="288"/>
      <c r="B23" s="289" t="s">
        <v>165</v>
      </c>
      <c r="C23" s="615" t="s">
        <v>2394</v>
      </c>
      <c r="D23" s="616"/>
      <c r="E23" s="616"/>
      <c r="F23" s="616"/>
      <c r="G23" s="616"/>
      <c r="H23" s="616"/>
      <c r="I23" s="616"/>
      <c r="J23" s="616"/>
      <c r="K23" s="616"/>
      <c r="L23" s="616"/>
      <c r="M23" s="617"/>
    </row>
    <row r="24" spans="1:74" ht="14.4" x14ac:dyDescent="0.3">
      <c r="A24" s="290" t="s">
        <v>154</v>
      </c>
      <c r="B24" s="276" t="s">
        <v>215</v>
      </c>
      <c r="C24" s="624" t="s">
        <v>227</v>
      </c>
      <c r="D24" s="621"/>
      <c r="E24" s="275" t="s">
        <v>114</v>
      </c>
      <c r="F24" s="275" t="s">
        <v>114</v>
      </c>
      <c r="G24" s="275" t="s">
        <v>114</v>
      </c>
      <c r="H24" s="282">
        <f>SUM(H25:H33)</f>
        <v>0</v>
      </c>
      <c r="I24" s="282">
        <f>SUM(I25:I33)</f>
        <v>0</v>
      </c>
      <c r="J24" s="282">
        <f>SUM(J25:J33)</f>
        <v>0</v>
      </c>
      <c r="K24" s="279" t="s">
        <v>154</v>
      </c>
      <c r="L24" s="282">
        <f>SUM(L25:L33)</f>
        <v>0</v>
      </c>
      <c r="M24" s="294" t="s">
        <v>154</v>
      </c>
      <c r="AG24" s="278" t="s">
        <v>154</v>
      </c>
      <c r="AQ24" s="274">
        <f>SUM(AH25:AH33)</f>
        <v>0</v>
      </c>
      <c r="AR24" s="274">
        <f>SUM(AI25:AI33)</f>
        <v>0</v>
      </c>
      <c r="AS24" s="274">
        <f>SUM(AJ25:AJ33)</f>
        <v>0</v>
      </c>
    </row>
    <row r="25" spans="1:74" ht="14.4" x14ac:dyDescent="0.3">
      <c r="A25" s="290" t="s">
        <v>181</v>
      </c>
      <c r="B25" s="275" t="s">
        <v>229</v>
      </c>
      <c r="C25" s="613" t="s">
        <v>230</v>
      </c>
      <c r="D25" s="614"/>
      <c r="E25" s="275" t="s">
        <v>196</v>
      </c>
      <c r="F25" s="280">
        <v>0.15</v>
      </c>
      <c r="G25" s="311">
        <v>0</v>
      </c>
      <c r="H25" s="280">
        <f>F25*AM25</f>
        <v>0</v>
      </c>
      <c r="I25" s="280">
        <f>F25*AN25</f>
        <v>0</v>
      </c>
      <c r="J25" s="280">
        <f>F25*G25</f>
        <v>0</v>
      </c>
      <c r="K25" s="280">
        <v>0</v>
      </c>
      <c r="L25" s="280">
        <f>F25*K25</f>
        <v>0</v>
      </c>
      <c r="M25" s="291" t="s">
        <v>472</v>
      </c>
      <c r="X25" s="280">
        <f>IF(AO25="5",BH25,0)</f>
        <v>0</v>
      </c>
      <c r="Z25" s="280">
        <f>IF(AO25="1",BF25,0)</f>
        <v>0</v>
      </c>
      <c r="AA25" s="280">
        <f>IF(AO25="1",BG25,0)</f>
        <v>0</v>
      </c>
      <c r="AB25" s="280">
        <f>IF(AO25="7",BF25,0)</f>
        <v>0</v>
      </c>
      <c r="AC25" s="280">
        <f>IF(AO25="7",BG25,0)</f>
        <v>0</v>
      </c>
      <c r="AD25" s="280">
        <f>IF(AO25="2",BF25,0)</f>
        <v>0</v>
      </c>
      <c r="AE25" s="280">
        <f>IF(AO25="2",BG25,0)</f>
        <v>0</v>
      </c>
      <c r="AF25" s="280">
        <f>IF(AO25="0",BH25,0)</f>
        <v>0</v>
      </c>
      <c r="AG25" s="278" t="s">
        <v>154</v>
      </c>
      <c r="AH25" s="280">
        <f>IF(AL25=0,J25,0)</f>
        <v>0</v>
      </c>
      <c r="AI25" s="280">
        <f>IF(AL25=12,J25,0)</f>
        <v>0</v>
      </c>
      <c r="AJ25" s="280">
        <f>IF(AL25=21,J25,0)</f>
        <v>0</v>
      </c>
      <c r="AL25" s="280">
        <v>12</v>
      </c>
      <c r="AM25" s="280">
        <f>G25*0</f>
        <v>0</v>
      </c>
      <c r="AN25" s="280">
        <f>G25*(1-0)</f>
        <v>0</v>
      </c>
      <c r="AO25" s="281" t="s">
        <v>157</v>
      </c>
      <c r="AT25" s="280">
        <f>AU25+AV25</f>
        <v>0</v>
      </c>
      <c r="AU25" s="280">
        <f>F25*AM25</f>
        <v>0</v>
      </c>
      <c r="AV25" s="280">
        <f>F25*AN25</f>
        <v>0</v>
      </c>
      <c r="AW25" s="281" t="s">
        <v>231</v>
      </c>
      <c r="AX25" s="281" t="s">
        <v>163</v>
      </c>
      <c r="AY25" s="278" t="s">
        <v>164</v>
      </c>
      <c r="BA25" s="280">
        <f>AU25+AV25</f>
        <v>0</v>
      </c>
      <c r="BB25" s="280">
        <f>G25/(100-BC25)*100</f>
        <v>0</v>
      </c>
      <c r="BC25" s="280">
        <v>0</v>
      </c>
      <c r="BD25" s="280">
        <f>L25</f>
        <v>0</v>
      </c>
      <c r="BF25" s="280">
        <f>F25*AM25</f>
        <v>0</v>
      </c>
      <c r="BG25" s="280">
        <f>F25*AN25</f>
        <v>0</v>
      </c>
      <c r="BH25" s="280">
        <f>F25*G25</f>
        <v>0</v>
      </c>
      <c r="BI25" s="280"/>
      <c r="BJ25" s="280">
        <v>16</v>
      </c>
      <c r="BU25" s="280" t="e">
        <f>#REF!</f>
        <v>#REF!</v>
      </c>
      <c r="BV25" s="277" t="s">
        <v>230</v>
      </c>
    </row>
    <row r="26" spans="1:74" ht="54" customHeight="1" x14ac:dyDescent="0.3">
      <c r="A26" s="288"/>
      <c r="B26" s="289" t="s">
        <v>165</v>
      </c>
      <c r="C26" s="615" t="s">
        <v>2393</v>
      </c>
      <c r="D26" s="616"/>
      <c r="E26" s="616"/>
      <c r="F26" s="616"/>
      <c r="G26" s="616"/>
      <c r="H26" s="616"/>
      <c r="I26" s="616"/>
      <c r="J26" s="616"/>
      <c r="K26" s="616"/>
      <c r="L26" s="616"/>
      <c r="M26" s="617"/>
    </row>
    <row r="27" spans="1:74" ht="14.4" x14ac:dyDescent="0.3">
      <c r="A27" s="290" t="s">
        <v>184</v>
      </c>
      <c r="B27" s="275" t="s">
        <v>503</v>
      </c>
      <c r="C27" s="613" t="s">
        <v>237</v>
      </c>
      <c r="D27" s="614"/>
      <c r="E27" s="275" t="s">
        <v>196</v>
      </c>
      <c r="F27" s="280">
        <v>5.08</v>
      </c>
      <c r="G27" s="311">
        <v>0</v>
      </c>
      <c r="H27" s="280">
        <f>F27*AM27</f>
        <v>0</v>
      </c>
      <c r="I27" s="280">
        <f>F27*AN27</f>
        <v>0</v>
      </c>
      <c r="J27" s="280">
        <f>F27*G27</f>
        <v>0</v>
      </c>
      <c r="K27" s="280">
        <v>0</v>
      </c>
      <c r="L27" s="280">
        <f>F27*K27</f>
        <v>0</v>
      </c>
      <c r="M27" s="291" t="s">
        <v>472</v>
      </c>
      <c r="X27" s="280">
        <f>IF(AO27="5",BH27,0)</f>
        <v>0</v>
      </c>
      <c r="Z27" s="280">
        <f>IF(AO27="1",BF27,0)</f>
        <v>0</v>
      </c>
      <c r="AA27" s="280">
        <f>IF(AO27="1",BG27,0)</f>
        <v>0</v>
      </c>
      <c r="AB27" s="280">
        <f>IF(AO27="7",BF27,0)</f>
        <v>0</v>
      </c>
      <c r="AC27" s="280">
        <f>IF(AO27="7",BG27,0)</f>
        <v>0</v>
      </c>
      <c r="AD27" s="280">
        <f>IF(AO27="2",BF27,0)</f>
        <v>0</v>
      </c>
      <c r="AE27" s="280">
        <f>IF(AO27="2",BG27,0)</f>
        <v>0</v>
      </c>
      <c r="AF27" s="280">
        <f>IF(AO27="0",BH27,0)</f>
        <v>0</v>
      </c>
      <c r="AG27" s="278" t="s">
        <v>154</v>
      </c>
      <c r="AH27" s="280">
        <f>IF(AL27=0,J27,0)</f>
        <v>0</v>
      </c>
      <c r="AI27" s="280">
        <f>IF(AL27=12,J27,0)</f>
        <v>0</v>
      </c>
      <c r="AJ27" s="280">
        <f>IF(AL27=21,J27,0)</f>
        <v>0</v>
      </c>
      <c r="AL27" s="280">
        <v>12</v>
      </c>
      <c r="AM27" s="280">
        <f>G27*0</f>
        <v>0</v>
      </c>
      <c r="AN27" s="280">
        <f>G27*(1-0)</f>
        <v>0</v>
      </c>
      <c r="AO27" s="281" t="s">
        <v>157</v>
      </c>
      <c r="AT27" s="280">
        <f>AU27+AV27</f>
        <v>0</v>
      </c>
      <c r="AU27" s="280">
        <f>F27*AM27</f>
        <v>0</v>
      </c>
      <c r="AV27" s="280">
        <f>F27*AN27</f>
        <v>0</v>
      </c>
      <c r="AW27" s="281" t="s">
        <v>231</v>
      </c>
      <c r="AX27" s="281" t="s">
        <v>163</v>
      </c>
      <c r="AY27" s="278" t="s">
        <v>164</v>
      </c>
      <c r="BA27" s="280">
        <f>AU27+AV27</f>
        <v>0</v>
      </c>
      <c r="BB27" s="280">
        <f>G27/(100-BC27)*100</f>
        <v>0</v>
      </c>
      <c r="BC27" s="280">
        <v>0</v>
      </c>
      <c r="BD27" s="280">
        <f>L27</f>
        <v>0</v>
      </c>
      <c r="BF27" s="280">
        <f>F27*AM27</f>
        <v>0</v>
      </c>
      <c r="BG27" s="280">
        <f>F27*AN27</f>
        <v>0</v>
      </c>
      <c r="BH27" s="280">
        <f>F27*G27</f>
        <v>0</v>
      </c>
      <c r="BI27" s="280"/>
      <c r="BJ27" s="280">
        <v>16</v>
      </c>
      <c r="BU27" s="280" t="e">
        <f>#REF!</f>
        <v>#REF!</v>
      </c>
      <c r="BV27" s="277" t="s">
        <v>237</v>
      </c>
    </row>
    <row r="28" spans="1:74" ht="54" customHeight="1" x14ac:dyDescent="0.3">
      <c r="A28" s="288"/>
      <c r="B28" s="289" t="s">
        <v>165</v>
      </c>
      <c r="C28" s="615" t="s">
        <v>2392</v>
      </c>
      <c r="D28" s="616"/>
      <c r="E28" s="616"/>
      <c r="F28" s="616"/>
      <c r="G28" s="616"/>
      <c r="H28" s="616"/>
      <c r="I28" s="616"/>
      <c r="J28" s="616"/>
      <c r="K28" s="616"/>
      <c r="L28" s="616"/>
      <c r="M28" s="617"/>
    </row>
    <row r="29" spans="1:74" ht="14.4" x14ac:dyDescent="0.3">
      <c r="A29" s="290" t="s">
        <v>187</v>
      </c>
      <c r="B29" s="275" t="s">
        <v>504</v>
      </c>
      <c r="C29" s="613" t="s">
        <v>240</v>
      </c>
      <c r="D29" s="614"/>
      <c r="E29" s="275" t="s">
        <v>196</v>
      </c>
      <c r="F29" s="280">
        <v>71.12</v>
      </c>
      <c r="G29" s="311">
        <v>0</v>
      </c>
      <c r="H29" s="280">
        <f>F29*AM29</f>
        <v>0</v>
      </c>
      <c r="I29" s="280">
        <f>F29*AN29</f>
        <v>0</v>
      </c>
      <c r="J29" s="280">
        <f>F29*G29</f>
        <v>0</v>
      </c>
      <c r="K29" s="280">
        <v>0</v>
      </c>
      <c r="L29" s="280">
        <f>F29*K29</f>
        <v>0</v>
      </c>
      <c r="M29" s="291" t="s">
        <v>472</v>
      </c>
      <c r="X29" s="280">
        <f>IF(AO29="5",BH29,0)</f>
        <v>0</v>
      </c>
      <c r="Z29" s="280">
        <f>IF(AO29="1",BF29,0)</f>
        <v>0</v>
      </c>
      <c r="AA29" s="280">
        <f>IF(AO29="1",BG29,0)</f>
        <v>0</v>
      </c>
      <c r="AB29" s="280">
        <f>IF(AO29="7",BF29,0)</f>
        <v>0</v>
      </c>
      <c r="AC29" s="280">
        <f>IF(AO29="7",BG29,0)</f>
        <v>0</v>
      </c>
      <c r="AD29" s="280">
        <f>IF(AO29="2",BF29,0)</f>
        <v>0</v>
      </c>
      <c r="AE29" s="280">
        <f>IF(AO29="2",BG29,0)</f>
        <v>0</v>
      </c>
      <c r="AF29" s="280">
        <f>IF(AO29="0",BH29,0)</f>
        <v>0</v>
      </c>
      <c r="AG29" s="278" t="s">
        <v>154</v>
      </c>
      <c r="AH29" s="280">
        <f>IF(AL29=0,J29,0)</f>
        <v>0</v>
      </c>
      <c r="AI29" s="280">
        <f>IF(AL29=12,J29,0)</f>
        <v>0</v>
      </c>
      <c r="AJ29" s="280">
        <f>IF(AL29=21,J29,0)</f>
        <v>0</v>
      </c>
      <c r="AL29" s="280">
        <v>12</v>
      </c>
      <c r="AM29" s="280">
        <f>G29*0</f>
        <v>0</v>
      </c>
      <c r="AN29" s="280">
        <f>G29*(1-0)</f>
        <v>0</v>
      </c>
      <c r="AO29" s="281" t="s">
        <v>157</v>
      </c>
      <c r="AT29" s="280">
        <f>AU29+AV29</f>
        <v>0</v>
      </c>
      <c r="AU29" s="280">
        <f>F29*AM29</f>
        <v>0</v>
      </c>
      <c r="AV29" s="280">
        <f>F29*AN29</f>
        <v>0</v>
      </c>
      <c r="AW29" s="281" t="s">
        <v>231</v>
      </c>
      <c r="AX29" s="281" t="s">
        <v>163</v>
      </c>
      <c r="AY29" s="278" t="s">
        <v>164</v>
      </c>
      <c r="BA29" s="280">
        <f>AU29+AV29</f>
        <v>0</v>
      </c>
      <c r="BB29" s="280">
        <f>G29/(100-BC29)*100</f>
        <v>0</v>
      </c>
      <c r="BC29" s="280">
        <v>0</v>
      </c>
      <c r="BD29" s="280">
        <f>L29</f>
        <v>0</v>
      </c>
      <c r="BF29" s="280">
        <f>F29*AM29</f>
        <v>0</v>
      </c>
      <c r="BG29" s="280">
        <f>F29*AN29</f>
        <v>0</v>
      </c>
      <c r="BH29" s="280">
        <f>F29*G29</f>
        <v>0</v>
      </c>
      <c r="BI29" s="280"/>
      <c r="BJ29" s="280">
        <v>16</v>
      </c>
      <c r="BU29" s="280" t="e">
        <f>#REF!</f>
        <v>#REF!</v>
      </c>
      <c r="BV29" s="277" t="s">
        <v>240</v>
      </c>
    </row>
    <row r="30" spans="1:74" ht="54" customHeight="1" x14ac:dyDescent="0.3">
      <c r="A30" s="292"/>
      <c r="B30" s="293" t="s">
        <v>165</v>
      </c>
      <c r="C30" s="618" t="s">
        <v>2391</v>
      </c>
      <c r="D30" s="619"/>
      <c r="E30" s="619"/>
      <c r="F30" s="619"/>
      <c r="G30" s="619"/>
      <c r="H30" s="619"/>
      <c r="I30" s="619"/>
      <c r="J30" s="619"/>
      <c r="K30" s="619"/>
      <c r="L30" s="619"/>
      <c r="M30" s="620"/>
    </row>
    <row r="31" spans="1:74" ht="14.4" x14ac:dyDescent="0.3">
      <c r="A31" s="284" t="s">
        <v>193</v>
      </c>
      <c r="B31" s="285" t="s">
        <v>254</v>
      </c>
      <c r="C31" s="622" t="s">
        <v>1129</v>
      </c>
      <c r="D31" s="623"/>
      <c r="E31" s="285" t="s">
        <v>196</v>
      </c>
      <c r="F31" s="286">
        <v>6.3</v>
      </c>
      <c r="G31" s="311">
        <v>0</v>
      </c>
      <c r="H31" s="286">
        <f>F31*AM31</f>
        <v>0</v>
      </c>
      <c r="I31" s="286">
        <f>F31*AN31</f>
        <v>0</v>
      </c>
      <c r="J31" s="286">
        <f>F31*G31</f>
        <v>0</v>
      </c>
      <c r="K31" s="286">
        <v>0</v>
      </c>
      <c r="L31" s="286">
        <f>F31*K31</f>
        <v>0</v>
      </c>
      <c r="M31" s="287" t="s">
        <v>472</v>
      </c>
      <c r="X31" s="280">
        <f>IF(AO31="5",BH31,0)</f>
        <v>0</v>
      </c>
      <c r="Z31" s="280">
        <f>IF(AO31="1",BF31,0)</f>
        <v>0</v>
      </c>
      <c r="AA31" s="280">
        <f>IF(AO31="1",BG31,0)</f>
        <v>0</v>
      </c>
      <c r="AB31" s="280">
        <f>IF(AO31="7",BF31,0)</f>
        <v>0</v>
      </c>
      <c r="AC31" s="280">
        <f>IF(AO31="7",BG31,0)</f>
        <v>0</v>
      </c>
      <c r="AD31" s="280">
        <f>IF(AO31="2",BF31,0)</f>
        <v>0</v>
      </c>
      <c r="AE31" s="280">
        <f>IF(AO31="2",BG31,0)</f>
        <v>0</v>
      </c>
      <c r="AF31" s="280">
        <f>IF(AO31="0",BH31,0)</f>
        <v>0</v>
      </c>
      <c r="AG31" s="278" t="s">
        <v>154</v>
      </c>
      <c r="AH31" s="280">
        <f>IF(AL31=0,J31,0)</f>
        <v>0</v>
      </c>
      <c r="AI31" s="280">
        <f>IF(AL31=12,J31,0)</f>
        <v>0</v>
      </c>
      <c r="AJ31" s="280">
        <f>IF(AL31=21,J31,0)</f>
        <v>0</v>
      </c>
      <c r="AL31" s="280">
        <v>12</v>
      </c>
      <c r="AM31" s="280">
        <f>G31*0</f>
        <v>0</v>
      </c>
      <c r="AN31" s="280">
        <f>G31*(1-0)</f>
        <v>0</v>
      </c>
      <c r="AO31" s="281" t="s">
        <v>157</v>
      </c>
      <c r="AT31" s="280">
        <f>AU31+AV31</f>
        <v>0</v>
      </c>
      <c r="AU31" s="280">
        <f>F31*AM31</f>
        <v>0</v>
      </c>
      <c r="AV31" s="280">
        <f>F31*AN31</f>
        <v>0</v>
      </c>
      <c r="AW31" s="281" t="s">
        <v>231</v>
      </c>
      <c r="AX31" s="281" t="s">
        <v>163</v>
      </c>
      <c r="AY31" s="278" t="s">
        <v>164</v>
      </c>
      <c r="BA31" s="280">
        <f>AU31+AV31</f>
        <v>0</v>
      </c>
      <c r="BB31" s="280">
        <f>G31/(100-BC31)*100</f>
        <v>0</v>
      </c>
      <c r="BC31" s="280">
        <v>0</v>
      </c>
      <c r="BD31" s="280">
        <f>L31</f>
        <v>0</v>
      </c>
      <c r="BF31" s="280">
        <f>F31*AM31</f>
        <v>0</v>
      </c>
      <c r="BG31" s="280">
        <f>F31*AN31</f>
        <v>0</v>
      </c>
      <c r="BH31" s="280">
        <f>F31*G31</f>
        <v>0</v>
      </c>
      <c r="BI31" s="280"/>
      <c r="BJ31" s="280">
        <v>16</v>
      </c>
      <c r="BU31" s="280" t="e">
        <f>#REF!</f>
        <v>#REF!</v>
      </c>
      <c r="BV31" s="277" t="s">
        <v>1129</v>
      </c>
    </row>
    <row r="32" spans="1:74" ht="40.5" customHeight="1" x14ac:dyDescent="0.3">
      <c r="A32" s="288"/>
      <c r="B32" s="289" t="s">
        <v>165</v>
      </c>
      <c r="C32" s="615" t="s">
        <v>2390</v>
      </c>
      <c r="D32" s="616"/>
      <c r="E32" s="616"/>
      <c r="F32" s="616"/>
      <c r="G32" s="616"/>
      <c r="H32" s="616"/>
      <c r="I32" s="616"/>
      <c r="J32" s="616"/>
      <c r="K32" s="616"/>
      <c r="L32" s="616"/>
      <c r="M32" s="617"/>
    </row>
    <row r="33" spans="1:74" ht="14.4" x14ac:dyDescent="0.3">
      <c r="A33" s="290" t="s">
        <v>198</v>
      </c>
      <c r="B33" s="275" t="s">
        <v>257</v>
      </c>
      <c r="C33" s="613" t="s">
        <v>258</v>
      </c>
      <c r="D33" s="614"/>
      <c r="E33" s="275" t="s">
        <v>196</v>
      </c>
      <c r="F33" s="280">
        <v>6.3</v>
      </c>
      <c r="G33" s="311">
        <v>0</v>
      </c>
      <c r="H33" s="280">
        <f>F33*AM33</f>
        <v>0</v>
      </c>
      <c r="I33" s="280">
        <f>F33*AN33</f>
        <v>0</v>
      </c>
      <c r="J33" s="280">
        <f>F33*G33</f>
        <v>0</v>
      </c>
      <c r="K33" s="280">
        <v>0</v>
      </c>
      <c r="L33" s="280">
        <f>F33*K33</f>
        <v>0</v>
      </c>
      <c r="M33" s="291" t="s">
        <v>472</v>
      </c>
      <c r="X33" s="280">
        <f>IF(AO33="5",BH33,0)</f>
        <v>0</v>
      </c>
      <c r="Z33" s="280">
        <f>IF(AO33="1",BF33,0)</f>
        <v>0</v>
      </c>
      <c r="AA33" s="280">
        <f>IF(AO33="1",BG33,0)</f>
        <v>0</v>
      </c>
      <c r="AB33" s="280">
        <f>IF(AO33="7",BF33,0)</f>
        <v>0</v>
      </c>
      <c r="AC33" s="280">
        <f>IF(AO33="7",BG33,0)</f>
        <v>0</v>
      </c>
      <c r="AD33" s="280">
        <f>IF(AO33="2",BF33,0)</f>
        <v>0</v>
      </c>
      <c r="AE33" s="280">
        <f>IF(AO33="2",BG33,0)</f>
        <v>0</v>
      </c>
      <c r="AF33" s="280">
        <f>IF(AO33="0",BH33,0)</f>
        <v>0</v>
      </c>
      <c r="AG33" s="278" t="s">
        <v>154</v>
      </c>
      <c r="AH33" s="280">
        <f>IF(AL33=0,J33,0)</f>
        <v>0</v>
      </c>
      <c r="AI33" s="280">
        <f>IF(AL33=12,J33,0)</f>
        <v>0</v>
      </c>
      <c r="AJ33" s="280">
        <f>IF(AL33=21,J33,0)</f>
        <v>0</v>
      </c>
      <c r="AL33" s="280">
        <v>12</v>
      </c>
      <c r="AM33" s="280">
        <f>G33*0</f>
        <v>0</v>
      </c>
      <c r="AN33" s="280">
        <f>G33*(1-0)</f>
        <v>0</v>
      </c>
      <c r="AO33" s="281" t="s">
        <v>157</v>
      </c>
      <c r="AT33" s="280">
        <f>AU33+AV33</f>
        <v>0</v>
      </c>
      <c r="AU33" s="280">
        <f>F33*AM33</f>
        <v>0</v>
      </c>
      <c r="AV33" s="280">
        <f>F33*AN33</f>
        <v>0</v>
      </c>
      <c r="AW33" s="281" t="s">
        <v>231</v>
      </c>
      <c r="AX33" s="281" t="s">
        <v>163</v>
      </c>
      <c r="AY33" s="278" t="s">
        <v>164</v>
      </c>
      <c r="BA33" s="280">
        <f>AU33+AV33</f>
        <v>0</v>
      </c>
      <c r="BB33" s="280">
        <f>G33/(100-BC33)*100</f>
        <v>0</v>
      </c>
      <c r="BC33" s="280">
        <v>0</v>
      </c>
      <c r="BD33" s="280">
        <f>L33</f>
        <v>0</v>
      </c>
      <c r="BF33" s="280">
        <f>F33*AM33</f>
        <v>0</v>
      </c>
      <c r="BG33" s="280">
        <f>F33*AN33</f>
        <v>0</v>
      </c>
      <c r="BH33" s="280">
        <f>F33*G33</f>
        <v>0</v>
      </c>
      <c r="BI33" s="280"/>
      <c r="BJ33" s="280">
        <v>16</v>
      </c>
      <c r="BU33" s="280" t="e">
        <f>#REF!</f>
        <v>#REF!</v>
      </c>
      <c r="BV33" s="277" t="s">
        <v>258</v>
      </c>
    </row>
    <row r="34" spans="1:74" ht="40.5" customHeight="1" x14ac:dyDescent="0.3">
      <c r="A34" s="288"/>
      <c r="B34" s="289" t="s">
        <v>165</v>
      </c>
      <c r="C34" s="615" t="s">
        <v>2389</v>
      </c>
      <c r="D34" s="616"/>
      <c r="E34" s="616"/>
      <c r="F34" s="616"/>
      <c r="G34" s="616"/>
      <c r="H34" s="616"/>
      <c r="I34" s="616"/>
      <c r="J34" s="616"/>
      <c r="K34" s="616"/>
      <c r="L34" s="616"/>
      <c r="M34" s="617"/>
    </row>
    <row r="35" spans="1:74" ht="14.4" x14ac:dyDescent="0.3">
      <c r="A35" s="290" t="s">
        <v>154</v>
      </c>
      <c r="B35" s="276" t="s">
        <v>224</v>
      </c>
      <c r="C35" s="624" t="s">
        <v>270</v>
      </c>
      <c r="D35" s="621"/>
      <c r="E35" s="275" t="s">
        <v>114</v>
      </c>
      <c r="F35" s="275" t="s">
        <v>114</v>
      </c>
      <c r="G35" s="275" t="s">
        <v>114</v>
      </c>
      <c r="H35" s="282">
        <f>SUM(H36:H38)</f>
        <v>0</v>
      </c>
      <c r="I35" s="282">
        <f>SUM(I36:I38)</f>
        <v>0</v>
      </c>
      <c r="J35" s="282">
        <f>SUM(J36:J38)</f>
        <v>0</v>
      </c>
      <c r="K35" s="279" t="s">
        <v>154</v>
      </c>
      <c r="L35" s="282">
        <f>SUM(L36:L38)</f>
        <v>2.2500000000000003E-3</v>
      </c>
      <c r="M35" s="294" t="s">
        <v>154</v>
      </c>
      <c r="AG35" s="278" t="s">
        <v>154</v>
      </c>
      <c r="AQ35" s="274">
        <f>SUM(AH36:AH38)</f>
        <v>0</v>
      </c>
      <c r="AR35" s="274">
        <f>SUM(AI36:AI38)</f>
        <v>0</v>
      </c>
      <c r="AS35" s="274">
        <f>SUM(AJ36:AJ38)</f>
        <v>0</v>
      </c>
    </row>
    <row r="36" spans="1:74" ht="14.4" x14ac:dyDescent="0.3">
      <c r="A36" s="290" t="s">
        <v>155</v>
      </c>
      <c r="B36" s="275" t="s">
        <v>272</v>
      </c>
      <c r="C36" s="613" t="s">
        <v>273</v>
      </c>
      <c r="D36" s="614"/>
      <c r="E36" s="275" t="s">
        <v>180</v>
      </c>
      <c r="F36" s="280">
        <v>75</v>
      </c>
      <c r="G36" s="311">
        <v>0</v>
      </c>
      <c r="H36" s="280">
        <f>F36*AM36</f>
        <v>0</v>
      </c>
      <c r="I36" s="280">
        <f>F36*AN36</f>
        <v>0</v>
      </c>
      <c r="J36" s="280">
        <f>F36*G36</f>
        <v>0</v>
      </c>
      <c r="K36" s="280">
        <v>3.0000000000000001E-5</v>
      </c>
      <c r="L36" s="280">
        <f>F36*K36</f>
        <v>2.2500000000000003E-3</v>
      </c>
      <c r="M36" s="291" t="s">
        <v>472</v>
      </c>
      <c r="X36" s="280">
        <f>IF(AO36="5",BH36,0)</f>
        <v>0</v>
      </c>
      <c r="Z36" s="280">
        <f>IF(AO36="1",BF36,0)</f>
        <v>0</v>
      </c>
      <c r="AA36" s="280">
        <f>IF(AO36="1",BG36,0)</f>
        <v>0</v>
      </c>
      <c r="AB36" s="280">
        <f>IF(AO36="7",BF36,0)</f>
        <v>0</v>
      </c>
      <c r="AC36" s="280">
        <f>IF(AO36="7",BG36,0)</f>
        <v>0</v>
      </c>
      <c r="AD36" s="280">
        <f>IF(AO36="2",BF36,0)</f>
        <v>0</v>
      </c>
      <c r="AE36" s="280">
        <f>IF(AO36="2",BG36,0)</f>
        <v>0</v>
      </c>
      <c r="AF36" s="280">
        <f>IF(AO36="0",BH36,0)</f>
        <v>0</v>
      </c>
      <c r="AG36" s="278" t="s">
        <v>154</v>
      </c>
      <c r="AH36" s="280">
        <f>IF(AL36=0,J36,0)</f>
        <v>0</v>
      </c>
      <c r="AI36" s="280">
        <f>IF(AL36=12,J36,0)</f>
        <v>0</v>
      </c>
      <c r="AJ36" s="280">
        <f>IF(AL36=21,J36,0)</f>
        <v>0</v>
      </c>
      <c r="AL36" s="280">
        <v>12</v>
      </c>
      <c r="AM36" s="280">
        <f>G36*0.041715945</f>
        <v>0</v>
      </c>
      <c r="AN36" s="280">
        <f>G36*(1-0.041715945)</f>
        <v>0</v>
      </c>
      <c r="AO36" s="281" t="s">
        <v>157</v>
      </c>
      <c r="AT36" s="280">
        <f>AU36+AV36</f>
        <v>0</v>
      </c>
      <c r="AU36" s="280">
        <f>F36*AM36</f>
        <v>0</v>
      </c>
      <c r="AV36" s="280">
        <f>F36*AN36</f>
        <v>0</v>
      </c>
      <c r="AW36" s="281" t="s">
        <v>274</v>
      </c>
      <c r="AX36" s="281" t="s">
        <v>163</v>
      </c>
      <c r="AY36" s="278" t="s">
        <v>164</v>
      </c>
      <c r="BA36" s="280">
        <f>AU36+AV36</f>
        <v>0</v>
      </c>
      <c r="BB36" s="280">
        <f>G36/(100-BC36)*100</f>
        <v>0</v>
      </c>
      <c r="BC36" s="280">
        <v>0</v>
      </c>
      <c r="BD36" s="280">
        <f>L36</f>
        <v>2.2500000000000003E-3</v>
      </c>
      <c r="BF36" s="280">
        <f>F36*AM36</f>
        <v>0</v>
      </c>
      <c r="BG36" s="280">
        <f>F36*AN36</f>
        <v>0</v>
      </c>
      <c r="BH36" s="280">
        <f>F36*G36</f>
        <v>0</v>
      </c>
      <c r="BI36" s="280"/>
      <c r="BJ36" s="280">
        <v>18</v>
      </c>
      <c r="BU36" s="280" t="e">
        <f>#REF!</f>
        <v>#REF!</v>
      </c>
      <c r="BV36" s="277" t="s">
        <v>273</v>
      </c>
    </row>
    <row r="37" spans="1:74" ht="40.5" customHeight="1" x14ac:dyDescent="0.3">
      <c r="A37" s="288"/>
      <c r="B37" s="289" t="s">
        <v>165</v>
      </c>
      <c r="C37" s="615" t="s">
        <v>2388</v>
      </c>
      <c r="D37" s="616"/>
      <c r="E37" s="616"/>
      <c r="F37" s="616"/>
      <c r="G37" s="616"/>
      <c r="H37" s="616"/>
      <c r="I37" s="616"/>
      <c r="J37" s="616"/>
      <c r="K37" s="616"/>
      <c r="L37" s="616"/>
      <c r="M37" s="617"/>
    </row>
    <row r="38" spans="1:74" ht="14.4" x14ac:dyDescent="0.3">
      <c r="A38" s="290" t="s">
        <v>191</v>
      </c>
      <c r="B38" s="275" t="s">
        <v>1130</v>
      </c>
      <c r="C38" s="613" t="s">
        <v>1131</v>
      </c>
      <c r="D38" s="614"/>
      <c r="E38" s="275" t="s">
        <v>180</v>
      </c>
      <c r="F38" s="280">
        <v>86.25</v>
      </c>
      <c r="G38" s="311">
        <v>0</v>
      </c>
      <c r="H38" s="280">
        <f>F38*AM38</f>
        <v>0</v>
      </c>
      <c r="I38" s="280">
        <f>F38*AN38</f>
        <v>0</v>
      </c>
      <c r="J38" s="280">
        <f>F38*G38</f>
        <v>0</v>
      </c>
      <c r="K38" s="280">
        <v>0</v>
      </c>
      <c r="L38" s="280">
        <f>F38*K38</f>
        <v>0</v>
      </c>
      <c r="M38" s="291" t="s">
        <v>472</v>
      </c>
      <c r="X38" s="280">
        <f>IF(AO38="5",BH38,0)</f>
        <v>0</v>
      </c>
      <c r="Z38" s="280">
        <f>IF(AO38="1",BF38,0)</f>
        <v>0</v>
      </c>
      <c r="AA38" s="280">
        <f>IF(AO38="1",BG38,0)</f>
        <v>0</v>
      </c>
      <c r="AB38" s="280">
        <f>IF(AO38="7",BF38,0)</f>
        <v>0</v>
      </c>
      <c r="AC38" s="280">
        <f>IF(AO38="7",BG38,0)</f>
        <v>0</v>
      </c>
      <c r="AD38" s="280">
        <f>IF(AO38="2",BF38,0)</f>
        <v>0</v>
      </c>
      <c r="AE38" s="280">
        <f>IF(AO38="2",BG38,0)</f>
        <v>0</v>
      </c>
      <c r="AF38" s="280">
        <f>IF(AO38="0",BH38,0)</f>
        <v>0</v>
      </c>
      <c r="AG38" s="278" t="s">
        <v>154</v>
      </c>
      <c r="AH38" s="280">
        <f>IF(AL38=0,J38,0)</f>
        <v>0</v>
      </c>
      <c r="AI38" s="280">
        <f>IF(AL38=12,J38,0)</f>
        <v>0</v>
      </c>
      <c r="AJ38" s="280">
        <f>IF(AL38=21,J38,0)</f>
        <v>0</v>
      </c>
      <c r="AL38" s="280">
        <v>12</v>
      </c>
      <c r="AM38" s="280">
        <f>G38*0</f>
        <v>0</v>
      </c>
      <c r="AN38" s="280">
        <f>G38*(1-0)</f>
        <v>0</v>
      </c>
      <c r="AO38" s="281" t="s">
        <v>157</v>
      </c>
      <c r="AT38" s="280">
        <f>AU38+AV38</f>
        <v>0</v>
      </c>
      <c r="AU38" s="280">
        <f>F38*AM38</f>
        <v>0</v>
      </c>
      <c r="AV38" s="280">
        <f>F38*AN38</f>
        <v>0</v>
      </c>
      <c r="AW38" s="281" t="s">
        <v>274</v>
      </c>
      <c r="AX38" s="281" t="s">
        <v>163</v>
      </c>
      <c r="AY38" s="278" t="s">
        <v>164</v>
      </c>
      <c r="BA38" s="280">
        <f>AU38+AV38</f>
        <v>0</v>
      </c>
      <c r="BB38" s="280">
        <f>G38/(100-BC38)*100</f>
        <v>0</v>
      </c>
      <c r="BC38" s="280">
        <v>0</v>
      </c>
      <c r="BD38" s="280">
        <f>L38</f>
        <v>0</v>
      </c>
      <c r="BF38" s="280">
        <f>F38*AM38</f>
        <v>0</v>
      </c>
      <c r="BG38" s="280">
        <f>F38*AN38</f>
        <v>0</v>
      </c>
      <c r="BH38" s="280">
        <f>F38*G38</f>
        <v>0</v>
      </c>
      <c r="BI38" s="280"/>
      <c r="BJ38" s="280">
        <v>18</v>
      </c>
      <c r="BU38" s="280" t="e">
        <f>#REF!</f>
        <v>#REF!</v>
      </c>
      <c r="BV38" s="277" t="s">
        <v>1131</v>
      </c>
    </row>
    <row r="39" spans="1:74" ht="40.5" customHeight="1" x14ac:dyDescent="0.3">
      <c r="A39" s="288"/>
      <c r="B39" s="289" t="s">
        <v>165</v>
      </c>
      <c r="C39" s="615" t="s">
        <v>2387</v>
      </c>
      <c r="D39" s="616"/>
      <c r="E39" s="616"/>
      <c r="F39" s="616"/>
      <c r="G39" s="616"/>
      <c r="H39" s="616"/>
      <c r="I39" s="616"/>
      <c r="J39" s="616"/>
      <c r="K39" s="616"/>
      <c r="L39" s="616"/>
      <c r="M39" s="617"/>
    </row>
    <row r="40" spans="1:74" ht="14.4" x14ac:dyDescent="0.3">
      <c r="A40" s="290" t="s">
        <v>154</v>
      </c>
      <c r="B40" s="276" t="s">
        <v>235</v>
      </c>
      <c r="C40" s="624" t="s">
        <v>284</v>
      </c>
      <c r="D40" s="621"/>
      <c r="E40" s="275" t="s">
        <v>114</v>
      </c>
      <c r="F40" s="275" t="s">
        <v>114</v>
      </c>
      <c r="G40" s="275" t="s">
        <v>114</v>
      </c>
      <c r="H40" s="282">
        <f>SUM(H41:H41)</f>
        <v>0</v>
      </c>
      <c r="I40" s="282">
        <f>SUM(I41:I41)</f>
        <v>0</v>
      </c>
      <c r="J40" s="282">
        <f>SUM(J41:J41)</f>
        <v>0</v>
      </c>
      <c r="K40" s="279" t="s">
        <v>154</v>
      </c>
      <c r="L40" s="282">
        <f>SUM(L41:L41)</f>
        <v>0</v>
      </c>
      <c r="M40" s="294" t="s">
        <v>154</v>
      </c>
      <c r="AG40" s="278" t="s">
        <v>154</v>
      </c>
      <c r="AQ40" s="274">
        <f>SUM(AH41:AH41)</f>
        <v>0</v>
      </c>
      <c r="AR40" s="274">
        <f>SUM(AI41:AI41)</f>
        <v>0</v>
      </c>
      <c r="AS40" s="274">
        <f>SUM(AJ41:AJ41)</f>
        <v>0</v>
      </c>
    </row>
    <row r="41" spans="1:74" ht="14.4" x14ac:dyDescent="0.3">
      <c r="A41" s="290" t="s">
        <v>201</v>
      </c>
      <c r="B41" s="275" t="s">
        <v>507</v>
      </c>
      <c r="C41" s="613" t="s">
        <v>287</v>
      </c>
      <c r="D41" s="614"/>
      <c r="E41" s="275" t="s">
        <v>180</v>
      </c>
      <c r="F41" s="280">
        <v>6.54</v>
      </c>
      <c r="G41" s="311">
        <v>0</v>
      </c>
      <c r="H41" s="280">
        <f>F41*AM41</f>
        <v>0</v>
      </c>
      <c r="I41" s="280">
        <f>F41*AN41</f>
        <v>0</v>
      </c>
      <c r="J41" s="280">
        <f>F41*G41</f>
        <v>0</v>
      </c>
      <c r="K41" s="280">
        <v>0</v>
      </c>
      <c r="L41" s="280">
        <f>F41*K41</f>
        <v>0</v>
      </c>
      <c r="M41" s="291" t="s">
        <v>472</v>
      </c>
      <c r="X41" s="280">
        <f>IF(AO41="5",BH41,0)</f>
        <v>0</v>
      </c>
      <c r="Z41" s="280">
        <f>IF(AO41="1",BF41,0)</f>
        <v>0</v>
      </c>
      <c r="AA41" s="280">
        <f>IF(AO41="1",BG41,0)</f>
        <v>0</v>
      </c>
      <c r="AB41" s="280">
        <f>IF(AO41="7",BF41,0)</f>
        <v>0</v>
      </c>
      <c r="AC41" s="280">
        <f>IF(AO41="7",BG41,0)</f>
        <v>0</v>
      </c>
      <c r="AD41" s="280">
        <f>IF(AO41="2",BF41,0)</f>
        <v>0</v>
      </c>
      <c r="AE41" s="280">
        <f>IF(AO41="2",BG41,0)</f>
        <v>0</v>
      </c>
      <c r="AF41" s="280">
        <f>IF(AO41="0",BH41,0)</f>
        <v>0</v>
      </c>
      <c r="AG41" s="278" t="s">
        <v>154</v>
      </c>
      <c r="AH41" s="280">
        <f>IF(AL41=0,J41,0)</f>
        <v>0</v>
      </c>
      <c r="AI41" s="280">
        <f>IF(AL41=12,J41,0)</f>
        <v>0</v>
      </c>
      <c r="AJ41" s="280">
        <f>IF(AL41=21,J41,0)</f>
        <v>0</v>
      </c>
      <c r="AL41" s="280">
        <v>12</v>
      </c>
      <c r="AM41" s="280">
        <f>G41*0</f>
        <v>0</v>
      </c>
      <c r="AN41" s="280">
        <f>G41*(1-0)</f>
        <v>0</v>
      </c>
      <c r="AO41" s="281" t="s">
        <v>157</v>
      </c>
      <c r="AT41" s="280">
        <f>AU41+AV41</f>
        <v>0</v>
      </c>
      <c r="AU41" s="280">
        <f>F41*AM41</f>
        <v>0</v>
      </c>
      <c r="AV41" s="280">
        <f>F41*AN41</f>
        <v>0</v>
      </c>
      <c r="AW41" s="281" t="s">
        <v>288</v>
      </c>
      <c r="AX41" s="281" t="s">
        <v>289</v>
      </c>
      <c r="AY41" s="278" t="s">
        <v>164</v>
      </c>
      <c r="BA41" s="280">
        <f>AU41+AV41</f>
        <v>0</v>
      </c>
      <c r="BB41" s="280">
        <f>G41/(100-BC41)*100</f>
        <v>0</v>
      </c>
      <c r="BC41" s="280">
        <v>0</v>
      </c>
      <c r="BD41" s="280">
        <f>L41</f>
        <v>0</v>
      </c>
      <c r="BF41" s="280">
        <f>F41*AM41</f>
        <v>0</v>
      </c>
      <c r="BG41" s="280">
        <f>F41*AN41</f>
        <v>0</v>
      </c>
      <c r="BH41" s="280">
        <f>F41*G41</f>
        <v>0</v>
      </c>
      <c r="BI41" s="280"/>
      <c r="BJ41" s="280">
        <v>21</v>
      </c>
      <c r="BU41" s="280" t="e">
        <f>#REF!</f>
        <v>#REF!</v>
      </c>
      <c r="BV41" s="277" t="s">
        <v>287</v>
      </c>
    </row>
    <row r="42" spans="1:74" ht="40.5" customHeight="1" x14ac:dyDescent="0.3">
      <c r="A42" s="288"/>
      <c r="B42" s="289" t="s">
        <v>165</v>
      </c>
      <c r="C42" s="615" t="s">
        <v>2386</v>
      </c>
      <c r="D42" s="616"/>
      <c r="E42" s="616"/>
      <c r="F42" s="616"/>
      <c r="G42" s="616"/>
      <c r="H42" s="616"/>
      <c r="I42" s="616"/>
      <c r="J42" s="616"/>
      <c r="K42" s="616"/>
      <c r="L42" s="616"/>
      <c r="M42" s="617"/>
    </row>
    <row r="43" spans="1:74" ht="14.4" x14ac:dyDescent="0.3">
      <c r="A43" s="290" t="s">
        <v>154</v>
      </c>
      <c r="B43" s="276" t="s">
        <v>253</v>
      </c>
      <c r="C43" s="624" t="s">
        <v>293</v>
      </c>
      <c r="D43" s="621"/>
      <c r="E43" s="275" t="s">
        <v>114</v>
      </c>
      <c r="F43" s="275" t="s">
        <v>114</v>
      </c>
      <c r="G43" s="275" t="s">
        <v>114</v>
      </c>
      <c r="H43" s="282">
        <f>SUM(H44:H62)</f>
        <v>0</v>
      </c>
      <c r="I43" s="282">
        <f>SUM(I44:I62)</f>
        <v>0</v>
      </c>
      <c r="J43" s="282">
        <f>SUM(J44:J62)</f>
        <v>0</v>
      </c>
      <c r="K43" s="279" t="s">
        <v>154</v>
      </c>
      <c r="L43" s="282">
        <f>SUM(L44:L62)</f>
        <v>5.2821344000000003</v>
      </c>
      <c r="M43" s="294" t="s">
        <v>154</v>
      </c>
      <c r="AG43" s="278" t="s">
        <v>154</v>
      </c>
      <c r="AQ43" s="274">
        <f>SUM(AH44:AH62)</f>
        <v>0</v>
      </c>
      <c r="AR43" s="274">
        <f>SUM(AI44:AI62)</f>
        <v>0</v>
      </c>
      <c r="AS43" s="274">
        <f>SUM(AJ44:AJ62)</f>
        <v>0</v>
      </c>
    </row>
    <row r="44" spans="1:74" ht="14.4" x14ac:dyDescent="0.3">
      <c r="A44" s="290" t="s">
        <v>210</v>
      </c>
      <c r="B44" s="275" t="s">
        <v>1132</v>
      </c>
      <c r="C44" s="613" t="s">
        <v>1133</v>
      </c>
      <c r="D44" s="614"/>
      <c r="E44" s="275" t="s">
        <v>180</v>
      </c>
      <c r="F44" s="280">
        <v>8.66</v>
      </c>
      <c r="G44" s="311">
        <v>0</v>
      </c>
      <c r="H44" s="280">
        <f>F44*AM44</f>
        <v>0</v>
      </c>
      <c r="I44" s="280">
        <f>F44*AN44</f>
        <v>0</v>
      </c>
      <c r="J44" s="280">
        <f>F44*G44</f>
        <v>0</v>
      </c>
      <c r="K44" s="280">
        <v>3.6339999999999997E-2</v>
      </c>
      <c r="L44" s="280">
        <f>F44*K44</f>
        <v>0.3147044</v>
      </c>
      <c r="M44" s="291" t="s">
        <v>472</v>
      </c>
      <c r="X44" s="280">
        <f>IF(AO44="5",BH44,0)</f>
        <v>0</v>
      </c>
      <c r="Z44" s="280">
        <f>IF(AO44="1",BF44,0)</f>
        <v>0</v>
      </c>
      <c r="AA44" s="280">
        <f>IF(AO44="1",BG44,0)</f>
        <v>0</v>
      </c>
      <c r="AB44" s="280">
        <f>IF(AO44="7",BF44,0)</f>
        <v>0</v>
      </c>
      <c r="AC44" s="280">
        <f>IF(AO44="7",BG44,0)</f>
        <v>0</v>
      </c>
      <c r="AD44" s="280">
        <f>IF(AO44="2",BF44,0)</f>
        <v>0</v>
      </c>
      <c r="AE44" s="280">
        <f>IF(AO44="2",BG44,0)</f>
        <v>0</v>
      </c>
      <c r="AF44" s="280">
        <f>IF(AO44="0",BH44,0)</f>
        <v>0</v>
      </c>
      <c r="AG44" s="278" t="s">
        <v>154</v>
      </c>
      <c r="AH44" s="280">
        <f>IF(AL44=0,J44,0)</f>
        <v>0</v>
      </c>
      <c r="AI44" s="280">
        <f>IF(AL44=12,J44,0)</f>
        <v>0</v>
      </c>
      <c r="AJ44" s="280">
        <f>IF(AL44=21,J44,0)</f>
        <v>0</v>
      </c>
      <c r="AL44" s="280">
        <v>12</v>
      </c>
      <c r="AM44" s="280">
        <f>G44*0.688930818</f>
        <v>0</v>
      </c>
      <c r="AN44" s="280">
        <f>G44*(1-0.688930818)</f>
        <v>0</v>
      </c>
      <c r="AO44" s="281" t="s">
        <v>157</v>
      </c>
      <c r="AT44" s="280">
        <f>AU44+AV44</f>
        <v>0</v>
      </c>
      <c r="AU44" s="280">
        <f>F44*AM44</f>
        <v>0</v>
      </c>
      <c r="AV44" s="280">
        <f>F44*AN44</f>
        <v>0</v>
      </c>
      <c r="AW44" s="281" t="s">
        <v>297</v>
      </c>
      <c r="AX44" s="281" t="s">
        <v>289</v>
      </c>
      <c r="AY44" s="278" t="s">
        <v>164</v>
      </c>
      <c r="BA44" s="280">
        <f>AU44+AV44</f>
        <v>0</v>
      </c>
      <c r="BB44" s="280">
        <f>G44/(100-BC44)*100</f>
        <v>0</v>
      </c>
      <c r="BC44" s="280">
        <v>0</v>
      </c>
      <c r="BD44" s="280">
        <f>L44</f>
        <v>0.3147044</v>
      </c>
      <c r="BF44" s="280">
        <f>F44*AM44</f>
        <v>0</v>
      </c>
      <c r="BG44" s="280">
        <f>F44*AN44</f>
        <v>0</v>
      </c>
      <c r="BH44" s="280">
        <f>F44*G44</f>
        <v>0</v>
      </c>
      <c r="BI44" s="280"/>
      <c r="BJ44" s="280">
        <v>27</v>
      </c>
      <c r="BU44" s="280" t="e">
        <f>#REF!</f>
        <v>#REF!</v>
      </c>
      <c r="BV44" s="277" t="s">
        <v>1133</v>
      </c>
    </row>
    <row r="45" spans="1:74" ht="54" customHeight="1" x14ac:dyDescent="0.3">
      <c r="A45" s="288"/>
      <c r="B45" s="289" t="s">
        <v>165</v>
      </c>
      <c r="C45" s="615" t="s">
        <v>2436</v>
      </c>
      <c r="D45" s="616"/>
      <c r="E45" s="616"/>
      <c r="F45" s="616"/>
      <c r="G45" s="616"/>
      <c r="H45" s="616"/>
      <c r="I45" s="616"/>
      <c r="J45" s="616"/>
      <c r="K45" s="616"/>
      <c r="L45" s="616"/>
      <c r="M45" s="617"/>
    </row>
    <row r="46" spans="1:74" ht="14.4" x14ac:dyDescent="0.3">
      <c r="A46" s="290" t="s">
        <v>161</v>
      </c>
      <c r="B46" s="275" t="s">
        <v>1134</v>
      </c>
      <c r="C46" s="613" t="s">
        <v>1135</v>
      </c>
      <c r="D46" s="614"/>
      <c r="E46" s="275" t="s">
        <v>196</v>
      </c>
      <c r="F46" s="280">
        <v>0.96</v>
      </c>
      <c r="G46" s="311">
        <v>0</v>
      </c>
      <c r="H46" s="280">
        <f>F46*AM46</f>
        <v>0</v>
      </c>
      <c r="I46" s="280">
        <f>F46*AN46</f>
        <v>0</v>
      </c>
      <c r="J46" s="280">
        <f>F46*G46</f>
        <v>0</v>
      </c>
      <c r="K46" s="280">
        <v>2.5249999999999999</v>
      </c>
      <c r="L46" s="280">
        <f>F46*K46</f>
        <v>2.4239999999999999</v>
      </c>
      <c r="M46" s="291" t="s">
        <v>472</v>
      </c>
      <c r="X46" s="280">
        <f>IF(AO46="5",BH46,0)</f>
        <v>0</v>
      </c>
      <c r="Z46" s="280">
        <f>IF(AO46="1",BF46,0)</f>
        <v>0</v>
      </c>
      <c r="AA46" s="280">
        <f>IF(AO46="1",BG46,0)</f>
        <v>0</v>
      </c>
      <c r="AB46" s="280">
        <f>IF(AO46="7",BF46,0)</f>
        <v>0</v>
      </c>
      <c r="AC46" s="280">
        <f>IF(AO46="7",BG46,0)</f>
        <v>0</v>
      </c>
      <c r="AD46" s="280">
        <f>IF(AO46="2",BF46,0)</f>
        <v>0</v>
      </c>
      <c r="AE46" s="280">
        <f>IF(AO46="2",BG46,0)</f>
        <v>0</v>
      </c>
      <c r="AF46" s="280">
        <f>IF(AO46="0",BH46,0)</f>
        <v>0</v>
      </c>
      <c r="AG46" s="278" t="s">
        <v>154</v>
      </c>
      <c r="AH46" s="280">
        <f>IF(AL46=0,J46,0)</f>
        <v>0</v>
      </c>
      <c r="AI46" s="280">
        <f>IF(AL46=12,J46,0)</f>
        <v>0</v>
      </c>
      <c r="AJ46" s="280">
        <f>IF(AL46=21,J46,0)</f>
        <v>0</v>
      </c>
      <c r="AL46" s="280">
        <v>12</v>
      </c>
      <c r="AM46" s="280">
        <f>G46*0.91726087</f>
        <v>0</v>
      </c>
      <c r="AN46" s="280">
        <f>G46*(1-0.91726087)</f>
        <v>0</v>
      </c>
      <c r="AO46" s="281" t="s">
        <v>157</v>
      </c>
      <c r="AT46" s="280">
        <f>AU46+AV46</f>
        <v>0</v>
      </c>
      <c r="AU46" s="280">
        <f>F46*AM46</f>
        <v>0</v>
      </c>
      <c r="AV46" s="280">
        <f>F46*AN46</f>
        <v>0</v>
      </c>
      <c r="AW46" s="281" t="s">
        <v>297</v>
      </c>
      <c r="AX46" s="281" t="s">
        <v>289</v>
      </c>
      <c r="AY46" s="278" t="s">
        <v>164</v>
      </c>
      <c r="BA46" s="280">
        <f>AU46+AV46</f>
        <v>0</v>
      </c>
      <c r="BB46" s="280">
        <f>G46/(100-BC46)*100</f>
        <v>0</v>
      </c>
      <c r="BC46" s="280">
        <v>0</v>
      </c>
      <c r="BD46" s="280">
        <f>L46</f>
        <v>2.4239999999999999</v>
      </c>
      <c r="BF46" s="280">
        <f>F46*AM46</f>
        <v>0</v>
      </c>
      <c r="BG46" s="280">
        <f>F46*AN46</f>
        <v>0</v>
      </c>
      <c r="BH46" s="280">
        <f>F46*G46</f>
        <v>0</v>
      </c>
      <c r="BI46" s="280"/>
      <c r="BJ46" s="280">
        <v>27</v>
      </c>
      <c r="BU46" s="280" t="e">
        <f>#REF!</f>
        <v>#REF!</v>
      </c>
      <c r="BV46" s="277" t="s">
        <v>1135</v>
      </c>
    </row>
    <row r="47" spans="1:74" ht="40.5" customHeight="1" x14ac:dyDescent="0.3">
      <c r="A47" s="288"/>
      <c r="B47" s="289" t="s">
        <v>165</v>
      </c>
      <c r="C47" s="615" t="s">
        <v>2437</v>
      </c>
      <c r="D47" s="616"/>
      <c r="E47" s="616"/>
      <c r="F47" s="616"/>
      <c r="G47" s="616"/>
      <c r="H47" s="616"/>
      <c r="I47" s="616"/>
      <c r="J47" s="616"/>
      <c r="K47" s="616"/>
      <c r="L47" s="616"/>
      <c r="M47" s="617"/>
    </row>
    <row r="48" spans="1:74" ht="14.4" x14ac:dyDescent="0.3">
      <c r="A48" s="290" t="s">
        <v>215</v>
      </c>
      <c r="B48" s="275" t="s">
        <v>2438</v>
      </c>
      <c r="C48" s="613" t="s">
        <v>2439</v>
      </c>
      <c r="D48" s="614"/>
      <c r="E48" s="275" t="s">
        <v>380</v>
      </c>
      <c r="F48" s="280">
        <v>0.02</v>
      </c>
      <c r="G48" s="311">
        <v>0</v>
      </c>
      <c r="H48" s="280">
        <f>F48*AM48</f>
        <v>0</v>
      </c>
      <c r="I48" s="280">
        <f>F48*AN48</f>
        <v>0</v>
      </c>
      <c r="J48" s="280">
        <f>F48*G48</f>
        <v>0</v>
      </c>
      <c r="K48" s="280">
        <v>1.0737399999999999</v>
      </c>
      <c r="L48" s="280">
        <f>F48*K48</f>
        <v>2.1474799999999999E-2</v>
      </c>
      <c r="M48" s="291" t="s">
        <v>472</v>
      </c>
      <c r="X48" s="280">
        <f>IF(AO48="5",BH48,0)</f>
        <v>0</v>
      </c>
      <c r="Z48" s="280">
        <f>IF(AO48="1",BF48,0)</f>
        <v>0</v>
      </c>
      <c r="AA48" s="280">
        <f>IF(AO48="1",BG48,0)</f>
        <v>0</v>
      </c>
      <c r="AB48" s="280">
        <f>IF(AO48="7",BF48,0)</f>
        <v>0</v>
      </c>
      <c r="AC48" s="280">
        <f>IF(AO48="7",BG48,0)</f>
        <v>0</v>
      </c>
      <c r="AD48" s="280">
        <f>IF(AO48="2",BF48,0)</f>
        <v>0</v>
      </c>
      <c r="AE48" s="280">
        <f>IF(AO48="2",BG48,0)</f>
        <v>0</v>
      </c>
      <c r="AF48" s="280">
        <f>IF(AO48="0",BH48,0)</f>
        <v>0</v>
      </c>
      <c r="AG48" s="278" t="s">
        <v>154</v>
      </c>
      <c r="AH48" s="280">
        <f>IF(AL48=0,J48,0)</f>
        <v>0</v>
      </c>
      <c r="AI48" s="280">
        <f>IF(AL48=12,J48,0)</f>
        <v>0</v>
      </c>
      <c r="AJ48" s="280">
        <f>IF(AL48=21,J48,0)</f>
        <v>0</v>
      </c>
      <c r="AL48" s="280">
        <v>12</v>
      </c>
      <c r="AM48" s="280">
        <f>G48*0.792687206</f>
        <v>0</v>
      </c>
      <c r="AN48" s="280">
        <f>G48*(1-0.792687206)</f>
        <v>0</v>
      </c>
      <c r="AO48" s="281" t="s">
        <v>157</v>
      </c>
      <c r="AT48" s="280">
        <f>AU48+AV48</f>
        <v>0</v>
      </c>
      <c r="AU48" s="280">
        <f>F48*AM48</f>
        <v>0</v>
      </c>
      <c r="AV48" s="280">
        <f>F48*AN48</f>
        <v>0</v>
      </c>
      <c r="AW48" s="281" t="s">
        <v>297</v>
      </c>
      <c r="AX48" s="281" t="s">
        <v>289</v>
      </c>
      <c r="AY48" s="278" t="s">
        <v>164</v>
      </c>
      <c r="BA48" s="280">
        <f>AU48+AV48</f>
        <v>0</v>
      </c>
      <c r="BB48" s="280">
        <f>G48/(100-BC48)*100</f>
        <v>0</v>
      </c>
      <c r="BC48" s="280">
        <v>0</v>
      </c>
      <c r="BD48" s="280">
        <f>L48</f>
        <v>2.1474799999999999E-2</v>
      </c>
      <c r="BF48" s="280">
        <f>F48*AM48</f>
        <v>0</v>
      </c>
      <c r="BG48" s="280">
        <f>F48*AN48</f>
        <v>0</v>
      </c>
      <c r="BH48" s="280">
        <f>F48*G48</f>
        <v>0</v>
      </c>
      <c r="BI48" s="280"/>
      <c r="BJ48" s="280">
        <v>27</v>
      </c>
      <c r="BU48" s="280" t="e">
        <f>#REF!</f>
        <v>#REF!</v>
      </c>
      <c r="BV48" s="277" t="s">
        <v>2439</v>
      </c>
    </row>
    <row r="49" spans="1:74" ht="67.5" customHeight="1" x14ac:dyDescent="0.3">
      <c r="A49" s="288"/>
      <c r="B49" s="289" t="s">
        <v>165</v>
      </c>
      <c r="C49" s="615" t="s">
        <v>2440</v>
      </c>
      <c r="D49" s="616"/>
      <c r="E49" s="616"/>
      <c r="F49" s="616"/>
      <c r="G49" s="616"/>
      <c r="H49" s="616"/>
      <c r="I49" s="616"/>
      <c r="J49" s="616"/>
      <c r="K49" s="616"/>
      <c r="L49" s="616"/>
      <c r="M49" s="617"/>
    </row>
    <row r="50" spans="1:74" ht="14.4" x14ac:dyDescent="0.3">
      <c r="A50" s="290" t="s">
        <v>220</v>
      </c>
      <c r="B50" s="275" t="s">
        <v>1136</v>
      </c>
      <c r="C50" s="613" t="s">
        <v>1137</v>
      </c>
      <c r="D50" s="614"/>
      <c r="E50" s="275" t="s">
        <v>180</v>
      </c>
      <c r="F50" s="280">
        <v>8.66</v>
      </c>
      <c r="G50" s="311">
        <v>0</v>
      </c>
      <c r="H50" s="280">
        <f>F50*AM50</f>
        <v>0</v>
      </c>
      <c r="I50" s="280">
        <f>F50*AN50</f>
        <v>0</v>
      </c>
      <c r="J50" s="280">
        <f>F50*G50</f>
        <v>0</v>
      </c>
      <c r="K50" s="280">
        <v>0</v>
      </c>
      <c r="L50" s="280">
        <f>F50*K50</f>
        <v>0</v>
      </c>
      <c r="M50" s="291" t="s">
        <v>472</v>
      </c>
      <c r="X50" s="280">
        <f>IF(AO50="5",BH50,0)</f>
        <v>0</v>
      </c>
      <c r="Z50" s="280">
        <f>IF(AO50="1",BF50,0)</f>
        <v>0</v>
      </c>
      <c r="AA50" s="280">
        <f>IF(AO50="1",BG50,0)</f>
        <v>0</v>
      </c>
      <c r="AB50" s="280">
        <f>IF(AO50="7",BF50,0)</f>
        <v>0</v>
      </c>
      <c r="AC50" s="280">
        <f>IF(AO50="7",BG50,0)</f>
        <v>0</v>
      </c>
      <c r="AD50" s="280">
        <f>IF(AO50="2",BF50,0)</f>
        <v>0</v>
      </c>
      <c r="AE50" s="280">
        <f>IF(AO50="2",BG50,0)</f>
        <v>0</v>
      </c>
      <c r="AF50" s="280">
        <f>IF(AO50="0",BH50,0)</f>
        <v>0</v>
      </c>
      <c r="AG50" s="278" t="s">
        <v>154</v>
      </c>
      <c r="AH50" s="280">
        <f>IF(AL50=0,J50,0)</f>
        <v>0</v>
      </c>
      <c r="AI50" s="280">
        <f>IF(AL50=12,J50,0)</f>
        <v>0</v>
      </c>
      <c r="AJ50" s="280">
        <f>IF(AL50=21,J50,0)</f>
        <v>0</v>
      </c>
      <c r="AL50" s="280">
        <v>12</v>
      </c>
      <c r="AM50" s="280">
        <f>G50*0</f>
        <v>0</v>
      </c>
      <c r="AN50" s="280">
        <f>G50*(1-0)</f>
        <v>0</v>
      </c>
      <c r="AO50" s="281" t="s">
        <v>157</v>
      </c>
      <c r="AT50" s="280">
        <f>AU50+AV50</f>
        <v>0</v>
      </c>
      <c r="AU50" s="280">
        <f>F50*AM50</f>
        <v>0</v>
      </c>
      <c r="AV50" s="280">
        <f>F50*AN50</f>
        <v>0</v>
      </c>
      <c r="AW50" s="281" t="s">
        <v>297</v>
      </c>
      <c r="AX50" s="281" t="s">
        <v>289</v>
      </c>
      <c r="AY50" s="278" t="s">
        <v>164</v>
      </c>
      <c r="BA50" s="280">
        <f>AU50+AV50</f>
        <v>0</v>
      </c>
      <c r="BB50" s="280">
        <f>G50/(100-BC50)*100</f>
        <v>0</v>
      </c>
      <c r="BC50" s="280">
        <v>0</v>
      </c>
      <c r="BD50" s="280">
        <f>L50</f>
        <v>0</v>
      </c>
      <c r="BF50" s="280">
        <f>F50*AM50</f>
        <v>0</v>
      </c>
      <c r="BG50" s="280">
        <f>F50*AN50</f>
        <v>0</v>
      </c>
      <c r="BH50" s="280">
        <f>F50*G50</f>
        <v>0</v>
      </c>
      <c r="BI50" s="280"/>
      <c r="BJ50" s="280">
        <v>27</v>
      </c>
      <c r="BU50" s="280" t="e">
        <f>#REF!</f>
        <v>#REF!</v>
      </c>
      <c r="BV50" s="277" t="s">
        <v>1137</v>
      </c>
    </row>
    <row r="51" spans="1:74" ht="54" customHeight="1" x14ac:dyDescent="0.3">
      <c r="A51" s="288"/>
      <c r="B51" s="289" t="s">
        <v>165</v>
      </c>
      <c r="C51" s="615" t="s">
        <v>2441</v>
      </c>
      <c r="D51" s="616"/>
      <c r="E51" s="616"/>
      <c r="F51" s="616"/>
      <c r="G51" s="616"/>
      <c r="H51" s="616"/>
      <c r="I51" s="616"/>
      <c r="J51" s="616"/>
      <c r="K51" s="616"/>
      <c r="L51" s="616"/>
      <c r="M51" s="617"/>
    </row>
    <row r="52" spans="1:74" ht="14.4" x14ac:dyDescent="0.3">
      <c r="A52" s="290" t="s">
        <v>224</v>
      </c>
      <c r="B52" s="275" t="s">
        <v>1132</v>
      </c>
      <c r="C52" s="613" t="s">
        <v>1133</v>
      </c>
      <c r="D52" s="614"/>
      <c r="E52" s="275" t="s">
        <v>180</v>
      </c>
      <c r="F52" s="280">
        <v>2.6</v>
      </c>
      <c r="G52" s="311">
        <v>0</v>
      </c>
      <c r="H52" s="280">
        <f>F52*AM52</f>
        <v>0</v>
      </c>
      <c r="I52" s="280">
        <f>F52*AN52</f>
        <v>0</v>
      </c>
      <c r="J52" s="280">
        <f>F52*G52</f>
        <v>0</v>
      </c>
      <c r="K52" s="280">
        <v>3.6339999999999997E-2</v>
      </c>
      <c r="L52" s="280">
        <f>F52*K52</f>
        <v>9.4483999999999999E-2</v>
      </c>
      <c r="M52" s="291" t="s">
        <v>472</v>
      </c>
      <c r="X52" s="280">
        <f>IF(AO52="5",BH52,0)</f>
        <v>0</v>
      </c>
      <c r="Z52" s="280">
        <f>IF(AO52="1",BF52,0)</f>
        <v>0</v>
      </c>
      <c r="AA52" s="280">
        <f>IF(AO52="1",BG52,0)</f>
        <v>0</v>
      </c>
      <c r="AB52" s="280">
        <f>IF(AO52="7",BF52,0)</f>
        <v>0</v>
      </c>
      <c r="AC52" s="280">
        <f>IF(AO52="7",BG52,0)</f>
        <v>0</v>
      </c>
      <c r="AD52" s="280">
        <f>IF(AO52="2",BF52,0)</f>
        <v>0</v>
      </c>
      <c r="AE52" s="280">
        <f>IF(AO52="2",BG52,0)</f>
        <v>0</v>
      </c>
      <c r="AF52" s="280">
        <f>IF(AO52="0",BH52,0)</f>
        <v>0</v>
      </c>
      <c r="AG52" s="278" t="s">
        <v>154</v>
      </c>
      <c r="AH52" s="280">
        <f>IF(AL52=0,J52,0)</f>
        <v>0</v>
      </c>
      <c r="AI52" s="280">
        <f>IF(AL52=12,J52,0)</f>
        <v>0</v>
      </c>
      <c r="AJ52" s="280">
        <f>IF(AL52=21,J52,0)</f>
        <v>0</v>
      </c>
      <c r="AL52" s="280">
        <v>12</v>
      </c>
      <c r="AM52" s="280">
        <f>G52*0.688930818</f>
        <v>0</v>
      </c>
      <c r="AN52" s="280">
        <f>G52*(1-0.688930818)</f>
        <v>0</v>
      </c>
      <c r="AO52" s="281" t="s">
        <v>157</v>
      </c>
      <c r="AT52" s="280">
        <f>AU52+AV52</f>
        <v>0</v>
      </c>
      <c r="AU52" s="280">
        <f>F52*AM52</f>
        <v>0</v>
      </c>
      <c r="AV52" s="280">
        <f>F52*AN52</f>
        <v>0</v>
      </c>
      <c r="AW52" s="281" t="s">
        <v>297</v>
      </c>
      <c r="AX52" s="281" t="s">
        <v>289</v>
      </c>
      <c r="AY52" s="278" t="s">
        <v>164</v>
      </c>
      <c r="BA52" s="280">
        <f>AU52+AV52</f>
        <v>0</v>
      </c>
      <c r="BB52" s="280">
        <f>G52/(100-BC52)*100</f>
        <v>0</v>
      </c>
      <c r="BC52" s="280">
        <v>0</v>
      </c>
      <c r="BD52" s="280">
        <f>L52</f>
        <v>9.4483999999999999E-2</v>
      </c>
      <c r="BF52" s="280">
        <f>F52*AM52</f>
        <v>0</v>
      </c>
      <c r="BG52" s="280">
        <f>F52*AN52</f>
        <v>0</v>
      </c>
      <c r="BH52" s="280">
        <f>F52*G52</f>
        <v>0</v>
      </c>
      <c r="BI52" s="280"/>
      <c r="BJ52" s="280">
        <v>27</v>
      </c>
      <c r="BU52" s="280" t="e">
        <f>#REF!</f>
        <v>#REF!</v>
      </c>
      <c r="BV52" s="277" t="s">
        <v>1133</v>
      </c>
    </row>
    <row r="53" spans="1:74" ht="54" customHeight="1" x14ac:dyDescent="0.3">
      <c r="A53" s="288"/>
      <c r="B53" s="289" t="s">
        <v>165</v>
      </c>
      <c r="C53" s="615" t="s">
        <v>2385</v>
      </c>
      <c r="D53" s="616"/>
      <c r="E53" s="616"/>
      <c r="F53" s="616"/>
      <c r="G53" s="616"/>
      <c r="H53" s="616"/>
      <c r="I53" s="616"/>
      <c r="J53" s="616"/>
      <c r="K53" s="616"/>
      <c r="L53" s="616"/>
      <c r="M53" s="617"/>
    </row>
    <row r="54" spans="1:74" ht="14.4" x14ac:dyDescent="0.3">
      <c r="A54" s="290" t="s">
        <v>228</v>
      </c>
      <c r="B54" s="275" t="s">
        <v>1134</v>
      </c>
      <c r="C54" s="613" t="s">
        <v>1135</v>
      </c>
      <c r="D54" s="614"/>
      <c r="E54" s="275" t="s">
        <v>196</v>
      </c>
      <c r="F54" s="280">
        <v>0.65</v>
      </c>
      <c r="G54" s="311">
        <v>0</v>
      </c>
      <c r="H54" s="280">
        <f>F54*AM54</f>
        <v>0</v>
      </c>
      <c r="I54" s="280">
        <f>F54*AN54</f>
        <v>0</v>
      </c>
      <c r="J54" s="280">
        <f>F54*G54</f>
        <v>0</v>
      </c>
      <c r="K54" s="280">
        <v>2.5249999999999999</v>
      </c>
      <c r="L54" s="280">
        <f>F54*K54</f>
        <v>1.6412500000000001</v>
      </c>
      <c r="M54" s="291" t="s">
        <v>472</v>
      </c>
      <c r="X54" s="280">
        <f>IF(AO54="5",BH54,0)</f>
        <v>0</v>
      </c>
      <c r="Z54" s="280">
        <f>IF(AO54="1",BF54,0)</f>
        <v>0</v>
      </c>
      <c r="AA54" s="280">
        <f>IF(AO54="1",BG54,0)</f>
        <v>0</v>
      </c>
      <c r="AB54" s="280">
        <f>IF(AO54="7",BF54,0)</f>
        <v>0</v>
      </c>
      <c r="AC54" s="280">
        <f>IF(AO54="7",BG54,0)</f>
        <v>0</v>
      </c>
      <c r="AD54" s="280">
        <f>IF(AO54="2",BF54,0)</f>
        <v>0</v>
      </c>
      <c r="AE54" s="280">
        <f>IF(AO54="2",BG54,0)</f>
        <v>0</v>
      </c>
      <c r="AF54" s="280">
        <f>IF(AO54="0",BH54,0)</f>
        <v>0</v>
      </c>
      <c r="AG54" s="278" t="s">
        <v>154</v>
      </c>
      <c r="AH54" s="280">
        <f>IF(AL54=0,J54,0)</f>
        <v>0</v>
      </c>
      <c r="AI54" s="280">
        <f>IF(AL54=12,J54,0)</f>
        <v>0</v>
      </c>
      <c r="AJ54" s="280">
        <f>IF(AL54=21,J54,0)</f>
        <v>0</v>
      </c>
      <c r="AL54" s="280">
        <v>12</v>
      </c>
      <c r="AM54" s="280">
        <f>G54*0.91726087</f>
        <v>0</v>
      </c>
      <c r="AN54" s="280">
        <f>G54*(1-0.91726087)</f>
        <v>0</v>
      </c>
      <c r="AO54" s="281" t="s">
        <v>157</v>
      </c>
      <c r="AT54" s="280">
        <f>AU54+AV54</f>
        <v>0</v>
      </c>
      <c r="AU54" s="280">
        <f>F54*AM54</f>
        <v>0</v>
      </c>
      <c r="AV54" s="280">
        <f>F54*AN54</f>
        <v>0</v>
      </c>
      <c r="AW54" s="281" t="s">
        <v>297</v>
      </c>
      <c r="AX54" s="281" t="s">
        <v>289</v>
      </c>
      <c r="AY54" s="278" t="s">
        <v>164</v>
      </c>
      <c r="BA54" s="280">
        <f>AU54+AV54</f>
        <v>0</v>
      </c>
      <c r="BB54" s="280">
        <f>G54/(100-BC54)*100</f>
        <v>0</v>
      </c>
      <c r="BC54" s="280">
        <v>0</v>
      </c>
      <c r="BD54" s="280">
        <f>L54</f>
        <v>1.6412500000000001</v>
      </c>
      <c r="BF54" s="280">
        <f>F54*AM54</f>
        <v>0</v>
      </c>
      <c r="BG54" s="280">
        <f>F54*AN54</f>
        <v>0</v>
      </c>
      <c r="BH54" s="280">
        <f>F54*G54</f>
        <v>0</v>
      </c>
      <c r="BI54" s="280"/>
      <c r="BJ54" s="280">
        <v>27</v>
      </c>
      <c r="BU54" s="280" t="e">
        <f>#REF!</f>
        <v>#REF!</v>
      </c>
      <c r="BV54" s="277" t="s">
        <v>1135</v>
      </c>
    </row>
    <row r="55" spans="1:74" ht="40.5" customHeight="1" x14ac:dyDescent="0.3">
      <c r="A55" s="288"/>
      <c r="B55" s="289" t="s">
        <v>165</v>
      </c>
      <c r="C55" s="615" t="s">
        <v>2384</v>
      </c>
      <c r="D55" s="616"/>
      <c r="E55" s="616"/>
      <c r="F55" s="616"/>
      <c r="G55" s="616"/>
      <c r="H55" s="616"/>
      <c r="I55" s="616"/>
      <c r="J55" s="616"/>
      <c r="K55" s="616"/>
      <c r="L55" s="616"/>
      <c r="M55" s="617"/>
    </row>
    <row r="56" spans="1:74" ht="14.4" x14ac:dyDescent="0.3">
      <c r="A56" s="290" t="s">
        <v>232</v>
      </c>
      <c r="B56" s="275" t="s">
        <v>1136</v>
      </c>
      <c r="C56" s="613" t="s">
        <v>1137</v>
      </c>
      <c r="D56" s="614"/>
      <c r="E56" s="275" t="s">
        <v>180</v>
      </c>
      <c r="F56" s="280">
        <v>2.6</v>
      </c>
      <c r="G56" s="311">
        <v>0</v>
      </c>
      <c r="H56" s="280">
        <f>F56*AM56</f>
        <v>0</v>
      </c>
      <c r="I56" s="280">
        <f>F56*AN56</f>
        <v>0</v>
      </c>
      <c r="J56" s="280">
        <f>F56*G56</f>
        <v>0</v>
      </c>
      <c r="K56" s="280">
        <v>0</v>
      </c>
      <c r="L56" s="280">
        <f>F56*K56</f>
        <v>0</v>
      </c>
      <c r="M56" s="291" t="s">
        <v>472</v>
      </c>
      <c r="X56" s="280">
        <f>IF(AO56="5",BH56,0)</f>
        <v>0</v>
      </c>
      <c r="Z56" s="280">
        <f>IF(AO56="1",BF56,0)</f>
        <v>0</v>
      </c>
      <c r="AA56" s="280">
        <f>IF(AO56="1",BG56,0)</f>
        <v>0</v>
      </c>
      <c r="AB56" s="280">
        <f>IF(AO56="7",BF56,0)</f>
        <v>0</v>
      </c>
      <c r="AC56" s="280">
        <f>IF(AO56="7",BG56,0)</f>
        <v>0</v>
      </c>
      <c r="AD56" s="280">
        <f>IF(AO56="2",BF56,0)</f>
        <v>0</v>
      </c>
      <c r="AE56" s="280">
        <f>IF(AO56="2",BG56,0)</f>
        <v>0</v>
      </c>
      <c r="AF56" s="280">
        <f>IF(AO56="0",BH56,0)</f>
        <v>0</v>
      </c>
      <c r="AG56" s="278" t="s">
        <v>154</v>
      </c>
      <c r="AH56" s="280">
        <f>IF(AL56=0,J56,0)</f>
        <v>0</v>
      </c>
      <c r="AI56" s="280">
        <f>IF(AL56=12,J56,0)</f>
        <v>0</v>
      </c>
      <c r="AJ56" s="280">
        <f>IF(AL56=21,J56,0)</f>
        <v>0</v>
      </c>
      <c r="AL56" s="280">
        <v>12</v>
      </c>
      <c r="AM56" s="280">
        <f>G56*0</f>
        <v>0</v>
      </c>
      <c r="AN56" s="280">
        <f>G56*(1-0)</f>
        <v>0</v>
      </c>
      <c r="AO56" s="281" t="s">
        <v>157</v>
      </c>
      <c r="AT56" s="280">
        <f>AU56+AV56</f>
        <v>0</v>
      </c>
      <c r="AU56" s="280">
        <f>F56*AM56</f>
        <v>0</v>
      </c>
      <c r="AV56" s="280">
        <f>F56*AN56</f>
        <v>0</v>
      </c>
      <c r="AW56" s="281" t="s">
        <v>297</v>
      </c>
      <c r="AX56" s="281" t="s">
        <v>289</v>
      </c>
      <c r="AY56" s="278" t="s">
        <v>164</v>
      </c>
      <c r="BA56" s="280">
        <f>AU56+AV56</f>
        <v>0</v>
      </c>
      <c r="BB56" s="280">
        <f>G56/(100-BC56)*100</f>
        <v>0</v>
      </c>
      <c r="BC56" s="280">
        <v>0</v>
      </c>
      <c r="BD56" s="280">
        <f>L56</f>
        <v>0</v>
      </c>
      <c r="BF56" s="280">
        <f>F56*AM56</f>
        <v>0</v>
      </c>
      <c r="BG56" s="280">
        <f>F56*AN56</f>
        <v>0</v>
      </c>
      <c r="BH56" s="280">
        <f>F56*G56</f>
        <v>0</v>
      </c>
      <c r="BI56" s="280"/>
      <c r="BJ56" s="280">
        <v>27</v>
      </c>
      <c r="BU56" s="280" t="e">
        <f>#REF!</f>
        <v>#REF!</v>
      </c>
      <c r="BV56" s="277" t="s">
        <v>1137</v>
      </c>
    </row>
    <row r="57" spans="1:74" ht="54" customHeight="1" x14ac:dyDescent="0.3">
      <c r="A57" s="292"/>
      <c r="B57" s="293" t="s">
        <v>165</v>
      </c>
      <c r="C57" s="618" t="s">
        <v>2383</v>
      </c>
      <c r="D57" s="619"/>
      <c r="E57" s="619"/>
      <c r="F57" s="619"/>
      <c r="G57" s="619"/>
      <c r="H57" s="619"/>
      <c r="I57" s="619"/>
      <c r="J57" s="619"/>
      <c r="K57" s="619"/>
      <c r="L57" s="619"/>
      <c r="M57" s="620"/>
    </row>
    <row r="58" spans="1:74" ht="14.4" x14ac:dyDescent="0.3">
      <c r="A58" s="284" t="s">
        <v>235</v>
      </c>
      <c r="B58" s="285" t="s">
        <v>1132</v>
      </c>
      <c r="C58" s="622" t="s">
        <v>1133</v>
      </c>
      <c r="D58" s="623"/>
      <c r="E58" s="285" t="s">
        <v>180</v>
      </c>
      <c r="F58" s="286">
        <v>2.1800000000000002</v>
      </c>
      <c r="G58" s="311">
        <v>0</v>
      </c>
      <c r="H58" s="286">
        <f>F58*AM58</f>
        <v>0</v>
      </c>
      <c r="I58" s="286">
        <f>F58*AN58</f>
        <v>0</v>
      </c>
      <c r="J58" s="286">
        <f>F58*G58</f>
        <v>0</v>
      </c>
      <c r="K58" s="286">
        <v>3.6339999999999997E-2</v>
      </c>
      <c r="L58" s="286">
        <f>F58*K58</f>
        <v>7.9221200000000006E-2</v>
      </c>
      <c r="M58" s="287" t="s">
        <v>472</v>
      </c>
      <c r="X58" s="280">
        <f>IF(AO58="5",BH58,0)</f>
        <v>0</v>
      </c>
      <c r="Z58" s="280">
        <f>IF(AO58="1",BF58,0)</f>
        <v>0</v>
      </c>
      <c r="AA58" s="280">
        <f>IF(AO58="1",BG58,0)</f>
        <v>0</v>
      </c>
      <c r="AB58" s="280">
        <f>IF(AO58="7",BF58,0)</f>
        <v>0</v>
      </c>
      <c r="AC58" s="280">
        <f>IF(AO58="7",BG58,0)</f>
        <v>0</v>
      </c>
      <c r="AD58" s="280">
        <f>IF(AO58="2",BF58,0)</f>
        <v>0</v>
      </c>
      <c r="AE58" s="280">
        <f>IF(AO58="2",BG58,0)</f>
        <v>0</v>
      </c>
      <c r="AF58" s="280">
        <f>IF(AO58="0",BH58,0)</f>
        <v>0</v>
      </c>
      <c r="AG58" s="278" t="s">
        <v>154</v>
      </c>
      <c r="AH58" s="280">
        <f>IF(AL58=0,J58,0)</f>
        <v>0</v>
      </c>
      <c r="AI58" s="280">
        <f>IF(AL58=12,J58,0)</f>
        <v>0</v>
      </c>
      <c r="AJ58" s="280">
        <f>IF(AL58=21,J58,0)</f>
        <v>0</v>
      </c>
      <c r="AL58" s="280">
        <v>12</v>
      </c>
      <c r="AM58" s="280">
        <f>G58*0.688930818</f>
        <v>0</v>
      </c>
      <c r="AN58" s="280">
        <f>G58*(1-0.688930818)</f>
        <v>0</v>
      </c>
      <c r="AO58" s="281" t="s">
        <v>157</v>
      </c>
      <c r="AT58" s="280">
        <f>AU58+AV58</f>
        <v>0</v>
      </c>
      <c r="AU58" s="280">
        <f>F58*AM58</f>
        <v>0</v>
      </c>
      <c r="AV58" s="280">
        <f>F58*AN58</f>
        <v>0</v>
      </c>
      <c r="AW58" s="281" t="s">
        <v>297</v>
      </c>
      <c r="AX58" s="281" t="s">
        <v>289</v>
      </c>
      <c r="AY58" s="278" t="s">
        <v>164</v>
      </c>
      <c r="BA58" s="280">
        <f>AU58+AV58</f>
        <v>0</v>
      </c>
      <c r="BB58" s="280">
        <f>G58/(100-BC58)*100</f>
        <v>0</v>
      </c>
      <c r="BC58" s="280">
        <v>0</v>
      </c>
      <c r="BD58" s="280">
        <f>L58</f>
        <v>7.9221200000000006E-2</v>
      </c>
      <c r="BF58" s="280">
        <f>F58*AM58</f>
        <v>0</v>
      </c>
      <c r="BG58" s="280">
        <f>F58*AN58</f>
        <v>0</v>
      </c>
      <c r="BH58" s="280">
        <f>F58*G58</f>
        <v>0</v>
      </c>
      <c r="BI58" s="280"/>
      <c r="BJ58" s="280">
        <v>27</v>
      </c>
      <c r="BU58" s="280" t="e">
        <f>#REF!</f>
        <v>#REF!</v>
      </c>
      <c r="BV58" s="277" t="s">
        <v>1133</v>
      </c>
    </row>
    <row r="59" spans="1:74" ht="54" customHeight="1" x14ac:dyDescent="0.3">
      <c r="A59" s="288"/>
      <c r="B59" s="289" t="s">
        <v>165</v>
      </c>
      <c r="C59" s="615" t="s">
        <v>2382</v>
      </c>
      <c r="D59" s="616"/>
      <c r="E59" s="616"/>
      <c r="F59" s="616"/>
      <c r="G59" s="616"/>
      <c r="H59" s="616"/>
      <c r="I59" s="616"/>
      <c r="J59" s="616"/>
      <c r="K59" s="616"/>
      <c r="L59" s="616"/>
      <c r="M59" s="617"/>
    </row>
    <row r="60" spans="1:74" ht="14.4" x14ac:dyDescent="0.3">
      <c r="A60" s="290" t="s">
        <v>238</v>
      </c>
      <c r="B60" s="275" t="s">
        <v>1138</v>
      </c>
      <c r="C60" s="613" t="s">
        <v>1139</v>
      </c>
      <c r="D60" s="614"/>
      <c r="E60" s="275" t="s">
        <v>196</v>
      </c>
      <c r="F60" s="280">
        <v>0.28000000000000003</v>
      </c>
      <c r="G60" s="311">
        <v>0</v>
      </c>
      <c r="H60" s="280">
        <f>F60*AM60</f>
        <v>0</v>
      </c>
      <c r="I60" s="280">
        <f>F60*AN60</f>
        <v>0</v>
      </c>
      <c r="J60" s="280">
        <f>F60*G60</f>
        <v>0</v>
      </c>
      <c r="K60" s="280">
        <v>2.5249999999999999</v>
      </c>
      <c r="L60" s="280">
        <f>F60*K60</f>
        <v>0.70700000000000007</v>
      </c>
      <c r="M60" s="291" t="s">
        <v>472</v>
      </c>
      <c r="X60" s="280">
        <f>IF(AO60="5",BH60,0)</f>
        <v>0</v>
      </c>
      <c r="Z60" s="280">
        <f>IF(AO60="1",BF60,0)</f>
        <v>0</v>
      </c>
      <c r="AA60" s="280">
        <f>IF(AO60="1",BG60,0)</f>
        <v>0</v>
      </c>
      <c r="AB60" s="280">
        <f>IF(AO60="7",BF60,0)</f>
        <v>0</v>
      </c>
      <c r="AC60" s="280">
        <f>IF(AO60="7",BG60,0)</f>
        <v>0</v>
      </c>
      <c r="AD60" s="280">
        <f>IF(AO60="2",BF60,0)</f>
        <v>0</v>
      </c>
      <c r="AE60" s="280">
        <f>IF(AO60="2",BG60,0)</f>
        <v>0</v>
      </c>
      <c r="AF60" s="280">
        <f>IF(AO60="0",BH60,0)</f>
        <v>0</v>
      </c>
      <c r="AG60" s="278" t="s">
        <v>154</v>
      </c>
      <c r="AH60" s="280">
        <f>IF(AL60=0,J60,0)</f>
        <v>0</v>
      </c>
      <c r="AI60" s="280">
        <f>IF(AL60=12,J60,0)</f>
        <v>0</v>
      </c>
      <c r="AJ60" s="280">
        <f>IF(AL60=21,J60,0)</f>
        <v>0</v>
      </c>
      <c r="AL60" s="280">
        <v>12</v>
      </c>
      <c r="AM60" s="280">
        <f>G60*0.90357377</f>
        <v>0</v>
      </c>
      <c r="AN60" s="280">
        <f>G60*(1-0.90357377)</f>
        <v>0</v>
      </c>
      <c r="AO60" s="281" t="s">
        <v>157</v>
      </c>
      <c r="AT60" s="280">
        <f>AU60+AV60</f>
        <v>0</v>
      </c>
      <c r="AU60" s="280">
        <f>F60*AM60</f>
        <v>0</v>
      </c>
      <c r="AV60" s="280">
        <f>F60*AN60</f>
        <v>0</v>
      </c>
      <c r="AW60" s="281" t="s">
        <v>297</v>
      </c>
      <c r="AX60" s="281" t="s">
        <v>289</v>
      </c>
      <c r="AY60" s="278" t="s">
        <v>164</v>
      </c>
      <c r="BA60" s="280">
        <f>AU60+AV60</f>
        <v>0</v>
      </c>
      <c r="BB60" s="280">
        <f>G60/(100-BC60)*100</f>
        <v>0</v>
      </c>
      <c r="BC60" s="280">
        <v>0</v>
      </c>
      <c r="BD60" s="280">
        <f>L60</f>
        <v>0.70700000000000007</v>
      </c>
      <c r="BF60" s="280">
        <f>F60*AM60</f>
        <v>0</v>
      </c>
      <c r="BG60" s="280">
        <f>F60*AN60</f>
        <v>0</v>
      </c>
      <c r="BH60" s="280">
        <f>F60*G60</f>
        <v>0</v>
      </c>
      <c r="BI60" s="280"/>
      <c r="BJ60" s="280">
        <v>27</v>
      </c>
      <c r="BU60" s="280" t="e">
        <f>#REF!</f>
        <v>#REF!</v>
      </c>
      <c r="BV60" s="277" t="s">
        <v>1139</v>
      </c>
    </row>
    <row r="61" spans="1:74" ht="40.5" customHeight="1" x14ac:dyDescent="0.3">
      <c r="A61" s="288"/>
      <c r="B61" s="289" t="s">
        <v>165</v>
      </c>
      <c r="C61" s="615" t="s">
        <v>2381</v>
      </c>
      <c r="D61" s="616"/>
      <c r="E61" s="616"/>
      <c r="F61" s="616"/>
      <c r="G61" s="616"/>
      <c r="H61" s="616"/>
      <c r="I61" s="616"/>
      <c r="J61" s="616"/>
      <c r="K61" s="616"/>
      <c r="L61" s="616"/>
      <c r="M61" s="617"/>
    </row>
    <row r="62" spans="1:74" ht="14.4" x14ac:dyDescent="0.3">
      <c r="A62" s="290" t="s">
        <v>241</v>
      </c>
      <c r="B62" s="275" t="s">
        <v>1136</v>
      </c>
      <c r="C62" s="613" t="s">
        <v>1137</v>
      </c>
      <c r="D62" s="614"/>
      <c r="E62" s="275" t="s">
        <v>180</v>
      </c>
      <c r="F62" s="280">
        <v>2.1800000000000002</v>
      </c>
      <c r="G62" s="311">
        <v>0</v>
      </c>
      <c r="H62" s="280">
        <f>F62*AM62</f>
        <v>0</v>
      </c>
      <c r="I62" s="280">
        <f>F62*AN62</f>
        <v>0</v>
      </c>
      <c r="J62" s="280">
        <f>F62*G62</f>
        <v>0</v>
      </c>
      <c r="K62" s="280">
        <v>0</v>
      </c>
      <c r="L62" s="280">
        <f>F62*K62</f>
        <v>0</v>
      </c>
      <c r="M62" s="291" t="s">
        <v>472</v>
      </c>
      <c r="X62" s="280">
        <f>IF(AO62="5",BH62,0)</f>
        <v>0</v>
      </c>
      <c r="Z62" s="280">
        <f>IF(AO62="1",BF62,0)</f>
        <v>0</v>
      </c>
      <c r="AA62" s="280">
        <f>IF(AO62="1",BG62,0)</f>
        <v>0</v>
      </c>
      <c r="AB62" s="280">
        <f>IF(AO62="7",BF62,0)</f>
        <v>0</v>
      </c>
      <c r="AC62" s="280">
        <f>IF(AO62="7",BG62,0)</f>
        <v>0</v>
      </c>
      <c r="AD62" s="280">
        <f>IF(AO62="2",BF62,0)</f>
        <v>0</v>
      </c>
      <c r="AE62" s="280">
        <f>IF(AO62="2",BG62,0)</f>
        <v>0</v>
      </c>
      <c r="AF62" s="280">
        <f>IF(AO62="0",BH62,0)</f>
        <v>0</v>
      </c>
      <c r="AG62" s="278" t="s">
        <v>154</v>
      </c>
      <c r="AH62" s="280">
        <f>IF(AL62=0,J62,0)</f>
        <v>0</v>
      </c>
      <c r="AI62" s="280">
        <f>IF(AL62=12,J62,0)</f>
        <v>0</v>
      </c>
      <c r="AJ62" s="280">
        <f>IF(AL62=21,J62,0)</f>
        <v>0</v>
      </c>
      <c r="AL62" s="280">
        <v>12</v>
      </c>
      <c r="AM62" s="280">
        <f>G62*0</f>
        <v>0</v>
      </c>
      <c r="AN62" s="280">
        <f>G62*(1-0)</f>
        <v>0</v>
      </c>
      <c r="AO62" s="281" t="s">
        <v>157</v>
      </c>
      <c r="AT62" s="280">
        <f>AU62+AV62</f>
        <v>0</v>
      </c>
      <c r="AU62" s="280">
        <f>F62*AM62</f>
        <v>0</v>
      </c>
      <c r="AV62" s="280">
        <f>F62*AN62</f>
        <v>0</v>
      </c>
      <c r="AW62" s="281" t="s">
        <v>297</v>
      </c>
      <c r="AX62" s="281" t="s">
        <v>289</v>
      </c>
      <c r="AY62" s="278" t="s">
        <v>164</v>
      </c>
      <c r="BA62" s="280">
        <f>AU62+AV62</f>
        <v>0</v>
      </c>
      <c r="BB62" s="280">
        <f>G62/(100-BC62)*100</f>
        <v>0</v>
      </c>
      <c r="BC62" s="280">
        <v>0</v>
      </c>
      <c r="BD62" s="280">
        <f>L62</f>
        <v>0</v>
      </c>
      <c r="BF62" s="280">
        <f>F62*AM62</f>
        <v>0</v>
      </c>
      <c r="BG62" s="280">
        <f>F62*AN62</f>
        <v>0</v>
      </c>
      <c r="BH62" s="280">
        <f>F62*G62</f>
        <v>0</v>
      </c>
      <c r="BI62" s="280"/>
      <c r="BJ62" s="280">
        <v>27</v>
      </c>
      <c r="BU62" s="280" t="e">
        <f>#REF!</f>
        <v>#REF!</v>
      </c>
      <c r="BV62" s="277" t="s">
        <v>1137</v>
      </c>
    </row>
    <row r="63" spans="1:74" ht="54" customHeight="1" x14ac:dyDescent="0.3">
      <c r="A63" s="288"/>
      <c r="B63" s="289" t="s">
        <v>165</v>
      </c>
      <c r="C63" s="615" t="s">
        <v>2380</v>
      </c>
      <c r="D63" s="616"/>
      <c r="E63" s="616"/>
      <c r="F63" s="616"/>
      <c r="G63" s="616"/>
      <c r="H63" s="616"/>
      <c r="I63" s="616"/>
      <c r="J63" s="616"/>
      <c r="K63" s="616"/>
      <c r="L63" s="616"/>
      <c r="M63" s="617"/>
    </row>
    <row r="64" spans="1:74" ht="14.4" x14ac:dyDescent="0.3">
      <c r="A64" s="290" t="s">
        <v>154</v>
      </c>
      <c r="B64" s="276" t="s">
        <v>271</v>
      </c>
      <c r="C64" s="624" t="s">
        <v>1140</v>
      </c>
      <c r="D64" s="621"/>
      <c r="E64" s="275" t="s">
        <v>114</v>
      </c>
      <c r="F64" s="275" t="s">
        <v>114</v>
      </c>
      <c r="G64" s="275" t="s">
        <v>114</v>
      </c>
      <c r="H64" s="282">
        <f>SUM(H65:H65)</f>
        <v>0</v>
      </c>
      <c r="I64" s="282">
        <f>SUM(I65:I65)</f>
        <v>0</v>
      </c>
      <c r="J64" s="282">
        <f>SUM(J65:J65)</f>
        <v>0</v>
      </c>
      <c r="K64" s="279" t="s">
        <v>154</v>
      </c>
      <c r="L64" s="282">
        <f>SUM(L65:L65)</f>
        <v>3.7549385999999996</v>
      </c>
      <c r="M64" s="294" t="s">
        <v>154</v>
      </c>
      <c r="AG64" s="278" t="s">
        <v>154</v>
      </c>
      <c r="AQ64" s="274">
        <f>SUM(AH65:AH65)</f>
        <v>0</v>
      </c>
      <c r="AR64" s="274">
        <f>SUM(AI65:AI65)</f>
        <v>0</v>
      </c>
      <c r="AS64" s="274">
        <f>SUM(AJ65:AJ65)</f>
        <v>0</v>
      </c>
    </row>
    <row r="65" spans="1:74" ht="14.4" x14ac:dyDescent="0.3">
      <c r="A65" s="290" t="s">
        <v>244</v>
      </c>
      <c r="B65" s="275" t="s">
        <v>1141</v>
      </c>
      <c r="C65" s="613" t="s">
        <v>1142</v>
      </c>
      <c r="D65" s="614"/>
      <c r="E65" s="275" t="s">
        <v>196</v>
      </c>
      <c r="F65" s="280">
        <v>1.89</v>
      </c>
      <c r="G65" s="311">
        <v>0</v>
      </c>
      <c r="H65" s="280">
        <f>F65*AM65</f>
        <v>0</v>
      </c>
      <c r="I65" s="280">
        <f>F65*AN65</f>
        <v>0</v>
      </c>
      <c r="J65" s="280">
        <f>F65*G65</f>
        <v>0</v>
      </c>
      <c r="K65" s="280">
        <v>1.98674</v>
      </c>
      <c r="L65" s="280">
        <f>F65*K65</f>
        <v>3.7549385999999996</v>
      </c>
      <c r="M65" s="291" t="s">
        <v>472</v>
      </c>
      <c r="X65" s="280">
        <f>IF(AO65="5",BH65,0)</f>
        <v>0</v>
      </c>
      <c r="Z65" s="280">
        <f>IF(AO65="1",BF65,0)</f>
        <v>0</v>
      </c>
      <c r="AA65" s="280">
        <f>IF(AO65="1",BG65,0)</f>
        <v>0</v>
      </c>
      <c r="AB65" s="280">
        <f>IF(AO65="7",BF65,0)</f>
        <v>0</v>
      </c>
      <c r="AC65" s="280">
        <f>IF(AO65="7",BG65,0)</f>
        <v>0</v>
      </c>
      <c r="AD65" s="280">
        <f>IF(AO65="2",BF65,0)</f>
        <v>0</v>
      </c>
      <c r="AE65" s="280">
        <f>IF(AO65="2",BG65,0)</f>
        <v>0</v>
      </c>
      <c r="AF65" s="280">
        <f>IF(AO65="0",BH65,0)</f>
        <v>0</v>
      </c>
      <c r="AG65" s="278" t="s">
        <v>154</v>
      </c>
      <c r="AH65" s="280">
        <f>IF(AL65=0,J65,0)</f>
        <v>0</v>
      </c>
      <c r="AI65" s="280">
        <f>IF(AL65=12,J65,0)</f>
        <v>0</v>
      </c>
      <c r="AJ65" s="280">
        <f>IF(AL65=21,J65,0)</f>
        <v>0</v>
      </c>
      <c r="AL65" s="280">
        <v>12</v>
      </c>
      <c r="AM65" s="280">
        <f>G65*0.542373011</f>
        <v>0</v>
      </c>
      <c r="AN65" s="280">
        <f>G65*(1-0.542373011)</f>
        <v>0</v>
      </c>
      <c r="AO65" s="281" t="s">
        <v>157</v>
      </c>
      <c r="AT65" s="280">
        <f>AU65+AV65</f>
        <v>0</v>
      </c>
      <c r="AU65" s="280">
        <f>F65*AM65</f>
        <v>0</v>
      </c>
      <c r="AV65" s="280">
        <f>F65*AN65</f>
        <v>0</v>
      </c>
      <c r="AW65" s="281" t="s">
        <v>1143</v>
      </c>
      <c r="AX65" s="281" t="s">
        <v>1144</v>
      </c>
      <c r="AY65" s="278" t="s">
        <v>164</v>
      </c>
      <c r="BA65" s="280">
        <f>AU65+AV65</f>
        <v>0</v>
      </c>
      <c r="BB65" s="280">
        <f>G65/(100-BC65)*100</f>
        <v>0</v>
      </c>
      <c r="BC65" s="280">
        <v>0</v>
      </c>
      <c r="BD65" s="280">
        <f>L65</f>
        <v>3.7549385999999996</v>
      </c>
      <c r="BF65" s="280">
        <f>F65*AM65</f>
        <v>0</v>
      </c>
      <c r="BG65" s="280">
        <f>F65*AN65</f>
        <v>0</v>
      </c>
      <c r="BH65" s="280">
        <f>F65*G65</f>
        <v>0</v>
      </c>
      <c r="BI65" s="280"/>
      <c r="BJ65" s="280">
        <v>32</v>
      </c>
      <c r="BU65" s="280" t="e">
        <f>#REF!</f>
        <v>#REF!</v>
      </c>
      <c r="BV65" s="277" t="s">
        <v>1142</v>
      </c>
    </row>
    <row r="66" spans="1:74" ht="40.5" customHeight="1" x14ac:dyDescent="0.3">
      <c r="A66" s="288"/>
      <c r="B66" s="289" t="s">
        <v>165</v>
      </c>
      <c r="C66" s="615" t="s">
        <v>2379</v>
      </c>
      <c r="D66" s="616"/>
      <c r="E66" s="616"/>
      <c r="F66" s="616"/>
      <c r="G66" s="616"/>
      <c r="H66" s="616"/>
      <c r="I66" s="616"/>
      <c r="J66" s="616"/>
      <c r="K66" s="616"/>
      <c r="L66" s="616"/>
      <c r="M66" s="617"/>
    </row>
    <row r="67" spans="1:74" ht="14.4" x14ac:dyDescent="0.3">
      <c r="A67" s="290" t="s">
        <v>154</v>
      </c>
      <c r="B67" s="276" t="s">
        <v>298</v>
      </c>
      <c r="C67" s="624" t="s">
        <v>299</v>
      </c>
      <c r="D67" s="621"/>
      <c r="E67" s="275" t="s">
        <v>114</v>
      </c>
      <c r="F67" s="275" t="s">
        <v>114</v>
      </c>
      <c r="G67" s="275" t="s">
        <v>114</v>
      </c>
      <c r="H67" s="282">
        <f>SUM(H68:H70)</f>
        <v>0</v>
      </c>
      <c r="I67" s="282">
        <f>SUM(I68:I70)</f>
        <v>0</v>
      </c>
      <c r="J67" s="282">
        <f>SUM(J68:J70)</f>
        <v>0</v>
      </c>
      <c r="K67" s="279" t="s">
        <v>154</v>
      </c>
      <c r="L67" s="282">
        <f>SUM(L68:L70)</f>
        <v>3.3084156</v>
      </c>
      <c r="M67" s="294" t="s">
        <v>154</v>
      </c>
      <c r="AG67" s="278" t="s">
        <v>154</v>
      </c>
      <c r="AQ67" s="274">
        <f>SUM(AH68:AH70)</f>
        <v>0</v>
      </c>
      <c r="AR67" s="274">
        <f>SUM(AI68:AI70)</f>
        <v>0</v>
      </c>
      <c r="AS67" s="274">
        <f>SUM(AJ68:AJ70)</f>
        <v>0</v>
      </c>
    </row>
    <row r="68" spans="1:74" ht="14.4" x14ac:dyDescent="0.3">
      <c r="A68" s="290" t="s">
        <v>247</v>
      </c>
      <c r="B68" s="275" t="s">
        <v>1145</v>
      </c>
      <c r="C68" s="613" t="s">
        <v>1146</v>
      </c>
      <c r="D68" s="614"/>
      <c r="E68" s="275" t="s">
        <v>196</v>
      </c>
      <c r="F68" s="280">
        <v>1.44</v>
      </c>
      <c r="G68" s="311">
        <v>0</v>
      </c>
      <c r="H68" s="280">
        <f>F68*AM68</f>
        <v>0</v>
      </c>
      <c r="I68" s="280">
        <f>F68*AN68</f>
        <v>0</v>
      </c>
      <c r="J68" s="280">
        <f>F68*G68</f>
        <v>0</v>
      </c>
      <c r="K68" s="280">
        <v>1.7875000000000001</v>
      </c>
      <c r="L68" s="280">
        <f>F68*K68</f>
        <v>2.5739999999999998</v>
      </c>
      <c r="M68" s="291" t="s">
        <v>472</v>
      </c>
      <c r="X68" s="280">
        <f>IF(AO68="5",BH68,0)</f>
        <v>0</v>
      </c>
      <c r="Z68" s="280">
        <f>IF(AO68="1",BF68,0)</f>
        <v>0</v>
      </c>
      <c r="AA68" s="280">
        <f>IF(AO68="1",BG68,0)</f>
        <v>0</v>
      </c>
      <c r="AB68" s="280">
        <f>IF(AO68="7",BF68,0)</f>
        <v>0</v>
      </c>
      <c r="AC68" s="280">
        <f>IF(AO68="7",BG68,0)</f>
        <v>0</v>
      </c>
      <c r="AD68" s="280">
        <f>IF(AO68="2",BF68,0)</f>
        <v>0</v>
      </c>
      <c r="AE68" s="280">
        <f>IF(AO68="2",BG68,0)</f>
        <v>0</v>
      </c>
      <c r="AF68" s="280">
        <f>IF(AO68="0",BH68,0)</f>
        <v>0</v>
      </c>
      <c r="AG68" s="278" t="s">
        <v>154</v>
      </c>
      <c r="AH68" s="280">
        <f>IF(AL68=0,J68,0)</f>
        <v>0</v>
      </c>
      <c r="AI68" s="280">
        <f>IF(AL68=12,J68,0)</f>
        <v>0</v>
      </c>
      <c r="AJ68" s="280">
        <f>IF(AL68=21,J68,0)</f>
        <v>0</v>
      </c>
      <c r="AL68" s="280">
        <v>12</v>
      </c>
      <c r="AM68" s="280">
        <f>G68*0.677747824</f>
        <v>0</v>
      </c>
      <c r="AN68" s="280">
        <f>G68*(1-0.677747824)</f>
        <v>0</v>
      </c>
      <c r="AO68" s="281" t="s">
        <v>157</v>
      </c>
      <c r="AT68" s="280">
        <f>AU68+AV68</f>
        <v>0</v>
      </c>
      <c r="AU68" s="280">
        <f>F68*AM68</f>
        <v>0</v>
      </c>
      <c r="AV68" s="280">
        <f>F68*AN68</f>
        <v>0</v>
      </c>
      <c r="AW68" s="281" t="s">
        <v>303</v>
      </c>
      <c r="AX68" s="281" t="s">
        <v>304</v>
      </c>
      <c r="AY68" s="278" t="s">
        <v>164</v>
      </c>
      <c r="BA68" s="280">
        <f>AU68+AV68</f>
        <v>0</v>
      </c>
      <c r="BB68" s="280">
        <f>G68/(100-BC68)*100</f>
        <v>0</v>
      </c>
      <c r="BC68" s="280">
        <v>0</v>
      </c>
      <c r="BD68" s="280">
        <f>L68</f>
        <v>2.5739999999999998</v>
      </c>
      <c r="BF68" s="280">
        <f>F68*AM68</f>
        <v>0</v>
      </c>
      <c r="BG68" s="280">
        <f>F68*AN68</f>
        <v>0</v>
      </c>
      <c r="BH68" s="280">
        <f>F68*G68</f>
        <v>0</v>
      </c>
      <c r="BI68" s="280"/>
      <c r="BJ68" s="280">
        <v>45</v>
      </c>
      <c r="BU68" s="280" t="e">
        <f>#REF!</f>
        <v>#REF!</v>
      </c>
      <c r="BV68" s="277" t="s">
        <v>1146</v>
      </c>
    </row>
    <row r="69" spans="1:74" ht="40.5" customHeight="1" x14ac:dyDescent="0.3">
      <c r="A69" s="288"/>
      <c r="B69" s="289" t="s">
        <v>165</v>
      </c>
      <c r="C69" s="615" t="s">
        <v>2378</v>
      </c>
      <c r="D69" s="616"/>
      <c r="E69" s="616"/>
      <c r="F69" s="616"/>
      <c r="G69" s="616"/>
      <c r="H69" s="616"/>
      <c r="I69" s="616"/>
      <c r="J69" s="616"/>
      <c r="K69" s="616"/>
      <c r="L69" s="616"/>
      <c r="M69" s="617"/>
    </row>
    <row r="70" spans="1:74" ht="14.4" x14ac:dyDescent="0.3">
      <c r="A70" s="290" t="s">
        <v>250</v>
      </c>
      <c r="B70" s="275" t="s">
        <v>1147</v>
      </c>
      <c r="C70" s="613" t="s">
        <v>2442</v>
      </c>
      <c r="D70" s="614"/>
      <c r="E70" s="275" t="s">
        <v>180</v>
      </c>
      <c r="F70" s="280">
        <v>3.81</v>
      </c>
      <c r="G70" s="311">
        <v>0</v>
      </c>
      <c r="H70" s="280">
        <f>F70*AM70</f>
        <v>0</v>
      </c>
      <c r="I70" s="280">
        <f>F70*AN70</f>
        <v>0</v>
      </c>
      <c r="J70" s="280">
        <f>F70*G70</f>
        <v>0</v>
      </c>
      <c r="K70" s="280">
        <v>0.19275999999999999</v>
      </c>
      <c r="L70" s="280">
        <f>F70*K70</f>
        <v>0.73441559999999995</v>
      </c>
      <c r="M70" s="291" t="s">
        <v>472</v>
      </c>
      <c r="X70" s="280">
        <f>IF(AO70="5",BH70,0)</f>
        <v>0</v>
      </c>
      <c r="Z70" s="280">
        <f>IF(AO70="1",BF70,0)</f>
        <v>0</v>
      </c>
      <c r="AA70" s="280">
        <f>IF(AO70="1",BG70,0)</f>
        <v>0</v>
      </c>
      <c r="AB70" s="280">
        <f>IF(AO70="7",BF70,0)</f>
        <v>0</v>
      </c>
      <c r="AC70" s="280">
        <f>IF(AO70="7",BG70,0)</f>
        <v>0</v>
      </c>
      <c r="AD70" s="280">
        <f>IF(AO70="2",BF70,0)</f>
        <v>0</v>
      </c>
      <c r="AE70" s="280">
        <f>IF(AO70="2",BG70,0)</f>
        <v>0</v>
      </c>
      <c r="AF70" s="280">
        <f>IF(AO70="0",BH70,0)</f>
        <v>0</v>
      </c>
      <c r="AG70" s="278" t="s">
        <v>154</v>
      </c>
      <c r="AH70" s="280">
        <f>IF(AL70=0,J70,0)</f>
        <v>0</v>
      </c>
      <c r="AI70" s="280">
        <f>IF(AL70=12,J70,0)</f>
        <v>0</v>
      </c>
      <c r="AJ70" s="280">
        <f>IF(AL70=21,J70,0)</f>
        <v>0</v>
      </c>
      <c r="AL70" s="280">
        <v>12</v>
      </c>
      <c r="AM70" s="280">
        <f>G70*0.3637625</f>
        <v>0</v>
      </c>
      <c r="AN70" s="280">
        <f>G70*(1-0.3637625)</f>
        <v>0</v>
      </c>
      <c r="AO70" s="281" t="s">
        <v>157</v>
      </c>
      <c r="AT70" s="280">
        <f>AU70+AV70</f>
        <v>0</v>
      </c>
      <c r="AU70" s="280">
        <f>F70*AM70</f>
        <v>0</v>
      </c>
      <c r="AV70" s="280">
        <f>F70*AN70</f>
        <v>0</v>
      </c>
      <c r="AW70" s="281" t="s">
        <v>303</v>
      </c>
      <c r="AX70" s="281" t="s">
        <v>304</v>
      </c>
      <c r="AY70" s="278" t="s">
        <v>164</v>
      </c>
      <c r="BA70" s="280">
        <f>AU70+AV70</f>
        <v>0</v>
      </c>
      <c r="BB70" s="280">
        <f>G70/(100-BC70)*100</f>
        <v>0</v>
      </c>
      <c r="BC70" s="280">
        <v>0</v>
      </c>
      <c r="BD70" s="280">
        <f>L70</f>
        <v>0.73441559999999995</v>
      </c>
      <c r="BF70" s="280">
        <f>F70*AM70</f>
        <v>0</v>
      </c>
      <c r="BG70" s="280">
        <f>F70*AN70</f>
        <v>0</v>
      </c>
      <c r="BH70" s="280">
        <f>F70*G70</f>
        <v>0</v>
      </c>
      <c r="BI70" s="280"/>
      <c r="BJ70" s="280">
        <v>45</v>
      </c>
      <c r="BU70" s="280" t="e">
        <f>#REF!</f>
        <v>#REF!</v>
      </c>
      <c r="BV70" s="277" t="s">
        <v>2442</v>
      </c>
    </row>
    <row r="71" spans="1:74" ht="40.5" customHeight="1" x14ac:dyDescent="0.3">
      <c r="A71" s="288"/>
      <c r="B71" s="289" t="s">
        <v>165</v>
      </c>
      <c r="C71" s="615" t="s">
        <v>2377</v>
      </c>
      <c r="D71" s="616"/>
      <c r="E71" s="616"/>
      <c r="F71" s="616"/>
      <c r="G71" s="616"/>
      <c r="H71" s="616"/>
      <c r="I71" s="616"/>
      <c r="J71" s="616"/>
      <c r="K71" s="616"/>
      <c r="L71" s="616"/>
      <c r="M71" s="617"/>
    </row>
    <row r="72" spans="1:74" ht="14.4" x14ac:dyDescent="0.3">
      <c r="A72" s="290" t="s">
        <v>154</v>
      </c>
      <c r="B72" s="276" t="s">
        <v>396</v>
      </c>
      <c r="C72" s="624" t="s">
        <v>1148</v>
      </c>
      <c r="D72" s="621"/>
      <c r="E72" s="275" t="s">
        <v>114</v>
      </c>
      <c r="F72" s="275" t="s">
        <v>114</v>
      </c>
      <c r="G72" s="275" t="s">
        <v>114</v>
      </c>
      <c r="H72" s="282">
        <f>SUM(H73:H73)</f>
        <v>0</v>
      </c>
      <c r="I72" s="282">
        <f>SUM(I73:I73)</f>
        <v>0</v>
      </c>
      <c r="J72" s="282">
        <f>SUM(J73:J73)</f>
        <v>0</v>
      </c>
      <c r="K72" s="279" t="s">
        <v>154</v>
      </c>
      <c r="L72" s="282">
        <f>SUM(L73:L73)</f>
        <v>0.15006599999999998</v>
      </c>
      <c r="M72" s="294" t="s">
        <v>154</v>
      </c>
      <c r="AG72" s="278" t="s">
        <v>154</v>
      </c>
      <c r="AQ72" s="274">
        <f>SUM(AH73:AH73)</f>
        <v>0</v>
      </c>
      <c r="AR72" s="274">
        <f>SUM(AI73:AI73)</f>
        <v>0</v>
      </c>
      <c r="AS72" s="274">
        <f>SUM(AJ73:AJ73)</f>
        <v>0</v>
      </c>
    </row>
    <row r="73" spans="1:74" ht="14.4" x14ac:dyDescent="0.3">
      <c r="A73" s="290" t="s">
        <v>253</v>
      </c>
      <c r="B73" s="275" t="s">
        <v>1149</v>
      </c>
      <c r="C73" s="613" t="s">
        <v>1150</v>
      </c>
      <c r="D73" s="614"/>
      <c r="E73" s="275" t="s">
        <v>180</v>
      </c>
      <c r="F73" s="280">
        <v>9.4499999999999993</v>
      </c>
      <c r="G73" s="311">
        <v>0</v>
      </c>
      <c r="H73" s="280">
        <f>F73*AM73</f>
        <v>0</v>
      </c>
      <c r="I73" s="280">
        <f>F73*AN73</f>
        <v>0</v>
      </c>
      <c r="J73" s="280">
        <f>F73*G73</f>
        <v>0</v>
      </c>
      <c r="K73" s="280">
        <v>1.5879999999999998E-2</v>
      </c>
      <c r="L73" s="280">
        <f>F73*K73</f>
        <v>0.15006599999999998</v>
      </c>
      <c r="M73" s="291" t="s">
        <v>472</v>
      </c>
      <c r="X73" s="280">
        <f>IF(AO73="5",BH73,0)</f>
        <v>0</v>
      </c>
      <c r="Z73" s="280">
        <f>IF(AO73="1",BF73,0)</f>
        <v>0</v>
      </c>
      <c r="AA73" s="280">
        <f>IF(AO73="1",BG73,0)</f>
        <v>0</v>
      </c>
      <c r="AB73" s="280">
        <f>IF(AO73="7",BF73,0)</f>
        <v>0</v>
      </c>
      <c r="AC73" s="280">
        <f>IF(AO73="7",BG73,0)</f>
        <v>0</v>
      </c>
      <c r="AD73" s="280">
        <f>IF(AO73="2",BF73,0)</f>
        <v>0</v>
      </c>
      <c r="AE73" s="280">
        <f>IF(AO73="2",BG73,0)</f>
        <v>0</v>
      </c>
      <c r="AF73" s="280">
        <f>IF(AO73="0",BH73,0)</f>
        <v>0</v>
      </c>
      <c r="AG73" s="278" t="s">
        <v>154</v>
      </c>
      <c r="AH73" s="280">
        <f>IF(AL73=0,J73,0)</f>
        <v>0</v>
      </c>
      <c r="AI73" s="280">
        <f>IF(AL73=12,J73,0)</f>
        <v>0</v>
      </c>
      <c r="AJ73" s="280">
        <f>IF(AL73=21,J73,0)</f>
        <v>0</v>
      </c>
      <c r="AL73" s="280">
        <v>12</v>
      </c>
      <c r="AM73" s="280">
        <f>G73*0.188676072</f>
        <v>0</v>
      </c>
      <c r="AN73" s="280">
        <f>G73*(1-0.188676072)</f>
        <v>0</v>
      </c>
      <c r="AO73" s="281" t="s">
        <v>157</v>
      </c>
      <c r="AT73" s="280">
        <f>AU73+AV73</f>
        <v>0</v>
      </c>
      <c r="AU73" s="280">
        <f>F73*AM73</f>
        <v>0</v>
      </c>
      <c r="AV73" s="280">
        <f>F73*AN73</f>
        <v>0</v>
      </c>
      <c r="AW73" s="281" t="s">
        <v>1151</v>
      </c>
      <c r="AX73" s="281" t="s">
        <v>1152</v>
      </c>
      <c r="AY73" s="278" t="s">
        <v>164</v>
      </c>
      <c r="BA73" s="280">
        <f>AU73+AV73</f>
        <v>0</v>
      </c>
      <c r="BB73" s="280">
        <f>G73/(100-BC73)*100</f>
        <v>0</v>
      </c>
      <c r="BC73" s="280">
        <v>0</v>
      </c>
      <c r="BD73" s="280">
        <f>L73</f>
        <v>0.15006599999999998</v>
      </c>
      <c r="BF73" s="280">
        <f>F73*AM73</f>
        <v>0</v>
      </c>
      <c r="BG73" s="280">
        <f>F73*AN73</f>
        <v>0</v>
      </c>
      <c r="BH73" s="280">
        <f>F73*G73</f>
        <v>0</v>
      </c>
      <c r="BI73" s="280"/>
      <c r="BJ73" s="280">
        <v>62</v>
      </c>
      <c r="BU73" s="280" t="e">
        <f>#REF!</f>
        <v>#REF!</v>
      </c>
      <c r="BV73" s="277" t="s">
        <v>1150</v>
      </c>
    </row>
    <row r="74" spans="1:74" ht="40.5" customHeight="1" x14ac:dyDescent="0.3">
      <c r="A74" s="288"/>
      <c r="B74" s="289" t="s">
        <v>165</v>
      </c>
      <c r="C74" s="615" t="s">
        <v>2376</v>
      </c>
      <c r="D74" s="616"/>
      <c r="E74" s="616"/>
      <c r="F74" s="616"/>
      <c r="G74" s="616"/>
      <c r="H74" s="616"/>
      <c r="I74" s="616"/>
      <c r="J74" s="616"/>
      <c r="K74" s="616"/>
      <c r="L74" s="616"/>
      <c r="M74" s="617"/>
    </row>
    <row r="75" spans="1:74" ht="14.4" x14ac:dyDescent="0.3">
      <c r="A75" s="290" t="s">
        <v>154</v>
      </c>
      <c r="B75" s="276" t="s">
        <v>2375</v>
      </c>
      <c r="C75" s="624" t="s">
        <v>2374</v>
      </c>
      <c r="D75" s="621"/>
      <c r="E75" s="275" t="s">
        <v>114</v>
      </c>
      <c r="F75" s="275" t="s">
        <v>114</v>
      </c>
      <c r="G75" s="275" t="s">
        <v>114</v>
      </c>
      <c r="H75" s="282">
        <f>SUM(H76:H76)</f>
        <v>0</v>
      </c>
      <c r="I75" s="282">
        <f>SUM(I76:I76)</f>
        <v>0</v>
      </c>
      <c r="J75" s="282">
        <f>SUM(J76:J76)</f>
        <v>0</v>
      </c>
      <c r="K75" s="279" t="s">
        <v>154</v>
      </c>
      <c r="L75" s="282">
        <f>SUM(L76:L76)</f>
        <v>0</v>
      </c>
      <c r="M75" s="294" t="s">
        <v>154</v>
      </c>
      <c r="AG75" s="278" t="s">
        <v>154</v>
      </c>
      <c r="AQ75" s="274">
        <f>SUM(AH76:AH76)</f>
        <v>0</v>
      </c>
      <c r="AR75" s="274">
        <f>SUM(AI76:AI76)</f>
        <v>0</v>
      </c>
      <c r="AS75" s="274">
        <f>SUM(AJ76:AJ76)</f>
        <v>0</v>
      </c>
    </row>
    <row r="76" spans="1:74" ht="14.4" x14ac:dyDescent="0.3">
      <c r="A76" s="290" t="s">
        <v>256</v>
      </c>
      <c r="B76" s="275" t="s">
        <v>2373</v>
      </c>
      <c r="C76" s="613" t="s">
        <v>2371</v>
      </c>
      <c r="D76" s="614"/>
      <c r="E76" s="275" t="s">
        <v>380</v>
      </c>
      <c r="F76" s="280">
        <v>12.58</v>
      </c>
      <c r="G76" s="311">
        <v>0</v>
      </c>
      <c r="H76" s="280">
        <f>F76*AM76</f>
        <v>0</v>
      </c>
      <c r="I76" s="280">
        <f>F76*AN76</f>
        <v>0</v>
      </c>
      <c r="J76" s="280">
        <f>F76*G76</f>
        <v>0</v>
      </c>
      <c r="K76" s="280">
        <v>0</v>
      </c>
      <c r="L76" s="280">
        <f>F76*K76</f>
        <v>0</v>
      </c>
      <c r="M76" s="291" t="s">
        <v>472</v>
      </c>
      <c r="X76" s="280">
        <f>IF(AO76="5",BH76,0)</f>
        <v>0</v>
      </c>
      <c r="Z76" s="280">
        <f>IF(AO76="1",BF76,0)</f>
        <v>0</v>
      </c>
      <c r="AA76" s="280">
        <f>IF(AO76="1",BG76,0)</f>
        <v>0</v>
      </c>
      <c r="AB76" s="280">
        <f>IF(AO76="7",BF76,0)</f>
        <v>0</v>
      </c>
      <c r="AC76" s="280">
        <f>IF(AO76="7",BG76,0)</f>
        <v>0</v>
      </c>
      <c r="AD76" s="280">
        <f>IF(AO76="2",BF76,0)</f>
        <v>0</v>
      </c>
      <c r="AE76" s="280">
        <f>IF(AO76="2",BG76,0)</f>
        <v>0</v>
      </c>
      <c r="AF76" s="280">
        <f>IF(AO76="0",BH76,0)</f>
        <v>0</v>
      </c>
      <c r="AG76" s="278" t="s">
        <v>154</v>
      </c>
      <c r="AH76" s="280">
        <f>IF(AL76=0,J76,0)</f>
        <v>0</v>
      </c>
      <c r="AI76" s="280">
        <f>IF(AL76=12,J76,0)</f>
        <v>0</v>
      </c>
      <c r="AJ76" s="280">
        <f>IF(AL76=21,J76,0)</f>
        <v>0</v>
      </c>
      <c r="AL76" s="280">
        <v>12</v>
      </c>
      <c r="AM76" s="280">
        <f>G76*0</f>
        <v>0</v>
      </c>
      <c r="AN76" s="280">
        <f>G76*(1-0)</f>
        <v>0</v>
      </c>
      <c r="AO76" s="281" t="s">
        <v>177</v>
      </c>
      <c r="AT76" s="280">
        <f>AU76+AV76</f>
        <v>0</v>
      </c>
      <c r="AU76" s="280">
        <f>F76*AM76</f>
        <v>0</v>
      </c>
      <c r="AV76" s="280">
        <f>F76*AN76</f>
        <v>0</v>
      </c>
      <c r="AW76" s="281" t="s">
        <v>2372</v>
      </c>
      <c r="AX76" s="281" t="s">
        <v>375</v>
      </c>
      <c r="AY76" s="278" t="s">
        <v>164</v>
      </c>
      <c r="BA76" s="280">
        <f>AU76+AV76</f>
        <v>0</v>
      </c>
      <c r="BB76" s="280">
        <f>G76/(100-BC76)*100</f>
        <v>0</v>
      </c>
      <c r="BC76" s="280">
        <v>0</v>
      </c>
      <c r="BD76" s="280">
        <f>L76</f>
        <v>0</v>
      </c>
      <c r="BF76" s="280">
        <f>F76*AM76</f>
        <v>0</v>
      </c>
      <c r="BG76" s="280">
        <f>F76*AN76</f>
        <v>0</v>
      </c>
      <c r="BH76" s="280">
        <f>F76*G76</f>
        <v>0</v>
      </c>
      <c r="BI76" s="280"/>
      <c r="BJ76" s="280"/>
      <c r="BU76" s="280" t="e">
        <f>#REF!</f>
        <v>#REF!</v>
      </c>
      <c r="BV76" s="277" t="s">
        <v>2371</v>
      </c>
    </row>
    <row r="77" spans="1:74" ht="14.4" x14ac:dyDescent="0.3">
      <c r="A77" s="290" t="s">
        <v>154</v>
      </c>
      <c r="B77" s="276" t="s">
        <v>1383</v>
      </c>
      <c r="C77" s="624" t="s">
        <v>449</v>
      </c>
      <c r="D77" s="621"/>
      <c r="E77" s="275" t="s">
        <v>114</v>
      </c>
      <c r="F77" s="275" t="s">
        <v>114</v>
      </c>
      <c r="G77" s="275" t="s">
        <v>114</v>
      </c>
      <c r="H77" s="282">
        <f>SUM(H78:H78)</f>
        <v>0</v>
      </c>
      <c r="I77" s="282">
        <f>SUM(I78:I78)</f>
        <v>0</v>
      </c>
      <c r="J77" s="282">
        <f>SUM(J78:J78)</f>
        <v>0</v>
      </c>
      <c r="K77" s="279" t="s">
        <v>154</v>
      </c>
      <c r="L77" s="282">
        <f>SUM(L78:L78)</f>
        <v>0.08</v>
      </c>
      <c r="M77" s="294" t="s">
        <v>154</v>
      </c>
      <c r="AG77" s="278" t="s">
        <v>154</v>
      </c>
      <c r="AQ77" s="274">
        <f>SUM(AH78:AH78)</f>
        <v>0</v>
      </c>
      <c r="AR77" s="274">
        <f>SUM(AI78:AI78)</f>
        <v>0</v>
      </c>
      <c r="AS77" s="274">
        <f>SUM(AJ78:AJ78)</f>
        <v>0</v>
      </c>
    </row>
    <row r="78" spans="1:74" ht="26.4" x14ac:dyDescent="0.3">
      <c r="A78" s="290" t="s">
        <v>260</v>
      </c>
      <c r="B78" s="275" t="s">
        <v>1153</v>
      </c>
      <c r="C78" s="613" t="s">
        <v>1154</v>
      </c>
      <c r="D78" s="614"/>
      <c r="E78" s="275" t="s">
        <v>190</v>
      </c>
      <c r="F78" s="280">
        <v>1</v>
      </c>
      <c r="G78" s="311">
        <v>0</v>
      </c>
      <c r="H78" s="280">
        <f>F78*AM78</f>
        <v>0</v>
      </c>
      <c r="I78" s="280">
        <f>F78*AN78</f>
        <v>0</v>
      </c>
      <c r="J78" s="280">
        <f>F78*G78</f>
        <v>0</v>
      </c>
      <c r="K78" s="280">
        <v>0.08</v>
      </c>
      <c r="L78" s="280">
        <f>F78*K78</f>
        <v>0.08</v>
      </c>
      <c r="M78" s="291" t="s">
        <v>154</v>
      </c>
      <c r="X78" s="280">
        <f>IF(AO78="5",BH78,0)</f>
        <v>0</v>
      </c>
      <c r="Z78" s="280">
        <f>IF(AO78="1",BF78,0)</f>
        <v>0</v>
      </c>
      <c r="AA78" s="280">
        <f>IF(AO78="1",BG78,0)</f>
        <v>0</v>
      </c>
      <c r="AB78" s="280">
        <f>IF(AO78="7",BF78,0)</f>
        <v>0</v>
      </c>
      <c r="AC78" s="280">
        <f>IF(AO78="7",BG78,0)</f>
        <v>0</v>
      </c>
      <c r="AD78" s="280">
        <f>IF(AO78="2",BF78,0)</f>
        <v>0</v>
      </c>
      <c r="AE78" s="280">
        <f>IF(AO78="2",BG78,0)</f>
        <v>0</v>
      </c>
      <c r="AF78" s="280">
        <f>IF(AO78="0",BH78,0)</f>
        <v>0</v>
      </c>
      <c r="AG78" s="278" t="s">
        <v>154</v>
      </c>
      <c r="AH78" s="280">
        <f>IF(AL78=0,J78,0)</f>
        <v>0</v>
      </c>
      <c r="AI78" s="280">
        <f>IF(AL78=12,J78,0)</f>
        <v>0</v>
      </c>
      <c r="AJ78" s="280">
        <f>IF(AL78=21,J78,0)</f>
        <v>0</v>
      </c>
      <c r="AL78" s="280">
        <v>12</v>
      </c>
      <c r="AM78" s="280">
        <f>G78*1</f>
        <v>0</v>
      </c>
      <c r="AN78" s="280">
        <f>G78*(1-1)</f>
        <v>0</v>
      </c>
      <c r="AO78" s="281" t="s">
        <v>453</v>
      </c>
      <c r="AT78" s="280">
        <f>AU78+AV78</f>
        <v>0</v>
      </c>
      <c r="AU78" s="280">
        <f>F78*AM78</f>
        <v>0</v>
      </c>
      <c r="AV78" s="280">
        <f>F78*AN78</f>
        <v>0</v>
      </c>
      <c r="AW78" s="281" t="s">
        <v>454</v>
      </c>
      <c r="AX78" s="281" t="s">
        <v>455</v>
      </c>
      <c r="AY78" s="278" t="s">
        <v>164</v>
      </c>
      <c r="BA78" s="280">
        <f>AU78+AV78</f>
        <v>0</v>
      </c>
      <c r="BB78" s="280">
        <f>G78/(100-BC78)*100</f>
        <v>0</v>
      </c>
      <c r="BC78" s="280">
        <v>0</v>
      </c>
      <c r="BD78" s="280">
        <f>L78</f>
        <v>0.08</v>
      </c>
      <c r="BF78" s="280">
        <f>F78*AM78</f>
        <v>0</v>
      </c>
      <c r="BG78" s="280">
        <f>F78*AN78</f>
        <v>0</v>
      </c>
      <c r="BH78" s="280">
        <f>F78*G78</f>
        <v>0</v>
      </c>
      <c r="BI78" s="280"/>
      <c r="BJ78" s="280"/>
      <c r="BU78" s="280" t="e">
        <f>#REF!</f>
        <v>#REF!</v>
      </c>
      <c r="BV78" s="277" t="s">
        <v>1154</v>
      </c>
    </row>
    <row r="79" spans="1:74" ht="13.5" customHeight="1" x14ac:dyDescent="0.3">
      <c r="A79" s="292"/>
      <c r="B79" s="293" t="s">
        <v>165</v>
      </c>
      <c r="C79" s="618" t="s">
        <v>2443</v>
      </c>
      <c r="D79" s="619"/>
      <c r="E79" s="619"/>
      <c r="F79" s="619"/>
      <c r="G79" s="619"/>
      <c r="H79" s="619"/>
      <c r="I79" s="619"/>
      <c r="J79" s="619"/>
      <c r="K79" s="619"/>
      <c r="L79" s="619"/>
      <c r="M79" s="620"/>
    </row>
    <row r="80" spans="1:74" ht="14.4" x14ac:dyDescent="0.3">
      <c r="H80" s="621" t="s">
        <v>423</v>
      </c>
      <c r="I80" s="621"/>
      <c r="J80" s="282">
        <f>ROUND(J12+J15+J24+J35+J40+J43+J64+J67+J72+J75+J77,1)</f>
        <v>0</v>
      </c>
    </row>
    <row r="81" spans="1:13" ht="14.4" x14ac:dyDescent="0.3">
      <c r="A81" s="283" t="s">
        <v>165</v>
      </c>
    </row>
    <row r="82" spans="1:13" ht="13.5" customHeight="1" x14ac:dyDescent="0.3">
      <c r="A82" s="613" t="s">
        <v>1387</v>
      </c>
      <c r="B82" s="614"/>
      <c r="C82" s="614"/>
      <c r="D82" s="614"/>
      <c r="E82" s="614"/>
      <c r="F82" s="614"/>
      <c r="G82" s="614"/>
      <c r="H82" s="614"/>
      <c r="I82" s="614"/>
      <c r="J82" s="614"/>
      <c r="K82" s="614"/>
      <c r="L82" s="614"/>
      <c r="M82" s="614"/>
    </row>
    <row r="83" spans="1:13" ht="15" customHeight="1" x14ac:dyDescent="0.3">
      <c r="A83" s="549" t="s">
        <v>1163</v>
      </c>
      <c r="B83" s="550"/>
      <c r="C83" s="550"/>
      <c r="D83" s="550"/>
      <c r="E83" s="550"/>
      <c r="F83" s="550"/>
      <c r="G83" s="550"/>
      <c r="H83" s="550"/>
      <c r="I83" s="550"/>
      <c r="J83" s="550"/>
      <c r="K83" s="550"/>
      <c r="L83" s="550"/>
      <c r="M83" s="550"/>
    </row>
  </sheetData>
  <sheetProtection algorithmName="SHA-512" hashValue="FKzrvClhNPt4SuNxQSmegVTXxFAR4ZAYHUL4A7XQ2qT3OTMVbgWKV9zY+GemGpoK5LMZO+DdgGx+GWdtEszZdg==" saltValue="+kVrs3yHaYbGuySvqPY43Q==" spinCount="100000" sheet="1" objects="1" scenarios="1" formatCells="0" formatColumns="0" formatRows="0" insertColumns="0" insertRows="0" insertHyperlinks="0"/>
  <mergeCells count="100">
    <mergeCell ref="J6:M7"/>
    <mergeCell ref="J4:M5"/>
    <mergeCell ref="A1:M1"/>
    <mergeCell ref="A2:B3"/>
    <mergeCell ref="C2:F3"/>
    <mergeCell ref="G2:G3"/>
    <mergeCell ref="H2:H3"/>
    <mergeCell ref="I2:I3"/>
    <mergeCell ref="J2:M3"/>
    <mergeCell ref="A4:B5"/>
    <mergeCell ref="C4:F5"/>
    <mergeCell ref="G4:G5"/>
    <mergeCell ref="H4:H5"/>
    <mergeCell ref="I4:I5"/>
    <mergeCell ref="A6:B7"/>
    <mergeCell ref="C6:F7"/>
    <mergeCell ref="G6:G7"/>
    <mergeCell ref="H6:H7"/>
    <mergeCell ref="I6:I7"/>
    <mergeCell ref="A8:B9"/>
    <mergeCell ref="C8:F9"/>
    <mergeCell ref="G8:G9"/>
    <mergeCell ref="H8:H9"/>
    <mergeCell ref="C10:D10"/>
    <mergeCell ref="H10:J10"/>
    <mergeCell ref="I8:I9"/>
    <mergeCell ref="J8:M9"/>
    <mergeCell ref="K10:L10"/>
    <mergeCell ref="C11:D11"/>
    <mergeCell ref="C12:D12"/>
    <mergeCell ref="C25:D25"/>
    <mergeCell ref="C14:M14"/>
    <mergeCell ref="C15:D15"/>
    <mergeCell ref="C16:D16"/>
    <mergeCell ref="C17:M17"/>
    <mergeCell ref="C18:D18"/>
    <mergeCell ref="C19:M19"/>
    <mergeCell ref="C20:D20"/>
    <mergeCell ref="C21:M21"/>
    <mergeCell ref="C22:D22"/>
    <mergeCell ref="C23:M23"/>
    <mergeCell ref="C24:D24"/>
    <mergeCell ref="C13:D13"/>
    <mergeCell ref="C37:M37"/>
    <mergeCell ref="C26:M26"/>
    <mergeCell ref="C27:D27"/>
    <mergeCell ref="C28:M28"/>
    <mergeCell ref="C29:D29"/>
    <mergeCell ref="C30:M30"/>
    <mergeCell ref="C31:D31"/>
    <mergeCell ref="C32:M32"/>
    <mergeCell ref="C33:D33"/>
    <mergeCell ref="C34:M34"/>
    <mergeCell ref="C35:D35"/>
    <mergeCell ref="C36:D36"/>
    <mergeCell ref="C49:M49"/>
    <mergeCell ref="C38:D38"/>
    <mergeCell ref="C39:M39"/>
    <mergeCell ref="C40:D40"/>
    <mergeCell ref="C41:D41"/>
    <mergeCell ref="C42:M42"/>
    <mergeCell ref="C43:D43"/>
    <mergeCell ref="C44:D44"/>
    <mergeCell ref="C45:M45"/>
    <mergeCell ref="C46:D46"/>
    <mergeCell ref="C47:M47"/>
    <mergeCell ref="C48:D48"/>
    <mergeCell ref="C61:M61"/>
    <mergeCell ref="C50:D50"/>
    <mergeCell ref="C51:M51"/>
    <mergeCell ref="C52:D52"/>
    <mergeCell ref="C53:M53"/>
    <mergeCell ref="C54:D54"/>
    <mergeCell ref="C55:M55"/>
    <mergeCell ref="C56:D56"/>
    <mergeCell ref="C57:M57"/>
    <mergeCell ref="C58:D58"/>
    <mergeCell ref="C59:M59"/>
    <mergeCell ref="C60:D60"/>
    <mergeCell ref="C73:D73"/>
    <mergeCell ref="C62:D62"/>
    <mergeCell ref="C63:M63"/>
    <mergeCell ref="C64:D64"/>
    <mergeCell ref="C65:D65"/>
    <mergeCell ref="C66:M66"/>
    <mergeCell ref="C67:D67"/>
    <mergeCell ref="C68:D68"/>
    <mergeCell ref="C69:M69"/>
    <mergeCell ref="C70:D70"/>
    <mergeCell ref="C71:M71"/>
    <mergeCell ref="C72:D72"/>
    <mergeCell ref="H80:I80"/>
    <mergeCell ref="A82:M82"/>
    <mergeCell ref="A83:M83"/>
    <mergeCell ref="C74:M74"/>
    <mergeCell ref="C75:D75"/>
    <mergeCell ref="C76:D76"/>
    <mergeCell ref="C77:D77"/>
    <mergeCell ref="C78:D78"/>
    <mergeCell ref="C79:M79"/>
  </mergeCells>
  <pageMargins left="0.59055118110236227" right="0.39370078740157483" top="0.39370078740157483" bottom="0.39370078740157483" header="0.39370078740157483" footer="0.39370078740157483"/>
  <pageSetup paperSize="9" scale="58" fitToHeight="0" orientation="landscape" r:id="rId1"/>
  <headerFooter>
    <oddFooter>&amp;L&amp;A&amp;C&amp;F&amp;Rstran &amp;N / strana &amp;P</oddFooter>
  </headerFooter>
  <rowBreaks count="2" manualBreakCount="2">
    <brk id="30" max="12" man="1"/>
    <brk id="57" max="12" man="1"/>
  </row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406FF-EC22-47D1-BC87-335C59B78A26}">
  <sheetPr codeName="List17">
    <pageSetUpPr fitToPage="1"/>
  </sheetPr>
  <dimension ref="A1:BV168"/>
  <sheetViews>
    <sheetView view="pageBreakPreview" zoomScale="55" zoomScaleNormal="55" zoomScaleSheetLayoutView="55" workbookViewId="0">
      <pane ySplit="11" topLeftCell="A12" activePane="bottomLeft" state="frozen"/>
      <selection pane="bottomLeft" activeCell="G13" sqref="G13"/>
    </sheetView>
  </sheetViews>
  <sheetFormatPr defaultColWidth="12.109375" defaultRowHeight="15" customHeight="1" x14ac:dyDescent="0.3"/>
  <cols>
    <col min="1" max="1" width="5.6640625" style="221" customWidth="1"/>
    <col min="2" max="2" width="16.6640625" style="221" customWidth="1"/>
    <col min="3" max="3" width="81.33203125" style="221" customWidth="1"/>
    <col min="4" max="4" width="12.6640625" style="221" customWidth="1"/>
    <col min="5" max="5" width="8.6640625" style="221" customWidth="1"/>
    <col min="6" max="6" width="10.6640625" style="221" customWidth="1"/>
    <col min="7" max="13" width="14.6640625" style="221" customWidth="1"/>
    <col min="14" max="73" width="12.109375" style="221"/>
    <col min="74" max="74" width="78.5546875" style="221" hidden="1" customWidth="1"/>
    <col min="75" max="16384" width="12.109375" style="221"/>
  </cols>
  <sheetData>
    <row r="1" spans="1:74" ht="54.75" customHeight="1" thickBot="1" x14ac:dyDescent="0.35">
      <c r="A1" s="523" t="s">
        <v>2303</v>
      </c>
      <c r="B1" s="524"/>
      <c r="C1" s="524"/>
      <c r="D1" s="524"/>
      <c r="E1" s="524"/>
      <c r="F1" s="524"/>
      <c r="G1" s="524"/>
      <c r="H1" s="524"/>
      <c r="I1" s="524"/>
      <c r="J1" s="524"/>
      <c r="K1" s="524"/>
      <c r="L1" s="524"/>
      <c r="M1" s="525"/>
      <c r="AQ1" s="222">
        <f>SUM(AH1:AH2)</f>
        <v>0</v>
      </c>
      <c r="AR1" s="222">
        <f>SUM(AI1:AI2)</f>
        <v>0</v>
      </c>
      <c r="AS1" s="222">
        <f>SUM(AJ1:AJ2)</f>
        <v>0</v>
      </c>
    </row>
    <row r="2" spans="1:74" ht="15" customHeight="1" x14ac:dyDescent="0.3">
      <c r="A2" s="601" t="s">
        <v>112</v>
      </c>
      <c r="B2" s="602"/>
      <c r="C2" s="603" t="s">
        <v>68</v>
      </c>
      <c r="D2" s="555"/>
      <c r="E2" s="602" t="s">
        <v>113</v>
      </c>
      <c r="F2" s="602"/>
      <c r="G2" s="604" t="s">
        <v>1156</v>
      </c>
      <c r="H2" s="605" t="s">
        <v>457</v>
      </c>
      <c r="I2" s="605" t="s">
        <v>69</v>
      </c>
      <c r="J2" s="605"/>
      <c r="K2" s="605"/>
      <c r="L2" s="605"/>
      <c r="M2" s="606"/>
    </row>
    <row r="3" spans="1:74" ht="14.4" x14ac:dyDescent="0.3">
      <c r="A3" s="520"/>
      <c r="B3" s="519"/>
      <c r="C3" s="527"/>
      <c r="D3" s="527"/>
      <c r="E3" s="519"/>
      <c r="F3" s="519"/>
      <c r="G3" s="522"/>
      <c r="H3" s="551"/>
      <c r="I3" s="551"/>
      <c r="J3" s="551"/>
      <c r="K3" s="551"/>
      <c r="L3" s="551"/>
      <c r="M3" s="552"/>
    </row>
    <row r="4" spans="1:74" ht="15" customHeight="1" x14ac:dyDescent="0.3">
      <c r="A4" s="518" t="s">
        <v>115</v>
      </c>
      <c r="B4" s="519"/>
      <c r="C4" s="521" t="s">
        <v>102</v>
      </c>
      <c r="D4" s="519"/>
      <c r="E4" s="519" t="s">
        <v>116</v>
      </c>
      <c r="F4" s="519"/>
      <c r="G4" s="522" t="s">
        <v>1156</v>
      </c>
      <c r="H4" s="551" t="s">
        <v>458</v>
      </c>
      <c r="I4" s="551" t="s">
        <v>1157</v>
      </c>
      <c r="J4" s="551"/>
      <c r="K4" s="551"/>
      <c r="L4" s="551"/>
      <c r="M4" s="552"/>
    </row>
    <row r="5" spans="1:74" ht="14.4" x14ac:dyDescent="0.3">
      <c r="A5" s="520"/>
      <c r="B5" s="519"/>
      <c r="C5" s="519"/>
      <c r="D5" s="519"/>
      <c r="E5" s="519"/>
      <c r="F5" s="519"/>
      <c r="G5" s="522"/>
      <c r="H5" s="551"/>
      <c r="I5" s="551"/>
      <c r="J5" s="551"/>
      <c r="K5" s="551"/>
      <c r="L5" s="551"/>
      <c r="M5" s="552"/>
    </row>
    <row r="6" spans="1:74" ht="15" customHeight="1" x14ac:dyDescent="0.3">
      <c r="A6" s="518" t="s">
        <v>117</v>
      </c>
      <c r="B6" s="519"/>
      <c r="C6" s="521" t="s">
        <v>118</v>
      </c>
      <c r="D6" s="519"/>
      <c r="E6" s="519" t="s">
        <v>119</v>
      </c>
      <c r="F6" s="519"/>
      <c r="G6" s="522" t="s">
        <v>1156</v>
      </c>
      <c r="H6" s="551" t="s">
        <v>460</v>
      </c>
      <c r="I6" s="551" t="s">
        <v>461</v>
      </c>
      <c r="J6" s="551"/>
      <c r="K6" s="551"/>
      <c r="L6" s="551"/>
      <c r="M6" s="552"/>
    </row>
    <row r="7" spans="1:74" ht="14.4" x14ac:dyDescent="0.3">
      <c r="A7" s="520"/>
      <c r="B7" s="519"/>
      <c r="C7" s="519"/>
      <c r="D7" s="519"/>
      <c r="E7" s="519"/>
      <c r="F7" s="519"/>
      <c r="G7" s="522"/>
      <c r="H7" s="551"/>
      <c r="I7" s="551"/>
      <c r="J7" s="551"/>
      <c r="K7" s="551"/>
      <c r="L7" s="551"/>
      <c r="M7" s="552"/>
    </row>
    <row r="8" spans="1:74" ht="15" customHeight="1" x14ac:dyDescent="0.3">
      <c r="A8" s="518" t="s">
        <v>120</v>
      </c>
      <c r="B8" s="519"/>
      <c r="C8" s="521" t="s">
        <v>121</v>
      </c>
      <c r="D8" s="519"/>
      <c r="E8" s="519" t="s">
        <v>122</v>
      </c>
      <c r="F8" s="519"/>
      <c r="G8" s="522" t="s">
        <v>1155</v>
      </c>
      <c r="H8" s="551" t="s">
        <v>462</v>
      </c>
      <c r="I8" s="551" t="s">
        <v>1158</v>
      </c>
      <c r="J8" s="551"/>
      <c r="K8" s="551"/>
      <c r="L8" s="551"/>
      <c r="M8" s="552"/>
    </row>
    <row r="9" spans="1:74" thickBot="1" x14ac:dyDescent="0.35">
      <c r="A9" s="607"/>
      <c r="B9" s="533"/>
      <c r="C9" s="533"/>
      <c r="D9" s="533"/>
      <c r="E9" s="533"/>
      <c r="F9" s="533"/>
      <c r="G9" s="534"/>
      <c r="H9" s="553"/>
      <c r="I9" s="553"/>
      <c r="J9" s="553"/>
      <c r="K9" s="553"/>
      <c r="L9" s="553"/>
      <c r="M9" s="554"/>
    </row>
    <row r="10" spans="1:74" ht="14.4" x14ac:dyDescent="0.3">
      <c r="A10" s="246" t="s">
        <v>123</v>
      </c>
      <c r="B10" s="247" t="s">
        <v>124</v>
      </c>
      <c r="C10" s="555" t="s">
        <v>125</v>
      </c>
      <c r="D10" s="556"/>
      <c r="E10" s="247" t="s">
        <v>126</v>
      </c>
      <c r="F10" s="248" t="s">
        <v>127</v>
      </c>
      <c r="G10" s="249" t="s">
        <v>128</v>
      </c>
      <c r="H10" s="557" t="s">
        <v>129</v>
      </c>
      <c r="I10" s="558"/>
      <c r="J10" s="559"/>
      <c r="K10" s="558" t="s">
        <v>130</v>
      </c>
      <c r="L10" s="558"/>
      <c r="M10" s="250" t="s">
        <v>131</v>
      </c>
      <c r="BI10" s="229" t="s">
        <v>132</v>
      </c>
      <c r="BJ10" s="230" t="s">
        <v>133</v>
      </c>
      <c r="BU10" s="230" t="s">
        <v>134</v>
      </c>
    </row>
    <row r="11" spans="1:74" thickBot="1" x14ac:dyDescent="0.35">
      <c r="A11" s="251" t="s">
        <v>114</v>
      </c>
      <c r="B11" s="252" t="s">
        <v>114</v>
      </c>
      <c r="C11" s="528" t="s">
        <v>135</v>
      </c>
      <c r="D11" s="529"/>
      <c r="E11" s="252" t="s">
        <v>114</v>
      </c>
      <c r="F11" s="252" t="s">
        <v>114</v>
      </c>
      <c r="G11" s="253" t="s">
        <v>136</v>
      </c>
      <c r="H11" s="254" t="s">
        <v>137</v>
      </c>
      <c r="I11" s="255" t="s">
        <v>138</v>
      </c>
      <c r="J11" s="256" t="s">
        <v>139</v>
      </c>
      <c r="K11" s="255" t="s">
        <v>140</v>
      </c>
      <c r="L11" s="253" t="s">
        <v>139</v>
      </c>
      <c r="M11" s="257" t="s">
        <v>141</v>
      </c>
      <c r="X11" s="229" t="s">
        <v>142</v>
      </c>
      <c r="Y11" s="229" t="s">
        <v>143</v>
      </c>
      <c r="Z11" s="229" t="s">
        <v>144</v>
      </c>
      <c r="AA11" s="229" t="s">
        <v>145</v>
      </c>
      <c r="AB11" s="229" t="s">
        <v>146</v>
      </c>
      <c r="AC11" s="229" t="s">
        <v>147</v>
      </c>
      <c r="AD11" s="229" t="s">
        <v>148</v>
      </c>
      <c r="AE11" s="229" t="s">
        <v>149</v>
      </c>
      <c r="AF11" s="229" t="s">
        <v>150</v>
      </c>
      <c r="BF11" s="229" t="s">
        <v>151</v>
      </c>
      <c r="BG11" s="229" t="s">
        <v>152</v>
      </c>
      <c r="BH11" s="229" t="s">
        <v>153</v>
      </c>
    </row>
    <row r="12" spans="1:74" ht="14.4" x14ac:dyDescent="0.3">
      <c r="A12" s="239" t="s">
        <v>154</v>
      </c>
      <c r="B12" s="224" t="s">
        <v>155</v>
      </c>
      <c r="C12" s="526" t="s">
        <v>156</v>
      </c>
      <c r="D12" s="527"/>
      <c r="E12" s="223" t="s">
        <v>114</v>
      </c>
      <c r="F12" s="223" t="s">
        <v>114</v>
      </c>
      <c r="G12" s="223" t="s">
        <v>114</v>
      </c>
      <c r="H12" s="235">
        <f>SUM(H13:H27)</f>
        <v>0</v>
      </c>
      <c r="I12" s="235">
        <f>SUM(I13:I27)</f>
        <v>0</v>
      </c>
      <c r="J12" s="235">
        <f>SUM(J13:J27)</f>
        <v>0</v>
      </c>
      <c r="K12" s="230" t="s">
        <v>154</v>
      </c>
      <c r="L12" s="235">
        <f>SUM(L13:L27)</f>
        <v>113.33087280000001</v>
      </c>
      <c r="M12" s="243" t="s">
        <v>154</v>
      </c>
      <c r="AG12" s="229" t="s">
        <v>154</v>
      </c>
      <c r="AQ12" s="222">
        <f>SUM(AH13:AH27)</f>
        <v>0</v>
      </c>
      <c r="AR12" s="222">
        <f>SUM(AI13:AI27)</f>
        <v>0</v>
      </c>
      <c r="AS12" s="222">
        <f>SUM(AJ13:AJ27)</f>
        <v>0</v>
      </c>
    </row>
    <row r="13" spans="1:74" ht="14.4" x14ac:dyDescent="0.3">
      <c r="A13" s="239" t="s">
        <v>157</v>
      </c>
      <c r="B13" s="223" t="s">
        <v>158</v>
      </c>
      <c r="C13" s="521" t="s">
        <v>159</v>
      </c>
      <c r="D13" s="519"/>
      <c r="E13" s="223" t="s">
        <v>160</v>
      </c>
      <c r="F13" s="233">
        <v>26.62</v>
      </c>
      <c r="G13" s="311">
        <v>0</v>
      </c>
      <c r="H13" s="233">
        <f>F13*AM13</f>
        <v>0</v>
      </c>
      <c r="I13" s="233">
        <f>F13*AN13</f>
        <v>0</v>
      </c>
      <c r="J13" s="233">
        <f>F13*G13</f>
        <v>0</v>
      </c>
      <c r="K13" s="233">
        <v>2.478E-2</v>
      </c>
      <c r="L13" s="233">
        <f>F13*K13</f>
        <v>0.6596436</v>
      </c>
      <c r="M13" s="240" t="s">
        <v>472</v>
      </c>
      <c r="X13" s="233">
        <f>IF(AO13="5",BH13,0)</f>
        <v>0</v>
      </c>
      <c r="Z13" s="233">
        <f>IF(AO13="1",BF13,0)</f>
        <v>0</v>
      </c>
      <c r="AA13" s="233">
        <f>IF(AO13="1",BG13,0)</f>
        <v>0</v>
      </c>
      <c r="AB13" s="233">
        <f>IF(AO13="7",BF13,0)</f>
        <v>0</v>
      </c>
      <c r="AC13" s="233">
        <f>IF(AO13="7",BG13,0)</f>
        <v>0</v>
      </c>
      <c r="AD13" s="233">
        <f>IF(AO13="2",BF13,0)</f>
        <v>0</v>
      </c>
      <c r="AE13" s="233">
        <f>IF(AO13="2",BG13,0)</f>
        <v>0</v>
      </c>
      <c r="AF13" s="233">
        <f>IF(AO13="0",BH13,0)</f>
        <v>0</v>
      </c>
      <c r="AG13" s="229" t="s">
        <v>154</v>
      </c>
      <c r="AH13" s="233">
        <f>IF(AL13=0,J13,0)</f>
        <v>0</v>
      </c>
      <c r="AI13" s="233">
        <f>IF(AL13=15,J13,0)</f>
        <v>0</v>
      </c>
      <c r="AJ13" s="233">
        <f>IF(AL13=21,J13,0)</f>
        <v>0</v>
      </c>
      <c r="AL13" s="233">
        <v>15</v>
      </c>
      <c r="AM13" s="233">
        <f>G13*0.071410367</f>
        <v>0</v>
      </c>
      <c r="AN13" s="233">
        <f>G13*(1-0.071410367)</f>
        <v>0</v>
      </c>
      <c r="AO13" s="234" t="s">
        <v>157</v>
      </c>
      <c r="AT13" s="233">
        <f>AU13+AV13</f>
        <v>0</v>
      </c>
      <c r="AU13" s="233">
        <f>F13*AM13</f>
        <v>0</v>
      </c>
      <c r="AV13" s="233">
        <f>F13*AN13</f>
        <v>0</v>
      </c>
      <c r="AW13" s="234" t="s">
        <v>162</v>
      </c>
      <c r="AX13" s="234" t="s">
        <v>163</v>
      </c>
      <c r="AY13" s="229" t="s">
        <v>164</v>
      </c>
      <c r="BA13" s="233">
        <f>AU13+AV13</f>
        <v>0</v>
      </c>
      <c r="BB13" s="233">
        <f>G13/(100-BC13)*100</f>
        <v>0</v>
      </c>
      <c r="BC13" s="233">
        <v>0</v>
      </c>
      <c r="BD13" s="233">
        <f>L13</f>
        <v>0.6596436</v>
      </c>
      <c r="BF13" s="233">
        <f>F13*AM13</f>
        <v>0</v>
      </c>
      <c r="BG13" s="233">
        <f>F13*AN13</f>
        <v>0</v>
      </c>
      <c r="BH13" s="233">
        <f>F13*G13</f>
        <v>0</v>
      </c>
      <c r="BI13" s="233"/>
      <c r="BJ13" s="233">
        <v>11</v>
      </c>
      <c r="BU13" s="233" t="e">
        <f>#REF!</f>
        <v>#REF!</v>
      </c>
      <c r="BV13" s="225" t="s">
        <v>159</v>
      </c>
    </row>
    <row r="14" spans="1:74" ht="40.5" customHeight="1" x14ac:dyDescent="0.3">
      <c r="A14" s="241"/>
      <c r="B14" s="242" t="s">
        <v>165</v>
      </c>
      <c r="C14" s="530" t="s">
        <v>2044</v>
      </c>
      <c r="D14" s="531"/>
      <c r="E14" s="531"/>
      <c r="F14" s="531"/>
      <c r="G14" s="531"/>
      <c r="H14" s="531"/>
      <c r="I14" s="531"/>
      <c r="J14" s="531"/>
      <c r="K14" s="531"/>
      <c r="L14" s="531"/>
      <c r="M14" s="532"/>
    </row>
    <row r="15" spans="1:74" ht="14.4" x14ac:dyDescent="0.3">
      <c r="A15" s="239" t="s">
        <v>166</v>
      </c>
      <c r="B15" s="223" t="s">
        <v>167</v>
      </c>
      <c r="C15" s="521" t="s">
        <v>168</v>
      </c>
      <c r="D15" s="519"/>
      <c r="E15" s="223" t="s">
        <v>160</v>
      </c>
      <c r="F15" s="233">
        <v>25.7</v>
      </c>
      <c r="G15" s="311">
        <v>0</v>
      </c>
      <c r="H15" s="233">
        <f>F15*AM15</f>
        <v>0</v>
      </c>
      <c r="I15" s="233">
        <f>F15*AN15</f>
        <v>0</v>
      </c>
      <c r="J15" s="233">
        <f>F15*G15</f>
        <v>0</v>
      </c>
      <c r="K15" s="233">
        <v>8.6899999999999998E-3</v>
      </c>
      <c r="L15" s="233">
        <f>F15*K15</f>
        <v>0.22333299999999998</v>
      </c>
      <c r="M15" s="240" t="s">
        <v>472</v>
      </c>
      <c r="X15" s="233">
        <f>IF(AO15="5",BH15,0)</f>
        <v>0</v>
      </c>
      <c r="Z15" s="233">
        <f>IF(AO15="1",BF15,0)</f>
        <v>0</v>
      </c>
      <c r="AA15" s="233">
        <f>IF(AO15="1",BG15,0)</f>
        <v>0</v>
      </c>
      <c r="AB15" s="233">
        <f>IF(AO15="7",BF15,0)</f>
        <v>0</v>
      </c>
      <c r="AC15" s="233">
        <f>IF(AO15="7",BG15,0)</f>
        <v>0</v>
      </c>
      <c r="AD15" s="233">
        <f>IF(AO15="2",BF15,0)</f>
        <v>0</v>
      </c>
      <c r="AE15" s="233">
        <f>IF(AO15="2",BG15,0)</f>
        <v>0</v>
      </c>
      <c r="AF15" s="233">
        <f>IF(AO15="0",BH15,0)</f>
        <v>0</v>
      </c>
      <c r="AG15" s="229" t="s">
        <v>154</v>
      </c>
      <c r="AH15" s="233">
        <f>IF(AL15=0,J15,0)</f>
        <v>0</v>
      </c>
      <c r="AI15" s="233">
        <f>IF(AL15=15,J15,0)</f>
        <v>0</v>
      </c>
      <c r="AJ15" s="233">
        <f>IF(AL15=21,J15,0)</f>
        <v>0</v>
      </c>
      <c r="AL15" s="233">
        <v>15</v>
      </c>
      <c r="AM15" s="233">
        <f>G15*0.063874284</f>
        <v>0</v>
      </c>
      <c r="AN15" s="233">
        <f>G15*(1-0.063874284)</f>
        <v>0</v>
      </c>
      <c r="AO15" s="234" t="s">
        <v>157</v>
      </c>
      <c r="AT15" s="233">
        <f>AU15+AV15</f>
        <v>0</v>
      </c>
      <c r="AU15" s="233">
        <f>F15*AM15</f>
        <v>0</v>
      </c>
      <c r="AV15" s="233">
        <f>F15*AN15</f>
        <v>0</v>
      </c>
      <c r="AW15" s="234" t="s">
        <v>162</v>
      </c>
      <c r="AX15" s="234" t="s">
        <v>163</v>
      </c>
      <c r="AY15" s="229" t="s">
        <v>164</v>
      </c>
      <c r="BA15" s="233">
        <f>AU15+AV15</f>
        <v>0</v>
      </c>
      <c r="BB15" s="233">
        <f>G15/(100-BC15)*100</f>
        <v>0</v>
      </c>
      <c r="BC15" s="233">
        <v>0</v>
      </c>
      <c r="BD15" s="233">
        <f>L15</f>
        <v>0.22333299999999998</v>
      </c>
      <c r="BF15" s="233">
        <f>F15*AM15</f>
        <v>0</v>
      </c>
      <c r="BG15" s="233">
        <f>F15*AN15</f>
        <v>0</v>
      </c>
      <c r="BH15" s="233">
        <f>F15*G15</f>
        <v>0</v>
      </c>
      <c r="BI15" s="233"/>
      <c r="BJ15" s="233">
        <v>11</v>
      </c>
      <c r="BU15" s="233" t="e">
        <f>#REF!</f>
        <v>#REF!</v>
      </c>
      <c r="BV15" s="225" t="s">
        <v>168</v>
      </c>
    </row>
    <row r="16" spans="1:74" ht="40.5" customHeight="1" x14ac:dyDescent="0.3">
      <c r="A16" s="241"/>
      <c r="B16" s="242" t="s">
        <v>165</v>
      </c>
      <c r="C16" s="530" t="s">
        <v>2045</v>
      </c>
      <c r="D16" s="531"/>
      <c r="E16" s="531"/>
      <c r="F16" s="531"/>
      <c r="G16" s="531"/>
      <c r="H16" s="531"/>
      <c r="I16" s="531"/>
      <c r="J16" s="531"/>
      <c r="K16" s="531"/>
      <c r="L16" s="531"/>
      <c r="M16" s="532"/>
    </row>
    <row r="17" spans="1:74" ht="14.4" x14ac:dyDescent="0.3">
      <c r="A17" s="239" t="s">
        <v>169</v>
      </c>
      <c r="B17" s="223" t="s">
        <v>170</v>
      </c>
      <c r="C17" s="521" t="s">
        <v>171</v>
      </c>
      <c r="D17" s="519"/>
      <c r="E17" s="223" t="s">
        <v>172</v>
      </c>
      <c r="F17" s="233">
        <v>80</v>
      </c>
      <c r="G17" s="311">
        <v>0</v>
      </c>
      <c r="H17" s="233">
        <f>F17*AM17</f>
        <v>0</v>
      </c>
      <c r="I17" s="233">
        <f>F17*AN17</f>
        <v>0</v>
      </c>
      <c r="J17" s="233">
        <f>F17*G17</f>
        <v>0</v>
      </c>
      <c r="K17" s="233">
        <v>0</v>
      </c>
      <c r="L17" s="233">
        <f>F17*K17</f>
        <v>0</v>
      </c>
      <c r="M17" s="240" t="s">
        <v>472</v>
      </c>
      <c r="X17" s="233">
        <f>IF(AO17="5",BH17,0)</f>
        <v>0</v>
      </c>
      <c r="Z17" s="233">
        <f>IF(AO17="1",BF17,0)</f>
        <v>0</v>
      </c>
      <c r="AA17" s="233">
        <f>IF(AO17="1",BG17,0)</f>
        <v>0</v>
      </c>
      <c r="AB17" s="233">
        <f>IF(AO17="7",BF17,0)</f>
        <v>0</v>
      </c>
      <c r="AC17" s="233">
        <f>IF(AO17="7",BG17,0)</f>
        <v>0</v>
      </c>
      <c r="AD17" s="233">
        <f>IF(AO17="2",BF17,0)</f>
        <v>0</v>
      </c>
      <c r="AE17" s="233">
        <f>IF(AO17="2",BG17,0)</f>
        <v>0</v>
      </c>
      <c r="AF17" s="233">
        <f>IF(AO17="0",BH17,0)</f>
        <v>0</v>
      </c>
      <c r="AG17" s="229" t="s">
        <v>154</v>
      </c>
      <c r="AH17" s="233">
        <f>IF(AL17=0,J17,0)</f>
        <v>0</v>
      </c>
      <c r="AI17" s="233">
        <f>IF(AL17=15,J17,0)</f>
        <v>0</v>
      </c>
      <c r="AJ17" s="233">
        <f>IF(AL17=21,J17,0)</f>
        <v>0</v>
      </c>
      <c r="AL17" s="233">
        <v>15</v>
      </c>
      <c r="AM17" s="233">
        <f>G17*0</f>
        <v>0</v>
      </c>
      <c r="AN17" s="233">
        <f>G17*(1-0)</f>
        <v>0</v>
      </c>
      <c r="AO17" s="234" t="s">
        <v>157</v>
      </c>
      <c r="AT17" s="233">
        <f>AU17+AV17</f>
        <v>0</v>
      </c>
      <c r="AU17" s="233">
        <f>F17*AM17</f>
        <v>0</v>
      </c>
      <c r="AV17" s="233">
        <f>F17*AN17</f>
        <v>0</v>
      </c>
      <c r="AW17" s="234" t="s">
        <v>162</v>
      </c>
      <c r="AX17" s="234" t="s">
        <v>163</v>
      </c>
      <c r="AY17" s="229" t="s">
        <v>164</v>
      </c>
      <c r="BA17" s="233">
        <f>AU17+AV17</f>
        <v>0</v>
      </c>
      <c r="BB17" s="233">
        <f>G17/(100-BC17)*100</f>
        <v>0</v>
      </c>
      <c r="BC17" s="233">
        <v>0</v>
      </c>
      <c r="BD17" s="233">
        <f>L17</f>
        <v>0</v>
      </c>
      <c r="BF17" s="233">
        <f>F17*AM17</f>
        <v>0</v>
      </c>
      <c r="BG17" s="233">
        <f>F17*AN17</f>
        <v>0</v>
      </c>
      <c r="BH17" s="233">
        <f>F17*G17</f>
        <v>0</v>
      </c>
      <c r="BI17" s="233"/>
      <c r="BJ17" s="233">
        <v>11</v>
      </c>
      <c r="BU17" s="233" t="e">
        <f>#REF!</f>
        <v>#REF!</v>
      </c>
      <c r="BV17" s="225" t="s">
        <v>171</v>
      </c>
    </row>
    <row r="18" spans="1:74" ht="40.5" customHeight="1" x14ac:dyDescent="0.3">
      <c r="A18" s="241"/>
      <c r="B18" s="242" t="s">
        <v>165</v>
      </c>
      <c r="C18" s="530" t="s">
        <v>1828</v>
      </c>
      <c r="D18" s="531"/>
      <c r="E18" s="531"/>
      <c r="F18" s="531"/>
      <c r="G18" s="531"/>
      <c r="H18" s="531"/>
      <c r="I18" s="531"/>
      <c r="J18" s="531"/>
      <c r="K18" s="531"/>
      <c r="L18" s="531"/>
      <c r="M18" s="532"/>
    </row>
    <row r="19" spans="1:74" ht="14.4" x14ac:dyDescent="0.3">
      <c r="A19" s="239" t="s">
        <v>173</v>
      </c>
      <c r="B19" s="223" t="s">
        <v>174</v>
      </c>
      <c r="C19" s="521" t="s">
        <v>175</v>
      </c>
      <c r="D19" s="519"/>
      <c r="E19" s="223" t="s">
        <v>176</v>
      </c>
      <c r="F19" s="233">
        <v>10</v>
      </c>
      <c r="G19" s="311">
        <v>0</v>
      </c>
      <c r="H19" s="233">
        <f>F19*AM19</f>
        <v>0</v>
      </c>
      <c r="I19" s="233">
        <f>F19*AN19</f>
        <v>0</v>
      </c>
      <c r="J19" s="233">
        <f>F19*G19</f>
        <v>0</v>
      </c>
      <c r="K19" s="233">
        <v>0</v>
      </c>
      <c r="L19" s="233">
        <f>F19*K19</f>
        <v>0</v>
      </c>
      <c r="M19" s="240" t="s">
        <v>472</v>
      </c>
      <c r="X19" s="233">
        <f>IF(AO19="5",BH19,0)</f>
        <v>0</v>
      </c>
      <c r="Z19" s="233">
        <f>IF(AO19="1",BF19,0)</f>
        <v>0</v>
      </c>
      <c r="AA19" s="233">
        <f>IF(AO19="1",BG19,0)</f>
        <v>0</v>
      </c>
      <c r="AB19" s="233">
        <f>IF(AO19="7",BF19,0)</f>
        <v>0</v>
      </c>
      <c r="AC19" s="233">
        <f>IF(AO19="7",BG19,0)</f>
        <v>0</v>
      </c>
      <c r="AD19" s="233">
        <f>IF(AO19="2",BF19,0)</f>
        <v>0</v>
      </c>
      <c r="AE19" s="233">
        <f>IF(AO19="2",BG19,0)</f>
        <v>0</v>
      </c>
      <c r="AF19" s="233">
        <f>IF(AO19="0",BH19,0)</f>
        <v>0</v>
      </c>
      <c r="AG19" s="229" t="s">
        <v>154</v>
      </c>
      <c r="AH19" s="233">
        <f>IF(AL19=0,J19,0)</f>
        <v>0</v>
      </c>
      <c r="AI19" s="233">
        <f>IF(AL19=15,J19,0)</f>
        <v>0</v>
      </c>
      <c r="AJ19" s="233">
        <f>IF(AL19=21,J19,0)</f>
        <v>0</v>
      </c>
      <c r="AL19" s="233">
        <v>15</v>
      </c>
      <c r="AM19" s="233">
        <f>G19*0</f>
        <v>0</v>
      </c>
      <c r="AN19" s="233">
        <f>G19*(1-0)</f>
        <v>0</v>
      </c>
      <c r="AO19" s="234" t="s">
        <v>157</v>
      </c>
      <c r="AT19" s="233">
        <f>AU19+AV19</f>
        <v>0</v>
      </c>
      <c r="AU19" s="233">
        <f>F19*AM19</f>
        <v>0</v>
      </c>
      <c r="AV19" s="233">
        <f>F19*AN19</f>
        <v>0</v>
      </c>
      <c r="AW19" s="234" t="s">
        <v>162</v>
      </c>
      <c r="AX19" s="234" t="s">
        <v>163</v>
      </c>
      <c r="AY19" s="229" t="s">
        <v>164</v>
      </c>
      <c r="BA19" s="233">
        <f>AU19+AV19</f>
        <v>0</v>
      </c>
      <c r="BB19" s="233">
        <f>G19/(100-BC19)*100</f>
        <v>0</v>
      </c>
      <c r="BC19" s="233">
        <v>0</v>
      </c>
      <c r="BD19" s="233">
        <f>L19</f>
        <v>0</v>
      </c>
      <c r="BF19" s="233">
        <f>F19*AM19</f>
        <v>0</v>
      </c>
      <c r="BG19" s="233">
        <f>F19*AN19</f>
        <v>0</v>
      </c>
      <c r="BH19" s="233">
        <f>F19*G19</f>
        <v>0</v>
      </c>
      <c r="BI19" s="233"/>
      <c r="BJ19" s="233">
        <v>11</v>
      </c>
      <c r="BU19" s="233" t="e">
        <f>#REF!</f>
        <v>#REF!</v>
      </c>
      <c r="BV19" s="225" t="s">
        <v>175</v>
      </c>
    </row>
    <row r="20" spans="1:74" ht="40.5" customHeight="1" x14ac:dyDescent="0.3">
      <c r="A20" s="241"/>
      <c r="B20" s="242" t="s">
        <v>165</v>
      </c>
      <c r="C20" s="530" t="s">
        <v>1539</v>
      </c>
      <c r="D20" s="531"/>
      <c r="E20" s="531"/>
      <c r="F20" s="531"/>
      <c r="G20" s="531"/>
      <c r="H20" s="531"/>
      <c r="I20" s="531"/>
      <c r="J20" s="531"/>
      <c r="K20" s="531"/>
      <c r="L20" s="531"/>
      <c r="M20" s="532"/>
    </row>
    <row r="21" spans="1:74" ht="14.4" x14ac:dyDescent="0.3">
      <c r="A21" s="239" t="s">
        <v>177</v>
      </c>
      <c r="B21" s="223" t="s">
        <v>178</v>
      </c>
      <c r="C21" s="521" t="s">
        <v>179</v>
      </c>
      <c r="D21" s="519"/>
      <c r="E21" s="223" t="s">
        <v>180</v>
      </c>
      <c r="F21" s="233">
        <v>79.52</v>
      </c>
      <c r="G21" s="311">
        <v>0</v>
      </c>
      <c r="H21" s="233">
        <f>F21*AM21</f>
        <v>0</v>
      </c>
      <c r="I21" s="233">
        <f>F21*AN21</f>
        <v>0</v>
      </c>
      <c r="J21" s="233">
        <f>F21*G21</f>
        <v>0</v>
      </c>
      <c r="K21" s="233">
        <v>0.90051000000000003</v>
      </c>
      <c r="L21" s="233">
        <f>F21*K21</f>
        <v>71.608555199999998</v>
      </c>
      <c r="M21" s="240" t="s">
        <v>472</v>
      </c>
      <c r="X21" s="233">
        <f>IF(AO21="5",BH21,0)</f>
        <v>0</v>
      </c>
      <c r="Z21" s="233">
        <f>IF(AO21="1",BF21,0)</f>
        <v>0</v>
      </c>
      <c r="AA21" s="233">
        <f>IF(AO21="1",BG21,0)</f>
        <v>0</v>
      </c>
      <c r="AB21" s="233">
        <f>IF(AO21="7",BF21,0)</f>
        <v>0</v>
      </c>
      <c r="AC21" s="233">
        <f>IF(AO21="7",BG21,0)</f>
        <v>0</v>
      </c>
      <c r="AD21" s="233">
        <f>IF(AO21="2",BF21,0)</f>
        <v>0</v>
      </c>
      <c r="AE21" s="233">
        <f>IF(AO21="2",BG21,0)</f>
        <v>0</v>
      </c>
      <c r="AF21" s="233">
        <f>IF(AO21="0",BH21,0)</f>
        <v>0</v>
      </c>
      <c r="AG21" s="229" t="s">
        <v>154</v>
      </c>
      <c r="AH21" s="233">
        <f>IF(AL21=0,J21,0)</f>
        <v>0</v>
      </c>
      <c r="AI21" s="233">
        <f>IF(AL21=15,J21,0)</f>
        <v>0</v>
      </c>
      <c r="AJ21" s="233">
        <f>IF(AL21=21,J21,0)</f>
        <v>0</v>
      </c>
      <c r="AL21" s="233">
        <v>15</v>
      </c>
      <c r="AM21" s="233">
        <f>G21*0.022141033</f>
        <v>0</v>
      </c>
      <c r="AN21" s="233">
        <f>G21*(1-0.022141033)</f>
        <v>0</v>
      </c>
      <c r="AO21" s="234" t="s">
        <v>157</v>
      </c>
      <c r="AT21" s="233">
        <f>AU21+AV21</f>
        <v>0</v>
      </c>
      <c r="AU21" s="233">
        <f>F21*AM21</f>
        <v>0</v>
      </c>
      <c r="AV21" s="233">
        <f>F21*AN21</f>
        <v>0</v>
      </c>
      <c r="AW21" s="234" t="s">
        <v>162</v>
      </c>
      <c r="AX21" s="234" t="s">
        <v>163</v>
      </c>
      <c r="AY21" s="229" t="s">
        <v>164</v>
      </c>
      <c r="BA21" s="233">
        <f>AU21+AV21</f>
        <v>0</v>
      </c>
      <c r="BB21" s="233">
        <f>G21/(100-BC21)*100</f>
        <v>0</v>
      </c>
      <c r="BC21" s="233">
        <v>0</v>
      </c>
      <c r="BD21" s="233">
        <f>L21</f>
        <v>71.608555199999998</v>
      </c>
      <c r="BF21" s="233">
        <f>F21*AM21</f>
        <v>0</v>
      </c>
      <c r="BG21" s="233">
        <f>F21*AN21</f>
        <v>0</v>
      </c>
      <c r="BH21" s="233">
        <f>F21*G21</f>
        <v>0</v>
      </c>
      <c r="BI21" s="233"/>
      <c r="BJ21" s="233">
        <v>11</v>
      </c>
      <c r="BU21" s="233" t="e">
        <f>#REF!</f>
        <v>#REF!</v>
      </c>
      <c r="BV21" s="225" t="s">
        <v>179</v>
      </c>
    </row>
    <row r="22" spans="1:74" ht="162" customHeight="1" x14ac:dyDescent="0.3">
      <c r="A22" s="241"/>
      <c r="B22" s="242" t="s">
        <v>165</v>
      </c>
      <c r="C22" s="530" t="s">
        <v>2046</v>
      </c>
      <c r="D22" s="531"/>
      <c r="E22" s="531"/>
      <c r="F22" s="531"/>
      <c r="G22" s="531"/>
      <c r="H22" s="531"/>
      <c r="I22" s="531"/>
      <c r="J22" s="531"/>
      <c r="K22" s="531"/>
      <c r="L22" s="531"/>
      <c r="M22" s="532"/>
    </row>
    <row r="23" spans="1:74" ht="14.4" x14ac:dyDescent="0.3">
      <c r="A23" s="239" t="s">
        <v>181</v>
      </c>
      <c r="B23" s="223" t="s">
        <v>182</v>
      </c>
      <c r="C23" s="521" t="s">
        <v>183</v>
      </c>
      <c r="D23" s="519"/>
      <c r="E23" s="223" t="s">
        <v>180</v>
      </c>
      <c r="F23" s="233">
        <v>6.91</v>
      </c>
      <c r="G23" s="311">
        <v>0</v>
      </c>
      <c r="H23" s="233">
        <f>F23*AM23</f>
        <v>0</v>
      </c>
      <c r="I23" s="233">
        <f>F23*AN23</f>
        <v>0</v>
      </c>
      <c r="J23" s="233">
        <f>F23*G23</f>
        <v>0</v>
      </c>
      <c r="K23" s="233">
        <v>0.90010000000000001</v>
      </c>
      <c r="L23" s="233">
        <f>F23*K23</f>
        <v>6.2196910000000001</v>
      </c>
      <c r="M23" s="240" t="s">
        <v>472</v>
      </c>
      <c r="X23" s="233">
        <f>IF(AO23="5",BH23,0)</f>
        <v>0</v>
      </c>
      <c r="Z23" s="233">
        <f>IF(AO23="1",BF23,0)</f>
        <v>0</v>
      </c>
      <c r="AA23" s="233">
        <f>IF(AO23="1",BG23,0)</f>
        <v>0</v>
      </c>
      <c r="AB23" s="233">
        <f>IF(AO23="7",BF23,0)</f>
        <v>0</v>
      </c>
      <c r="AC23" s="233">
        <f>IF(AO23="7",BG23,0)</f>
        <v>0</v>
      </c>
      <c r="AD23" s="233">
        <f>IF(AO23="2",BF23,0)</f>
        <v>0</v>
      </c>
      <c r="AE23" s="233">
        <f>IF(AO23="2",BG23,0)</f>
        <v>0</v>
      </c>
      <c r="AF23" s="233">
        <f>IF(AO23="0",BH23,0)</f>
        <v>0</v>
      </c>
      <c r="AG23" s="229" t="s">
        <v>154</v>
      </c>
      <c r="AH23" s="233">
        <f>IF(AL23=0,J23,0)</f>
        <v>0</v>
      </c>
      <c r="AI23" s="233">
        <f>IF(AL23=15,J23,0)</f>
        <v>0</v>
      </c>
      <c r="AJ23" s="233">
        <f>IF(AL23=21,J23,0)</f>
        <v>0</v>
      </c>
      <c r="AL23" s="233">
        <v>15</v>
      </c>
      <c r="AM23" s="233">
        <f>G23*0.006693245</f>
        <v>0</v>
      </c>
      <c r="AN23" s="233">
        <f>G23*(1-0.006693245)</f>
        <v>0</v>
      </c>
      <c r="AO23" s="234" t="s">
        <v>157</v>
      </c>
      <c r="AT23" s="233">
        <f>AU23+AV23</f>
        <v>0</v>
      </c>
      <c r="AU23" s="233">
        <f>F23*AM23</f>
        <v>0</v>
      </c>
      <c r="AV23" s="233">
        <f>F23*AN23</f>
        <v>0</v>
      </c>
      <c r="AW23" s="234" t="s">
        <v>162</v>
      </c>
      <c r="AX23" s="234" t="s">
        <v>163</v>
      </c>
      <c r="AY23" s="229" t="s">
        <v>164</v>
      </c>
      <c r="BA23" s="233">
        <f>AU23+AV23</f>
        <v>0</v>
      </c>
      <c r="BB23" s="233">
        <f>G23/(100-BC23)*100</f>
        <v>0</v>
      </c>
      <c r="BC23" s="233">
        <v>0</v>
      </c>
      <c r="BD23" s="233">
        <f>L23</f>
        <v>6.2196910000000001</v>
      </c>
      <c r="BF23" s="233">
        <f>F23*AM23</f>
        <v>0</v>
      </c>
      <c r="BG23" s="233">
        <f>F23*AN23</f>
        <v>0</v>
      </c>
      <c r="BH23" s="233">
        <f>F23*G23</f>
        <v>0</v>
      </c>
      <c r="BI23" s="233"/>
      <c r="BJ23" s="233">
        <v>11</v>
      </c>
      <c r="BU23" s="233" t="e">
        <f>#REF!</f>
        <v>#REF!</v>
      </c>
      <c r="BV23" s="225" t="s">
        <v>183</v>
      </c>
    </row>
    <row r="24" spans="1:74" ht="162" customHeight="1" x14ac:dyDescent="0.3">
      <c r="A24" s="244"/>
      <c r="B24" s="245" t="s">
        <v>165</v>
      </c>
      <c r="C24" s="540" t="s">
        <v>2047</v>
      </c>
      <c r="D24" s="541"/>
      <c r="E24" s="541"/>
      <c r="F24" s="541"/>
      <c r="G24" s="541"/>
      <c r="H24" s="541"/>
      <c r="I24" s="541"/>
      <c r="J24" s="541"/>
      <c r="K24" s="541"/>
      <c r="L24" s="541"/>
      <c r="M24" s="542"/>
    </row>
    <row r="25" spans="1:74" ht="26.4" x14ac:dyDescent="0.3">
      <c r="A25" s="237" t="s">
        <v>184</v>
      </c>
      <c r="B25" s="238" t="s">
        <v>185</v>
      </c>
      <c r="C25" s="543" t="s">
        <v>186</v>
      </c>
      <c r="D25" s="544"/>
      <c r="E25" s="238" t="s">
        <v>180</v>
      </c>
      <c r="F25" s="258">
        <v>31.33</v>
      </c>
      <c r="G25" s="311">
        <v>0</v>
      </c>
      <c r="H25" s="258">
        <f>F25*AM25</f>
        <v>0</v>
      </c>
      <c r="I25" s="258">
        <f>F25*AN25</f>
        <v>0</v>
      </c>
      <c r="J25" s="258">
        <f>F25*G25</f>
        <v>0</v>
      </c>
      <c r="K25" s="258">
        <v>1.105</v>
      </c>
      <c r="L25" s="258">
        <f>F25*K25</f>
        <v>34.61965</v>
      </c>
      <c r="M25" s="259" t="s">
        <v>472</v>
      </c>
      <c r="X25" s="233">
        <f>IF(AO25="5",BH25,0)</f>
        <v>0</v>
      </c>
      <c r="Z25" s="233">
        <f>IF(AO25="1",BF25,0)</f>
        <v>0</v>
      </c>
      <c r="AA25" s="233">
        <f>IF(AO25="1",BG25,0)</f>
        <v>0</v>
      </c>
      <c r="AB25" s="233">
        <f>IF(AO25="7",BF25,0)</f>
        <v>0</v>
      </c>
      <c r="AC25" s="233">
        <f>IF(AO25="7",BG25,0)</f>
        <v>0</v>
      </c>
      <c r="AD25" s="233">
        <f>IF(AO25="2",BF25,0)</f>
        <v>0</v>
      </c>
      <c r="AE25" s="233">
        <f>IF(AO25="2",BG25,0)</f>
        <v>0</v>
      </c>
      <c r="AF25" s="233">
        <f>IF(AO25="0",BH25,0)</f>
        <v>0</v>
      </c>
      <c r="AG25" s="229" t="s">
        <v>154</v>
      </c>
      <c r="AH25" s="233">
        <f>IF(AL25=0,J25,0)</f>
        <v>0</v>
      </c>
      <c r="AI25" s="233">
        <f>IF(AL25=15,J25,0)</f>
        <v>0</v>
      </c>
      <c r="AJ25" s="233">
        <f>IF(AL25=21,J25,0)</f>
        <v>0</v>
      </c>
      <c r="AL25" s="233">
        <v>15</v>
      </c>
      <c r="AM25" s="233">
        <f>G25*0</f>
        <v>0</v>
      </c>
      <c r="AN25" s="233">
        <f>G25*(1-0)</f>
        <v>0</v>
      </c>
      <c r="AO25" s="234" t="s">
        <v>157</v>
      </c>
      <c r="AT25" s="233">
        <f>AU25+AV25</f>
        <v>0</v>
      </c>
      <c r="AU25" s="233">
        <f>F25*AM25</f>
        <v>0</v>
      </c>
      <c r="AV25" s="233">
        <f>F25*AN25</f>
        <v>0</v>
      </c>
      <c r="AW25" s="234" t="s">
        <v>162</v>
      </c>
      <c r="AX25" s="234" t="s">
        <v>163</v>
      </c>
      <c r="AY25" s="229" t="s">
        <v>164</v>
      </c>
      <c r="BA25" s="233">
        <f>AU25+AV25</f>
        <v>0</v>
      </c>
      <c r="BB25" s="233">
        <f>G25/(100-BC25)*100</f>
        <v>0</v>
      </c>
      <c r="BC25" s="233">
        <v>0</v>
      </c>
      <c r="BD25" s="233">
        <f>L25</f>
        <v>34.61965</v>
      </c>
      <c r="BF25" s="233">
        <f>F25*AM25</f>
        <v>0</v>
      </c>
      <c r="BG25" s="233">
        <f>F25*AN25</f>
        <v>0</v>
      </c>
      <c r="BH25" s="233">
        <f>F25*G25</f>
        <v>0</v>
      </c>
      <c r="BI25" s="233"/>
      <c r="BJ25" s="233">
        <v>11</v>
      </c>
      <c r="BU25" s="233" t="e">
        <f>#REF!</f>
        <v>#REF!</v>
      </c>
      <c r="BV25" s="225" t="s">
        <v>186</v>
      </c>
    </row>
    <row r="26" spans="1:74" ht="121.5" customHeight="1" x14ac:dyDescent="0.3">
      <c r="A26" s="241"/>
      <c r="B26" s="242" t="s">
        <v>165</v>
      </c>
      <c r="C26" s="530" t="s">
        <v>2048</v>
      </c>
      <c r="D26" s="531"/>
      <c r="E26" s="531"/>
      <c r="F26" s="531"/>
      <c r="G26" s="531"/>
      <c r="H26" s="531"/>
      <c r="I26" s="531"/>
      <c r="J26" s="531"/>
      <c r="K26" s="531"/>
      <c r="L26" s="531"/>
      <c r="M26" s="532"/>
    </row>
    <row r="27" spans="1:74" ht="14.4" x14ac:dyDescent="0.3">
      <c r="A27" s="239" t="s">
        <v>187</v>
      </c>
      <c r="B27" s="223" t="s">
        <v>188</v>
      </c>
      <c r="C27" s="521" t="s">
        <v>189</v>
      </c>
      <c r="D27" s="519"/>
      <c r="E27" s="223" t="s">
        <v>190</v>
      </c>
      <c r="F27" s="233">
        <v>6</v>
      </c>
      <c r="G27" s="311">
        <v>0</v>
      </c>
      <c r="H27" s="233">
        <f>F27*AM27</f>
        <v>0</v>
      </c>
      <c r="I27" s="233">
        <f>F27*AN27</f>
        <v>0</v>
      </c>
      <c r="J27" s="233">
        <f>F27*G27</f>
        <v>0</v>
      </c>
      <c r="K27" s="233">
        <v>0</v>
      </c>
      <c r="L27" s="233">
        <f>F27*K27</f>
        <v>0</v>
      </c>
      <c r="M27" s="240" t="s">
        <v>472</v>
      </c>
      <c r="X27" s="233">
        <f>IF(AO27="5",BH27,0)</f>
        <v>0</v>
      </c>
      <c r="Z27" s="233">
        <f>IF(AO27="1",BF27,0)</f>
        <v>0</v>
      </c>
      <c r="AA27" s="233">
        <f>IF(AO27="1",BG27,0)</f>
        <v>0</v>
      </c>
      <c r="AB27" s="233">
        <f>IF(AO27="7",BF27,0)</f>
        <v>0</v>
      </c>
      <c r="AC27" s="233">
        <f>IF(AO27="7",BG27,0)</f>
        <v>0</v>
      </c>
      <c r="AD27" s="233">
        <f>IF(AO27="2",BF27,0)</f>
        <v>0</v>
      </c>
      <c r="AE27" s="233">
        <f>IF(AO27="2",BG27,0)</f>
        <v>0</v>
      </c>
      <c r="AF27" s="233">
        <f>IF(AO27="0",BH27,0)</f>
        <v>0</v>
      </c>
      <c r="AG27" s="229" t="s">
        <v>154</v>
      </c>
      <c r="AH27" s="233">
        <f>IF(AL27=0,J27,0)</f>
        <v>0</v>
      </c>
      <c r="AI27" s="233">
        <f>IF(AL27=15,J27,0)</f>
        <v>0</v>
      </c>
      <c r="AJ27" s="233">
        <f>IF(AL27=21,J27,0)</f>
        <v>0</v>
      </c>
      <c r="AL27" s="233">
        <v>15</v>
      </c>
      <c r="AM27" s="233">
        <f>G27*0.13699785</f>
        <v>0</v>
      </c>
      <c r="AN27" s="233">
        <f>G27*(1-0.13699785)</f>
        <v>0</v>
      </c>
      <c r="AO27" s="234" t="s">
        <v>157</v>
      </c>
      <c r="AT27" s="233">
        <f>AU27+AV27</f>
        <v>0</v>
      </c>
      <c r="AU27" s="233">
        <f>F27*AM27</f>
        <v>0</v>
      </c>
      <c r="AV27" s="233">
        <f>F27*AN27</f>
        <v>0</v>
      </c>
      <c r="AW27" s="234" t="s">
        <v>162</v>
      </c>
      <c r="AX27" s="234" t="s">
        <v>163</v>
      </c>
      <c r="AY27" s="229" t="s">
        <v>164</v>
      </c>
      <c r="BA27" s="233">
        <f>AU27+AV27</f>
        <v>0</v>
      </c>
      <c r="BB27" s="233">
        <f>G27/(100-BC27)*100</f>
        <v>0</v>
      </c>
      <c r="BC27" s="233">
        <v>0</v>
      </c>
      <c r="BD27" s="233">
        <f>L27</f>
        <v>0</v>
      </c>
      <c r="BF27" s="233">
        <f>F27*AM27</f>
        <v>0</v>
      </c>
      <c r="BG27" s="233">
        <f>F27*AN27</f>
        <v>0</v>
      </c>
      <c r="BH27" s="233">
        <f>F27*G27</f>
        <v>0</v>
      </c>
      <c r="BI27" s="233"/>
      <c r="BJ27" s="233">
        <v>11</v>
      </c>
      <c r="BU27" s="233" t="e">
        <f>#REF!</f>
        <v>#REF!</v>
      </c>
      <c r="BV27" s="225" t="s">
        <v>189</v>
      </c>
    </row>
    <row r="28" spans="1:74" ht="67.5" customHeight="1" x14ac:dyDescent="0.3">
      <c r="A28" s="241"/>
      <c r="B28" s="242" t="s">
        <v>165</v>
      </c>
      <c r="C28" s="530" t="s">
        <v>2049</v>
      </c>
      <c r="D28" s="531"/>
      <c r="E28" s="531"/>
      <c r="F28" s="531"/>
      <c r="G28" s="531"/>
      <c r="H28" s="531"/>
      <c r="I28" s="531"/>
      <c r="J28" s="531"/>
      <c r="K28" s="531"/>
      <c r="L28" s="531"/>
      <c r="M28" s="532"/>
    </row>
    <row r="29" spans="1:74" ht="14.4" x14ac:dyDescent="0.3">
      <c r="A29" s="239" t="s">
        <v>154</v>
      </c>
      <c r="B29" s="224" t="s">
        <v>191</v>
      </c>
      <c r="C29" s="526" t="s">
        <v>192</v>
      </c>
      <c r="D29" s="527"/>
      <c r="E29" s="223" t="s">
        <v>114</v>
      </c>
      <c r="F29" s="223" t="s">
        <v>114</v>
      </c>
      <c r="G29" s="223" t="s">
        <v>114</v>
      </c>
      <c r="H29" s="235">
        <f>SUM(H30:H32)</f>
        <v>0</v>
      </c>
      <c r="I29" s="235">
        <f>SUM(I30:I32)</f>
        <v>0</v>
      </c>
      <c r="J29" s="235">
        <f>SUM(J30:J32)</f>
        <v>0</v>
      </c>
      <c r="K29" s="230" t="s">
        <v>154</v>
      </c>
      <c r="L29" s="235">
        <f>SUM(L30:L32)</f>
        <v>0</v>
      </c>
      <c r="M29" s="243" t="s">
        <v>154</v>
      </c>
      <c r="AG29" s="229" t="s">
        <v>154</v>
      </c>
      <c r="AQ29" s="222">
        <f>SUM(AH30:AH32)</f>
        <v>0</v>
      </c>
      <c r="AR29" s="222">
        <f>SUM(AI30:AI32)</f>
        <v>0</v>
      </c>
      <c r="AS29" s="222">
        <f>SUM(AJ30:AJ32)</f>
        <v>0</v>
      </c>
    </row>
    <row r="30" spans="1:74" ht="14.4" x14ac:dyDescent="0.3">
      <c r="A30" s="239" t="s">
        <v>193</v>
      </c>
      <c r="B30" s="223" t="s">
        <v>194</v>
      </c>
      <c r="C30" s="521" t="s">
        <v>195</v>
      </c>
      <c r="D30" s="519"/>
      <c r="E30" s="223" t="s">
        <v>196</v>
      </c>
      <c r="F30" s="233">
        <v>15.81</v>
      </c>
      <c r="G30" s="311">
        <v>0</v>
      </c>
      <c r="H30" s="233">
        <f>F30*AM30</f>
        <v>0</v>
      </c>
      <c r="I30" s="233">
        <f>F30*AN30</f>
        <v>0</v>
      </c>
      <c r="J30" s="233">
        <f>F30*G30</f>
        <v>0</v>
      </c>
      <c r="K30" s="233">
        <v>0</v>
      </c>
      <c r="L30" s="233">
        <f>F30*K30</f>
        <v>0</v>
      </c>
      <c r="M30" s="240" t="s">
        <v>472</v>
      </c>
      <c r="X30" s="233">
        <f>IF(AO30="5",BH30,0)</f>
        <v>0</v>
      </c>
      <c r="Z30" s="233">
        <f>IF(AO30="1",BF30,0)</f>
        <v>0</v>
      </c>
      <c r="AA30" s="233">
        <f>IF(AO30="1",BG30,0)</f>
        <v>0</v>
      </c>
      <c r="AB30" s="233">
        <f>IF(AO30="7",BF30,0)</f>
        <v>0</v>
      </c>
      <c r="AC30" s="233">
        <f>IF(AO30="7",BG30,0)</f>
        <v>0</v>
      </c>
      <c r="AD30" s="233">
        <f>IF(AO30="2",BF30,0)</f>
        <v>0</v>
      </c>
      <c r="AE30" s="233">
        <f>IF(AO30="2",BG30,0)</f>
        <v>0</v>
      </c>
      <c r="AF30" s="233">
        <f>IF(AO30="0",BH30,0)</f>
        <v>0</v>
      </c>
      <c r="AG30" s="229" t="s">
        <v>154</v>
      </c>
      <c r="AH30" s="233">
        <f>IF(AL30=0,J30,0)</f>
        <v>0</v>
      </c>
      <c r="AI30" s="233">
        <f>IF(AL30=15,J30,0)</f>
        <v>0</v>
      </c>
      <c r="AJ30" s="233">
        <f>IF(AL30=21,J30,0)</f>
        <v>0</v>
      </c>
      <c r="AL30" s="233">
        <v>15</v>
      </c>
      <c r="AM30" s="233">
        <f>G30*0</f>
        <v>0</v>
      </c>
      <c r="AN30" s="233">
        <f>G30*(1-0)</f>
        <v>0</v>
      </c>
      <c r="AO30" s="234" t="s">
        <v>157</v>
      </c>
      <c r="AT30" s="233">
        <f>AU30+AV30</f>
        <v>0</v>
      </c>
      <c r="AU30" s="233">
        <f>F30*AM30</f>
        <v>0</v>
      </c>
      <c r="AV30" s="233">
        <f>F30*AN30</f>
        <v>0</v>
      </c>
      <c r="AW30" s="234" t="s">
        <v>197</v>
      </c>
      <c r="AX30" s="234" t="s">
        <v>163</v>
      </c>
      <c r="AY30" s="229" t="s">
        <v>164</v>
      </c>
      <c r="BA30" s="233">
        <f>AU30+AV30</f>
        <v>0</v>
      </c>
      <c r="BB30" s="233">
        <f>G30/(100-BC30)*100</f>
        <v>0</v>
      </c>
      <c r="BC30" s="233">
        <v>0</v>
      </c>
      <c r="BD30" s="233">
        <f>L30</f>
        <v>0</v>
      </c>
      <c r="BF30" s="233">
        <f>F30*AM30</f>
        <v>0</v>
      </c>
      <c r="BG30" s="233">
        <f>F30*AN30</f>
        <v>0</v>
      </c>
      <c r="BH30" s="233">
        <f>F30*G30</f>
        <v>0</v>
      </c>
      <c r="BI30" s="233"/>
      <c r="BJ30" s="233">
        <v>12</v>
      </c>
      <c r="BU30" s="233" t="e">
        <f>#REF!</f>
        <v>#REF!</v>
      </c>
      <c r="BV30" s="225" t="s">
        <v>195</v>
      </c>
    </row>
    <row r="31" spans="1:74" ht="40.5" customHeight="1" x14ac:dyDescent="0.3">
      <c r="A31" s="241"/>
      <c r="B31" s="242" t="s">
        <v>165</v>
      </c>
      <c r="C31" s="530" t="s">
        <v>2050</v>
      </c>
      <c r="D31" s="531"/>
      <c r="E31" s="531"/>
      <c r="F31" s="531"/>
      <c r="G31" s="531"/>
      <c r="H31" s="531"/>
      <c r="I31" s="531"/>
      <c r="J31" s="531"/>
      <c r="K31" s="531"/>
      <c r="L31" s="531"/>
      <c r="M31" s="532"/>
    </row>
    <row r="32" spans="1:74" ht="14.4" x14ac:dyDescent="0.3">
      <c r="A32" s="239" t="s">
        <v>198</v>
      </c>
      <c r="B32" s="223" t="s">
        <v>199</v>
      </c>
      <c r="C32" s="521" t="s">
        <v>200</v>
      </c>
      <c r="D32" s="519"/>
      <c r="E32" s="223" t="s">
        <v>196</v>
      </c>
      <c r="F32" s="233">
        <v>13.75</v>
      </c>
      <c r="G32" s="311">
        <v>0</v>
      </c>
      <c r="H32" s="233">
        <f>F32*AM32</f>
        <v>0</v>
      </c>
      <c r="I32" s="233">
        <f>F32*AN32</f>
        <v>0</v>
      </c>
      <c r="J32" s="233">
        <f>F32*G32</f>
        <v>0</v>
      </c>
      <c r="K32" s="233">
        <v>0</v>
      </c>
      <c r="L32" s="233">
        <f>F32*K32</f>
        <v>0</v>
      </c>
      <c r="M32" s="240" t="s">
        <v>472</v>
      </c>
      <c r="X32" s="233">
        <f>IF(AO32="5",BH32,0)</f>
        <v>0</v>
      </c>
      <c r="Z32" s="233">
        <f>IF(AO32="1",BF32,0)</f>
        <v>0</v>
      </c>
      <c r="AA32" s="233">
        <f>IF(AO32="1",BG32,0)</f>
        <v>0</v>
      </c>
      <c r="AB32" s="233">
        <f>IF(AO32="7",BF32,0)</f>
        <v>0</v>
      </c>
      <c r="AC32" s="233">
        <f>IF(AO32="7",BG32,0)</f>
        <v>0</v>
      </c>
      <c r="AD32" s="233">
        <f>IF(AO32="2",BF32,0)</f>
        <v>0</v>
      </c>
      <c r="AE32" s="233">
        <f>IF(AO32="2",BG32,0)</f>
        <v>0</v>
      </c>
      <c r="AF32" s="233">
        <f>IF(AO32="0",BH32,0)</f>
        <v>0</v>
      </c>
      <c r="AG32" s="229" t="s">
        <v>154</v>
      </c>
      <c r="AH32" s="233">
        <f>IF(AL32=0,J32,0)</f>
        <v>0</v>
      </c>
      <c r="AI32" s="233">
        <f>IF(AL32=15,J32,0)</f>
        <v>0</v>
      </c>
      <c r="AJ32" s="233">
        <f>IF(AL32=21,J32,0)</f>
        <v>0</v>
      </c>
      <c r="AL32" s="233">
        <v>15</v>
      </c>
      <c r="AM32" s="233">
        <f>G32*0</f>
        <v>0</v>
      </c>
      <c r="AN32" s="233">
        <f>G32*(1-0)</f>
        <v>0</v>
      </c>
      <c r="AO32" s="234" t="s">
        <v>157</v>
      </c>
      <c r="AT32" s="233">
        <f>AU32+AV32</f>
        <v>0</v>
      </c>
      <c r="AU32" s="233">
        <f>F32*AM32</f>
        <v>0</v>
      </c>
      <c r="AV32" s="233">
        <f>F32*AN32</f>
        <v>0</v>
      </c>
      <c r="AW32" s="234" t="s">
        <v>197</v>
      </c>
      <c r="AX32" s="234" t="s">
        <v>163</v>
      </c>
      <c r="AY32" s="229" t="s">
        <v>164</v>
      </c>
      <c r="BA32" s="233">
        <f>AU32+AV32</f>
        <v>0</v>
      </c>
      <c r="BB32" s="233">
        <f>G32/(100-BC32)*100</f>
        <v>0</v>
      </c>
      <c r="BC32" s="233">
        <v>0</v>
      </c>
      <c r="BD32" s="233">
        <f>L32</f>
        <v>0</v>
      </c>
      <c r="BF32" s="233">
        <f>F32*AM32</f>
        <v>0</v>
      </c>
      <c r="BG32" s="233">
        <f>F32*AN32</f>
        <v>0</v>
      </c>
      <c r="BH32" s="233">
        <f>F32*G32</f>
        <v>0</v>
      </c>
      <c r="BI32" s="233"/>
      <c r="BJ32" s="233">
        <v>12</v>
      </c>
      <c r="BU32" s="233" t="e">
        <f>#REF!</f>
        <v>#REF!</v>
      </c>
      <c r="BV32" s="225" t="s">
        <v>200</v>
      </c>
    </row>
    <row r="33" spans="1:74" ht="40.5" customHeight="1" x14ac:dyDescent="0.3">
      <c r="A33" s="241"/>
      <c r="B33" s="242" t="s">
        <v>165</v>
      </c>
      <c r="C33" s="530" t="s">
        <v>2051</v>
      </c>
      <c r="D33" s="531"/>
      <c r="E33" s="531"/>
      <c r="F33" s="531"/>
      <c r="G33" s="531"/>
      <c r="H33" s="531"/>
      <c r="I33" s="531"/>
      <c r="J33" s="531"/>
      <c r="K33" s="531"/>
      <c r="L33" s="531"/>
      <c r="M33" s="532"/>
    </row>
    <row r="34" spans="1:74" ht="14.4" x14ac:dyDescent="0.3">
      <c r="A34" s="239" t="s">
        <v>154</v>
      </c>
      <c r="B34" s="224" t="s">
        <v>201</v>
      </c>
      <c r="C34" s="526" t="s">
        <v>202</v>
      </c>
      <c r="D34" s="527"/>
      <c r="E34" s="223" t="s">
        <v>114</v>
      </c>
      <c r="F34" s="223" t="s">
        <v>114</v>
      </c>
      <c r="G34" s="223" t="s">
        <v>114</v>
      </c>
      <c r="H34" s="235">
        <f>SUM(H35:H45)</f>
        <v>0</v>
      </c>
      <c r="I34" s="235">
        <f>SUM(I35:I45)</f>
        <v>0</v>
      </c>
      <c r="J34" s="235">
        <f>SUM(J35:J45)</f>
        <v>0</v>
      </c>
      <c r="K34" s="230" t="s">
        <v>154</v>
      </c>
      <c r="L34" s="235">
        <f>SUM(L35:L45)</f>
        <v>0</v>
      </c>
      <c r="M34" s="243" t="s">
        <v>154</v>
      </c>
      <c r="AG34" s="229" t="s">
        <v>154</v>
      </c>
      <c r="AQ34" s="222">
        <f>SUM(AH35:AH45)</f>
        <v>0</v>
      </c>
      <c r="AR34" s="222">
        <f>SUM(AI35:AI45)</f>
        <v>0</v>
      </c>
      <c r="AS34" s="222">
        <f>SUM(AJ35:AJ45)</f>
        <v>0</v>
      </c>
    </row>
    <row r="35" spans="1:74" ht="14.4" x14ac:dyDescent="0.3">
      <c r="A35" s="239" t="s">
        <v>155</v>
      </c>
      <c r="B35" s="223" t="s">
        <v>203</v>
      </c>
      <c r="C35" s="521" t="s">
        <v>204</v>
      </c>
      <c r="D35" s="519"/>
      <c r="E35" s="223" t="s">
        <v>196</v>
      </c>
      <c r="F35" s="233">
        <v>112.26</v>
      </c>
      <c r="G35" s="311">
        <v>0</v>
      </c>
      <c r="H35" s="233">
        <f>F35*AM35</f>
        <v>0</v>
      </c>
      <c r="I35" s="233">
        <f>F35*AN35</f>
        <v>0</v>
      </c>
      <c r="J35" s="233">
        <f>F35*G35</f>
        <v>0</v>
      </c>
      <c r="K35" s="233">
        <v>0</v>
      </c>
      <c r="L35" s="233">
        <f>F35*K35</f>
        <v>0</v>
      </c>
      <c r="M35" s="240" t="s">
        <v>472</v>
      </c>
      <c r="X35" s="233">
        <f>IF(AO35="5",BH35,0)</f>
        <v>0</v>
      </c>
      <c r="Z35" s="233">
        <f>IF(AO35="1",BF35,0)</f>
        <v>0</v>
      </c>
      <c r="AA35" s="233">
        <f>IF(AO35="1",BG35,0)</f>
        <v>0</v>
      </c>
      <c r="AB35" s="233">
        <f>IF(AO35="7",BF35,0)</f>
        <v>0</v>
      </c>
      <c r="AC35" s="233">
        <f>IF(AO35="7",BG35,0)</f>
        <v>0</v>
      </c>
      <c r="AD35" s="233">
        <f>IF(AO35="2",BF35,0)</f>
        <v>0</v>
      </c>
      <c r="AE35" s="233">
        <f>IF(AO35="2",BG35,0)</f>
        <v>0</v>
      </c>
      <c r="AF35" s="233">
        <f>IF(AO35="0",BH35,0)</f>
        <v>0</v>
      </c>
      <c r="AG35" s="229" t="s">
        <v>154</v>
      </c>
      <c r="AH35" s="233">
        <f>IF(AL35=0,J35,0)</f>
        <v>0</v>
      </c>
      <c r="AI35" s="233">
        <f>IF(AL35=15,J35,0)</f>
        <v>0</v>
      </c>
      <c r="AJ35" s="233">
        <f>IF(AL35=21,J35,0)</f>
        <v>0</v>
      </c>
      <c r="AL35" s="233">
        <v>15</v>
      </c>
      <c r="AM35" s="233">
        <f>G35*0</f>
        <v>0</v>
      </c>
      <c r="AN35" s="233">
        <f>G35*(1-0)</f>
        <v>0</v>
      </c>
      <c r="AO35" s="234" t="s">
        <v>157</v>
      </c>
      <c r="AT35" s="233">
        <f>AU35+AV35</f>
        <v>0</v>
      </c>
      <c r="AU35" s="233">
        <f>F35*AM35</f>
        <v>0</v>
      </c>
      <c r="AV35" s="233">
        <f>F35*AN35</f>
        <v>0</v>
      </c>
      <c r="AW35" s="234" t="s">
        <v>205</v>
      </c>
      <c r="AX35" s="234" t="s">
        <v>163</v>
      </c>
      <c r="AY35" s="229" t="s">
        <v>164</v>
      </c>
      <c r="BA35" s="233">
        <f>AU35+AV35</f>
        <v>0</v>
      </c>
      <c r="BB35" s="233">
        <f>G35/(100-BC35)*100</f>
        <v>0</v>
      </c>
      <c r="BC35" s="233">
        <v>0</v>
      </c>
      <c r="BD35" s="233">
        <f>L35</f>
        <v>0</v>
      </c>
      <c r="BF35" s="233">
        <f>F35*AM35</f>
        <v>0</v>
      </c>
      <c r="BG35" s="233">
        <f>F35*AN35</f>
        <v>0</v>
      </c>
      <c r="BH35" s="233">
        <f>F35*G35</f>
        <v>0</v>
      </c>
      <c r="BI35" s="233"/>
      <c r="BJ35" s="233">
        <v>13</v>
      </c>
      <c r="BU35" s="233" t="e">
        <f>#REF!</f>
        <v>#REF!</v>
      </c>
      <c r="BV35" s="225" t="s">
        <v>204</v>
      </c>
    </row>
    <row r="36" spans="1:74" ht="121.5" customHeight="1" x14ac:dyDescent="0.3">
      <c r="A36" s="241"/>
      <c r="B36" s="242" t="s">
        <v>165</v>
      </c>
      <c r="C36" s="530" t="s">
        <v>2052</v>
      </c>
      <c r="D36" s="531"/>
      <c r="E36" s="531"/>
      <c r="F36" s="531"/>
      <c r="G36" s="531"/>
      <c r="H36" s="531"/>
      <c r="I36" s="531"/>
      <c r="J36" s="531"/>
      <c r="K36" s="531"/>
      <c r="L36" s="531"/>
      <c r="M36" s="532"/>
    </row>
    <row r="37" spans="1:74" ht="14.4" x14ac:dyDescent="0.3">
      <c r="A37" s="239" t="s">
        <v>191</v>
      </c>
      <c r="B37" s="223" t="s">
        <v>206</v>
      </c>
      <c r="C37" s="521" t="s">
        <v>207</v>
      </c>
      <c r="D37" s="519"/>
      <c r="E37" s="223" t="s">
        <v>196</v>
      </c>
      <c r="F37" s="233">
        <v>56.13</v>
      </c>
      <c r="G37" s="311">
        <v>0</v>
      </c>
      <c r="H37" s="233">
        <f>F37*AM37</f>
        <v>0</v>
      </c>
      <c r="I37" s="233">
        <f>F37*AN37</f>
        <v>0</v>
      </c>
      <c r="J37" s="233">
        <f>F37*G37</f>
        <v>0</v>
      </c>
      <c r="K37" s="233">
        <v>0</v>
      </c>
      <c r="L37" s="233">
        <f>F37*K37</f>
        <v>0</v>
      </c>
      <c r="M37" s="240" t="s">
        <v>472</v>
      </c>
      <c r="X37" s="233">
        <f>IF(AO37="5",BH37,0)</f>
        <v>0</v>
      </c>
      <c r="Z37" s="233">
        <f>IF(AO37="1",BF37,0)</f>
        <v>0</v>
      </c>
      <c r="AA37" s="233">
        <f>IF(AO37="1",BG37,0)</f>
        <v>0</v>
      </c>
      <c r="AB37" s="233">
        <f>IF(AO37="7",BF37,0)</f>
        <v>0</v>
      </c>
      <c r="AC37" s="233">
        <f>IF(AO37="7",BG37,0)</f>
        <v>0</v>
      </c>
      <c r="AD37" s="233">
        <f>IF(AO37="2",BF37,0)</f>
        <v>0</v>
      </c>
      <c r="AE37" s="233">
        <f>IF(AO37="2",BG37,0)</f>
        <v>0</v>
      </c>
      <c r="AF37" s="233">
        <f>IF(AO37="0",BH37,0)</f>
        <v>0</v>
      </c>
      <c r="AG37" s="229" t="s">
        <v>154</v>
      </c>
      <c r="AH37" s="233">
        <f>IF(AL37=0,J37,0)</f>
        <v>0</v>
      </c>
      <c r="AI37" s="233">
        <f>IF(AL37=15,J37,0)</f>
        <v>0</v>
      </c>
      <c r="AJ37" s="233">
        <f>IF(AL37=21,J37,0)</f>
        <v>0</v>
      </c>
      <c r="AL37" s="233">
        <v>15</v>
      </c>
      <c r="AM37" s="233">
        <f>G37*0</f>
        <v>0</v>
      </c>
      <c r="AN37" s="233">
        <f>G37*(1-0)</f>
        <v>0</v>
      </c>
      <c r="AO37" s="234" t="s">
        <v>157</v>
      </c>
      <c r="AT37" s="233">
        <f>AU37+AV37</f>
        <v>0</v>
      </c>
      <c r="AU37" s="233">
        <f>F37*AM37</f>
        <v>0</v>
      </c>
      <c r="AV37" s="233">
        <f>F37*AN37</f>
        <v>0</v>
      </c>
      <c r="AW37" s="234" t="s">
        <v>205</v>
      </c>
      <c r="AX37" s="234" t="s">
        <v>163</v>
      </c>
      <c r="AY37" s="229" t="s">
        <v>164</v>
      </c>
      <c r="BA37" s="233">
        <f>AU37+AV37</f>
        <v>0</v>
      </c>
      <c r="BB37" s="233">
        <f>G37/(100-BC37)*100</f>
        <v>0</v>
      </c>
      <c r="BC37" s="233">
        <v>0</v>
      </c>
      <c r="BD37" s="233">
        <f>L37</f>
        <v>0</v>
      </c>
      <c r="BF37" s="233">
        <f>F37*AM37</f>
        <v>0</v>
      </c>
      <c r="BG37" s="233">
        <f>F37*AN37</f>
        <v>0</v>
      </c>
      <c r="BH37" s="233">
        <f>F37*G37</f>
        <v>0</v>
      </c>
      <c r="BI37" s="233"/>
      <c r="BJ37" s="233">
        <v>13</v>
      </c>
      <c r="BU37" s="233" t="e">
        <f>#REF!</f>
        <v>#REF!</v>
      </c>
      <c r="BV37" s="225" t="s">
        <v>207</v>
      </c>
    </row>
    <row r="38" spans="1:74" ht="40.5" customHeight="1" x14ac:dyDescent="0.3">
      <c r="A38" s="241"/>
      <c r="B38" s="242" t="s">
        <v>165</v>
      </c>
      <c r="C38" s="530" t="s">
        <v>2053</v>
      </c>
      <c r="D38" s="531"/>
      <c r="E38" s="531"/>
      <c r="F38" s="531"/>
      <c r="G38" s="531"/>
      <c r="H38" s="531"/>
      <c r="I38" s="531"/>
      <c r="J38" s="531"/>
      <c r="K38" s="531"/>
      <c r="L38" s="531"/>
      <c r="M38" s="532"/>
    </row>
    <row r="39" spans="1:74" ht="14.4" x14ac:dyDescent="0.3">
      <c r="A39" s="239" t="s">
        <v>201</v>
      </c>
      <c r="B39" s="223" t="s">
        <v>208</v>
      </c>
      <c r="C39" s="521" t="s">
        <v>209</v>
      </c>
      <c r="D39" s="519"/>
      <c r="E39" s="223" t="s">
        <v>196</v>
      </c>
      <c r="F39" s="233">
        <v>101.03</v>
      </c>
      <c r="G39" s="311">
        <v>0</v>
      </c>
      <c r="H39" s="233">
        <f>F39*AM39</f>
        <v>0</v>
      </c>
      <c r="I39" s="233">
        <f>F39*AN39</f>
        <v>0</v>
      </c>
      <c r="J39" s="233">
        <f>F39*G39</f>
        <v>0</v>
      </c>
      <c r="K39" s="233">
        <v>0</v>
      </c>
      <c r="L39" s="233">
        <f>F39*K39</f>
        <v>0</v>
      </c>
      <c r="M39" s="240" t="s">
        <v>472</v>
      </c>
      <c r="X39" s="233">
        <f>IF(AO39="5",BH39,0)</f>
        <v>0</v>
      </c>
      <c r="Z39" s="233">
        <f>IF(AO39="1",BF39,0)</f>
        <v>0</v>
      </c>
      <c r="AA39" s="233">
        <f>IF(AO39="1",BG39,0)</f>
        <v>0</v>
      </c>
      <c r="AB39" s="233">
        <f>IF(AO39="7",BF39,0)</f>
        <v>0</v>
      </c>
      <c r="AC39" s="233">
        <f>IF(AO39="7",BG39,0)</f>
        <v>0</v>
      </c>
      <c r="AD39" s="233">
        <f>IF(AO39="2",BF39,0)</f>
        <v>0</v>
      </c>
      <c r="AE39" s="233">
        <f>IF(AO39="2",BG39,0)</f>
        <v>0</v>
      </c>
      <c r="AF39" s="233">
        <f>IF(AO39="0",BH39,0)</f>
        <v>0</v>
      </c>
      <c r="AG39" s="229" t="s">
        <v>154</v>
      </c>
      <c r="AH39" s="233">
        <f>IF(AL39=0,J39,0)</f>
        <v>0</v>
      </c>
      <c r="AI39" s="233">
        <f>IF(AL39=15,J39,0)</f>
        <v>0</v>
      </c>
      <c r="AJ39" s="233">
        <f>IF(AL39=21,J39,0)</f>
        <v>0</v>
      </c>
      <c r="AL39" s="233">
        <v>15</v>
      </c>
      <c r="AM39" s="233">
        <f>G39*0</f>
        <v>0</v>
      </c>
      <c r="AN39" s="233">
        <f>G39*(1-0)</f>
        <v>0</v>
      </c>
      <c r="AO39" s="234" t="s">
        <v>157</v>
      </c>
      <c r="AT39" s="233">
        <f>AU39+AV39</f>
        <v>0</v>
      </c>
      <c r="AU39" s="233">
        <f>F39*AM39</f>
        <v>0</v>
      </c>
      <c r="AV39" s="233">
        <f>F39*AN39</f>
        <v>0</v>
      </c>
      <c r="AW39" s="234" t="s">
        <v>205</v>
      </c>
      <c r="AX39" s="234" t="s">
        <v>163</v>
      </c>
      <c r="AY39" s="229" t="s">
        <v>164</v>
      </c>
      <c r="BA39" s="233">
        <f>AU39+AV39</f>
        <v>0</v>
      </c>
      <c r="BB39" s="233">
        <f>G39/(100-BC39)*100</f>
        <v>0</v>
      </c>
      <c r="BC39" s="233">
        <v>0</v>
      </c>
      <c r="BD39" s="233">
        <f>L39</f>
        <v>0</v>
      </c>
      <c r="BF39" s="233">
        <f>F39*AM39</f>
        <v>0</v>
      </c>
      <c r="BG39" s="233">
        <f>F39*AN39</f>
        <v>0</v>
      </c>
      <c r="BH39" s="233">
        <f>F39*G39</f>
        <v>0</v>
      </c>
      <c r="BI39" s="233"/>
      <c r="BJ39" s="233">
        <v>13</v>
      </c>
      <c r="BU39" s="233" t="e">
        <f>#REF!</f>
        <v>#REF!</v>
      </c>
      <c r="BV39" s="225" t="s">
        <v>209</v>
      </c>
    </row>
    <row r="40" spans="1:74" ht="121.5" customHeight="1" x14ac:dyDescent="0.3">
      <c r="A40" s="241"/>
      <c r="B40" s="242" t="s">
        <v>165</v>
      </c>
      <c r="C40" s="530" t="s">
        <v>2054</v>
      </c>
      <c r="D40" s="531"/>
      <c r="E40" s="531"/>
      <c r="F40" s="531"/>
      <c r="G40" s="531"/>
      <c r="H40" s="531"/>
      <c r="I40" s="531"/>
      <c r="J40" s="531"/>
      <c r="K40" s="531"/>
      <c r="L40" s="531"/>
      <c r="M40" s="532"/>
    </row>
    <row r="41" spans="1:74" ht="14.4" x14ac:dyDescent="0.3">
      <c r="A41" s="239" t="s">
        <v>210</v>
      </c>
      <c r="B41" s="223" t="s">
        <v>211</v>
      </c>
      <c r="C41" s="521" t="s">
        <v>212</v>
      </c>
      <c r="D41" s="519"/>
      <c r="E41" s="223" t="s">
        <v>196</v>
      </c>
      <c r="F41" s="233">
        <v>25.26</v>
      </c>
      <c r="G41" s="311">
        <v>0</v>
      </c>
      <c r="H41" s="233">
        <f>F41*AM41</f>
        <v>0</v>
      </c>
      <c r="I41" s="233">
        <f>F41*AN41</f>
        <v>0</v>
      </c>
      <c r="J41" s="233">
        <f>F41*G41</f>
        <v>0</v>
      </c>
      <c r="K41" s="233">
        <v>0</v>
      </c>
      <c r="L41" s="233">
        <f>F41*K41</f>
        <v>0</v>
      </c>
      <c r="M41" s="240" t="s">
        <v>472</v>
      </c>
      <c r="X41" s="233">
        <f>IF(AO41="5",BH41,0)</f>
        <v>0</v>
      </c>
      <c r="Z41" s="233">
        <f>IF(AO41="1",BF41,0)</f>
        <v>0</v>
      </c>
      <c r="AA41" s="233">
        <f>IF(AO41="1",BG41,0)</f>
        <v>0</v>
      </c>
      <c r="AB41" s="233">
        <f>IF(AO41="7",BF41,0)</f>
        <v>0</v>
      </c>
      <c r="AC41" s="233">
        <f>IF(AO41="7",BG41,0)</f>
        <v>0</v>
      </c>
      <c r="AD41" s="233">
        <f>IF(AO41="2",BF41,0)</f>
        <v>0</v>
      </c>
      <c r="AE41" s="233">
        <f>IF(AO41="2",BG41,0)</f>
        <v>0</v>
      </c>
      <c r="AF41" s="233">
        <f>IF(AO41="0",BH41,0)</f>
        <v>0</v>
      </c>
      <c r="AG41" s="229" t="s">
        <v>154</v>
      </c>
      <c r="AH41" s="233">
        <f>IF(AL41=0,J41,0)</f>
        <v>0</v>
      </c>
      <c r="AI41" s="233">
        <f>IF(AL41=15,J41,0)</f>
        <v>0</v>
      </c>
      <c r="AJ41" s="233">
        <f>IF(AL41=21,J41,0)</f>
        <v>0</v>
      </c>
      <c r="AL41" s="233">
        <v>15</v>
      </c>
      <c r="AM41" s="233">
        <f>G41*0</f>
        <v>0</v>
      </c>
      <c r="AN41" s="233">
        <f>G41*(1-0)</f>
        <v>0</v>
      </c>
      <c r="AO41" s="234" t="s">
        <v>157</v>
      </c>
      <c r="AT41" s="233">
        <f>AU41+AV41</f>
        <v>0</v>
      </c>
      <c r="AU41" s="233">
        <f>F41*AM41</f>
        <v>0</v>
      </c>
      <c r="AV41" s="233">
        <f>F41*AN41</f>
        <v>0</v>
      </c>
      <c r="AW41" s="234" t="s">
        <v>205</v>
      </c>
      <c r="AX41" s="234" t="s">
        <v>163</v>
      </c>
      <c r="AY41" s="229" t="s">
        <v>164</v>
      </c>
      <c r="BA41" s="233">
        <f>AU41+AV41</f>
        <v>0</v>
      </c>
      <c r="BB41" s="233">
        <f>G41/(100-BC41)*100</f>
        <v>0</v>
      </c>
      <c r="BC41" s="233">
        <v>0</v>
      </c>
      <c r="BD41" s="233">
        <f>L41</f>
        <v>0</v>
      </c>
      <c r="BF41" s="233">
        <f>F41*AM41</f>
        <v>0</v>
      </c>
      <c r="BG41" s="233">
        <f>F41*AN41</f>
        <v>0</v>
      </c>
      <c r="BH41" s="233">
        <f>F41*G41</f>
        <v>0</v>
      </c>
      <c r="BI41" s="233"/>
      <c r="BJ41" s="233">
        <v>13</v>
      </c>
      <c r="BU41" s="233" t="e">
        <f>#REF!</f>
        <v>#REF!</v>
      </c>
      <c r="BV41" s="225" t="s">
        <v>212</v>
      </c>
    </row>
    <row r="42" spans="1:74" ht="40.5" customHeight="1" x14ac:dyDescent="0.3">
      <c r="A42" s="241"/>
      <c r="B42" s="242" t="s">
        <v>165</v>
      </c>
      <c r="C42" s="530" t="s">
        <v>2055</v>
      </c>
      <c r="D42" s="531"/>
      <c r="E42" s="531"/>
      <c r="F42" s="531"/>
      <c r="G42" s="531"/>
      <c r="H42" s="531"/>
      <c r="I42" s="531"/>
      <c r="J42" s="531"/>
      <c r="K42" s="531"/>
      <c r="L42" s="531"/>
      <c r="M42" s="532"/>
    </row>
    <row r="43" spans="1:74" ht="14.4" x14ac:dyDescent="0.3">
      <c r="A43" s="239" t="s">
        <v>161</v>
      </c>
      <c r="B43" s="223" t="s">
        <v>213</v>
      </c>
      <c r="C43" s="521" t="s">
        <v>214</v>
      </c>
      <c r="D43" s="519"/>
      <c r="E43" s="223" t="s">
        <v>196</v>
      </c>
      <c r="F43" s="233">
        <v>11.23</v>
      </c>
      <c r="G43" s="311">
        <v>0</v>
      </c>
      <c r="H43" s="233">
        <f>F43*AM43</f>
        <v>0</v>
      </c>
      <c r="I43" s="233">
        <f>F43*AN43</f>
        <v>0</v>
      </c>
      <c r="J43" s="233">
        <f>F43*G43</f>
        <v>0</v>
      </c>
      <c r="K43" s="233">
        <v>0</v>
      </c>
      <c r="L43" s="233">
        <f>F43*K43</f>
        <v>0</v>
      </c>
      <c r="M43" s="240" t="s">
        <v>472</v>
      </c>
      <c r="X43" s="233">
        <f>IF(AO43="5",BH43,0)</f>
        <v>0</v>
      </c>
      <c r="Z43" s="233">
        <f>IF(AO43="1",BF43,0)</f>
        <v>0</v>
      </c>
      <c r="AA43" s="233">
        <f>IF(AO43="1",BG43,0)</f>
        <v>0</v>
      </c>
      <c r="AB43" s="233">
        <f>IF(AO43="7",BF43,0)</f>
        <v>0</v>
      </c>
      <c r="AC43" s="233">
        <f>IF(AO43="7",BG43,0)</f>
        <v>0</v>
      </c>
      <c r="AD43" s="233">
        <f>IF(AO43="2",BF43,0)</f>
        <v>0</v>
      </c>
      <c r="AE43" s="233">
        <f>IF(AO43="2",BG43,0)</f>
        <v>0</v>
      </c>
      <c r="AF43" s="233">
        <f>IF(AO43="0",BH43,0)</f>
        <v>0</v>
      </c>
      <c r="AG43" s="229" t="s">
        <v>154</v>
      </c>
      <c r="AH43" s="233">
        <f>IF(AL43=0,J43,0)</f>
        <v>0</v>
      </c>
      <c r="AI43" s="233">
        <f>IF(AL43=15,J43,0)</f>
        <v>0</v>
      </c>
      <c r="AJ43" s="233">
        <f>IF(AL43=21,J43,0)</f>
        <v>0</v>
      </c>
      <c r="AL43" s="233">
        <v>15</v>
      </c>
      <c r="AM43" s="233">
        <f>G43*0</f>
        <v>0</v>
      </c>
      <c r="AN43" s="233">
        <f>G43*(1-0)</f>
        <v>0</v>
      </c>
      <c r="AO43" s="234" t="s">
        <v>157</v>
      </c>
      <c r="AT43" s="233">
        <f>AU43+AV43</f>
        <v>0</v>
      </c>
      <c r="AU43" s="233">
        <f>F43*AM43</f>
        <v>0</v>
      </c>
      <c r="AV43" s="233">
        <f>F43*AN43</f>
        <v>0</v>
      </c>
      <c r="AW43" s="234" t="s">
        <v>205</v>
      </c>
      <c r="AX43" s="234" t="s">
        <v>163</v>
      </c>
      <c r="AY43" s="229" t="s">
        <v>164</v>
      </c>
      <c r="BA43" s="233">
        <f>AU43+AV43</f>
        <v>0</v>
      </c>
      <c r="BB43" s="233">
        <f>G43/(100-BC43)*100</f>
        <v>0</v>
      </c>
      <c r="BC43" s="233">
        <v>0</v>
      </c>
      <c r="BD43" s="233">
        <f>L43</f>
        <v>0</v>
      </c>
      <c r="BF43" s="233">
        <f>F43*AM43</f>
        <v>0</v>
      </c>
      <c r="BG43" s="233">
        <f>F43*AN43</f>
        <v>0</v>
      </c>
      <c r="BH43" s="233">
        <f>F43*G43</f>
        <v>0</v>
      </c>
      <c r="BI43" s="233"/>
      <c r="BJ43" s="233">
        <v>13</v>
      </c>
      <c r="BU43" s="233" t="e">
        <f>#REF!</f>
        <v>#REF!</v>
      </c>
      <c r="BV43" s="225" t="s">
        <v>214</v>
      </c>
    </row>
    <row r="44" spans="1:74" ht="135" customHeight="1" x14ac:dyDescent="0.3">
      <c r="A44" s="244"/>
      <c r="B44" s="245" t="s">
        <v>165</v>
      </c>
      <c r="C44" s="540" t="s">
        <v>2056</v>
      </c>
      <c r="D44" s="541"/>
      <c r="E44" s="541"/>
      <c r="F44" s="541"/>
      <c r="G44" s="541"/>
      <c r="H44" s="541"/>
      <c r="I44" s="541"/>
      <c r="J44" s="541"/>
      <c r="K44" s="541"/>
      <c r="L44" s="541"/>
      <c r="M44" s="542"/>
    </row>
    <row r="45" spans="1:74" ht="14.4" x14ac:dyDescent="0.3">
      <c r="A45" s="237" t="s">
        <v>215</v>
      </c>
      <c r="B45" s="238" t="s">
        <v>216</v>
      </c>
      <c r="C45" s="543" t="s">
        <v>217</v>
      </c>
      <c r="D45" s="544"/>
      <c r="E45" s="238" t="s">
        <v>196</v>
      </c>
      <c r="F45" s="258">
        <v>2</v>
      </c>
      <c r="G45" s="311">
        <v>0</v>
      </c>
      <c r="H45" s="258">
        <f>F45*AM45</f>
        <v>0</v>
      </c>
      <c r="I45" s="258">
        <f>F45*AN45</f>
        <v>0</v>
      </c>
      <c r="J45" s="258">
        <f>F45*G45</f>
        <v>0</v>
      </c>
      <c r="K45" s="258">
        <v>0</v>
      </c>
      <c r="L45" s="258">
        <f>F45*K45</f>
        <v>0</v>
      </c>
      <c r="M45" s="259" t="s">
        <v>472</v>
      </c>
      <c r="X45" s="233">
        <f>IF(AO45="5",BH45,0)</f>
        <v>0</v>
      </c>
      <c r="Z45" s="233">
        <f>IF(AO45="1",BF45,0)</f>
        <v>0</v>
      </c>
      <c r="AA45" s="233">
        <f>IF(AO45="1",BG45,0)</f>
        <v>0</v>
      </c>
      <c r="AB45" s="233">
        <f>IF(AO45="7",BF45,0)</f>
        <v>0</v>
      </c>
      <c r="AC45" s="233">
        <f>IF(AO45="7",BG45,0)</f>
        <v>0</v>
      </c>
      <c r="AD45" s="233">
        <f>IF(AO45="2",BF45,0)</f>
        <v>0</v>
      </c>
      <c r="AE45" s="233">
        <f>IF(AO45="2",BG45,0)</f>
        <v>0</v>
      </c>
      <c r="AF45" s="233">
        <f>IF(AO45="0",BH45,0)</f>
        <v>0</v>
      </c>
      <c r="AG45" s="229" t="s">
        <v>154</v>
      </c>
      <c r="AH45" s="233">
        <f>IF(AL45=0,J45,0)</f>
        <v>0</v>
      </c>
      <c r="AI45" s="233">
        <f>IF(AL45=15,J45,0)</f>
        <v>0</v>
      </c>
      <c r="AJ45" s="233">
        <f>IF(AL45=21,J45,0)</f>
        <v>0</v>
      </c>
      <c r="AL45" s="233">
        <v>15</v>
      </c>
      <c r="AM45" s="233">
        <f>G45*0</f>
        <v>0</v>
      </c>
      <c r="AN45" s="233">
        <f>G45*(1-0)</f>
        <v>0</v>
      </c>
      <c r="AO45" s="234" t="s">
        <v>157</v>
      </c>
      <c r="AT45" s="233">
        <f>AU45+AV45</f>
        <v>0</v>
      </c>
      <c r="AU45" s="233">
        <f>F45*AM45</f>
        <v>0</v>
      </c>
      <c r="AV45" s="233">
        <f>F45*AN45</f>
        <v>0</v>
      </c>
      <c r="AW45" s="234" t="s">
        <v>205</v>
      </c>
      <c r="AX45" s="234" t="s">
        <v>163</v>
      </c>
      <c r="AY45" s="229" t="s">
        <v>164</v>
      </c>
      <c r="BA45" s="233">
        <f>AU45+AV45</f>
        <v>0</v>
      </c>
      <c r="BB45" s="233">
        <f>G45/(100-BC45)*100</f>
        <v>0</v>
      </c>
      <c r="BC45" s="233">
        <v>0</v>
      </c>
      <c r="BD45" s="233">
        <f>L45</f>
        <v>0</v>
      </c>
      <c r="BF45" s="233">
        <f>F45*AM45</f>
        <v>0</v>
      </c>
      <c r="BG45" s="233">
        <f>F45*AN45</f>
        <v>0</v>
      </c>
      <c r="BH45" s="233">
        <f>F45*G45</f>
        <v>0</v>
      </c>
      <c r="BI45" s="233"/>
      <c r="BJ45" s="233">
        <v>13</v>
      </c>
      <c r="BU45" s="233" t="e">
        <f>#REF!</f>
        <v>#REF!</v>
      </c>
      <c r="BV45" s="225" t="s">
        <v>217</v>
      </c>
    </row>
    <row r="46" spans="1:74" ht="13.5" customHeight="1" x14ac:dyDescent="0.3">
      <c r="A46" s="241"/>
      <c r="B46" s="242" t="s">
        <v>165</v>
      </c>
      <c r="C46" s="530" t="s">
        <v>218</v>
      </c>
      <c r="D46" s="531"/>
      <c r="E46" s="531"/>
      <c r="F46" s="531"/>
      <c r="G46" s="531"/>
      <c r="H46" s="531"/>
      <c r="I46" s="531"/>
      <c r="J46" s="531"/>
      <c r="K46" s="531"/>
      <c r="L46" s="531"/>
      <c r="M46" s="532"/>
    </row>
    <row r="47" spans="1:74" ht="14.4" x14ac:dyDescent="0.3">
      <c r="A47" s="239" t="s">
        <v>154</v>
      </c>
      <c r="B47" s="224" t="s">
        <v>161</v>
      </c>
      <c r="C47" s="526" t="s">
        <v>219</v>
      </c>
      <c r="D47" s="527"/>
      <c r="E47" s="223" t="s">
        <v>114</v>
      </c>
      <c r="F47" s="223" t="s">
        <v>114</v>
      </c>
      <c r="G47" s="223" t="s">
        <v>114</v>
      </c>
      <c r="H47" s="235">
        <f>SUM(H48:H50)</f>
        <v>0</v>
      </c>
      <c r="I47" s="235">
        <f>SUM(I48:I50)</f>
        <v>0</v>
      </c>
      <c r="J47" s="235">
        <f>SUM(J48:J50)</f>
        <v>0</v>
      </c>
      <c r="K47" s="230" t="s">
        <v>154</v>
      </c>
      <c r="L47" s="235">
        <f>SUM(L48:L50)</f>
        <v>0.10621</v>
      </c>
      <c r="M47" s="243" t="s">
        <v>154</v>
      </c>
      <c r="AG47" s="229" t="s">
        <v>154</v>
      </c>
      <c r="AQ47" s="222">
        <f>SUM(AH48:AH50)</f>
        <v>0</v>
      </c>
      <c r="AR47" s="222">
        <f>SUM(AI48:AI50)</f>
        <v>0</v>
      </c>
      <c r="AS47" s="222">
        <f>SUM(AJ48:AJ50)</f>
        <v>0</v>
      </c>
    </row>
    <row r="48" spans="1:74" ht="14.4" x14ac:dyDescent="0.3">
      <c r="A48" s="239" t="s">
        <v>220</v>
      </c>
      <c r="B48" s="223" t="s">
        <v>221</v>
      </c>
      <c r="C48" s="521" t="s">
        <v>222</v>
      </c>
      <c r="D48" s="519"/>
      <c r="E48" s="223" t="s">
        <v>180</v>
      </c>
      <c r="F48" s="233">
        <v>123.5</v>
      </c>
      <c r="G48" s="311">
        <v>0</v>
      </c>
      <c r="H48" s="233">
        <f>F48*AM48</f>
        <v>0</v>
      </c>
      <c r="I48" s="233">
        <f>F48*AN48</f>
        <v>0</v>
      </c>
      <c r="J48" s="233">
        <f>F48*G48</f>
        <v>0</v>
      </c>
      <c r="K48" s="233">
        <v>8.5999999999999998E-4</v>
      </c>
      <c r="L48" s="233">
        <f>F48*K48</f>
        <v>0.10621</v>
      </c>
      <c r="M48" s="240" t="s">
        <v>472</v>
      </c>
      <c r="X48" s="233">
        <f>IF(AO48="5",BH48,0)</f>
        <v>0</v>
      </c>
      <c r="Z48" s="233">
        <f>IF(AO48="1",BF48,0)</f>
        <v>0</v>
      </c>
      <c r="AA48" s="233">
        <f>IF(AO48="1",BG48,0)</f>
        <v>0</v>
      </c>
      <c r="AB48" s="233">
        <f>IF(AO48="7",BF48,0)</f>
        <v>0</v>
      </c>
      <c r="AC48" s="233">
        <f>IF(AO48="7",BG48,0)</f>
        <v>0</v>
      </c>
      <c r="AD48" s="233">
        <f>IF(AO48="2",BF48,0)</f>
        <v>0</v>
      </c>
      <c r="AE48" s="233">
        <f>IF(AO48="2",BG48,0)</f>
        <v>0</v>
      </c>
      <c r="AF48" s="233">
        <f>IF(AO48="0",BH48,0)</f>
        <v>0</v>
      </c>
      <c r="AG48" s="229" t="s">
        <v>154</v>
      </c>
      <c r="AH48" s="233">
        <f>IF(AL48=0,J48,0)</f>
        <v>0</v>
      </c>
      <c r="AI48" s="233">
        <f>IF(AL48=15,J48,0)</f>
        <v>0</v>
      </c>
      <c r="AJ48" s="233">
        <f>IF(AL48=21,J48,0)</f>
        <v>0</v>
      </c>
      <c r="AL48" s="233">
        <v>15</v>
      </c>
      <c r="AM48" s="233">
        <f>G48*0.083527397</f>
        <v>0</v>
      </c>
      <c r="AN48" s="233">
        <f>G48*(1-0.083527397)</f>
        <v>0</v>
      </c>
      <c r="AO48" s="234" t="s">
        <v>157</v>
      </c>
      <c r="AT48" s="233">
        <f>AU48+AV48</f>
        <v>0</v>
      </c>
      <c r="AU48" s="233">
        <f>F48*AM48</f>
        <v>0</v>
      </c>
      <c r="AV48" s="233">
        <f>F48*AN48</f>
        <v>0</v>
      </c>
      <c r="AW48" s="234" t="s">
        <v>223</v>
      </c>
      <c r="AX48" s="234" t="s">
        <v>163</v>
      </c>
      <c r="AY48" s="229" t="s">
        <v>164</v>
      </c>
      <c r="BA48" s="233">
        <f>AU48+AV48</f>
        <v>0</v>
      </c>
      <c r="BB48" s="233">
        <f>G48/(100-BC48)*100</f>
        <v>0</v>
      </c>
      <c r="BC48" s="233">
        <v>0</v>
      </c>
      <c r="BD48" s="233">
        <f>L48</f>
        <v>0.10621</v>
      </c>
      <c r="BF48" s="233">
        <f>F48*AM48</f>
        <v>0</v>
      </c>
      <c r="BG48" s="233">
        <f>F48*AN48</f>
        <v>0</v>
      </c>
      <c r="BH48" s="233">
        <f>F48*G48</f>
        <v>0</v>
      </c>
      <c r="BI48" s="233"/>
      <c r="BJ48" s="233">
        <v>15</v>
      </c>
      <c r="BU48" s="233" t="e">
        <f>#REF!</f>
        <v>#REF!</v>
      </c>
      <c r="BV48" s="225" t="s">
        <v>222</v>
      </c>
    </row>
    <row r="49" spans="1:74" ht="40.5" customHeight="1" x14ac:dyDescent="0.3">
      <c r="A49" s="241"/>
      <c r="B49" s="242" t="s">
        <v>165</v>
      </c>
      <c r="C49" s="530" t="s">
        <v>2057</v>
      </c>
      <c r="D49" s="531"/>
      <c r="E49" s="531"/>
      <c r="F49" s="531"/>
      <c r="G49" s="531"/>
      <c r="H49" s="531"/>
      <c r="I49" s="531"/>
      <c r="J49" s="531"/>
      <c r="K49" s="531"/>
      <c r="L49" s="531"/>
      <c r="M49" s="532"/>
    </row>
    <row r="50" spans="1:74" ht="14.4" x14ac:dyDescent="0.3">
      <c r="A50" s="239" t="s">
        <v>224</v>
      </c>
      <c r="B50" s="223" t="s">
        <v>225</v>
      </c>
      <c r="C50" s="521" t="s">
        <v>226</v>
      </c>
      <c r="D50" s="519"/>
      <c r="E50" s="223" t="s">
        <v>180</v>
      </c>
      <c r="F50" s="233">
        <v>123.5</v>
      </c>
      <c r="G50" s="311">
        <v>0</v>
      </c>
      <c r="H50" s="233">
        <f>F50*AM50</f>
        <v>0</v>
      </c>
      <c r="I50" s="233">
        <f>F50*AN50</f>
        <v>0</v>
      </c>
      <c r="J50" s="233">
        <f>F50*G50</f>
        <v>0</v>
      </c>
      <c r="K50" s="233">
        <v>0</v>
      </c>
      <c r="L50" s="233">
        <f>F50*K50</f>
        <v>0</v>
      </c>
      <c r="M50" s="240" t="s">
        <v>472</v>
      </c>
      <c r="X50" s="233">
        <f>IF(AO50="5",BH50,0)</f>
        <v>0</v>
      </c>
      <c r="Z50" s="233">
        <f>IF(AO50="1",BF50,0)</f>
        <v>0</v>
      </c>
      <c r="AA50" s="233">
        <f>IF(AO50="1",BG50,0)</f>
        <v>0</v>
      </c>
      <c r="AB50" s="233">
        <f>IF(AO50="7",BF50,0)</f>
        <v>0</v>
      </c>
      <c r="AC50" s="233">
        <f>IF(AO50="7",BG50,0)</f>
        <v>0</v>
      </c>
      <c r="AD50" s="233">
        <f>IF(AO50="2",BF50,0)</f>
        <v>0</v>
      </c>
      <c r="AE50" s="233">
        <f>IF(AO50="2",BG50,0)</f>
        <v>0</v>
      </c>
      <c r="AF50" s="233">
        <f>IF(AO50="0",BH50,0)</f>
        <v>0</v>
      </c>
      <c r="AG50" s="229" t="s">
        <v>154</v>
      </c>
      <c r="AH50" s="233">
        <f>IF(AL50=0,J50,0)</f>
        <v>0</v>
      </c>
      <c r="AI50" s="233">
        <f>IF(AL50=15,J50,0)</f>
        <v>0</v>
      </c>
      <c r="AJ50" s="233">
        <f>IF(AL50=21,J50,0)</f>
        <v>0</v>
      </c>
      <c r="AL50" s="233">
        <v>15</v>
      </c>
      <c r="AM50" s="233">
        <f>G50*0</f>
        <v>0</v>
      </c>
      <c r="AN50" s="233">
        <f>G50*(1-0)</f>
        <v>0</v>
      </c>
      <c r="AO50" s="234" t="s">
        <v>157</v>
      </c>
      <c r="AT50" s="233">
        <f>AU50+AV50</f>
        <v>0</v>
      </c>
      <c r="AU50" s="233">
        <f>F50*AM50</f>
        <v>0</v>
      </c>
      <c r="AV50" s="233">
        <f>F50*AN50</f>
        <v>0</v>
      </c>
      <c r="AW50" s="234" t="s">
        <v>223</v>
      </c>
      <c r="AX50" s="234" t="s">
        <v>163</v>
      </c>
      <c r="AY50" s="229" t="s">
        <v>164</v>
      </c>
      <c r="BA50" s="233">
        <f>AU50+AV50</f>
        <v>0</v>
      </c>
      <c r="BB50" s="233">
        <f>G50/(100-BC50)*100</f>
        <v>0</v>
      </c>
      <c r="BC50" s="233">
        <v>0</v>
      </c>
      <c r="BD50" s="233">
        <f>L50</f>
        <v>0</v>
      </c>
      <c r="BF50" s="233">
        <f>F50*AM50</f>
        <v>0</v>
      </c>
      <c r="BG50" s="233">
        <f>F50*AN50</f>
        <v>0</v>
      </c>
      <c r="BH50" s="233">
        <f>F50*G50</f>
        <v>0</v>
      </c>
      <c r="BI50" s="233"/>
      <c r="BJ50" s="233">
        <v>15</v>
      </c>
      <c r="BU50" s="233" t="e">
        <f>#REF!</f>
        <v>#REF!</v>
      </c>
      <c r="BV50" s="225" t="s">
        <v>226</v>
      </c>
    </row>
    <row r="51" spans="1:74" ht="40.5" customHeight="1" x14ac:dyDescent="0.3">
      <c r="A51" s="241"/>
      <c r="B51" s="242" t="s">
        <v>165</v>
      </c>
      <c r="C51" s="530" t="s">
        <v>2058</v>
      </c>
      <c r="D51" s="531"/>
      <c r="E51" s="531"/>
      <c r="F51" s="531"/>
      <c r="G51" s="531"/>
      <c r="H51" s="531"/>
      <c r="I51" s="531"/>
      <c r="J51" s="531"/>
      <c r="K51" s="531"/>
      <c r="L51" s="531"/>
      <c r="M51" s="532"/>
    </row>
    <row r="52" spans="1:74" ht="14.4" x14ac:dyDescent="0.3">
      <c r="A52" s="239" t="s">
        <v>154</v>
      </c>
      <c r="B52" s="224" t="s">
        <v>215</v>
      </c>
      <c r="C52" s="526" t="s">
        <v>227</v>
      </c>
      <c r="D52" s="527"/>
      <c r="E52" s="223" t="s">
        <v>114</v>
      </c>
      <c r="F52" s="223" t="s">
        <v>114</v>
      </c>
      <c r="G52" s="223" t="s">
        <v>114</v>
      </c>
      <c r="H52" s="235">
        <f>SUM(H53:H71)</f>
        <v>0</v>
      </c>
      <c r="I52" s="235">
        <f>SUM(I53:I71)</f>
        <v>0</v>
      </c>
      <c r="J52" s="235">
        <f>SUM(J53:J71)</f>
        <v>0</v>
      </c>
      <c r="K52" s="230" t="s">
        <v>154</v>
      </c>
      <c r="L52" s="235">
        <f>SUM(L53:L71)</f>
        <v>0</v>
      </c>
      <c r="M52" s="243" t="s">
        <v>154</v>
      </c>
      <c r="AG52" s="229" t="s">
        <v>154</v>
      </c>
      <c r="AQ52" s="222">
        <f>SUM(AH53:AH71)</f>
        <v>0</v>
      </c>
      <c r="AR52" s="222">
        <f>SUM(AI53:AI71)</f>
        <v>0</v>
      </c>
      <c r="AS52" s="222">
        <f>SUM(AJ53:AJ71)</f>
        <v>0</v>
      </c>
    </row>
    <row r="53" spans="1:74" ht="14.4" x14ac:dyDescent="0.3">
      <c r="A53" s="239" t="s">
        <v>228</v>
      </c>
      <c r="B53" s="223" t="s">
        <v>229</v>
      </c>
      <c r="C53" s="521" t="s">
        <v>230</v>
      </c>
      <c r="D53" s="519"/>
      <c r="E53" s="223" t="s">
        <v>196</v>
      </c>
      <c r="F53" s="233">
        <v>6.4</v>
      </c>
      <c r="G53" s="311">
        <v>0</v>
      </c>
      <c r="H53" s="233">
        <f>F53*AM53</f>
        <v>0</v>
      </c>
      <c r="I53" s="233">
        <f>F53*AN53</f>
        <v>0</v>
      </c>
      <c r="J53" s="233">
        <f>F53*G53</f>
        <v>0</v>
      </c>
      <c r="K53" s="233">
        <v>0</v>
      </c>
      <c r="L53" s="233">
        <f>F53*K53</f>
        <v>0</v>
      </c>
      <c r="M53" s="240" t="s">
        <v>472</v>
      </c>
      <c r="X53" s="233">
        <f>IF(AO53="5",BH53,0)</f>
        <v>0</v>
      </c>
      <c r="Z53" s="233">
        <f>IF(AO53="1",BF53,0)</f>
        <v>0</v>
      </c>
      <c r="AA53" s="233">
        <f>IF(AO53="1",BG53,0)</f>
        <v>0</v>
      </c>
      <c r="AB53" s="233">
        <f>IF(AO53="7",BF53,0)</f>
        <v>0</v>
      </c>
      <c r="AC53" s="233">
        <f>IF(AO53="7",BG53,0)</f>
        <v>0</v>
      </c>
      <c r="AD53" s="233">
        <f>IF(AO53="2",BF53,0)</f>
        <v>0</v>
      </c>
      <c r="AE53" s="233">
        <f>IF(AO53="2",BG53,0)</f>
        <v>0</v>
      </c>
      <c r="AF53" s="233">
        <f>IF(AO53="0",BH53,0)</f>
        <v>0</v>
      </c>
      <c r="AG53" s="229" t="s">
        <v>154</v>
      </c>
      <c r="AH53" s="233">
        <f>IF(AL53=0,J53,0)</f>
        <v>0</v>
      </c>
      <c r="AI53" s="233">
        <f>IF(AL53=15,J53,0)</f>
        <v>0</v>
      </c>
      <c r="AJ53" s="233">
        <f>IF(AL53=21,J53,0)</f>
        <v>0</v>
      </c>
      <c r="AL53" s="233">
        <v>15</v>
      </c>
      <c r="AM53" s="233">
        <f>G53*0</f>
        <v>0</v>
      </c>
      <c r="AN53" s="233">
        <f>G53*(1-0)</f>
        <v>0</v>
      </c>
      <c r="AO53" s="234" t="s">
        <v>157</v>
      </c>
      <c r="AT53" s="233">
        <f>AU53+AV53</f>
        <v>0</v>
      </c>
      <c r="AU53" s="233">
        <f>F53*AM53</f>
        <v>0</v>
      </c>
      <c r="AV53" s="233">
        <f>F53*AN53</f>
        <v>0</v>
      </c>
      <c r="AW53" s="234" t="s">
        <v>231</v>
      </c>
      <c r="AX53" s="234" t="s">
        <v>163</v>
      </c>
      <c r="AY53" s="229" t="s">
        <v>164</v>
      </c>
      <c r="BA53" s="233">
        <f>AU53+AV53</f>
        <v>0</v>
      </c>
      <c r="BB53" s="233">
        <f>G53/(100-BC53)*100</f>
        <v>0</v>
      </c>
      <c r="BC53" s="233">
        <v>0</v>
      </c>
      <c r="BD53" s="233">
        <f>L53</f>
        <v>0</v>
      </c>
      <c r="BF53" s="233">
        <f>F53*AM53</f>
        <v>0</v>
      </c>
      <c r="BG53" s="233">
        <f>F53*AN53</f>
        <v>0</v>
      </c>
      <c r="BH53" s="233">
        <f>F53*G53</f>
        <v>0</v>
      </c>
      <c r="BI53" s="233"/>
      <c r="BJ53" s="233">
        <v>16</v>
      </c>
      <c r="BU53" s="233" t="e">
        <f>#REF!</f>
        <v>#REF!</v>
      </c>
      <c r="BV53" s="225" t="s">
        <v>230</v>
      </c>
    </row>
    <row r="54" spans="1:74" ht="67.5" customHeight="1" x14ac:dyDescent="0.3">
      <c r="A54" s="241"/>
      <c r="B54" s="242" t="s">
        <v>165</v>
      </c>
      <c r="C54" s="530" t="s">
        <v>2059</v>
      </c>
      <c r="D54" s="531"/>
      <c r="E54" s="531"/>
      <c r="F54" s="531"/>
      <c r="G54" s="531"/>
      <c r="H54" s="531"/>
      <c r="I54" s="531"/>
      <c r="J54" s="531"/>
      <c r="K54" s="531"/>
      <c r="L54" s="531"/>
      <c r="M54" s="532"/>
    </row>
    <row r="55" spans="1:74" ht="14.4" x14ac:dyDescent="0.3">
      <c r="A55" s="239" t="s">
        <v>232</v>
      </c>
      <c r="B55" s="223" t="s">
        <v>233</v>
      </c>
      <c r="C55" s="521" t="s">
        <v>234</v>
      </c>
      <c r="D55" s="519"/>
      <c r="E55" s="223" t="s">
        <v>196</v>
      </c>
      <c r="F55" s="233">
        <v>0.4</v>
      </c>
      <c r="G55" s="311">
        <v>0</v>
      </c>
      <c r="H55" s="233">
        <f>F55*AM55</f>
        <v>0</v>
      </c>
      <c r="I55" s="233">
        <f>F55*AN55</f>
        <v>0</v>
      </c>
      <c r="J55" s="233">
        <f>F55*G55</f>
        <v>0</v>
      </c>
      <c r="K55" s="233">
        <v>0</v>
      </c>
      <c r="L55" s="233">
        <f>F55*K55</f>
        <v>0</v>
      </c>
      <c r="M55" s="240" t="s">
        <v>472</v>
      </c>
      <c r="X55" s="233">
        <f>IF(AO55="5",BH55,0)</f>
        <v>0</v>
      </c>
      <c r="Z55" s="233">
        <f>IF(AO55="1",BF55,0)</f>
        <v>0</v>
      </c>
      <c r="AA55" s="233">
        <f>IF(AO55="1",BG55,0)</f>
        <v>0</v>
      </c>
      <c r="AB55" s="233">
        <f>IF(AO55="7",BF55,0)</f>
        <v>0</v>
      </c>
      <c r="AC55" s="233">
        <f>IF(AO55="7",BG55,0)</f>
        <v>0</v>
      </c>
      <c r="AD55" s="233">
        <f>IF(AO55="2",BF55,0)</f>
        <v>0</v>
      </c>
      <c r="AE55" s="233">
        <f>IF(AO55="2",BG55,0)</f>
        <v>0</v>
      </c>
      <c r="AF55" s="233">
        <f>IF(AO55="0",BH55,0)</f>
        <v>0</v>
      </c>
      <c r="AG55" s="229" t="s">
        <v>154</v>
      </c>
      <c r="AH55" s="233">
        <f>IF(AL55=0,J55,0)</f>
        <v>0</v>
      </c>
      <c r="AI55" s="233">
        <f>IF(AL55=15,J55,0)</f>
        <v>0</v>
      </c>
      <c r="AJ55" s="233">
        <f>IF(AL55=21,J55,0)</f>
        <v>0</v>
      </c>
      <c r="AL55" s="233">
        <v>15</v>
      </c>
      <c r="AM55" s="233">
        <f>G55*0</f>
        <v>0</v>
      </c>
      <c r="AN55" s="233">
        <f>G55*(1-0)</f>
        <v>0</v>
      </c>
      <c r="AO55" s="234" t="s">
        <v>157</v>
      </c>
      <c r="AT55" s="233">
        <f>AU55+AV55</f>
        <v>0</v>
      </c>
      <c r="AU55" s="233">
        <f>F55*AM55</f>
        <v>0</v>
      </c>
      <c r="AV55" s="233">
        <f>F55*AN55</f>
        <v>0</v>
      </c>
      <c r="AW55" s="234" t="s">
        <v>231</v>
      </c>
      <c r="AX55" s="234" t="s">
        <v>163</v>
      </c>
      <c r="AY55" s="229" t="s">
        <v>164</v>
      </c>
      <c r="BA55" s="233">
        <f>AU55+AV55</f>
        <v>0</v>
      </c>
      <c r="BB55" s="233">
        <f>G55/(100-BC55)*100</f>
        <v>0</v>
      </c>
      <c r="BC55" s="233">
        <v>0</v>
      </c>
      <c r="BD55" s="233">
        <f>L55</f>
        <v>0</v>
      </c>
      <c r="BF55" s="233">
        <f>F55*AM55</f>
        <v>0</v>
      </c>
      <c r="BG55" s="233">
        <f>F55*AN55</f>
        <v>0</v>
      </c>
      <c r="BH55" s="233">
        <f>F55*G55</f>
        <v>0</v>
      </c>
      <c r="BI55" s="233"/>
      <c r="BJ55" s="233">
        <v>16</v>
      </c>
      <c r="BU55" s="233" t="e">
        <f>#REF!</f>
        <v>#REF!</v>
      </c>
      <c r="BV55" s="225" t="s">
        <v>234</v>
      </c>
    </row>
    <row r="56" spans="1:74" ht="67.5" customHeight="1" x14ac:dyDescent="0.3">
      <c r="A56" s="241"/>
      <c r="B56" s="242" t="s">
        <v>165</v>
      </c>
      <c r="C56" s="530" t="s">
        <v>2060</v>
      </c>
      <c r="D56" s="531"/>
      <c r="E56" s="531"/>
      <c r="F56" s="531"/>
      <c r="G56" s="531"/>
      <c r="H56" s="531"/>
      <c r="I56" s="531"/>
      <c r="J56" s="531"/>
      <c r="K56" s="531"/>
      <c r="L56" s="531"/>
      <c r="M56" s="532"/>
    </row>
    <row r="57" spans="1:74" ht="14.4" x14ac:dyDescent="0.3">
      <c r="A57" s="239" t="s">
        <v>235</v>
      </c>
      <c r="B57" s="223" t="s">
        <v>236</v>
      </c>
      <c r="C57" s="521" t="s">
        <v>237</v>
      </c>
      <c r="D57" s="519"/>
      <c r="E57" s="223" t="s">
        <v>196</v>
      </c>
      <c r="F57" s="233">
        <v>88.47</v>
      </c>
      <c r="G57" s="311">
        <v>0</v>
      </c>
      <c r="H57" s="233">
        <f>F57*AM57</f>
        <v>0</v>
      </c>
      <c r="I57" s="233">
        <f>F57*AN57</f>
        <v>0</v>
      </c>
      <c r="J57" s="233">
        <f>F57*G57</f>
        <v>0</v>
      </c>
      <c r="K57" s="233">
        <v>0</v>
      </c>
      <c r="L57" s="233">
        <f>F57*K57</f>
        <v>0</v>
      </c>
      <c r="M57" s="240" t="s">
        <v>472</v>
      </c>
      <c r="X57" s="233">
        <f>IF(AO57="5",BH57,0)</f>
        <v>0</v>
      </c>
      <c r="Z57" s="233">
        <f>IF(AO57="1",BF57,0)</f>
        <v>0</v>
      </c>
      <c r="AA57" s="233">
        <f>IF(AO57="1",BG57,0)</f>
        <v>0</v>
      </c>
      <c r="AB57" s="233">
        <f>IF(AO57="7",BF57,0)</f>
        <v>0</v>
      </c>
      <c r="AC57" s="233">
        <f>IF(AO57="7",BG57,0)</f>
        <v>0</v>
      </c>
      <c r="AD57" s="233">
        <f>IF(AO57="2",BF57,0)</f>
        <v>0</v>
      </c>
      <c r="AE57" s="233">
        <f>IF(AO57="2",BG57,0)</f>
        <v>0</v>
      </c>
      <c r="AF57" s="233">
        <f>IF(AO57="0",BH57,0)</f>
        <v>0</v>
      </c>
      <c r="AG57" s="229" t="s">
        <v>154</v>
      </c>
      <c r="AH57" s="233">
        <f>IF(AL57=0,J57,0)</f>
        <v>0</v>
      </c>
      <c r="AI57" s="233">
        <f>IF(AL57=15,J57,0)</f>
        <v>0</v>
      </c>
      <c r="AJ57" s="233">
        <f>IF(AL57=21,J57,0)</f>
        <v>0</v>
      </c>
      <c r="AL57" s="233">
        <v>15</v>
      </c>
      <c r="AM57" s="233">
        <f>G57*0</f>
        <v>0</v>
      </c>
      <c r="AN57" s="233">
        <f>G57*(1-0)</f>
        <v>0</v>
      </c>
      <c r="AO57" s="234" t="s">
        <v>157</v>
      </c>
      <c r="AT57" s="233">
        <f>AU57+AV57</f>
        <v>0</v>
      </c>
      <c r="AU57" s="233">
        <f>F57*AM57</f>
        <v>0</v>
      </c>
      <c r="AV57" s="233">
        <f>F57*AN57</f>
        <v>0</v>
      </c>
      <c r="AW57" s="234" t="s">
        <v>231</v>
      </c>
      <c r="AX57" s="234" t="s">
        <v>163</v>
      </c>
      <c r="AY57" s="229" t="s">
        <v>164</v>
      </c>
      <c r="BA57" s="233">
        <f>AU57+AV57</f>
        <v>0</v>
      </c>
      <c r="BB57" s="233">
        <f>G57/(100-BC57)*100</f>
        <v>0</v>
      </c>
      <c r="BC57" s="233">
        <v>0</v>
      </c>
      <c r="BD57" s="233">
        <f>L57</f>
        <v>0</v>
      </c>
      <c r="BF57" s="233">
        <f>F57*AM57</f>
        <v>0</v>
      </c>
      <c r="BG57" s="233">
        <f>F57*AN57</f>
        <v>0</v>
      </c>
      <c r="BH57" s="233">
        <f>F57*G57</f>
        <v>0</v>
      </c>
      <c r="BI57" s="233"/>
      <c r="BJ57" s="233">
        <v>16</v>
      </c>
      <c r="BU57" s="233" t="e">
        <f>#REF!</f>
        <v>#REF!</v>
      </c>
      <c r="BV57" s="225" t="s">
        <v>237</v>
      </c>
    </row>
    <row r="58" spans="1:74" ht="67.5" customHeight="1" x14ac:dyDescent="0.3">
      <c r="A58" s="241"/>
      <c r="B58" s="242" t="s">
        <v>165</v>
      </c>
      <c r="C58" s="530" t="s">
        <v>2061</v>
      </c>
      <c r="D58" s="531"/>
      <c r="E58" s="531"/>
      <c r="F58" s="531"/>
      <c r="G58" s="531"/>
      <c r="H58" s="531"/>
      <c r="I58" s="531"/>
      <c r="J58" s="531"/>
      <c r="K58" s="531"/>
      <c r="L58" s="531"/>
      <c r="M58" s="532"/>
    </row>
    <row r="59" spans="1:74" ht="14.4" x14ac:dyDescent="0.3">
      <c r="A59" s="239" t="s">
        <v>238</v>
      </c>
      <c r="B59" s="223" t="s">
        <v>239</v>
      </c>
      <c r="C59" s="521" t="s">
        <v>240</v>
      </c>
      <c r="D59" s="519"/>
      <c r="E59" s="223" t="s">
        <v>196</v>
      </c>
      <c r="F59" s="233">
        <v>1238.58</v>
      </c>
      <c r="G59" s="311">
        <v>0</v>
      </c>
      <c r="H59" s="233">
        <f>F59*AM59</f>
        <v>0</v>
      </c>
      <c r="I59" s="233">
        <f>F59*AN59</f>
        <v>0</v>
      </c>
      <c r="J59" s="233">
        <f>F59*G59</f>
        <v>0</v>
      </c>
      <c r="K59" s="233">
        <v>0</v>
      </c>
      <c r="L59" s="233">
        <f>F59*K59</f>
        <v>0</v>
      </c>
      <c r="M59" s="240" t="s">
        <v>472</v>
      </c>
      <c r="X59" s="233">
        <f>IF(AO59="5",BH59,0)</f>
        <v>0</v>
      </c>
      <c r="Z59" s="233">
        <f>IF(AO59="1",BF59,0)</f>
        <v>0</v>
      </c>
      <c r="AA59" s="233">
        <f>IF(AO59="1",BG59,0)</f>
        <v>0</v>
      </c>
      <c r="AB59" s="233">
        <f>IF(AO59="7",BF59,0)</f>
        <v>0</v>
      </c>
      <c r="AC59" s="233">
        <f>IF(AO59="7",BG59,0)</f>
        <v>0</v>
      </c>
      <c r="AD59" s="233">
        <f>IF(AO59="2",BF59,0)</f>
        <v>0</v>
      </c>
      <c r="AE59" s="233">
        <f>IF(AO59="2",BG59,0)</f>
        <v>0</v>
      </c>
      <c r="AF59" s="233">
        <f>IF(AO59="0",BH59,0)</f>
        <v>0</v>
      </c>
      <c r="AG59" s="229" t="s">
        <v>154</v>
      </c>
      <c r="AH59" s="233">
        <f>IF(AL59=0,J59,0)</f>
        <v>0</v>
      </c>
      <c r="AI59" s="233">
        <f>IF(AL59=15,J59,0)</f>
        <v>0</v>
      </c>
      <c r="AJ59" s="233">
        <f>IF(AL59=21,J59,0)</f>
        <v>0</v>
      </c>
      <c r="AL59" s="233">
        <v>15</v>
      </c>
      <c r="AM59" s="233">
        <f>G59*0</f>
        <v>0</v>
      </c>
      <c r="AN59" s="233">
        <f>G59*(1-0)</f>
        <v>0</v>
      </c>
      <c r="AO59" s="234" t="s">
        <v>157</v>
      </c>
      <c r="AT59" s="233">
        <f>AU59+AV59</f>
        <v>0</v>
      </c>
      <c r="AU59" s="233">
        <f>F59*AM59</f>
        <v>0</v>
      </c>
      <c r="AV59" s="233">
        <f>F59*AN59</f>
        <v>0</v>
      </c>
      <c r="AW59" s="234" t="s">
        <v>231</v>
      </c>
      <c r="AX59" s="234" t="s">
        <v>163</v>
      </c>
      <c r="AY59" s="229" t="s">
        <v>164</v>
      </c>
      <c r="BA59" s="233">
        <f>AU59+AV59</f>
        <v>0</v>
      </c>
      <c r="BB59" s="233">
        <f>G59/(100-BC59)*100</f>
        <v>0</v>
      </c>
      <c r="BC59" s="233">
        <v>0</v>
      </c>
      <c r="BD59" s="233">
        <f>L59</f>
        <v>0</v>
      </c>
      <c r="BF59" s="233">
        <f>F59*AM59</f>
        <v>0</v>
      </c>
      <c r="BG59" s="233">
        <f>F59*AN59</f>
        <v>0</v>
      </c>
      <c r="BH59" s="233">
        <f>F59*G59</f>
        <v>0</v>
      </c>
      <c r="BI59" s="233"/>
      <c r="BJ59" s="233">
        <v>16</v>
      </c>
      <c r="BU59" s="233" t="e">
        <f>#REF!</f>
        <v>#REF!</v>
      </c>
      <c r="BV59" s="225" t="s">
        <v>240</v>
      </c>
    </row>
    <row r="60" spans="1:74" ht="54" customHeight="1" x14ac:dyDescent="0.3">
      <c r="A60" s="241"/>
      <c r="B60" s="242" t="s">
        <v>165</v>
      </c>
      <c r="C60" s="530" t="s">
        <v>2062</v>
      </c>
      <c r="D60" s="531"/>
      <c r="E60" s="531"/>
      <c r="F60" s="531"/>
      <c r="G60" s="531"/>
      <c r="H60" s="531"/>
      <c r="I60" s="531"/>
      <c r="J60" s="531"/>
      <c r="K60" s="531"/>
      <c r="L60" s="531"/>
      <c r="M60" s="532"/>
    </row>
    <row r="61" spans="1:74" ht="14.4" x14ac:dyDescent="0.3">
      <c r="A61" s="239" t="s">
        <v>241</v>
      </c>
      <c r="B61" s="223" t="s">
        <v>242</v>
      </c>
      <c r="C61" s="521" t="s">
        <v>243</v>
      </c>
      <c r="D61" s="519"/>
      <c r="E61" s="223" t="s">
        <v>196</v>
      </c>
      <c r="F61" s="233">
        <v>13.23</v>
      </c>
      <c r="G61" s="311">
        <v>0</v>
      </c>
      <c r="H61" s="233">
        <f>F61*AM61</f>
        <v>0</v>
      </c>
      <c r="I61" s="233">
        <f>F61*AN61</f>
        <v>0</v>
      </c>
      <c r="J61" s="233">
        <f>F61*G61</f>
        <v>0</v>
      </c>
      <c r="K61" s="233">
        <v>0</v>
      </c>
      <c r="L61" s="233">
        <f>F61*K61</f>
        <v>0</v>
      </c>
      <c r="M61" s="240" t="s">
        <v>472</v>
      </c>
      <c r="X61" s="233">
        <f>IF(AO61="5",BH61,0)</f>
        <v>0</v>
      </c>
      <c r="Z61" s="233">
        <f>IF(AO61="1",BF61,0)</f>
        <v>0</v>
      </c>
      <c r="AA61" s="233">
        <f>IF(AO61="1",BG61,0)</f>
        <v>0</v>
      </c>
      <c r="AB61" s="233">
        <f>IF(AO61="7",BF61,0)</f>
        <v>0</v>
      </c>
      <c r="AC61" s="233">
        <f>IF(AO61="7",BG61,0)</f>
        <v>0</v>
      </c>
      <c r="AD61" s="233">
        <f>IF(AO61="2",BF61,0)</f>
        <v>0</v>
      </c>
      <c r="AE61" s="233">
        <f>IF(AO61="2",BG61,0)</f>
        <v>0</v>
      </c>
      <c r="AF61" s="233">
        <f>IF(AO61="0",BH61,0)</f>
        <v>0</v>
      </c>
      <c r="AG61" s="229" t="s">
        <v>154</v>
      </c>
      <c r="AH61" s="233">
        <f>IF(AL61=0,J61,0)</f>
        <v>0</v>
      </c>
      <c r="AI61" s="233">
        <f>IF(AL61=15,J61,0)</f>
        <v>0</v>
      </c>
      <c r="AJ61" s="233">
        <f>IF(AL61=21,J61,0)</f>
        <v>0</v>
      </c>
      <c r="AL61" s="233">
        <v>15</v>
      </c>
      <c r="AM61" s="233">
        <f>G61*0</f>
        <v>0</v>
      </c>
      <c r="AN61" s="233">
        <f>G61*(1-0)</f>
        <v>0</v>
      </c>
      <c r="AO61" s="234" t="s">
        <v>157</v>
      </c>
      <c r="AT61" s="233">
        <f>AU61+AV61</f>
        <v>0</v>
      </c>
      <c r="AU61" s="233">
        <f>F61*AM61</f>
        <v>0</v>
      </c>
      <c r="AV61" s="233">
        <f>F61*AN61</f>
        <v>0</v>
      </c>
      <c r="AW61" s="234" t="s">
        <v>231</v>
      </c>
      <c r="AX61" s="234" t="s">
        <v>163</v>
      </c>
      <c r="AY61" s="229" t="s">
        <v>164</v>
      </c>
      <c r="BA61" s="233">
        <f>AU61+AV61</f>
        <v>0</v>
      </c>
      <c r="BB61" s="233">
        <f>G61/(100-BC61)*100</f>
        <v>0</v>
      </c>
      <c r="BC61" s="233">
        <v>0</v>
      </c>
      <c r="BD61" s="233">
        <f>L61</f>
        <v>0</v>
      </c>
      <c r="BF61" s="233">
        <f>F61*AM61</f>
        <v>0</v>
      </c>
      <c r="BG61" s="233">
        <f>F61*AN61</f>
        <v>0</v>
      </c>
      <c r="BH61" s="233">
        <f>F61*G61</f>
        <v>0</v>
      </c>
      <c r="BI61" s="233"/>
      <c r="BJ61" s="233">
        <v>16</v>
      </c>
      <c r="BU61" s="233" t="e">
        <f>#REF!</f>
        <v>#REF!</v>
      </c>
      <c r="BV61" s="225" t="s">
        <v>243</v>
      </c>
    </row>
    <row r="62" spans="1:74" ht="54" customHeight="1" x14ac:dyDescent="0.3">
      <c r="A62" s="241"/>
      <c r="B62" s="242" t="s">
        <v>165</v>
      </c>
      <c r="C62" s="530" t="s">
        <v>2063</v>
      </c>
      <c r="D62" s="531"/>
      <c r="E62" s="531"/>
      <c r="F62" s="531"/>
      <c r="G62" s="531"/>
      <c r="H62" s="531"/>
      <c r="I62" s="531"/>
      <c r="J62" s="531"/>
      <c r="K62" s="531"/>
      <c r="L62" s="531"/>
      <c r="M62" s="532"/>
    </row>
    <row r="63" spans="1:74" ht="14.4" x14ac:dyDescent="0.3">
      <c r="A63" s="239" t="s">
        <v>244</v>
      </c>
      <c r="B63" s="223" t="s">
        <v>245</v>
      </c>
      <c r="C63" s="521" t="s">
        <v>246</v>
      </c>
      <c r="D63" s="519"/>
      <c r="E63" s="223" t="s">
        <v>196</v>
      </c>
      <c r="F63" s="233">
        <v>185.22</v>
      </c>
      <c r="G63" s="311">
        <v>0</v>
      </c>
      <c r="H63" s="233">
        <f>F63*AM63</f>
        <v>0</v>
      </c>
      <c r="I63" s="233">
        <f>F63*AN63</f>
        <v>0</v>
      </c>
      <c r="J63" s="233">
        <f>F63*G63</f>
        <v>0</v>
      </c>
      <c r="K63" s="233">
        <v>0</v>
      </c>
      <c r="L63" s="233">
        <f>F63*K63</f>
        <v>0</v>
      </c>
      <c r="M63" s="240" t="s">
        <v>472</v>
      </c>
      <c r="X63" s="233">
        <f>IF(AO63="5",BH63,0)</f>
        <v>0</v>
      </c>
      <c r="Z63" s="233">
        <f>IF(AO63="1",BF63,0)</f>
        <v>0</v>
      </c>
      <c r="AA63" s="233">
        <f>IF(AO63="1",BG63,0)</f>
        <v>0</v>
      </c>
      <c r="AB63" s="233">
        <f>IF(AO63="7",BF63,0)</f>
        <v>0</v>
      </c>
      <c r="AC63" s="233">
        <f>IF(AO63="7",BG63,0)</f>
        <v>0</v>
      </c>
      <c r="AD63" s="233">
        <f>IF(AO63="2",BF63,0)</f>
        <v>0</v>
      </c>
      <c r="AE63" s="233">
        <f>IF(AO63="2",BG63,0)</f>
        <v>0</v>
      </c>
      <c r="AF63" s="233">
        <f>IF(AO63="0",BH63,0)</f>
        <v>0</v>
      </c>
      <c r="AG63" s="229" t="s">
        <v>154</v>
      </c>
      <c r="AH63" s="233">
        <f>IF(AL63=0,J63,0)</f>
        <v>0</v>
      </c>
      <c r="AI63" s="233">
        <f>IF(AL63=15,J63,0)</f>
        <v>0</v>
      </c>
      <c r="AJ63" s="233">
        <f>IF(AL63=21,J63,0)</f>
        <v>0</v>
      </c>
      <c r="AL63" s="233">
        <v>15</v>
      </c>
      <c r="AM63" s="233">
        <f>G63*0</f>
        <v>0</v>
      </c>
      <c r="AN63" s="233">
        <f>G63*(1-0)</f>
        <v>0</v>
      </c>
      <c r="AO63" s="234" t="s">
        <v>157</v>
      </c>
      <c r="AT63" s="233">
        <f>AU63+AV63</f>
        <v>0</v>
      </c>
      <c r="AU63" s="233">
        <f>F63*AM63</f>
        <v>0</v>
      </c>
      <c r="AV63" s="233">
        <f>F63*AN63</f>
        <v>0</v>
      </c>
      <c r="AW63" s="234" t="s">
        <v>231</v>
      </c>
      <c r="AX63" s="234" t="s">
        <v>163</v>
      </c>
      <c r="AY63" s="229" t="s">
        <v>164</v>
      </c>
      <c r="BA63" s="233">
        <f>AU63+AV63</f>
        <v>0</v>
      </c>
      <c r="BB63" s="233">
        <f>G63/(100-BC63)*100</f>
        <v>0</v>
      </c>
      <c r="BC63" s="233">
        <v>0</v>
      </c>
      <c r="BD63" s="233">
        <f>L63</f>
        <v>0</v>
      </c>
      <c r="BF63" s="233">
        <f>F63*AM63</f>
        <v>0</v>
      </c>
      <c r="BG63" s="233">
        <f>F63*AN63</f>
        <v>0</v>
      </c>
      <c r="BH63" s="233">
        <f>F63*G63</f>
        <v>0</v>
      </c>
      <c r="BI63" s="233"/>
      <c r="BJ63" s="233">
        <v>16</v>
      </c>
      <c r="BU63" s="233" t="e">
        <f>#REF!</f>
        <v>#REF!</v>
      </c>
      <c r="BV63" s="225" t="s">
        <v>246</v>
      </c>
    </row>
    <row r="64" spans="1:74" ht="54" customHeight="1" x14ac:dyDescent="0.3">
      <c r="A64" s="241"/>
      <c r="B64" s="242" t="s">
        <v>165</v>
      </c>
      <c r="C64" s="530" t="s">
        <v>2064</v>
      </c>
      <c r="D64" s="531"/>
      <c r="E64" s="531"/>
      <c r="F64" s="531"/>
      <c r="G64" s="531"/>
      <c r="H64" s="531"/>
      <c r="I64" s="531"/>
      <c r="J64" s="531"/>
      <c r="K64" s="531"/>
      <c r="L64" s="531"/>
      <c r="M64" s="532"/>
    </row>
    <row r="65" spans="1:74" ht="14.4" x14ac:dyDescent="0.3">
      <c r="A65" s="239" t="s">
        <v>247</v>
      </c>
      <c r="B65" s="223" t="s">
        <v>248</v>
      </c>
      <c r="C65" s="521" t="s">
        <v>249</v>
      </c>
      <c r="D65" s="519"/>
      <c r="E65" s="223" t="s">
        <v>196</v>
      </c>
      <c r="F65" s="233">
        <v>249.84</v>
      </c>
      <c r="G65" s="311">
        <v>0</v>
      </c>
      <c r="H65" s="233">
        <f>F65*AM65</f>
        <v>0</v>
      </c>
      <c r="I65" s="233">
        <f>F65*AN65</f>
        <v>0</v>
      </c>
      <c r="J65" s="233">
        <f>F65*G65</f>
        <v>0</v>
      </c>
      <c r="K65" s="233">
        <v>0</v>
      </c>
      <c r="L65" s="233">
        <f>F65*K65</f>
        <v>0</v>
      </c>
      <c r="M65" s="240" t="s">
        <v>472</v>
      </c>
      <c r="X65" s="233">
        <f>IF(AO65="5",BH65,0)</f>
        <v>0</v>
      </c>
      <c r="Z65" s="233">
        <f>IF(AO65="1",BF65,0)</f>
        <v>0</v>
      </c>
      <c r="AA65" s="233">
        <f>IF(AO65="1",BG65,0)</f>
        <v>0</v>
      </c>
      <c r="AB65" s="233">
        <f>IF(AO65="7",BF65,0)</f>
        <v>0</v>
      </c>
      <c r="AC65" s="233">
        <f>IF(AO65="7",BG65,0)</f>
        <v>0</v>
      </c>
      <c r="AD65" s="233">
        <f>IF(AO65="2",BF65,0)</f>
        <v>0</v>
      </c>
      <c r="AE65" s="233">
        <f>IF(AO65="2",BG65,0)</f>
        <v>0</v>
      </c>
      <c r="AF65" s="233">
        <f>IF(AO65="0",BH65,0)</f>
        <v>0</v>
      </c>
      <c r="AG65" s="229" t="s">
        <v>154</v>
      </c>
      <c r="AH65" s="233">
        <f>IF(AL65=0,J65,0)</f>
        <v>0</v>
      </c>
      <c r="AI65" s="233">
        <f>IF(AL65=15,J65,0)</f>
        <v>0</v>
      </c>
      <c r="AJ65" s="233">
        <f>IF(AL65=21,J65,0)</f>
        <v>0</v>
      </c>
      <c r="AL65" s="233">
        <v>15</v>
      </c>
      <c r="AM65" s="233">
        <f>G65*0</f>
        <v>0</v>
      </c>
      <c r="AN65" s="233">
        <f>G65*(1-0)</f>
        <v>0</v>
      </c>
      <c r="AO65" s="234" t="s">
        <v>157</v>
      </c>
      <c r="AT65" s="233">
        <f>AU65+AV65</f>
        <v>0</v>
      </c>
      <c r="AU65" s="233">
        <f>F65*AM65</f>
        <v>0</v>
      </c>
      <c r="AV65" s="233">
        <f>F65*AN65</f>
        <v>0</v>
      </c>
      <c r="AW65" s="234" t="s">
        <v>231</v>
      </c>
      <c r="AX65" s="234" t="s">
        <v>163</v>
      </c>
      <c r="AY65" s="229" t="s">
        <v>164</v>
      </c>
      <c r="BA65" s="233">
        <f>AU65+AV65</f>
        <v>0</v>
      </c>
      <c r="BB65" s="233">
        <f>G65/(100-BC65)*100</f>
        <v>0</v>
      </c>
      <c r="BC65" s="233">
        <v>0</v>
      </c>
      <c r="BD65" s="233">
        <f>L65</f>
        <v>0</v>
      </c>
      <c r="BF65" s="233">
        <f>F65*AM65</f>
        <v>0</v>
      </c>
      <c r="BG65" s="233">
        <f>F65*AN65</f>
        <v>0</v>
      </c>
      <c r="BH65" s="233">
        <f>F65*G65</f>
        <v>0</v>
      </c>
      <c r="BI65" s="233"/>
      <c r="BJ65" s="233">
        <v>16</v>
      </c>
      <c r="BU65" s="233" t="e">
        <f>#REF!</f>
        <v>#REF!</v>
      </c>
      <c r="BV65" s="225" t="s">
        <v>249</v>
      </c>
    </row>
    <row r="66" spans="1:74" ht="40.5" customHeight="1" x14ac:dyDescent="0.3">
      <c r="A66" s="241"/>
      <c r="B66" s="242" t="s">
        <v>165</v>
      </c>
      <c r="C66" s="530" t="s">
        <v>2065</v>
      </c>
      <c r="D66" s="531"/>
      <c r="E66" s="531"/>
      <c r="F66" s="531"/>
      <c r="G66" s="531"/>
      <c r="H66" s="531"/>
      <c r="I66" s="531"/>
      <c r="J66" s="531"/>
      <c r="K66" s="531"/>
      <c r="L66" s="531"/>
      <c r="M66" s="532"/>
    </row>
    <row r="67" spans="1:74" ht="14.4" x14ac:dyDescent="0.3">
      <c r="A67" s="239" t="s">
        <v>250</v>
      </c>
      <c r="B67" s="223" t="s">
        <v>251</v>
      </c>
      <c r="C67" s="521" t="s">
        <v>252</v>
      </c>
      <c r="D67" s="519"/>
      <c r="E67" s="223" t="s">
        <v>196</v>
      </c>
      <c r="F67" s="233">
        <v>249.84</v>
      </c>
      <c r="G67" s="311">
        <v>0</v>
      </c>
      <c r="H67" s="233">
        <f>F67*AM67</f>
        <v>0</v>
      </c>
      <c r="I67" s="233">
        <f>F67*AN67</f>
        <v>0</v>
      </c>
      <c r="J67" s="233">
        <f>F67*G67</f>
        <v>0</v>
      </c>
      <c r="K67" s="233">
        <v>0</v>
      </c>
      <c r="L67" s="233">
        <f>F67*K67</f>
        <v>0</v>
      </c>
      <c r="M67" s="240" t="s">
        <v>472</v>
      </c>
      <c r="X67" s="233">
        <f>IF(AO67="5",BH67,0)</f>
        <v>0</v>
      </c>
      <c r="Z67" s="233">
        <f>IF(AO67="1",BF67,0)</f>
        <v>0</v>
      </c>
      <c r="AA67" s="233">
        <f>IF(AO67="1",BG67,0)</f>
        <v>0</v>
      </c>
      <c r="AB67" s="233">
        <f>IF(AO67="7",BF67,0)</f>
        <v>0</v>
      </c>
      <c r="AC67" s="233">
        <f>IF(AO67="7",BG67,0)</f>
        <v>0</v>
      </c>
      <c r="AD67" s="233">
        <f>IF(AO67="2",BF67,0)</f>
        <v>0</v>
      </c>
      <c r="AE67" s="233">
        <f>IF(AO67="2",BG67,0)</f>
        <v>0</v>
      </c>
      <c r="AF67" s="233">
        <f>IF(AO67="0",BH67,0)</f>
        <v>0</v>
      </c>
      <c r="AG67" s="229" t="s">
        <v>154</v>
      </c>
      <c r="AH67" s="233">
        <f>IF(AL67=0,J67,0)</f>
        <v>0</v>
      </c>
      <c r="AI67" s="233">
        <f>IF(AL67=15,J67,0)</f>
        <v>0</v>
      </c>
      <c r="AJ67" s="233">
        <f>IF(AL67=21,J67,0)</f>
        <v>0</v>
      </c>
      <c r="AL67" s="233">
        <v>15</v>
      </c>
      <c r="AM67" s="233">
        <f>G67*0</f>
        <v>0</v>
      </c>
      <c r="AN67" s="233">
        <f>G67*(1-0)</f>
        <v>0</v>
      </c>
      <c r="AO67" s="234" t="s">
        <v>157</v>
      </c>
      <c r="AT67" s="233">
        <f>AU67+AV67</f>
        <v>0</v>
      </c>
      <c r="AU67" s="233">
        <f>F67*AM67</f>
        <v>0</v>
      </c>
      <c r="AV67" s="233">
        <f>F67*AN67</f>
        <v>0</v>
      </c>
      <c r="AW67" s="234" t="s">
        <v>231</v>
      </c>
      <c r="AX67" s="234" t="s">
        <v>163</v>
      </c>
      <c r="AY67" s="229" t="s">
        <v>164</v>
      </c>
      <c r="BA67" s="233">
        <f>AU67+AV67</f>
        <v>0</v>
      </c>
      <c r="BB67" s="233">
        <f>G67/(100-BC67)*100</f>
        <v>0</v>
      </c>
      <c r="BC67" s="233">
        <v>0</v>
      </c>
      <c r="BD67" s="233">
        <f>L67</f>
        <v>0</v>
      </c>
      <c r="BF67" s="233">
        <f>F67*AM67</f>
        <v>0</v>
      </c>
      <c r="BG67" s="233">
        <f>F67*AN67</f>
        <v>0</v>
      </c>
      <c r="BH67" s="233">
        <f>F67*G67</f>
        <v>0</v>
      </c>
      <c r="BI67" s="233"/>
      <c r="BJ67" s="233">
        <v>16</v>
      </c>
      <c r="BU67" s="233" t="e">
        <f>#REF!</f>
        <v>#REF!</v>
      </c>
      <c r="BV67" s="225" t="s">
        <v>252</v>
      </c>
    </row>
    <row r="68" spans="1:74" ht="40.5" customHeight="1" x14ac:dyDescent="0.3">
      <c r="A68" s="241"/>
      <c r="B68" s="242" t="s">
        <v>165</v>
      </c>
      <c r="C68" s="530" t="s">
        <v>2066</v>
      </c>
      <c r="D68" s="531"/>
      <c r="E68" s="531"/>
      <c r="F68" s="531"/>
      <c r="G68" s="531"/>
      <c r="H68" s="531"/>
      <c r="I68" s="531"/>
      <c r="J68" s="531"/>
      <c r="K68" s="531"/>
      <c r="L68" s="531"/>
      <c r="M68" s="532"/>
    </row>
    <row r="69" spans="1:74" ht="14.4" x14ac:dyDescent="0.3">
      <c r="A69" s="239" t="s">
        <v>253</v>
      </c>
      <c r="B69" s="223" t="s">
        <v>254</v>
      </c>
      <c r="C69" s="521" t="s">
        <v>255</v>
      </c>
      <c r="D69" s="519"/>
      <c r="E69" s="223" t="s">
        <v>196</v>
      </c>
      <c r="F69" s="233">
        <v>31.62</v>
      </c>
      <c r="G69" s="311">
        <v>0</v>
      </c>
      <c r="H69" s="233">
        <f>F69*AM69</f>
        <v>0</v>
      </c>
      <c r="I69" s="233">
        <f>F69*AN69</f>
        <v>0</v>
      </c>
      <c r="J69" s="233">
        <f>F69*G69</f>
        <v>0</v>
      </c>
      <c r="K69" s="233">
        <v>0</v>
      </c>
      <c r="L69" s="233">
        <f>F69*K69</f>
        <v>0</v>
      </c>
      <c r="M69" s="240" t="s">
        <v>472</v>
      </c>
      <c r="X69" s="233">
        <f>IF(AO69="5",BH69,0)</f>
        <v>0</v>
      </c>
      <c r="Z69" s="233">
        <f>IF(AO69="1",BF69,0)</f>
        <v>0</v>
      </c>
      <c r="AA69" s="233">
        <f>IF(AO69="1",BG69,0)</f>
        <v>0</v>
      </c>
      <c r="AB69" s="233">
        <f>IF(AO69="7",BF69,0)</f>
        <v>0</v>
      </c>
      <c r="AC69" s="233">
        <f>IF(AO69="7",BG69,0)</f>
        <v>0</v>
      </c>
      <c r="AD69" s="233">
        <f>IF(AO69="2",BF69,0)</f>
        <v>0</v>
      </c>
      <c r="AE69" s="233">
        <f>IF(AO69="2",BG69,0)</f>
        <v>0</v>
      </c>
      <c r="AF69" s="233">
        <f>IF(AO69="0",BH69,0)</f>
        <v>0</v>
      </c>
      <c r="AG69" s="229" t="s">
        <v>154</v>
      </c>
      <c r="AH69" s="233">
        <f>IF(AL69=0,J69,0)</f>
        <v>0</v>
      </c>
      <c r="AI69" s="233">
        <f>IF(AL69=15,J69,0)</f>
        <v>0</v>
      </c>
      <c r="AJ69" s="233">
        <f>IF(AL69=21,J69,0)</f>
        <v>0</v>
      </c>
      <c r="AL69" s="233">
        <v>15</v>
      </c>
      <c r="AM69" s="233">
        <f>G69*0</f>
        <v>0</v>
      </c>
      <c r="AN69" s="233">
        <f>G69*(1-0)</f>
        <v>0</v>
      </c>
      <c r="AO69" s="234" t="s">
        <v>157</v>
      </c>
      <c r="AT69" s="233">
        <f>AU69+AV69</f>
        <v>0</v>
      </c>
      <c r="AU69" s="233">
        <f>F69*AM69</f>
        <v>0</v>
      </c>
      <c r="AV69" s="233">
        <f>F69*AN69</f>
        <v>0</v>
      </c>
      <c r="AW69" s="234" t="s">
        <v>231</v>
      </c>
      <c r="AX69" s="234" t="s">
        <v>163</v>
      </c>
      <c r="AY69" s="229" t="s">
        <v>164</v>
      </c>
      <c r="BA69" s="233">
        <f>AU69+AV69</f>
        <v>0</v>
      </c>
      <c r="BB69" s="233">
        <f>G69/(100-BC69)*100</f>
        <v>0</v>
      </c>
      <c r="BC69" s="233">
        <v>0</v>
      </c>
      <c r="BD69" s="233">
        <f>L69</f>
        <v>0</v>
      </c>
      <c r="BF69" s="233">
        <f>F69*AM69</f>
        <v>0</v>
      </c>
      <c r="BG69" s="233">
        <f>F69*AN69</f>
        <v>0</v>
      </c>
      <c r="BH69" s="233">
        <f>F69*G69</f>
        <v>0</v>
      </c>
      <c r="BI69" s="233"/>
      <c r="BJ69" s="233">
        <v>16</v>
      </c>
      <c r="BU69" s="233" t="e">
        <f>#REF!</f>
        <v>#REF!</v>
      </c>
      <c r="BV69" s="225" t="s">
        <v>255</v>
      </c>
    </row>
    <row r="70" spans="1:74" ht="40.5" customHeight="1" x14ac:dyDescent="0.3">
      <c r="A70" s="241"/>
      <c r="B70" s="242" t="s">
        <v>165</v>
      </c>
      <c r="C70" s="530" t="s">
        <v>2067</v>
      </c>
      <c r="D70" s="531"/>
      <c r="E70" s="531"/>
      <c r="F70" s="531"/>
      <c r="G70" s="531"/>
      <c r="H70" s="531"/>
      <c r="I70" s="531"/>
      <c r="J70" s="531"/>
      <c r="K70" s="531"/>
      <c r="L70" s="531"/>
      <c r="M70" s="532"/>
    </row>
    <row r="71" spans="1:74" ht="14.4" x14ac:dyDescent="0.3">
      <c r="A71" s="239" t="s">
        <v>256</v>
      </c>
      <c r="B71" s="223" t="s">
        <v>257</v>
      </c>
      <c r="C71" s="521" t="s">
        <v>258</v>
      </c>
      <c r="D71" s="519"/>
      <c r="E71" s="223" t="s">
        <v>196</v>
      </c>
      <c r="F71" s="233">
        <v>31.62</v>
      </c>
      <c r="G71" s="311">
        <v>0</v>
      </c>
      <c r="H71" s="233">
        <f>F71*AM71</f>
        <v>0</v>
      </c>
      <c r="I71" s="233">
        <f>F71*AN71</f>
        <v>0</v>
      </c>
      <c r="J71" s="233">
        <f>F71*G71</f>
        <v>0</v>
      </c>
      <c r="K71" s="233">
        <v>0</v>
      </c>
      <c r="L71" s="233">
        <f>F71*K71</f>
        <v>0</v>
      </c>
      <c r="M71" s="240" t="s">
        <v>472</v>
      </c>
      <c r="X71" s="233">
        <f>IF(AO71="5",BH71,0)</f>
        <v>0</v>
      </c>
      <c r="Z71" s="233">
        <f>IF(AO71="1",BF71,0)</f>
        <v>0</v>
      </c>
      <c r="AA71" s="233">
        <f>IF(AO71="1",BG71,0)</f>
        <v>0</v>
      </c>
      <c r="AB71" s="233">
        <f>IF(AO71="7",BF71,0)</f>
        <v>0</v>
      </c>
      <c r="AC71" s="233">
        <f>IF(AO71="7",BG71,0)</f>
        <v>0</v>
      </c>
      <c r="AD71" s="233">
        <f>IF(AO71="2",BF71,0)</f>
        <v>0</v>
      </c>
      <c r="AE71" s="233">
        <f>IF(AO71="2",BG71,0)</f>
        <v>0</v>
      </c>
      <c r="AF71" s="233">
        <f>IF(AO71="0",BH71,0)</f>
        <v>0</v>
      </c>
      <c r="AG71" s="229" t="s">
        <v>154</v>
      </c>
      <c r="AH71" s="233">
        <f>IF(AL71=0,J71,0)</f>
        <v>0</v>
      </c>
      <c r="AI71" s="233">
        <f>IF(AL71=15,J71,0)</f>
        <v>0</v>
      </c>
      <c r="AJ71" s="233">
        <f>IF(AL71=21,J71,0)</f>
        <v>0</v>
      </c>
      <c r="AL71" s="233">
        <v>15</v>
      </c>
      <c r="AM71" s="233">
        <f>G71*0</f>
        <v>0</v>
      </c>
      <c r="AN71" s="233">
        <f>G71*(1-0)</f>
        <v>0</v>
      </c>
      <c r="AO71" s="234" t="s">
        <v>157</v>
      </c>
      <c r="AT71" s="233">
        <f>AU71+AV71</f>
        <v>0</v>
      </c>
      <c r="AU71" s="233">
        <f>F71*AM71</f>
        <v>0</v>
      </c>
      <c r="AV71" s="233">
        <f>F71*AN71</f>
        <v>0</v>
      </c>
      <c r="AW71" s="234" t="s">
        <v>231</v>
      </c>
      <c r="AX71" s="234" t="s">
        <v>163</v>
      </c>
      <c r="AY71" s="229" t="s">
        <v>164</v>
      </c>
      <c r="BA71" s="233">
        <f>AU71+AV71</f>
        <v>0</v>
      </c>
      <c r="BB71" s="233">
        <f>G71/(100-BC71)*100</f>
        <v>0</v>
      </c>
      <c r="BC71" s="233">
        <v>0</v>
      </c>
      <c r="BD71" s="233">
        <f>L71</f>
        <v>0</v>
      </c>
      <c r="BF71" s="233">
        <f>F71*AM71</f>
        <v>0</v>
      </c>
      <c r="BG71" s="233">
        <f>F71*AN71</f>
        <v>0</v>
      </c>
      <c r="BH71" s="233">
        <f>F71*G71</f>
        <v>0</v>
      </c>
      <c r="BI71" s="233"/>
      <c r="BJ71" s="233">
        <v>16</v>
      </c>
      <c r="BU71" s="233" t="e">
        <f>#REF!</f>
        <v>#REF!</v>
      </c>
      <c r="BV71" s="225" t="s">
        <v>258</v>
      </c>
    </row>
    <row r="72" spans="1:74" ht="40.5" customHeight="1" x14ac:dyDescent="0.3">
      <c r="A72" s="244"/>
      <c r="B72" s="245" t="s">
        <v>165</v>
      </c>
      <c r="C72" s="540" t="s">
        <v>2068</v>
      </c>
      <c r="D72" s="541"/>
      <c r="E72" s="541"/>
      <c r="F72" s="541"/>
      <c r="G72" s="541"/>
      <c r="H72" s="541"/>
      <c r="I72" s="541"/>
      <c r="J72" s="541"/>
      <c r="K72" s="541"/>
      <c r="L72" s="541"/>
      <c r="M72" s="542"/>
    </row>
    <row r="73" spans="1:74" ht="14.4" x14ac:dyDescent="0.3">
      <c r="A73" s="237" t="s">
        <v>154</v>
      </c>
      <c r="B73" s="260" t="s">
        <v>220</v>
      </c>
      <c r="C73" s="545" t="s">
        <v>259</v>
      </c>
      <c r="D73" s="546"/>
      <c r="E73" s="238" t="s">
        <v>114</v>
      </c>
      <c r="F73" s="238" t="s">
        <v>114</v>
      </c>
      <c r="G73" s="238" t="s">
        <v>114</v>
      </c>
      <c r="H73" s="261">
        <f>SUM(H74:H78)</f>
        <v>0</v>
      </c>
      <c r="I73" s="261">
        <f>SUM(I74:I78)</f>
        <v>0</v>
      </c>
      <c r="J73" s="261">
        <f>SUM(J74:J78)</f>
        <v>0</v>
      </c>
      <c r="K73" s="262" t="s">
        <v>154</v>
      </c>
      <c r="L73" s="261">
        <f>SUM(L74:L78)</f>
        <v>109.83699999999999</v>
      </c>
      <c r="M73" s="263" t="s">
        <v>154</v>
      </c>
      <c r="AG73" s="229" t="s">
        <v>154</v>
      </c>
      <c r="AQ73" s="222">
        <f>SUM(AH74:AH78)</f>
        <v>0</v>
      </c>
      <c r="AR73" s="222">
        <f>SUM(AI74:AI78)</f>
        <v>0</v>
      </c>
      <c r="AS73" s="222">
        <f>SUM(AJ74:AJ78)</f>
        <v>0</v>
      </c>
    </row>
    <row r="74" spans="1:74" ht="14.4" x14ac:dyDescent="0.3">
      <c r="A74" s="239" t="s">
        <v>260</v>
      </c>
      <c r="B74" s="223" t="s">
        <v>261</v>
      </c>
      <c r="C74" s="521" t="s">
        <v>262</v>
      </c>
      <c r="D74" s="519"/>
      <c r="E74" s="223" t="s">
        <v>196</v>
      </c>
      <c r="F74" s="233">
        <v>64.61</v>
      </c>
      <c r="G74" s="311">
        <v>0</v>
      </c>
      <c r="H74" s="233">
        <f>F74*AM74</f>
        <v>0</v>
      </c>
      <c r="I74" s="233">
        <f>F74*AN74</f>
        <v>0</v>
      </c>
      <c r="J74" s="233">
        <f>F74*G74</f>
        <v>0</v>
      </c>
      <c r="K74" s="233">
        <v>1.7</v>
      </c>
      <c r="L74" s="233">
        <f>F74*K74</f>
        <v>109.83699999999999</v>
      </c>
      <c r="M74" s="240" t="s">
        <v>472</v>
      </c>
      <c r="X74" s="233">
        <f>IF(AO74="5",BH74,0)</f>
        <v>0</v>
      </c>
      <c r="Z74" s="233">
        <f>IF(AO74="1",BF74,0)</f>
        <v>0</v>
      </c>
      <c r="AA74" s="233">
        <f>IF(AO74="1",BG74,0)</f>
        <v>0</v>
      </c>
      <c r="AB74" s="233">
        <f>IF(AO74="7",BF74,0)</f>
        <v>0</v>
      </c>
      <c r="AC74" s="233">
        <f>IF(AO74="7",BG74,0)</f>
        <v>0</v>
      </c>
      <c r="AD74" s="233">
        <f>IF(AO74="2",BF74,0)</f>
        <v>0</v>
      </c>
      <c r="AE74" s="233">
        <f>IF(AO74="2",BG74,0)</f>
        <v>0</v>
      </c>
      <c r="AF74" s="233">
        <f>IF(AO74="0",BH74,0)</f>
        <v>0</v>
      </c>
      <c r="AG74" s="229" t="s">
        <v>154</v>
      </c>
      <c r="AH74" s="233">
        <f>IF(AL74=0,J74,0)</f>
        <v>0</v>
      </c>
      <c r="AI74" s="233">
        <f>IF(AL74=15,J74,0)</f>
        <v>0</v>
      </c>
      <c r="AJ74" s="233">
        <f>IF(AL74=21,J74,0)</f>
        <v>0</v>
      </c>
      <c r="AL74" s="233">
        <v>15</v>
      </c>
      <c r="AM74" s="233">
        <f>G74*0.517505291</f>
        <v>0</v>
      </c>
      <c r="AN74" s="233">
        <f>G74*(1-0.517505291)</f>
        <v>0</v>
      </c>
      <c r="AO74" s="234" t="s">
        <v>157</v>
      </c>
      <c r="AT74" s="233">
        <f>AU74+AV74</f>
        <v>0</v>
      </c>
      <c r="AU74" s="233">
        <f>F74*AM74</f>
        <v>0</v>
      </c>
      <c r="AV74" s="233">
        <f>F74*AN74</f>
        <v>0</v>
      </c>
      <c r="AW74" s="234" t="s">
        <v>263</v>
      </c>
      <c r="AX74" s="234" t="s">
        <v>163</v>
      </c>
      <c r="AY74" s="229" t="s">
        <v>164</v>
      </c>
      <c r="BA74" s="233">
        <f>AU74+AV74</f>
        <v>0</v>
      </c>
      <c r="BB74" s="233">
        <f>G74/(100-BC74)*100</f>
        <v>0</v>
      </c>
      <c r="BC74" s="233">
        <v>0</v>
      </c>
      <c r="BD74" s="233">
        <f>L74</f>
        <v>109.83699999999999</v>
      </c>
      <c r="BF74" s="233">
        <f>F74*AM74</f>
        <v>0</v>
      </c>
      <c r="BG74" s="233">
        <f>F74*AN74</f>
        <v>0</v>
      </c>
      <c r="BH74" s="233">
        <f>F74*G74</f>
        <v>0</v>
      </c>
      <c r="BI74" s="233"/>
      <c r="BJ74" s="233">
        <v>17</v>
      </c>
      <c r="BU74" s="233" t="e">
        <f>#REF!</f>
        <v>#REF!</v>
      </c>
      <c r="BV74" s="225" t="s">
        <v>262</v>
      </c>
    </row>
    <row r="75" spans="1:74" ht="67.5" customHeight="1" x14ac:dyDescent="0.3">
      <c r="A75" s="241"/>
      <c r="B75" s="242" t="s">
        <v>165</v>
      </c>
      <c r="C75" s="530" t="s">
        <v>2069</v>
      </c>
      <c r="D75" s="531"/>
      <c r="E75" s="531"/>
      <c r="F75" s="531"/>
      <c r="G75" s="531"/>
      <c r="H75" s="531"/>
      <c r="I75" s="531"/>
      <c r="J75" s="531"/>
      <c r="K75" s="531"/>
      <c r="L75" s="531"/>
      <c r="M75" s="532"/>
    </row>
    <row r="76" spans="1:74" ht="14.4" x14ac:dyDescent="0.3">
      <c r="A76" s="239" t="s">
        <v>264</v>
      </c>
      <c r="B76" s="223" t="s">
        <v>265</v>
      </c>
      <c r="C76" s="521" t="s">
        <v>266</v>
      </c>
      <c r="D76" s="519"/>
      <c r="E76" s="223" t="s">
        <v>196</v>
      </c>
      <c r="F76" s="233">
        <v>64.61</v>
      </c>
      <c r="G76" s="311">
        <v>0</v>
      </c>
      <c r="H76" s="233">
        <f>F76*AM76</f>
        <v>0</v>
      </c>
      <c r="I76" s="233">
        <f>F76*AN76</f>
        <v>0</v>
      </c>
      <c r="J76" s="233">
        <f>F76*G76</f>
        <v>0</v>
      </c>
      <c r="K76" s="233">
        <v>0</v>
      </c>
      <c r="L76" s="233">
        <f>F76*K76</f>
        <v>0</v>
      </c>
      <c r="M76" s="240" t="s">
        <v>472</v>
      </c>
      <c r="X76" s="233">
        <f>IF(AO76="5",BH76,0)</f>
        <v>0</v>
      </c>
      <c r="Z76" s="233">
        <f>IF(AO76="1",BF76,0)</f>
        <v>0</v>
      </c>
      <c r="AA76" s="233">
        <f>IF(AO76="1",BG76,0)</f>
        <v>0</v>
      </c>
      <c r="AB76" s="233">
        <f>IF(AO76="7",BF76,0)</f>
        <v>0</v>
      </c>
      <c r="AC76" s="233">
        <f>IF(AO76="7",BG76,0)</f>
        <v>0</v>
      </c>
      <c r="AD76" s="233">
        <f>IF(AO76="2",BF76,0)</f>
        <v>0</v>
      </c>
      <c r="AE76" s="233">
        <f>IF(AO76="2",BG76,0)</f>
        <v>0</v>
      </c>
      <c r="AF76" s="233">
        <f>IF(AO76="0",BH76,0)</f>
        <v>0</v>
      </c>
      <c r="AG76" s="229" t="s">
        <v>154</v>
      </c>
      <c r="AH76" s="233">
        <f>IF(AL76=0,J76,0)</f>
        <v>0</v>
      </c>
      <c r="AI76" s="233">
        <f>IF(AL76=15,J76,0)</f>
        <v>0</v>
      </c>
      <c r="AJ76" s="233">
        <f>IF(AL76=21,J76,0)</f>
        <v>0</v>
      </c>
      <c r="AL76" s="233">
        <v>15</v>
      </c>
      <c r="AM76" s="233">
        <f>G76*0</f>
        <v>0</v>
      </c>
      <c r="AN76" s="233">
        <f>G76*(1-0)</f>
        <v>0</v>
      </c>
      <c r="AO76" s="234" t="s">
        <v>157</v>
      </c>
      <c r="AT76" s="233">
        <f>AU76+AV76</f>
        <v>0</v>
      </c>
      <c r="AU76" s="233">
        <f>F76*AM76</f>
        <v>0</v>
      </c>
      <c r="AV76" s="233">
        <f>F76*AN76</f>
        <v>0</v>
      </c>
      <c r="AW76" s="234" t="s">
        <v>263</v>
      </c>
      <c r="AX76" s="234" t="s">
        <v>163</v>
      </c>
      <c r="AY76" s="229" t="s">
        <v>164</v>
      </c>
      <c r="BA76" s="233">
        <f>AU76+AV76</f>
        <v>0</v>
      </c>
      <c r="BB76" s="233">
        <f>G76/(100-BC76)*100</f>
        <v>0</v>
      </c>
      <c r="BC76" s="233">
        <v>0</v>
      </c>
      <c r="BD76" s="233">
        <f>L76</f>
        <v>0</v>
      </c>
      <c r="BF76" s="233">
        <f>F76*AM76</f>
        <v>0</v>
      </c>
      <c r="BG76" s="233">
        <f>F76*AN76</f>
        <v>0</v>
      </c>
      <c r="BH76" s="233">
        <f>F76*G76</f>
        <v>0</v>
      </c>
      <c r="BI76" s="233"/>
      <c r="BJ76" s="233">
        <v>17</v>
      </c>
      <c r="BU76" s="233" t="e">
        <f>#REF!</f>
        <v>#REF!</v>
      </c>
      <c r="BV76" s="225" t="s">
        <v>266</v>
      </c>
    </row>
    <row r="77" spans="1:74" ht="40.5" customHeight="1" x14ac:dyDescent="0.3">
      <c r="A77" s="241"/>
      <c r="B77" s="242" t="s">
        <v>165</v>
      </c>
      <c r="C77" s="530" t="s">
        <v>2070</v>
      </c>
      <c r="D77" s="531"/>
      <c r="E77" s="531"/>
      <c r="F77" s="531"/>
      <c r="G77" s="531"/>
      <c r="H77" s="531"/>
      <c r="I77" s="531"/>
      <c r="J77" s="531"/>
      <c r="K77" s="531"/>
      <c r="L77" s="531"/>
      <c r="M77" s="532"/>
    </row>
    <row r="78" spans="1:74" ht="14.4" x14ac:dyDescent="0.3">
      <c r="A78" s="239" t="s">
        <v>267</v>
      </c>
      <c r="B78" s="223" t="s">
        <v>268</v>
      </c>
      <c r="C78" s="521" t="s">
        <v>269</v>
      </c>
      <c r="D78" s="519"/>
      <c r="E78" s="223" t="s">
        <v>196</v>
      </c>
      <c r="F78" s="233">
        <v>124.92</v>
      </c>
      <c r="G78" s="311">
        <v>0</v>
      </c>
      <c r="H78" s="233">
        <f>F78*AM78</f>
        <v>0</v>
      </c>
      <c r="I78" s="233">
        <f>F78*AN78</f>
        <v>0</v>
      </c>
      <c r="J78" s="233">
        <f>F78*G78</f>
        <v>0</v>
      </c>
      <c r="K78" s="233">
        <v>0</v>
      </c>
      <c r="L78" s="233">
        <f>F78*K78</f>
        <v>0</v>
      </c>
      <c r="M78" s="240" t="s">
        <v>472</v>
      </c>
      <c r="X78" s="233">
        <f>IF(AO78="5",BH78,0)</f>
        <v>0</v>
      </c>
      <c r="Z78" s="233">
        <f>IF(AO78="1",BF78,0)</f>
        <v>0</v>
      </c>
      <c r="AA78" s="233">
        <f>IF(AO78="1",BG78,0)</f>
        <v>0</v>
      </c>
      <c r="AB78" s="233">
        <f>IF(AO78="7",BF78,0)</f>
        <v>0</v>
      </c>
      <c r="AC78" s="233">
        <f>IF(AO78="7",BG78,0)</f>
        <v>0</v>
      </c>
      <c r="AD78" s="233">
        <f>IF(AO78="2",BF78,0)</f>
        <v>0</v>
      </c>
      <c r="AE78" s="233">
        <f>IF(AO78="2",BG78,0)</f>
        <v>0</v>
      </c>
      <c r="AF78" s="233">
        <f>IF(AO78="0",BH78,0)</f>
        <v>0</v>
      </c>
      <c r="AG78" s="229" t="s">
        <v>154</v>
      </c>
      <c r="AH78" s="233">
        <f>IF(AL78=0,J78,0)</f>
        <v>0</v>
      </c>
      <c r="AI78" s="233">
        <f>IF(AL78=15,J78,0)</f>
        <v>0</v>
      </c>
      <c r="AJ78" s="233">
        <f>IF(AL78=21,J78,0)</f>
        <v>0</v>
      </c>
      <c r="AL78" s="233">
        <v>15</v>
      </c>
      <c r="AM78" s="233">
        <f>G78*0</f>
        <v>0</v>
      </c>
      <c r="AN78" s="233">
        <f>G78*(1-0)</f>
        <v>0</v>
      </c>
      <c r="AO78" s="234" t="s">
        <v>157</v>
      </c>
      <c r="AT78" s="233">
        <f>AU78+AV78</f>
        <v>0</v>
      </c>
      <c r="AU78" s="233">
        <f>F78*AM78</f>
        <v>0</v>
      </c>
      <c r="AV78" s="233">
        <f>F78*AN78</f>
        <v>0</v>
      </c>
      <c r="AW78" s="234" t="s">
        <v>263</v>
      </c>
      <c r="AX78" s="234" t="s">
        <v>163</v>
      </c>
      <c r="AY78" s="229" t="s">
        <v>164</v>
      </c>
      <c r="BA78" s="233">
        <f>AU78+AV78</f>
        <v>0</v>
      </c>
      <c r="BB78" s="233">
        <f>G78/(100-BC78)*100</f>
        <v>0</v>
      </c>
      <c r="BC78" s="233">
        <v>0</v>
      </c>
      <c r="BD78" s="233">
        <f>L78</f>
        <v>0</v>
      </c>
      <c r="BF78" s="233">
        <f>F78*AM78</f>
        <v>0</v>
      </c>
      <c r="BG78" s="233">
        <f>F78*AN78</f>
        <v>0</v>
      </c>
      <c r="BH78" s="233">
        <f>F78*G78</f>
        <v>0</v>
      </c>
      <c r="BI78" s="233"/>
      <c r="BJ78" s="233">
        <v>17</v>
      </c>
      <c r="BU78" s="233" t="e">
        <f>#REF!</f>
        <v>#REF!</v>
      </c>
      <c r="BV78" s="225" t="s">
        <v>269</v>
      </c>
    </row>
    <row r="79" spans="1:74" ht="94.5" customHeight="1" x14ac:dyDescent="0.3">
      <c r="A79" s="241"/>
      <c r="B79" s="242" t="s">
        <v>165</v>
      </c>
      <c r="C79" s="530" t="s">
        <v>2071</v>
      </c>
      <c r="D79" s="531"/>
      <c r="E79" s="531"/>
      <c r="F79" s="531"/>
      <c r="G79" s="531"/>
      <c r="H79" s="531"/>
      <c r="I79" s="531"/>
      <c r="J79" s="531"/>
      <c r="K79" s="531"/>
      <c r="L79" s="531"/>
      <c r="M79" s="532"/>
    </row>
    <row r="80" spans="1:74" ht="14.4" x14ac:dyDescent="0.3">
      <c r="A80" s="239" t="s">
        <v>154</v>
      </c>
      <c r="B80" s="224" t="s">
        <v>224</v>
      </c>
      <c r="C80" s="526" t="s">
        <v>270</v>
      </c>
      <c r="D80" s="527"/>
      <c r="E80" s="223" t="s">
        <v>114</v>
      </c>
      <c r="F80" s="223" t="s">
        <v>114</v>
      </c>
      <c r="G80" s="223" t="s">
        <v>114</v>
      </c>
      <c r="H80" s="235">
        <f>SUM(H81:H81)</f>
        <v>0</v>
      </c>
      <c r="I80" s="235">
        <f>SUM(I81:I81)</f>
        <v>0</v>
      </c>
      <c r="J80" s="235">
        <f>SUM(J81:J81)</f>
        <v>0</v>
      </c>
      <c r="K80" s="230" t="s">
        <v>154</v>
      </c>
      <c r="L80" s="235">
        <f>SUM(L81:L81)</f>
        <v>2.3712000000000004E-3</v>
      </c>
      <c r="M80" s="243" t="s">
        <v>154</v>
      </c>
      <c r="AG80" s="229" t="s">
        <v>154</v>
      </c>
      <c r="AQ80" s="222">
        <f>SUM(AH81:AH81)</f>
        <v>0</v>
      </c>
      <c r="AR80" s="222">
        <f>SUM(AI81:AI81)</f>
        <v>0</v>
      </c>
      <c r="AS80" s="222">
        <f>SUM(AJ81:AJ81)</f>
        <v>0</v>
      </c>
    </row>
    <row r="81" spans="1:74" ht="14.4" x14ac:dyDescent="0.3">
      <c r="A81" s="239" t="s">
        <v>271</v>
      </c>
      <c r="B81" s="223" t="s">
        <v>272</v>
      </c>
      <c r="C81" s="521" t="s">
        <v>273</v>
      </c>
      <c r="D81" s="519"/>
      <c r="E81" s="223" t="s">
        <v>180</v>
      </c>
      <c r="F81" s="233">
        <v>79.040000000000006</v>
      </c>
      <c r="G81" s="311">
        <v>0</v>
      </c>
      <c r="H81" s="233">
        <f>F81*AM81</f>
        <v>0</v>
      </c>
      <c r="I81" s="233">
        <f>F81*AN81</f>
        <v>0</v>
      </c>
      <c r="J81" s="233">
        <f>F81*G81</f>
        <v>0</v>
      </c>
      <c r="K81" s="233">
        <v>3.0000000000000001E-5</v>
      </c>
      <c r="L81" s="233">
        <f>F81*K81</f>
        <v>2.3712000000000004E-3</v>
      </c>
      <c r="M81" s="240" t="s">
        <v>472</v>
      </c>
      <c r="X81" s="233">
        <f>IF(AO81="5",BH81,0)</f>
        <v>0</v>
      </c>
      <c r="Z81" s="233">
        <f>IF(AO81="1",BF81,0)</f>
        <v>0</v>
      </c>
      <c r="AA81" s="233">
        <f>IF(AO81="1",BG81,0)</f>
        <v>0</v>
      </c>
      <c r="AB81" s="233">
        <f>IF(AO81="7",BF81,0)</f>
        <v>0</v>
      </c>
      <c r="AC81" s="233">
        <f>IF(AO81="7",BG81,0)</f>
        <v>0</v>
      </c>
      <c r="AD81" s="233">
        <f>IF(AO81="2",BF81,0)</f>
        <v>0</v>
      </c>
      <c r="AE81" s="233">
        <f>IF(AO81="2",BG81,0)</f>
        <v>0</v>
      </c>
      <c r="AF81" s="233">
        <f>IF(AO81="0",BH81,0)</f>
        <v>0</v>
      </c>
      <c r="AG81" s="229" t="s">
        <v>154</v>
      </c>
      <c r="AH81" s="233">
        <f>IF(AL81=0,J81,0)</f>
        <v>0</v>
      </c>
      <c r="AI81" s="233">
        <f>IF(AL81=15,J81,0)</f>
        <v>0</v>
      </c>
      <c r="AJ81" s="233">
        <f>IF(AL81=21,J81,0)</f>
        <v>0</v>
      </c>
      <c r="AL81" s="233">
        <v>15</v>
      </c>
      <c r="AM81" s="233">
        <f>G81*0.041716004</f>
        <v>0</v>
      </c>
      <c r="AN81" s="233">
        <f>G81*(1-0.041716004)</f>
        <v>0</v>
      </c>
      <c r="AO81" s="234" t="s">
        <v>157</v>
      </c>
      <c r="AT81" s="233">
        <f>AU81+AV81</f>
        <v>0</v>
      </c>
      <c r="AU81" s="233">
        <f>F81*AM81</f>
        <v>0</v>
      </c>
      <c r="AV81" s="233">
        <f>F81*AN81</f>
        <v>0</v>
      </c>
      <c r="AW81" s="234" t="s">
        <v>274</v>
      </c>
      <c r="AX81" s="234" t="s">
        <v>163</v>
      </c>
      <c r="AY81" s="229" t="s">
        <v>164</v>
      </c>
      <c r="BA81" s="233">
        <f>AU81+AV81</f>
        <v>0</v>
      </c>
      <c r="BB81" s="233">
        <f>G81/(100-BC81)*100</f>
        <v>0</v>
      </c>
      <c r="BC81" s="233">
        <v>0</v>
      </c>
      <c r="BD81" s="233">
        <f>L81</f>
        <v>2.3712000000000004E-3</v>
      </c>
      <c r="BF81" s="233">
        <f>F81*AM81</f>
        <v>0</v>
      </c>
      <c r="BG81" s="233">
        <f>F81*AN81</f>
        <v>0</v>
      </c>
      <c r="BH81" s="233">
        <f>F81*G81</f>
        <v>0</v>
      </c>
      <c r="BI81" s="233"/>
      <c r="BJ81" s="233">
        <v>18</v>
      </c>
      <c r="BU81" s="233" t="e">
        <f>#REF!</f>
        <v>#REF!</v>
      </c>
      <c r="BV81" s="225" t="s">
        <v>273</v>
      </c>
    </row>
    <row r="82" spans="1:74" ht="40.5" customHeight="1" x14ac:dyDescent="0.3">
      <c r="A82" s="241"/>
      <c r="B82" s="242" t="s">
        <v>165</v>
      </c>
      <c r="C82" s="530" t="s">
        <v>2072</v>
      </c>
      <c r="D82" s="531"/>
      <c r="E82" s="531"/>
      <c r="F82" s="531"/>
      <c r="G82" s="531"/>
      <c r="H82" s="531"/>
      <c r="I82" s="531"/>
      <c r="J82" s="531"/>
      <c r="K82" s="531"/>
      <c r="L82" s="531"/>
      <c r="M82" s="532"/>
    </row>
    <row r="83" spans="1:74" ht="14.4" x14ac:dyDescent="0.3">
      <c r="A83" s="239" t="s">
        <v>154</v>
      </c>
      <c r="B83" s="224" t="s">
        <v>228</v>
      </c>
      <c r="C83" s="526" t="s">
        <v>275</v>
      </c>
      <c r="D83" s="527"/>
      <c r="E83" s="223" t="s">
        <v>114</v>
      </c>
      <c r="F83" s="223" t="s">
        <v>114</v>
      </c>
      <c r="G83" s="223" t="s">
        <v>114</v>
      </c>
      <c r="H83" s="235">
        <f>SUM(H84:H86)</f>
        <v>0</v>
      </c>
      <c r="I83" s="235">
        <f>SUM(I84:I86)</f>
        <v>0</v>
      </c>
      <c r="J83" s="235">
        <f>SUM(J84:J86)</f>
        <v>0</v>
      </c>
      <c r="K83" s="230" t="s">
        <v>154</v>
      </c>
      <c r="L83" s="235">
        <f>SUM(L84:L86)</f>
        <v>0</v>
      </c>
      <c r="M83" s="243" t="s">
        <v>154</v>
      </c>
      <c r="AG83" s="229" t="s">
        <v>154</v>
      </c>
      <c r="AQ83" s="222">
        <f>SUM(AH84:AH86)</f>
        <v>0</v>
      </c>
      <c r="AR83" s="222">
        <f>SUM(AI84:AI86)</f>
        <v>0</v>
      </c>
      <c r="AS83" s="222">
        <f>SUM(AJ84:AJ86)</f>
        <v>0</v>
      </c>
    </row>
    <row r="84" spans="1:74" ht="14.4" x14ac:dyDescent="0.3">
      <c r="A84" s="239" t="s">
        <v>276</v>
      </c>
      <c r="B84" s="223" t="s">
        <v>277</v>
      </c>
      <c r="C84" s="521" t="s">
        <v>278</v>
      </c>
      <c r="D84" s="519"/>
      <c r="E84" s="223" t="s">
        <v>196</v>
      </c>
      <c r="F84" s="233">
        <v>88.47</v>
      </c>
      <c r="G84" s="311">
        <v>0</v>
      </c>
      <c r="H84" s="233">
        <f>F84*AM84</f>
        <v>0</v>
      </c>
      <c r="I84" s="233">
        <f>F84*AN84</f>
        <v>0</v>
      </c>
      <c r="J84" s="233">
        <f>F84*G84</f>
        <v>0</v>
      </c>
      <c r="K84" s="233">
        <v>0</v>
      </c>
      <c r="L84" s="233">
        <f>F84*K84</f>
        <v>0</v>
      </c>
      <c r="M84" s="240" t="s">
        <v>472</v>
      </c>
      <c r="X84" s="233">
        <f>IF(AO84="5",BH84,0)</f>
        <v>0</v>
      </c>
      <c r="Z84" s="233">
        <f>IF(AO84="1",BF84,0)</f>
        <v>0</v>
      </c>
      <c r="AA84" s="233">
        <f>IF(AO84="1",BG84,0)</f>
        <v>0</v>
      </c>
      <c r="AB84" s="233">
        <f>IF(AO84="7",BF84,0)</f>
        <v>0</v>
      </c>
      <c r="AC84" s="233">
        <f>IF(AO84="7",BG84,0)</f>
        <v>0</v>
      </c>
      <c r="AD84" s="233">
        <f>IF(AO84="2",BF84,0)</f>
        <v>0</v>
      </c>
      <c r="AE84" s="233">
        <f>IF(AO84="2",BG84,0)</f>
        <v>0</v>
      </c>
      <c r="AF84" s="233">
        <f>IF(AO84="0",BH84,0)</f>
        <v>0</v>
      </c>
      <c r="AG84" s="229" t="s">
        <v>154</v>
      </c>
      <c r="AH84" s="233">
        <f>IF(AL84=0,J84,0)</f>
        <v>0</v>
      </c>
      <c r="AI84" s="233">
        <f>IF(AL84=15,J84,0)</f>
        <v>0</v>
      </c>
      <c r="AJ84" s="233">
        <f>IF(AL84=21,J84,0)</f>
        <v>0</v>
      </c>
      <c r="AL84" s="233">
        <v>15</v>
      </c>
      <c r="AM84" s="233">
        <f>G84*0</f>
        <v>0</v>
      </c>
      <c r="AN84" s="233">
        <f>G84*(1-0)</f>
        <v>0</v>
      </c>
      <c r="AO84" s="234" t="s">
        <v>157</v>
      </c>
      <c r="AT84" s="233">
        <f>AU84+AV84</f>
        <v>0</v>
      </c>
      <c r="AU84" s="233">
        <f>F84*AM84</f>
        <v>0</v>
      </c>
      <c r="AV84" s="233">
        <f>F84*AN84</f>
        <v>0</v>
      </c>
      <c r="AW84" s="234" t="s">
        <v>279</v>
      </c>
      <c r="AX84" s="234" t="s">
        <v>163</v>
      </c>
      <c r="AY84" s="229" t="s">
        <v>164</v>
      </c>
      <c r="BA84" s="233">
        <f>AU84+AV84</f>
        <v>0</v>
      </c>
      <c r="BB84" s="233">
        <f>G84/(100-BC84)*100</f>
        <v>0</v>
      </c>
      <c r="BC84" s="233">
        <v>0</v>
      </c>
      <c r="BD84" s="233">
        <f>L84</f>
        <v>0</v>
      </c>
      <c r="BF84" s="233">
        <f>F84*AM84</f>
        <v>0</v>
      </c>
      <c r="BG84" s="233">
        <f>F84*AN84</f>
        <v>0</v>
      </c>
      <c r="BH84" s="233">
        <f>F84*G84</f>
        <v>0</v>
      </c>
      <c r="BI84" s="233"/>
      <c r="BJ84" s="233">
        <v>19</v>
      </c>
      <c r="BU84" s="233" t="e">
        <f>#REF!</f>
        <v>#REF!</v>
      </c>
      <c r="BV84" s="225" t="s">
        <v>278</v>
      </c>
    </row>
    <row r="85" spans="1:74" ht="13.5" customHeight="1" x14ac:dyDescent="0.3">
      <c r="A85" s="241"/>
      <c r="B85" s="242" t="s">
        <v>165</v>
      </c>
      <c r="C85" s="530" t="s">
        <v>280</v>
      </c>
      <c r="D85" s="531"/>
      <c r="E85" s="531"/>
      <c r="F85" s="531"/>
      <c r="G85" s="531"/>
      <c r="H85" s="531"/>
      <c r="I85" s="531"/>
      <c r="J85" s="531"/>
      <c r="K85" s="531"/>
      <c r="L85" s="531"/>
      <c r="M85" s="532"/>
    </row>
    <row r="86" spans="1:74" ht="14.4" x14ac:dyDescent="0.3">
      <c r="A86" s="239" t="s">
        <v>281</v>
      </c>
      <c r="B86" s="223" t="s">
        <v>282</v>
      </c>
      <c r="C86" s="521" t="s">
        <v>283</v>
      </c>
      <c r="D86" s="519"/>
      <c r="E86" s="223" t="s">
        <v>196</v>
      </c>
      <c r="F86" s="233">
        <v>13.23</v>
      </c>
      <c r="G86" s="311">
        <v>0</v>
      </c>
      <c r="H86" s="233">
        <f>F86*AM86</f>
        <v>0</v>
      </c>
      <c r="I86" s="233">
        <f>F86*AN86</f>
        <v>0</v>
      </c>
      <c r="J86" s="233">
        <f>F86*G86</f>
        <v>0</v>
      </c>
      <c r="K86" s="233">
        <v>0</v>
      </c>
      <c r="L86" s="233">
        <f>F86*K86</f>
        <v>0</v>
      </c>
      <c r="M86" s="240" t="s">
        <v>472</v>
      </c>
      <c r="X86" s="233">
        <f>IF(AO86="5",BH86,0)</f>
        <v>0</v>
      </c>
      <c r="Z86" s="233">
        <f>IF(AO86="1",BF86,0)</f>
        <v>0</v>
      </c>
      <c r="AA86" s="233">
        <f>IF(AO86="1",BG86,0)</f>
        <v>0</v>
      </c>
      <c r="AB86" s="233">
        <f>IF(AO86="7",BF86,0)</f>
        <v>0</v>
      </c>
      <c r="AC86" s="233">
        <f>IF(AO86="7",BG86,0)</f>
        <v>0</v>
      </c>
      <c r="AD86" s="233">
        <f>IF(AO86="2",BF86,0)</f>
        <v>0</v>
      </c>
      <c r="AE86" s="233">
        <f>IF(AO86="2",BG86,0)</f>
        <v>0</v>
      </c>
      <c r="AF86" s="233">
        <f>IF(AO86="0",BH86,0)</f>
        <v>0</v>
      </c>
      <c r="AG86" s="229" t="s">
        <v>154</v>
      </c>
      <c r="AH86" s="233">
        <f>IF(AL86=0,J86,0)</f>
        <v>0</v>
      </c>
      <c r="AI86" s="233">
        <f>IF(AL86=15,J86,0)</f>
        <v>0</v>
      </c>
      <c r="AJ86" s="233">
        <f>IF(AL86=21,J86,0)</f>
        <v>0</v>
      </c>
      <c r="AL86" s="233">
        <v>15</v>
      </c>
      <c r="AM86" s="233">
        <f>G86*0</f>
        <v>0</v>
      </c>
      <c r="AN86" s="233">
        <f>G86*(1-0)</f>
        <v>0</v>
      </c>
      <c r="AO86" s="234" t="s">
        <v>157</v>
      </c>
      <c r="AT86" s="233">
        <f>AU86+AV86</f>
        <v>0</v>
      </c>
      <c r="AU86" s="233">
        <f>F86*AM86</f>
        <v>0</v>
      </c>
      <c r="AV86" s="233">
        <f>F86*AN86</f>
        <v>0</v>
      </c>
      <c r="AW86" s="234" t="s">
        <v>279</v>
      </c>
      <c r="AX86" s="234" t="s">
        <v>163</v>
      </c>
      <c r="AY86" s="229" t="s">
        <v>164</v>
      </c>
      <c r="BA86" s="233">
        <f>AU86+AV86</f>
        <v>0</v>
      </c>
      <c r="BB86" s="233">
        <f>G86/(100-BC86)*100</f>
        <v>0</v>
      </c>
      <c r="BC86" s="233">
        <v>0</v>
      </c>
      <c r="BD86" s="233">
        <f>L86</f>
        <v>0</v>
      </c>
      <c r="BF86" s="233">
        <f>F86*AM86</f>
        <v>0</v>
      </c>
      <c r="BG86" s="233">
        <f>F86*AN86</f>
        <v>0</v>
      </c>
      <c r="BH86" s="233">
        <f>F86*G86</f>
        <v>0</v>
      </c>
      <c r="BI86" s="233"/>
      <c r="BJ86" s="233">
        <v>19</v>
      </c>
      <c r="BU86" s="233" t="e">
        <f>#REF!</f>
        <v>#REF!</v>
      </c>
      <c r="BV86" s="225" t="s">
        <v>283</v>
      </c>
    </row>
    <row r="87" spans="1:74" ht="13.5" customHeight="1" x14ac:dyDescent="0.3">
      <c r="A87" s="241"/>
      <c r="B87" s="242" t="s">
        <v>165</v>
      </c>
      <c r="C87" s="530" t="s">
        <v>280</v>
      </c>
      <c r="D87" s="531"/>
      <c r="E87" s="531"/>
      <c r="F87" s="531"/>
      <c r="G87" s="531"/>
      <c r="H87" s="531"/>
      <c r="I87" s="531"/>
      <c r="J87" s="531"/>
      <c r="K87" s="531"/>
      <c r="L87" s="531"/>
      <c r="M87" s="532"/>
    </row>
    <row r="88" spans="1:74" ht="14.4" x14ac:dyDescent="0.3">
      <c r="A88" s="239" t="s">
        <v>154</v>
      </c>
      <c r="B88" s="224" t="s">
        <v>235</v>
      </c>
      <c r="C88" s="526" t="s">
        <v>284</v>
      </c>
      <c r="D88" s="527"/>
      <c r="E88" s="223" t="s">
        <v>114</v>
      </c>
      <c r="F88" s="223" t="s">
        <v>114</v>
      </c>
      <c r="G88" s="223" t="s">
        <v>114</v>
      </c>
      <c r="H88" s="235">
        <f>SUM(H89:H91)</f>
        <v>0</v>
      </c>
      <c r="I88" s="235">
        <f>SUM(I89:I91)</f>
        <v>0</v>
      </c>
      <c r="J88" s="235">
        <f>SUM(J89:J91)</f>
        <v>0</v>
      </c>
      <c r="K88" s="230" t="s">
        <v>154</v>
      </c>
      <c r="L88" s="235">
        <f>SUM(L89:L91)</f>
        <v>8.7250000000000014</v>
      </c>
      <c r="M88" s="243" t="s">
        <v>154</v>
      </c>
      <c r="AG88" s="229" t="s">
        <v>154</v>
      </c>
      <c r="AQ88" s="222">
        <f>SUM(AH89:AH91)</f>
        <v>0</v>
      </c>
      <c r="AR88" s="222">
        <f>SUM(AI89:AI91)</f>
        <v>0</v>
      </c>
      <c r="AS88" s="222">
        <f>SUM(AJ89:AJ91)</f>
        <v>0</v>
      </c>
    </row>
    <row r="89" spans="1:74" ht="14.4" x14ac:dyDescent="0.3">
      <c r="A89" s="239" t="s">
        <v>285</v>
      </c>
      <c r="B89" s="223" t="s">
        <v>286</v>
      </c>
      <c r="C89" s="521" t="s">
        <v>287</v>
      </c>
      <c r="D89" s="519"/>
      <c r="E89" s="223" t="s">
        <v>180</v>
      </c>
      <c r="F89" s="233">
        <v>130.41999999999999</v>
      </c>
      <c r="G89" s="311">
        <v>0</v>
      </c>
      <c r="H89" s="233">
        <f>F89*AM89</f>
        <v>0</v>
      </c>
      <c r="I89" s="233">
        <f>F89*AN89</f>
        <v>0</v>
      </c>
      <c r="J89" s="233">
        <f>F89*G89</f>
        <v>0</v>
      </c>
      <c r="K89" s="233">
        <v>0</v>
      </c>
      <c r="L89" s="233">
        <f>F89*K89</f>
        <v>0</v>
      </c>
      <c r="M89" s="240" t="s">
        <v>472</v>
      </c>
      <c r="X89" s="233">
        <f>IF(AO89="5",BH89,0)</f>
        <v>0</v>
      </c>
      <c r="Z89" s="233">
        <f>IF(AO89="1",BF89,0)</f>
        <v>0</v>
      </c>
      <c r="AA89" s="233">
        <f>IF(AO89="1",BG89,0)</f>
        <v>0</v>
      </c>
      <c r="AB89" s="233">
        <f>IF(AO89="7",BF89,0)</f>
        <v>0</v>
      </c>
      <c r="AC89" s="233">
        <f>IF(AO89="7",BG89,0)</f>
        <v>0</v>
      </c>
      <c r="AD89" s="233">
        <f>IF(AO89="2",BF89,0)</f>
        <v>0</v>
      </c>
      <c r="AE89" s="233">
        <f>IF(AO89="2",BG89,0)</f>
        <v>0</v>
      </c>
      <c r="AF89" s="233">
        <f>IF(AO89="0",BH89,0)</f>
        <v>0</v>
      </c>
      <c r="AG89" s="229" t="s">
        <v>154</v>
      </c>
      <c r="AH89" s="233">
        <f>IF(AL89=0,J89,0)</f>
        <v>0</v>
      </c>
      <c r="AI89" s="233">
        <f>IF(AL89=15,J89,0)</f>
        <v>0</v>
      </c>
      <c r="AJ89" s="233">
        <f>IF(AL89=21,J89,0)</f>
        <v>0</v>
      </c>
      <c r="AL89" s="233">
        <v>15</v>
      </c>
      <c r="AM89" s="233">
        <f>G89*0</f>
        <v>0</v>
      </c>
      <c r="AN89" s="233">
        <f>G89*(1-0)</f>
        <v>0</v>
      </c>
      <c r="AO89" s="234" t="s">
        <v>157</v>
      </c>
      <c r="AT89" s="233">
        <f>AU89+AV89</f>
        <v>0</v>
      </c>
      <c r="AU89" s="233">
        <f>F89*AM89</f>
        <v>0</v>
      </c>
      <c r="AV89" s="233">
        <f>F89*AN89</f>
        <v>0</v>
      </c>
      <c r="AW89" s="234" t="s">
        <v>288</v>
      </c>
      <c r="AX89" s="234" t="s">
        <v>289</v>
      </c>
      <c r="AY89" s="229" t="s">
        <v>164</v>
      </c>
      <c r="BA89" s="233">
        <f>AU89+AV89</f>
        <v>0</v>
      </c>
      <c r="BB89" s="233">
        <f>G89/(100-BC89)*100</f>
        <v>0</v>
      </c>
      <c r="BC89" s="233">
        <v>0</v>
      </c>
      <c r="BD89" s="233">
        <f>L89</f>
        <v>0</v>
      </c>
      <c r="BF89" s="233">
        <f>F89*AM89</f>
        <v>0</v>
      </c>
      <c r="BG89" s="233">
        <f>F89*AN89</f>
        <v>0</v>
      </c>
      <c r="BH89" s="233">
        <f>F89*G89</f>
        <v>0</v>
      </c>
      <c r="BI89" s="233"/>
      <c r="BJ89" s="233">
        <v>21</v>
      </c>
      <c r="BU89" s="233" t="e">
        <f>#REF!</f>
        <v>#REF!</v>
      </c>
      <c r="BV89" s="225" t="s">
        <v>287</v>
      </c>
    </row>
    <row r="90" spans="1:74" ht="40.5" customHeight="1" x14ac:dyDescent="0.3">
      <c r="A90" s="241"/>
      <c r="B90" s="242" t="s">
        <v>165</v>
      </c>
      <c r="C90" s="530" t="s">
        <v>2073</v>
      </c>
      <c r="D90" s="531"/>
      <c r="E90" s="531"/>
      <c r="F90" s="531"/>
      <c r="G90" s="531"/>
      <c r="H90" s="531"/>
      <c r="I90" s="531"/>
      <c r="J90" s="531"/>
      <c r="K90" s="531"/>
      <c r="L90" s="531"/>
      <c r="M90" s="532"/>
    </row>
    <row r="91" spans="1:74" ht="14.4" x14ac:dyDescent="0.3">
      <c r="A91" s="239" t="s">
        <v>290</v>
      </c>
      <c r="B91" s="223" t="s">
        <v>291</v>
      </c>
      <c r="C91" s="521" t="s">
        <v>292</v>
      </c>
      <c r="D91" s="519"/>
      <c r="E91" s="223" t="s">
        <v>160</v>
      </c>
      <c r="F91" s="233">
        <v>20</v>
      </c>
      <c r="G91" s="311">
        <v>0</v>
      </c>
      <c r="H91" s="233">
        <f>F91*AM91</f>
        <v>0</v>
      </c>
      <c r="I91" s="233">
        <f>F91*AN91</f>
        <v>0</v>
      </c>
      <c r="J91" s="233">
        <f>F91*G91</f>
        <v>0</v>
      </c>
      <c r="K91" s="233">
        <v>0.43625000000000003</v>
      </c>
      <c r="L91" s="233">
        <f>F91*K91</f>
        <v>8.7250000000000014</v>
      </c>
      <c r="M91" s="240" t="s">
        <v>472</v>
      </c>
      <c r="X91" s="233">
        <f>IF(AO91="5",BH91,0)</f>
        <v>0</v>
      </c>
      <c r="Z91" s="233">
        <f>IF(AO91="1",BF91,0)</f>
        <v>0</v>
      </c>
      <c r="AA91" s="233">
        <f>IF(AO91="1",BG91,0)</f>
        <v>0</v>
      </c>
      <c r="AB91" s="233">
        <f>IF(AO91="7",BF91,0)</f>
        <v>0</v>
      </c>
      <c r="AC91" s="233">
        <f>IF(AO91="7",BG91,0)</f>
        <v>0</v>
      </c>
      <c r="AD91" s="233">
        <f>IF(AO91="2",BF91,0)</f>
        <v>0</v>
      </c>
      <c r="AE91" s="233">
        <f>IF(AO91="2",BG91,0)</f>
        <v>0</v>
      </c>
      <c r="AF91" s="233">
        <f>IF(AO91="0",BH91,0)</f>
        <v>0</v>
      </c>
      <c r="AG91" s="229" t="s">
        <v>154</v>
      </c>
      <c r="AH91" s="233">
        <f>IF(AL91=0,J91,0)</f>
        <v>0</v>
      </c>
      <c r="AI91" s="233">
        <f>IF(AL91=15,J91,0)</f>
        <v>0</v>
      </c>
      <c r="AJ91" s="233">
        <f>IF(AL91=21,J91,0)</f>
        <v>0</v>
      </c>
      <c r="AL91" s="233">
        <v>15</v>
      </c>
      <c r="AM91" s="233">
        <f>G91*0.447203746</f>
        <v>0</v>
      </c>
      <c r="AN91" s="233">
        <f>G91*(1-0.447203746)</f>
        <v>0</v>
      </c>
      <c r="AO91" s="234" t="s">
        <v>157</v>
      </c>
      <c r="AT91" s="233">
        <f>AU91+AV91</f>
        <v>0</v>
      </c>
      <c r="AU91" s="233">
        <f>F91*AM91</f>
        <v>0</v>
      </c>
      <c r="AV91" s="233">
        <f>F91*AN91</f>
        <v>0</v>
      </c>
      <c r="AW91" s="234" t="s">
        <v>288</v>
      </c>
      <c r="AX91" s="234" t="s">
        <v>289</v>
      </c>
      <c r="AY91" s="229" t="s">
        <v>164</v>
      </c>
      <c r="BA91" s="233">
        <f>AU91+AV91</f>
        <v>0</v>
      </c>
      <c r="BB91" s="233">
        <f>G91/(100-BC91)*100</f>
        <v>0</v>
      </c>
      <c r="BC91" s="233">
        <v>0</v>
      </c>
      <c r="BD91" s="233">
        <f>L91</f>
        <v>8.7250000000000014</v>
      </c>
      <c r="BF91" s="233">
        <f>F91*AM91</f>
        <v>0</v>
      </c>
      <c r="BG91" s="233">
        <f>F91*AN91</f>
        <v>0</v>
      </c>
      <c r="BH91" s="233">
        <f>F91*G91</f>
        <v>0</v>
      </c>
      <c r="BI91" s="233"/>
      <c r="BJ91" s="233">
        <v>21</v>
      </c>
      <c r="BU91" s="233" t="e">
        <f>#REF!</f>
        <v>#REF!</v>
      </c>
      <c r="BV91" s="225" t="s">
        <v>292</v>
      </c>
    </row>
    <row r="92" spans="1:74" ht="27" customHeight="1" x14ac:dyDescent="0.3">
      <c r="A92" s="241"/>
      <c r="B92" s="242" t="s">
        <v>165</v>
      </c>
      <c r="C92" s="530" t="s">
        <v>1567</v>
      </c>
      <c r="D92" s="531"/>
      <c r="E92" s="531"/>
      <c r="F92" s="531"/>
      <c r="G92" s="531"/>
      <c r="H92" s="531"/>
      <c r="I92" s="531"/>
      <c r="J92" s="531"/>
      <c r="K92" s="531"/>
      <c r="L92" s="531"/>
      <c r="M92" s="532"/>
    </row>
    <row r="93" spans="1:74" ht="14.4" x14ac:dyDescent="0.3">
      <c r="A93" s="239" t="s">
        <v>154</v>
      </c>
      <c r="B93" s="224" t="s">
        <v>253</v>
      </c>
      <c r="C93" s="526" t="s">
        <v>293</v>
      </c>
      <c r="D93" s="527"/>
      <c r="E93" s="223" t="s">
        <v>114</v>
      </c>
      <c r="F93" s="223" t="s">
        <v>114</v>
      </c>
      <c r="G93" s="223" t="s">
        <v>114</v>
      </c>
      <c r="H93" s="235">
        <f>SUM(H94:H94)</f>
        <v>0</v>
      </c>
      <c r="I93" s="235">
        <f>SUM(I94:I94)</f>
        <v>0</v>
      </c>
      <c r="J93" s="235">
        <f>SUM(J94:J94)</f>
        <v>0</v>
      </c>
      <c r="K93" s="230" t="s">
        <v>154</v>
      </c>
      <c r="L93" s="235">
        <f>SUM(L94:L94)</f>
        <v>1.5150839999999999</v>
      </c>
      <c r="M93" s="243" t="s">
        <v>154</v>
      </c>
      <c r="AG93" s="229" t="s">
        <v>154</v>
      </c>
      <c r="AQ93" s="222">
        <f>SUM(AH94:AH94)</f>
        <v>0</v>
      </c>
      <c r="AR93" s="222">
        <f>SUM(AI94:AI94)</f>
        <v>0</v>
      </c>
      <c r="AS93" s="222">
        <f>SUM(AJ94:AJ94)</f>
        <v>0</v>
      </c>
    </row>
    <row r="94" spans="1:74" ht="14.4" x14ac:dyDescent="0.3">
      <c r="A94" s="239" t="s">
        <v>294</v>
      </c>
      <c r="B94" s="223" t="s">
        <v>295</v>
      </c>
      <c r="C94" s="521" t="s">
        <v>296</v>
      </c>
      <c r="D94" s="519"/>
      <c r="E94" s="223" t="s">
        <v>196</v>
      </c>
      <c r="F94" s="233">
        <v>0.6</v>
      </c>
      <c r="G94" s="311">
        <v>0</v>
      </c>
      <c r="H94" s="233">
        <f>F94*AM94</f>
        <v>0</v>
      </c>
      <c r="I94" s="233">
        <f>F94*AN94</f>
        <v>0</v>
      </c>
      <c r="J94" s="233">
        <f>F94*G94</f>
        <v>0</v>
      </c>
      <c r="K94" s="233">
        <v>2.5251399999999999</v>
      </c>
      <c r="L94" s="233">
        <f>F94*K94</f>
        <v>1.5150839999999999</v>
      </c>
      <c r="M94" s="240" t="s">
        <v>472</v>
      </c>
      <c r="X94" s="233">
        <f>IF(AO94="5",BH94,0)</f>
        <v>0</v>
      </c>
      <c r="Z94" s="233">
        <f>IF(AO94="1",BF94,0)</f>
        <v>0</v>
      </c>
      <c r="AA94" s="233">
        <f>IF(AO94="1",BG94,0)</f>
        <v>0</v>
      </c>
      <c r="AB94" s="233">
        <f>IF(AO94="7",BF94,0)</f>
        <v>0</v>
      </c>
      <c r="AC94" s="233">
        <f>IF(AO94="7",BG94,0)</f>
        <v>0</v>
      </c>
      <c r="AD94" s="233">
        <f>IF(AO94="2",BF94,0)</f>
        <v>0</v>
      </c>
      <c r="AE94" s="233">
        <f>IF(AO94="2",BG94,0)</f>
        <v>0</v>
      </c>
      <c r="AF94" s="233">
        <f>IF(AO94="0",BH94,0)</f>
        <v>0</v>
      </c>
      <c r="AG94" s="229" t="s">
        <v>154</v>
      </c>
      <c r="AH94" s="233">
        <f>IF(AL94=0,J94,0)</f>
        <v>0</v>
      </c>
      <c r="AI94" s="233">
        <f>IF(AL94=15,J94,0)</f>
        <v>0</v>
      </c>
      <c r="AJ94" s="233">
        <f>IF(AL94=21,J94,0)</f>
        <v>0</v>
      </c>
      <c r="AL94" s="233">
        <v>15</v>
      </c>
      <c r="AM94" s="233">
        <f>G94*0.848041841</f>
        <v>0</v>
      </c>
      <c r="AN94" s="233">
        <f>G94*(1-0.848041841)</f>
        <v>0</v>
      </c>
      <c r="AO94" s="234" t="s">
        <v>157</v>
      </c>
      <c r="AT94" s="233">
        <f>AU94+AV94</f>
        <v>0</v>
      </c>
      <c r="AU94" s="233">
        <f>F94*AM94</f>
        <v>0</v>
      </c>
      <c r="AV94" s="233">
        <f>F94*AN94</f>
        <v>0</v>
      </c>
      <c r="AW94" s="234" t="s">
        <v>297</v>
      </c>
      <c r="AX94" s="234" t="s">
        <v>289</v>
      </c>
      <c r="AY94" s="229" t="s">
        <v>164</v>
      </c>
      <c r="BA94" s="233">
        <f>AU94+AV94</f>
        <v>0</v>
      </c>
      <c r="BB94" s="233">
        <f>G94/(100-BC94)*100</f>
        <v>0</v>
      </c>
      <c r="BC94" s="233">
        <v>0</v>
      </c>
      <c r="BD94" s="233">
        <f>L94</f>
        <v>1.5150839999999999</v>
      </c>
      <c r="BF94" s="233">
        <f>F94*AM94</f>
        <v>0</v>
      </c>
      <c r="BG94" s="233">
        <f>F94*AN94</f>
        <v>0</v>
      </c>
      <c r="BH94" s="233">
        <f>F94*G94</f>
        <v>0</v>
      </c>
      <c r="BI94" s="233"/>
      <c r="BJ94" s="233">
        <v>27</v>
      </c>
      <c r="BU94" s="233" t="e">
        <f>#REF!</f>
        <v>#REF!</v>
      </c>
      <c r="BV94" s="225" t="s">
        <v>296</v>
      </c>
    </row>
    <row r="95" spans="1:74" ht="40.5" customHeight="1" x14ac:dyDescent="0.3">
      <c r="A95" s="241"/>
      <c r="B95" s="242" t="s">
        <v>165</v>
      </c>
      <c r="C95" s="530" t="s">
        <v>2074</v>
      </c>
      <c r="D95" s="531"/>
      <c r="E95" s="531"/>
      <c r="F95" s="531"/>
      <c r="G95" s="531"/>
      <c r="H95" s="531"/>
      <c r="I95" s="531"/>
      <c r="J95" s="531"/>
      <c r="K95" s="531"/>
      <c r="L95" s="531"/>
      <c r="M95" s="532"/>
    </row>
    <row r="96" spans="1:74" ht="14.4" x14ac:dyDescent="0.3">
      <c r="A96" s="239" t="s">
        <v>154</v>
      </c>
      <c r="B96" s="224" t="s">
        <v>298</v>
      </c>
      <c r="C96" s="526" t="s">
        <v>299</v>
      </c>
      <c r="D96" s="527"/>
      <c r="E96" s="223" t="s">
        <v>114</v>
      </c>
      <c r="F96" s="223" t="s">
        <v>114</v>
      </c>
      <c r="G96" s="223" t="s">
        <v>114</v>
      </c>
      <c r="H96" s="235">
        <f>SUM(H97:H97)</f>
        <v>0</v>
      </c>
      <c r="I96" s="235">
        <f>SUM(I97:I97)</f>
        <v>0</v>
      </c>
      <c r="J96" s="235">
        <f>SUM(J97:J97)</f>
        <v>0</v>
      </c>
      <c r="K96" s="230" t="s">
        <v>154</v>
      </c>
      <c r="L96" s="235">
        <f>SUM(L97:L97)</f>
        <v>36.983461200000001</v>
      </c>
      <c r="M96" s="243" t="s">
        <v>154</v>
      </c>
      <c r="AG96" s="229" t="s">
        <v>154</v>
      </c>
      <c r="AQ96" s="222">
        <f>SUM(AH97:AH97)</f>
        <v>0</v>
      </c>
      <c r="AR96" s="222">
        <f>SUM(AI97:AI97)</f>
        <v>0</v>
      </c>
      <c r="AS96" s="222">
        <f>SUM(AJ97:AJ97)</f>
        <v>0</v>
      </c>
    </row>
    <row r="97" spans="1:74" ht="14.4" x14ac:dyDescent="0.3">
      <c r="A97" s="239" t="s">
        <v>300</v>
      </c>
      <c r="B97" s="223" t="s">
        <v>301</v>
      </c>
      <c r="C97" s="521" t="s">
        <v>302</v>
      </c>
      <c r="D97" s="519"/>
      <c r="E97" s="223" t="s">
        <v>196</v>
      </c>
      <c r="F97" s="233">
        <v>19.559999999999999</v>
      </c>
      <c r="G97" s="311">
        <v>0</v>
      </c>
      <c r="H97" s="233">
        <f>F97*AM97</f>
        <v>0</v>
      </c>
      <c r="I97" s="233">
        <f>F97*AN97</f>
        <v>0</v>
      </c>
      <c r="J97" s="233">
        <f>F97*G97</f>
        <v>0</v>
      </c>
      <c r="K97" s="233">
        <v>1.8907700000000001</v>
      </c>
      <c r="L97" s="233">
        <f>F97*K97</f>
        <v>36.983461200000001</v>
      </c>
      <c r="M97" s="240" t="s">
        <v>472</v>
      </c>
      <c r="X97" s="233">
        <f>IF(AO97="5",BH97,0)</f>
        <v>0</v>
      </c>
      <c r="Z97" s="233">
        <f>IF(AO97="1",BF97,0)</f>
        <v>0</v>
      </c>
      <c r="AA97" s="233">
        <f>IF(AO97="1",BG97,0)</f>
        <v>0</v>
      </c>
      <c r="AB97" s="233">
        <f>IF(AO97="7",BF97,0)</f>
        <v>0</v>
      </c>
      <c r="AC97" s="233">
        <f>IF(AO97="7",BG97,0)</f>
        <v>0</v>
      </c>
      <c r="AD97" s="233">
        <f>IF(AO97="2",BF97,0)</f>
        <v>0</v>
      </c>
      <c r="AE97" s="233">
        <f>IF(AO97="2",BG97,0)</f>
        <v>0</v>
      </c>
      <c r="AF97" s="233">
        <f>IF(AO97="0",BH97,0)</f>
        <v>0</v>
      </c>
      <c r="AG97" s="229" t="s">
        <v>154</v>
      </c>
      <c r="AH97" s="233">
        <f>IF(AL97=0,J97,0)</f>
        <v>0</v>
      </c>
      <c r="AI97" s="233">
        <f>IF(AL97=15,J97,0)</f>
        <v>0</v>
      </c>
      <c r="AJ97" s="233">
        <f>IF(AL97=21,J97,0)</f>
        <v>0</v>
      </c>
      <c r="AL97" s="233">
        <v>15</v>
      </c>
      <c r="AM97" s="233">
        <f>G97*0.492383888</f>
        <v>0</v>
      </c>
      <c r="AN97" s="233">
        <f>G97*(1-0.492383888)</f>
        <v>0</v>
      </c>
      <c r="AO97" s="234" t="s">
        <v>157</v>
      </c>
      <c r="AT97" s="233">
        <f>AU97+AV97</f>
        <v>0</v>
      </c>
      <c r="AU97" s="233">
        <f>F97*AM97</f>
        <v>0</v>
      </c>
      <c r="AV97" s="233">
        <f>F97*AN97</f>
        <v>0</v>
      </c>
      <c r="AW97" s="234" t="s">
        <v>303</v>
      </c>
      <c r="AX97" s="234" t="s">
        <v>304</v>
      </c>
      <c r="AY97" s="229" t="s">
        <v>164</v>
      </c>
      <c r="BA97" s="233">
        <f>AU97+AV97</f>
        <v>0</v>
      </c>
      <c r="BB97" s="233">
        <f>G97/(100-BC97)*100</f>
        <v>0</v>
      </c>
      <c r="BC97" s="233">
        <v>0</v>
      </c>
      <c r="BD97" s="233">
        <f>L97</f>
        <v>36.983461200000001</v>
      </c>
      <c r="BF97" s="233">
        <f>F97*AM97</f>
        <v>0</v>
      </c>
      <c r="BG97" s="233">
        <f>F97*AN97</f>
        <v>0</v>
      </c>
      <c r="BH97" s="233">
        <f>F97*G97</f>
        <v>0</v>
      </c>
      <c r="BI97" s="233"/>
      <c r="BJ97" s="233">
        <v>45</v>
      </c>
      <c r="BU97" s="233" t="e">
        <f>#REF!</f>
        <v>#REF!</v>
      </c>
      <c r="BV97" s="225" t="s">
        <v>302</v>
      </c>
    </row>
    <row r="98" spans="1:74" ht="67.5" customHeight="1" x14ac:dyDescent="0.3">
      <c r="A98" s="241"/>
      <c r="B98" s="242" t="s">
        <v>165</v>
      </c>
      <c r="C98" s="530" t="s">
        <v>2075</v>
      </c>
      <c r="D98" s="531"/>
      <c r="E98" s="531"/>
      <c r="F98" s="531"/>
      <c r="G98" s="531"/>
      <c r="H98" s="531"/>
      <c r="I98" s="531"/>
      <c r="J98" s="531"/>
      <c r="K98" s="531"/>
      <c r="L98" s="531"/>
      <c r="M98" s="532"/>
    </row>
    <row r="99" spans="1:74" ht="14.4" x14ac:dyDescent="0.3">
      <c r="A99" s="239" t="s">
        <v>154</v>
      </c>
      <c r="B99" s="224" t="s">
        <v>305</v>
      </c>
      <c r="C99" s="526" t="s">
        <v>306</v>
      </c>
      <c r="D99" s="527"/>
      <c r="E99" s="223" t="s">
        <v>114</v>
      </c>
      <c r="F99" s="223" t="s">
        <v>114</v>
      </c>
      <c r="G99" s="223" t="s">
        <v>114</v>
      </c>
      <c r="H99" s="235">
        <f>SUM(H100:H120)</f>
        <v>0</v>
      </c>
      <c r="I99" s="235">
        <f>SUM(I100:I120)</f>
        <v>0</v>
      </c>
      <c r="J99" s="235">
        <f>SUM(J100:J120)</f>
        <v>0</v>
      </c>
      <c r="K99" s="230" t="s">
        <v>154</v>
      </c>
      <c r="L99" s="235">
        <f>SUM(L100:L120)</f>
        <v>205.25664699999999</v>
      </c>
      <c r="M99" s="243" t="s">
        <v>154</v>
      </c>
      <c r="AG99" s="229" t="s">
        <v>154</v>
      </c>
      <c r="AQ99" s="222">
        <f>SUM(AH100:AH120)</f>
        <v>0</v>
      </c>
      <c r="AR99" s="222">
        <f>SUM(AI100:AI120)</f>
        <v>0</v>
      </c>
      <c r="AS99" s="222">
        <f>SUM(AJ100:AJ120)</f>
        <v>0</v>
      </c>
    </row>
    <row r="100" spans="1:74" ht="14.4" x14ac:dyDescent="0.3">
      <c r="A100" s="239" t="s">
        <v>307</v>
      </c>
      <c r="B100" s="223" t="s">
        <v>308</v>
      </c>
      <c r="C100" s="521" t="s">
        <v>309</v>
      </c>
      <c r="D100" s="519"/>
      <c r="E100" s="223" t="s">
        <v>180</v>
      </c>
      <c r="F100" s="233">
        <v>67.05</v>
      </c>
      <c r="G100" s="311">
        <v>0</v>
      </c>
      <c r="H100" s="233">
        <f>F100*AM100</f>
        <v>0</v>
      </c>
      <c r="I100" s="233">
        <f>F100*AN100</f>
        <v>0</v>
      </c>
      <c r="J100" s="233">
        <f>F100*G100</f>
        <v>0</v>
      </c>
      <c r="K100" s="233">
        <v>0.4284</v>
      </c>
      <c r="L100" s="233">
        <f>F100*K100</f>
        <v>28.724219999999999</v>
      </c>
      <c r="M100" s="240" t="s">
        <v>472</v>
      </c>
      <c r="X100" s="233">
        <f>IF(AO100="5",BH100,0)</f>
        <v>0</v>
      </c>
      <c r="Z100" s="233">
        <f>IF(AO100="1",BF100,0)</f>
        <v>0</v>
      </c>
      <c r="AA100" s="233">
        <f>IF(AO100="1",BG100,0)</f>
        <v>0</v>
      </c>
      <c r="AB100" s="233">
        <f>IF(AO100="7",BF100,0)</f>
        <v>0</v>
      </c>
      <c r="AC100" s="233">
        <f>IF(AO100="7",BG100,0)</f>
        <v>0</v>
      </c>
      <c r="AD100" s="233">
        <f>IF(AO100="2",BF100,0)</f>
        <v>0</v>
      </c>
      <c r="AE100" s="233">
        <f>IF(AO100="2",BG100,0)</f>
        <v>0</v>
      </c>
      <c r="AF100" s="233">
        <f>IF(AO100="0",BH100,0)</f>
        <v>0</v>
      </c>
      <c r="AG100" s="229" t="s">
        <v>154</v>
      </c>
      <c r="AH100" s="233">
        <f>IF(AL100=0,J100,0)</f>
        <v>0</v>
      </c>
      <c r="AI100" s="233">
        <f>IF(AL100=15,J100,0)</f>
        <v>0</v>
      </c>
      <c r="AJ100" s="233">
        <f>IF(AL100=21,J100,0)</f>
        <v>0</v>
      </c>
      <c r="AL100" s="233">
        <v>15</v>
      </c>
      <c r="AM100" s="233">
        <f>G100*0.847972206</f>
        <v>0</v>
      </c>
      <c r="AN100" s="233">
        <f>G100*(1-0.847972206)</f>
        <v>0</v>
      </c>
      <c r="AO100" s="234" t="s">
        <v>157</v>
      </c>
      <c r="AT100" s="233">
        <f>AU100+AV100</f>
        <v>0</v>
      </c>
      <c r="AU100" s="233">
        <f>F100*AM100</f>
        <v>0</v>
      </c>
      <c r="AV100" s="233">
        <f>F100*AN100</f>
        <v>0</v>
      </c>
      <c r="AW100" s="234" t="s">
        <v>310</v>
      </c>
      <c r="AX100" s="234" t="s">
        <v>311</v>
      </c>
      <c r="AY100" s="229" t="s">
        <v>164</v>
      </c>
      <c r="BA100" s="233">
        <f>AU100+AV100</f>
        <v>0</v>
      </c>
      <c r="BB100" s="233">
        <f>G100/(100-BC100)*100</f>
        <v>0</v>
      </c>
      <c r="BC100" s="233">
        <v>0</v>
      </c>
      <c r="BD100" s="233">
        <f>L100</f>
        <v>28.724219999999999</v>
      </c>
      <c r="BF100" s="233">
        <f>F100*AM100</f>
        <v>0</v>
      </c>
      <c r="BG100" s="233">
        <f>F100*AN100</f>
        <v>0</v>
      </c>
      <c r="BH100" s="233">
        <f>F100*G100</f>
        <v>0</v>
      </c>
      <c r="BI100" s="233"/>
      <c r="BJ100" s="233">
        <v>56</v>
      </c>
      <c r="BU100" s="233" t="e">
        <f>#REF!</f>
        <v>#REF!</v>
      </c>
      <c r="BV100" s="225" t="s">
        <v>309</v>
      </c>
    </row>
    <row r="101" spans="1:74" ht="40.5" customHeight="1" x14ac:dyDescent="0.3">
      <c r="A101" s="241"/>
      <c r="B101" s="242" t="s">
        <v>165</v>
      </c>
      <c r="C101" s="530" t="s">
        <v>2076</v>
      </c>
      <c r="D101" s="531"/>
      <c r="E101" s="531"/>
      <c r="F101" s="531"/>
      <c r="G101" s="531"/>
      <c r="H101" s="531"/>
      <c r="I101" s="531"/>
      <c r="J101" s="531"/>
      <c r="K101" s="531"/>
      <c r="L101" s="531"/>
      <c r="M101" s="532"/>
    </row>
    <row r="102" spans="1:74" ht="14.4" x14ac:dyDescent="0.3">
      <c r="A102" s="239" t="s">
        <v>312</v>
      </c>
      <c r="B102" s="223" t="s">
        <v>313</v>
      </c>
      <c r="C102" s="521" t="s">
        <v>314</v>
      </c>
      <c r="D102" s="519"/>
      <c r="E102" s="223" t="s">
        <v>180</v>
      </c>
      <c r="F102" s="233">
        <v>71.209999999999994</v>
      </c>
      <c r="G102" s="311">
        <v>0</v>
      </c>
      <c r="H102" s="233">
        <f>F102*AM102</f>
        <v>0</v>
      </c>
      <c r="I102" s="233">
        <f>F102*AN102</f>
        <v>0</v>
      </c>
      <c r="J102" s="233">
        <f>F102*G102</f>
        <v>0</v>
      </c>
      <c r="K102" s="233">
        <v>0.60104000000000002</v>
      </c>
      <c r="L102" s="233">
        <f>F102*K102</f>
        <v>42.800058399999998</v>
      </c>
      <c r="M102" s="240" t="s">
        <v>472</v>
      </c>
      <c r="X102" s="233">
        <f>IF(AO102="5",BH102,0)</f>
        <v>0</v>
      </c>
      <c r="Z102" s="233">
        <f>IF(AO102="1",BF102,0)</f>
        <v>0</v>
      </c>
      <c r="AA102" s="233">
        <f>IF(AO102="1",BG102,0)</f>
        <v>0</v>
      </c>
      <c r="AB102" s="233">
        <f>IF(AO102="7",BF102,0)</f>
        <v>0</v>
      </c>
      <c r="AC102" s="233">
        <f>IF(AO102="7",BG102,0)</f>
        <v>0</v>
      </c>
      <c r="AD102" s="233">
        <f>IF(AO102="2",BF102,0)</f>
        <v>0</v>
      </c>
      <c r="AE102" s="233">
        <f>IF(AO102="2",BG102,0)</f>
        <v>0</v>
      </c>
      <c r="AF102" s="233">
        <f>IF(AO102="0",BH102,0)</f>
        <v>0</v>
      </c>
      <c r="AG102" s="229" t="s">
        <v>154</v>
      </c>
      <c r="AH102" s="233">
        <f>IF(AL102=0,J102,0)</f>
        <v>0</v>
      </c>
      <c r="AI102" s="233">
        <f>IF(AL102=15,J102,0)</f>
        <v>0</v>
      </c>
      <c r="AJ102" s="233">
        <f>IF(AL102=21,J102,0)</f>
        <v>0</v>
      </c>
      <c r="AL102" s="233">
        <v>15</v>
      </c>
      <c r="AM102" s="233">
        <f>G102*0.832422819</f>
        <v>0</v>
      </c>
      <c r="AN102" s="233">
        <f>G102*(1-0.832422819)</f>
        <v>0</v>
      </c>
      <c r="AO102" s="234" t="s">
        <v>157</v>
      </c>
      <c r="AT102" s="233">
        <f>AU102+AV102</f>
        <v>0</v>
      </c>
      <c r="AU102" s="233">
        <f>F102*AM102</f>
        <v>0</v>
      </c>
      <c r="AV102" s="233">
        <f>F102*AN102</f>
        <v>0</v>
      </c>
      <c r="AW102" s="234" t="s">
        <v>310</v>
      </c>
      <c r="AX102" s="234" t="s">
        <v>311</v>
      </c>
      <c r="AY102" s="229" t="s">
        <v>164</v>
      </c>
      <c r="BA102" s="233">
        <f>AU102+AV102</f>
        <v>0</v>
      </c>
      <c r="BB102" s="233">
        <f>G102/(100-BC102)*100</f>
        <v>0</v>
      </c>
      <c r="BC102" s="233">
        <v>0</v>
      </c>
      <c r="BD102" s="233">
        <f>L102</f>
        <v>42.800058399999998</v>
      </c>
      <c r="BF102" s="233">
        <f>F102*AM102</f>
        <v>0</v>
      </c>
      <c r="BG102" s="233">
        <f>F102*AN102</f>
        <v>0</v>
      </c>
      <c r="BH102" s="233">
        <f>F102*G102</f>
        <v>0</v>
      </c>
      <c r="BI102" s="233"/>
      <c r="BJ102" s="233">
        <v>56</v>
      </c>
      <c r="BU102" s="233" t="e">
        <f>#REF!</f>
        <v>#REF!</v>
      </c>
      <c r="BV102" s="225" t="s">
        <v>314</v>
      </c>
    </row>
    <row r="103" spans="1:74" ht="40.5" customHeight="1" x14ac:dyDescent="0.3">
      <c r="A103" s="241"/>
      <c r="B103" s="242" t="s">
        <v>165</v>
      </c>
      <c r="C103" s="530" t="s">
        <v>2077</v>
      </c>
      <c r="D103" s="531"/>
      <c r="E103" s="531"/>
      <c r="F103" s="531"/>
      <c r="G103" s="531"/>
      <c r="H103" s="531"/>
      <c r="I103" s="531"/>
      <c r="J103" s="531"/>
      <c r="K103" s="531"/>
      <c r="L103" s="531"/>
      <c r="M103" s="532"/>
    </row>
    <row r="104" spans="1:74" ht="14.4" x14ac:dyDescent="0.3">
      <c r="A104" s="239" t="s">
        <v>315</v>
      </c>
      <c r="B104" s="223" t="s">
        <v>316</v>
      </c>
      <c r="C104" s="521" t="s">
        <v>317</v>
      </c>
      <c r="D104" s="519"/>
      <c r="E104" s="223" t="s">
        <v>180</v>
      </c>
      <c r="F104" s="233">
        <v>73.8</v>
      </c>
      <c r="G104" s="311">
        <v>0</v>
      </c>
      <c r="H104" s="233">
        <f>F104*AM104</f>
        <v>0</v>
      </c>
      <c r="I104" s="233">
        <f>F104*AN104</f>
        <v>0</v>
      </c>
      <c r="J104" s="233">
        <f>F104*G104</f>
        <v>0</v>
      </c>
      <c r="K104" s="233">
        <v>0.48574000000000001</v>
      </c>
      <c r="L104" s="233">
        <f>F104*K104</f>
        <v>35.847611999999998</v>
      </c>
      <c r="M104" s="240" t="s">
        <v>472</v>
      </c>
      <c r="X104" s="233">
        <f>IF(AO104="5",BH104,0)</f>
        <v>0</v>
      </c>
      <c r="Z104" s="233">
        <f>IF(AO104="1",BF104,0)</f>
        <v>0</v>
      </c>
      <c r="AA104" s="233">
        <f>IF(AO104="1",BG104,0)</f>
        <v>0</v>
      </c>
      <c r="AB104" s="233">
        <f>IF(AO104="7",BF104,0)</f>
        <v>0</v>
      </c>
      <c r="AC104" s="233">
        <f>IF(AO104="7",BG104,0)</f>
        <v>0</v>
      </c>
      <c r="AD104" s="233">
        <f>IF(AO104="2",BF104,0)</f>
        <v>0</v>
      </c>
      <c r="AE104" s="233">
        <f>IF(AO104="2",BG104,0)</f>
        <v>0</v>
      </c>
      <c r="AF104" s="233">
        <f>IF(AO104="0",BH104,0)</f>
        <v>0</v>
      </c>
      <c r="AG104" s="229" t="s">
        <v>154</v>
      </c>
      <c r="AH104" s="233">
        <f>IF(AL104=0,J104,0)</f>
        <v>0</v>
      </c>
      <c r="AI104" s="233">
        <f>IF(AL104=15,J104,0)</f>
        <v>0</v>
      </c>
      <c r="AJ104" s="233">
        <f>IF(AL104=21,J104,0)</f>
        <v>0</v>
      </c>
      <c r="AL104" s="233">
        <v>15</v>
      </c>
      <c r="AM104" s="233">
        <f>G104*0.8128743</f>
        <v>0</v>
      </c>
      <c r="AN104" s="233">
        <f>G104*(1-0.8128743)</f>
        <v>0</v>
      </c>
      <c r="AO104" s="234" t="s">
        <v>157</v>
      </c>
      <c r="AT104" s="233">
        <f>AU104+AV104</f>
        <v>0</v>
      </c>
      <c r="AU104" s="233">
        <f>F104*AM104</f>
        <v>0</v>
      </c>
      <c r="AV104" s="233">
        <f>F104*AN104</f>
        <v>0</v>
      </c>
      <c r="AW104" s="234" t="s">
        <v>310</v>
      </c>
      <c r="AX104" s="234" t="s">
        <v>311</v>
      </c>
      <c r="AY104" s="229" t="s">
        <v>164</v>
      </c>
      <c r="BA104" s="233">
        <f>AU104+AV104</f>
        <v>0</v>
      </c>
      <c r="BB104" s="233">
        <f>G104/(100-BC104)*100</f>
        <v>0</v>
      </c>
      <c r="BC104" s="233">
        <v>0</v>
      </c>
      <c r="BD104" s="233">
        <f>L104</f>
        <v>35.847611999999998</v>
      </c>
      <c r="BF104" s="233">
        <f>F104*AM104</f>
        <v>0</v>
      </c>
      <c r="BG104" s="233">
        <f>F104*AN104</f>
        <v>0</v>
      </c>
      <c r="BH104" s="233">
        <f>F104*G104</f>
        <v>0</v>
      </c>
      <c r="BI104" s="233"/>
      <c r="BJ104" s="233">
        <v>56</v>
      </c>
      <c r="BU104" s="233" t="e">
        <f>#REF!</f>
        <v>#REF!</v>
      </c>
      <c r="BV104" s="225" t="s">
        <v>317</v>
      </c>
    </row>
    <row r="105" spans="1:74" ht="40.5" customHeight="1" x14ac:dyDescent="0.3">
      <c r="A105" s="244"/>
      <c r="B105" s="245" t="s">
        <v>165</v>
      </c>
      <c r="C105" s="540" t="s">
        <v>2078</v>
      </c>
      <c r="D105" s="541"/>
      <c r="E105" s="541"/>
      <c r="F105" s="541"/>
      <c r="G105" s="541"/>
      <c r="H105" s="541"/>
      <c r="I105" s="541"/>
      <c r="J105" s="541"/>
      <c r="K105" s="541"/>
      <c r="L105" s="541"/>
      <c r="M105" s="542"/>
    </row>
    <row r="106" spans="1:74" ht="14.4" x14ac:dyDescent="0.3">
      <c r="A106" s="237" t="s">
        <v>318</v>
      </c>
      <c r="B106" s="238" t="s">
        <v>316</v>
      </c>
      <c r="C106" s="543" t="s">
        <v>317</v>
      </c>
      <c r="D106" s="544"/>
      <c r="E106" s="238" t="s">
        <v>180</v>
      </c>
      <c r="F106" s="258">
        <v>76.92</v>
      </c>
      <c r="G106" s="311">
        <v>0</v>
      </c>
      <c r="H106" s="258">
        <f>F106*AM106</f>
        <v>0</v>
      </c>
      <c r="I106" s="258">
        <f>F106*AN106</f>
        <v>0</v>
      </c>
      <c r="J106" s="258">
        <f>F106*G106</f>
        <v>0</v>
      </c>
      <c r="K106" s="258">
        <v>0.48574000000000001</v>
      </c>
      <c r="L106" s="258">
        <f>F106*K106</f>
        <v>37.363120800000004</v>
      </c>
      <c r="M106" s="259" t="s">
        <v>472</v>
      </c>
      <c r="X106" s="233">
        <f>IF(AO106="5",BH106,0)</f>
        <v>0</v>
      </c>
      <c r="Z106" s="233">
        <f>IF(AO106="1",BF106,0)</f>
        <v>0</v>
      </c>
      <c r="AA106" s="233">
        <f>IF(AO106="1",BG106,0)</f>
        <v>0</v>
      </c>
      <c r="AB106" s="233">
        <f>IF(AO106="7",BF106,0)</f>
        <v>0</v>
      </c>
      <c r="AC106" s="233">
        <f>IF(AO106="7",BG106,0)</f>
        <v>0</v>
      </c>
      <c r="AD106" s="233">
        <f>IF(AO106="2",BF106,0)</f>
        <v>0</v>
      </c>
      <c r="AE106" s="233">
        <f>IF(AO106="2",BG106,0)</f>
        <v>0</v>
      </c>
      <c r="AF106" s="233">
        <f>IF(AO106="0",BH106,0)</f>
        <v>0</v>
      </c>
      <c r="AG106" s="229" t="s">
        <v>154</v>
      </c>
      <c r="AH106" s="233">
        <f>IF(AL106=0,J106,0)</f>
        <v>0</v>
      </c>
      <c r="AI106" s="233">
        <f>IF(AL106=15,J106,0)</f>
        <v>0</v>
      </c>
      <c r="AJ106" s="233">
        <f>IF(AL106=21,J106,0)</f>
        <v>0</v>
      </c>
      <c r="AL106" s="233">
        <v>15</v>
      </c>
      <c r="AM106" s="233">
        <f>G106*0.812874638</f>
        <v>0</v>
      </c>
      <c r="AN106" s="233">
        <f>G106*(1-0.812874638)</f>
        <v>0</v>
      </c>
      <c r="AO106" s="234" t="s">
        <v>157</v>
      </c>
      <c r="AT106" s="233">
        <f>AU106+AV106</f>
        <v>0</v>
      </c>
      <c r="AU106" s="233">
        <f>F106*AM106</f>
        <v>0</v>
      </c>
      <c r="AV106" s="233">
        <f>F106*AN106</f>
        <v>0</v>
      </c>
      <c r="AW106" s="234" t="s">
        <v>310</v>
      </c>
      <c r="AX106" s="234" t="s">
        <v>311</v>
      </c>
      <c r="AY106" s="229" t="s">
        <v>164</v>
      </c>
      <c r="BA106" s="233">
        <f>AU106+AV106</f>
        <v>0</v>
      </c>
      <c r="BB106" s="233">
        <f>G106/(100-BC106)*100</f>
        <v>0</v>
      </c>
      <c r="BC106" s="233">
        <v>0</v>
      </c>
      <c r="BD106" s="233">
        <f>L106</f>
        <v>37.363120800000004</v>
      </c>
      <c r="BF106" s="233">
        <f>F106*AM106</f>
        <v>0</v>
      </c>
      <c r="BG106" s="233">
        <f>F106*AN106</f>
        <v>0</v>
      </c>
      <c r="BH106" s="233">
        <f>F106*G106</f>
        <v>0</v>
      </c>
      <c r="BI106" s="233"/>
      <c r="BJ106" s="233">
        <v>56</v>
      </c>
      <c r="BU106" s="233" t="e">
        <f>#REF!</f>
        <v>#REF!</v>
      </c>
      <c r="BV106" s="225" t="s">
        <v>317</v>
      </c>
    </row>
    <row r="107" spans="1:74" ht="40.5" customHeight="1" x14ac:dyDescent="0.3">
      <c r="A107" s="241"/>
      <c r="B107" s="242" t="s">
        <v>165</v>
      </c>
      <c r="C107" s="530" t="s">
        <v>2079</v>
      </c>
      <c r="D107" s="531"/>
      <c r="E107" s="531"/>
      <c r="F107" s="531"/>
      <c r="G107" s="531"/>
      <c r="H107" s="531"/>
      <c r="I107" s="531"/>
      <c r="J107" s="531"/>
      <c r="K107" s="531"/>
      <c r="L107" s="531"/>
      <c r="M107" s="532"/>
    </row>
    <row r="108" spans="1:74" ht="14.4" x14ac:dyDescent="0.3">
      <c r="A108" s="239" t="s">
        <v>319</v>
      </c>
      <c r="B108" s="223" t="s">
        <v>320</v>
      </c>
      <c r="C108" s="521" t="s">
        <v>321</v>
      </c>
      <c r="D108" s="519"/>
      <c r="E108" s="223" t="s">
        <v>180</v>
      </c>
      <c r="F108" s="233">
        <v>75.73</v>
      </c>
      <c r="G108" s="311">
        <v>0</v>
      </c>
      <c r="H108" s="233">
        <f>F108*AM108</f>
        <v>0</v>
      </c>
      <c r="I108" s="233">
        <f>F108*AN108</f>
        <v>0</v>
      </c>
      <c r="J108" s="233">
        <f>F108*G108</f>
        <v>0</v>
      </c>
      <c r="K108" s="233">
        <v>0.4536</v>
      </c>
      <c r="L108" s="233">
        <f>F108*K108</f>
        <v>34.351128000000003</v>
      </c>
      <c r="M108" s="240" t="s">
        <v>472</v>
      </c>
      <c r="X108" s="233">
        <f>IF(AO108="5",BH108,0)</f>
        <v>0</v>
      </c>
      <c r="Z108" s="233">
        <f>IF(AO108="1",BF108,0)</f>
        <v>0</v>
      </c>
      <c r="AA108" s="233">
        <f>IF(AO108="1",BG108,0)</f>
        <v>0</v>
      </c>
      <c r="AB108" s="233">
        <f>IF(AO108="7",BF108,0)</f>
        <v>0</v>
      </c>
      <c r="AC108" s="233">
        <f>IF(AO108="7",BG108,0)</f>
        <v>0</v>
      </c>
      <c r="AD108" s="233">
        <f>IF(AO108="2",BF108,0)</f>
        <v>0</v>
      </c>
      <c r="AE108" s="233">
        <f>IF(AO108="2",BG108,0)</f>
        <v>0</v>
      </c>
      <c r="AF108" s="233">
        <f>IF(AO108="0",BH108,0)</f>
        <v>0</v>
      </c>
      <c r="AG108" s="229" t="s">
        <v>154</v>
      </c>
      <c r="AH108" s="233">
        <f>IF(AL108=0,J108,0)</f>
        <v>0</v>
      </c>
      <c r="AI108" s="233">
        <f>IF(AL108=15,J108,0)</f>
        <v>0</v>
      </c>
      <c r="AJ108" s="233">
        <f>IF(AL108=21,J108,0)</f>
        <v>0</v>
      </c>
      <c r="AL108" s="233">
        <v>15</v>
      </c>
      <c r="AM108" s="233">
        <f>G108*0.842955117</f>
        <v>0</v>
      </c>
      <c r="AN108" s="233">
        <f>G108*(1-0.842955117)</f>
        <v>0</v>
      </c>
      <c r="AO108" s="234" t="s">
        <v>157</v>
      </c>
      <c r="AT108" s="233">
        <f>AU108+AV108</f>
        <v>0</v>
      </c>
      <c r="AU108" s="233">
        <f>F108*AM108</f>
        <v>0</v>
      </c>
      <c r="AV108" s="233">
        <f>F108*AN108</f>
        <v>0</v>
      </c>
      <c r="AW108" s="234" t="s">
        <v>310</v>
      </c>
      <c r="AX108" s="234" t="s">
        <v>311</v>
      </c>
      <c r="AY108" s="229" t="s">
        <v>164</v>
      </c>
      <c r="BA108" s="233">
        <f>AU108+AV108</f>
        <v>0</v>
      </c>
      <c r="BB108" s="233">
        <f>G108/(100-BC108)*100</f>
        <v>0</v>
      </c>
      <c r="BC108" s="233">
        <v>0</v>
      </c>
      <c r="BD108" s="233">
        <f>L108</f>
        <v>34.351128000000003</v>
      </c>
      <c r="BF108" s="233">
        <f>F108*AM108</f>
        <v>0</v>
      </c>
      <c r="BG108" s="233">
        <f>F108*AN108</f>
        <v>0</v>
      </c>
      <c r="BH108" s="233">
        <f>F108*G108</f>
        <v>0</v>
      </c>
      <c r="BI108" s="233"/>
      <c r="BJ108" s="233">
        <v>56</v>
      </c>
      <c r="BU108" s="233" t="e">
        <f>#REF!</f>
        <v>#REF!</v>
      </c>
      <c r="BV108" s="225" t="s">
        <v>321</v>
      </c>
    </row>
    <row r="109" spans="1:74" ht="40.5" customHeight="1" x14ac:dyDescent="0.3">
      <c r="A109" s="241"/>
      <c r="B109" s="242" t="s">
        <v>165</v>
      </c>
      <c r="C109" s="530" t="s">
        <v>2080</v>
      </c>
      <c r="D109" s="531"/>
      <c r="E109" s="531"/>
      <c r="F109" s="531"/>
      <c r="G109" s="531"/>
      <c r="H109" s="531"/>
      <c r="I109" s="531"/>
      <c r="J109" s="531"/>
      <c r="K109" s="531"/>
      <c r="L109" s="531"/>
      <c r="M109" s="532"/>
    </row>
    <row r="110" spans="1:74" ht="14.4" x14ac:dyDescent="0.3">
      <c r="A110" s="239" t="s">
        <v>322</v>
      </c>
      <c r="B110" s="223" t="s">
        <v>323</v>
      </c>
      <c r="C110" s="521" t="s">
        <v>324</v>
      </c>
      <c r="D110" s="519"/>
      <c r="E110" s="223" t="s">
        <v>180</v>
      </c>
      <c r="F110" s="233">
        <v>74.989999999999995</v>
      </c>
      <c r="G110" s="311">
        <v>0</v>
      </c>
      <c r="H110" s="233">
        <f>F110*AM110</f>
        <v>0</v>
      </c>
      <c r="I110" s="233">
        <f>F110*AN110</f>
        <v>0</v>
      </c>
      <c r="J110" s="233">
        <f>F110*G110</f>
        <v>0</v>
      </c>
      <c r="K110" s="233">
        <v>0.21099999999999999</v>
      </c>
      <c r="L110" s="233">
        <f>F110*K110</f>
        <v>15.822889999999999</v>
      </c>
      <c r="M110" s="240" t="s">
        <v>472</v>
      </c>
      <c r="X110" s="233">
        <f>IF(AO110="5",BH110,0)</f>
        <v>0</v>
      </c>
      <c r="Z110" s="233">
        <f>IF(AO110="1",BF110,0)</f>
        <v>0</v>
      </c>
      <c r="AA110" s="233">
        <f>IF(AO110="1",BG110,0)</f>
        <v>0</v>
      </c>
      <c r="AB110" s="233">
        <f>IF(AO110="7",BF110,0)</f>
        <v>0</v>
      </c>
      <c r="AC110" s="233">
        <f>IF(AO110="7",BG110,0)</f>
        <v>0</v>
      </c>
      <c r="AD110" s="233">
        <f>IF(AO110="2",BF110,0)</f>
        <v>0</v>
      </c>
      <c r="AE110" s="233">
        <f>IF(AO110="2",BG110,0)</f>
        <v>0</v>
      </c>
      <c r="AF110" s="233">
        <f>IF(AO110="0",BH110,0)</f>
        <v>0</v>
      </c>
      <c r="AG110" s="229" t="s">
        <v>154</v>
      </c>
      <c r="AH110" s="233">
        <f>IF(AL110=0,J110,0)</f>
        <v>0</v>
      </c>
      <c r="AI110" s="233">
        <f>IF(AL110=15,J110,0)</f>
        <v>0</v>
      </c>
      <c r="AJ110" s="233">
        <f>IF(AL110=21,J110,0)</f>
        <v>0</v>
      </c>
      <c r="AL110" s="233">
        <v>15</v>
      </c>
      <c r="AM110" s="233">
        <f>G110*0.593949392</f>
        <v>0</v>
      </c>
      <c r="AN110" s="233">
        <f>G110*(1-0.593949392)</f>
        <v>0</v>
      </c>
      <c r="AO110" s="234" t="s">
        <v>157</v>
      </c>
      <c r="AT110" s="233">
        <f>AU110+AV110</f>
        <v>0</v>
      </c>
      <c r="AU110" s="233">
        <f>F110*AM110</f>
        <v>0</v>
      </c>
      <c r="AV110" s="233">
        <f>F110*AN110</f>
        <v>0</v>
      </c>
      <c r="AW110" s="234" t="s">
        <v>310</v>
      </c>
      <c r="AX110" s="234" t="s">
        <v>311</v>
      </c>
      <c r="AY110" s="229" t="s">
        <v>164</v>
      </c>
      <c r="BA110" s="233">
        <f>AU110+AV110</f>
        <v>0</v>
      </c>
      <c r="BB110" s="233">
        <f>G110/(100-BC110)*100</f>
        <v>0</v>
      </c>
      <c r="BC110" s="233">
        <v>0</v>
      </c>
      <c r="BD110" s="233">
        <f>L110</f>
        <v>15.822889999999999</v>
      </c>
      <c r="BF110" s="233">
        <f>F110*AM110</f>
        <v>0</v>
      </c>
      <c r="BG110" s="233">
        <f>F110*AN110</f>
        <v>0</v>
      </c>
      <c r="BH110" s="233">
        <f>F110*G110</f>
        <v>0</v>
      </c>
      <c r="BI110" s="233"/>
      <c r="BJ110" s="233">
        <v>56</v>
      </c>
      <c r="BU110" s="233" t="e">
        <f>#REF!</f>
        <v>#REF!</v>
      </c>
      <c r="BV110" s="225" t="s">
        <v>324</v>
      </c>
    </row>
    <row r="111" spans="1:74" ht="40.5" customHeight="1" x14ac:dyDescent="0.3">
      <c r="A111" s="241"/>
      <c r="B111" s="242" t="s">
        <v>165</v>
      </c>
      <c r="C111" s="530" t="s">
        <v>2081</v>
      </c>
      <c r="D111" s="531"/>
      <c r="E111" s="531"/>
      <c r="F111" s="531"/>
      <c r="G111" s="531"/>
      <c r="H111" s="531"/>
      <c r="I111" s="531"/>
      <c r="J111" s="531"/>
      <c r="K111" s="531"/>
      <c r="L111" s="531"/>
      <c r="M111" s="532"/>
    </row>
    <row r="112" spans="1:74" ht="14.4" x14ac:dyDescent="0.3">
      <c r="A112" s="239" t="s">
        <v>298</v>
      </c>
      <c r="B112" s="223" t="s">
        <v>1436</v>
      </c>
      <c r="C112" s="521" t="s">
        <v>1437</v>
      </c>
      <c r="D112" s="519"/>
      <c r="E112" s="223" t="s">
        <v>180</v>
      </c>
      <c r="F112" s="233">
        <v>73.8</v>
      </c>
      <c r="G112" s="311">
        <v>0</v>
      </c>
      <c r="H112" s="233">
        <f>F112*AM112</f>
        <v>0</v>
      </c>
      <c r="I112" s="233">
        <f>F112*AN112</f>
        <v>0</v>
      </c>
      <c r="J112" s="233">
        <f>F112*G112</f>
        <v>0</v>
      </c>
      <c r="K112" s="233">
        <v>0</v>
      </c>
      <c r="L112" s="233">
        <f>F112*K112</f>
        <v>0</v>
      </c>
      <c r="M112" s="240" t="s">
        <v>472</v>
      </c>
      <c r="X112" s="233">
        <f>IF(AO112="5",BH112,0)</f>
        <v>0</v>
      </c>
      <c r="Z112" s="233">
        <f>IF(AO112="1",BF112,0)</f>
        <v>0</v>
      </c>
      <c r="AA112" s="233">
        <f>IF(AO112="1",BG112,0)</f>
        <v>0</v>
      </c>
      <c r="AB112" s="233">
        <f>IF(AO112="7",BF112,0)</f>
        <v>0</v>
      </c>
      <c r="AC112" s="233">
        <f>IF(AO112="7",BG112,0)</f>
        <v>0</v>
      </c>
      <c r="AD112" s="233">
        <f>IF(AO112="2",BF112,0)</f>
        <v>0</v>
      </c>
      <c r="AE112" s="233">
        <f>IF(AO112="2",BG112,0)</f>
        <v>0</v>
      </c>
      <c r="AF112" s="233">
        <f>IF(AO112="0",BH112,0)</f>
        <v>0</v>
      </c>
      <c r="AG112" s="229" t="s">
        <v>154</v>
      </c>
      <c r="AH112" s="233">
        <f>IF(AL112=0,J112,0)</f>
        <v>0</v>
      </c>
      <c r="AI112" s="233">
        <f>IF(AL112=15,J112,0)</f>
        <v>0</v>
      </c>
      <c r="AJ112" s="233">
        <f>IF(AL112=21,J112,0)</f>
        <v>0</v>
      </c>
      <c r="AL112" s="233">
        <v>15</v>
      </c>
      <c r="AM112" s="233">
        <f>G112*0.898976774</f>
        <v>0</v>
      </c>
      <c r="AN112" s="233">
        <f>G112*(1-0.898976774)</f>
        <v>0</v>
      </c>
      <c r="AO112" s="234" t="s">
        <v>157</v>
      </c>
      <c r="AT112" s="233">
        <f>AU112+AV112</f>
        <v>0</v>
      </c>
      <c r="AU112" s="233">
        <f>F112*AM112</f>
        <v>0</v>
      </c>
      <c r="AV112" s="233">
        <f>F112*AN112</f>
        <v>0</v>
      </c>
      <c r="AW112" s="234" t="s">
        <v>310</v>
      </c>
      <c r="AX112" s="234" t="s">
        <v>311</v>
      </c>
      <c r="AY112" s="229" t="s">
        <v>164</v>
      </c>
      <c r="BA112" s="233">
        <f>AU112+AV112</f>
        <v>0</v>
      </c>
      <c r="BB112" s="233">
        <f>G112/(100-BC112)*100</f>
        <v>0</v>
      </c>
      <c r="BC112" s="233">
        <v>0</v>
      </c>
      <c r="BD112" s="233">
        <f>L112</f>
        <v>0</v>
      </c>
      <c r="BF112" s="233">
        <f>F112*AM112</f>
        <v>0</v>
      </c>
      <c r="BG112" s="233">
        <f>F112*AN112</f>
        <v>0</v>
      </c>
      <c r="BH112" s="233">
        <f>F112*G112</f>
        <v>0</v>
      </c>
      <c r="BI112" s="233"/>
      <c r="BJ112" s="233">
        <v>56</v>
      </c>
      <c r="BU112" s="233" t="e">
        <f>#REF!</f>
        <v>#REF!</v>
      </c>
      <c r="BV112" s="225" t="s">
        <v>1437</v>
      </c>
    </row>
    <row r="113" spans="1:74" ht="40.5" customHeight="1" x14ac:dyDescent="0.3">
      <c r="A113" s="241"/>
      <c r="B113" s="242" t="s">
        <v>165</v>
      </c>
      <c r="C113" s="530" t="s">
        <v>2082</v>
      </c>
      <c r="D113" s="531"/>
      <c r="E113" s="531"/>
      <c r="F113" s="531"/>
      <c r="G113" s="531"/>
      <c r="H113" s="531"/>
      <c r="I113" s="531"/>
      <c r="J113" s="531"/>
      <c r="K113" s="531"/>
      <c r="L113" s="531"/>
      <c r="M113" s="532"/>
    </row>
    <row r="114" spans="1:74" ht="14.4" x14ac:dyDescent="0.3">
      <c r="A114" s="239" t="s">
        <v>327</v>
      </c>
      <c r="B114" s="223" t="s">
        <v>325</v>
      </c>
      <c r="C114" s="521" t="s">
        <v>326</v>
      </c>
      <c r="D114" s="519"/>
      <c r="E114" s="223" t="s">
        <v>180</v>
      </c>
      <c r="F114" s="233">
        <v>6.46</v>
      </c>
      <c r="G114" s="311">
        <v>0</v>
      </c>
      <c r="H114" s="233">
        <f>F114*AM114</f>
        <v>0</v>
      </c>
      <c r="I114" s="233">
        <f>F114*AN114</f>
        <v>0</v>
      </c>
      <c r="J114" s="233">
        <f>F114*G114</f>
        <v>0</v>
      </c>
      <c r="K114" s="233">
        <v>0.55125000000000002</v>
      </c>
      <c r="L114" s="233">
        <f>F114*K114</f>
        <v>3.5610750000000002</v>
      </c>
      <c r="M114" s="240" t="s">
        <v>472</v>
      </c>
      <c r="X114" s="233">
        <f>IF(AO114="5",BH114,0)</f>
        <v>0</v>
      </c>
      <c r="Z114" s="233">
        <f>IF(AO114="1",BF114,0)</f>
        <v>0</v>
      </c>
      <c r="AA114" s="233">
        <f>IF(AO114="1",BG114,0)</f>
        <v>0</v>
      </c>
      <c r="AB114" s="233">
        <f>IF(AO114="7",BF114,0)</f>
        <v>0</v>
      </c>
      <c r="AC114" s="233">
        <f>IF(AO114="7",BG114,0)</f>
        <v>0</v>
      </c>
      <c r="AD114" s="233">
        <f>IF(AO114="2",BF114,0)</f>
        <v>0</v>
      </c>
      <c r="AE114" s="233">
        <f>IF(AO114="2",BG114,0)</f>
        <v>0</v>
      </c>
      <c r="AF114" s="233">
        <f>IF(AO114="0",BH114,0)</f>
        <v>0</v>
      </c>
      <c r="AG114" s="229" t="s">
        <v>154</v>
      </c>
      <c r="AH114" s="233">
        <f>IF(AL114=0,J114,0)</f>
        <v>0</v>
      </c>
      <c r="AI114" s="233">
        <f>IF(AL114=15,J114,0)</f>
        <v>0</v>
      </c>
      <c r="AJ114" s="233">
        <f>IF(AL114=21,J114,0)</f>
        <v>0</v>
      </c>
      <c r="AL114" s="233">
        <v>15</v>
      </c>
      <c r="AM114" s="233">
        <f>G114*0.875273472</f>
        <v>0</v>
      </c>
      <c r="AN114" s="233">
        <f>G114*(1-0.875273472)</f>
        <v>0</v>
      </c>
      <c r="AO114" s="234" t="s">
        <v>157</v>
      </c>
      <c r="AT114" s="233">
        <f>AU114+AV114</f>
        <v>0</v>
      </c>
      <c r="AU114" s="233">
        <f>F114*AM114</f>
        <v>0</v>
      </c>
      <c r="AV114" s="233">
        <f>F114*AN114</f>
        <v>0</v>
      </c>
      <c r="AW114" s="234" t="s">
        <v>310</v>
      </c>
      <c r="AX114" s="234" t="s">
        <v>311</v>
      </c>
      <c r="AY114" s="229" t="s">
        <v>164</v>
      </c>
      <c r="BA114" s="233">
        <f>AU114+AV114</f>
        <v>0</v>
      </c>
      <c r="BB114" s="233">
        <f>G114/(100-BC114)*100</f>
        <v>0</v>
      </c>
      <c r="BC114" s="233">
        <v>0</v>
      </c>
      <c r="BD114" s="233">
        <f>L114</f>
        <v>3.5610750000000002</v>
      </c>
      <c r="BF114" s="233">
        <f>F114*AM114</f>
        <v>0</v>
      </c>
      <c r="BG114" s="233">
        <f>F114*AN114</f>
        <v>0</v>
      </c>
      <c r="BH114" s="233">
        <f>F114*G114</f>
        <v>0</v>
      </c>
      <c r="BI114" s="233"/>
      <c r="BJ114" s="233">
        <v>56</v>
      </c>
      <c r="BU114" s="233" t="e">
        <f>#REF!</f>
        <v>#REF!</v>
      </c>
      <c r="BV114" s="225" t="s">
        <v>326</v>
      </c>
    </row>
    <row r="115" spans="1:74" ht="40.5" customHeight="1" x14ac:dyDescent="0.3">
      <c r="A115" s="241"/>
      <c r="B115" s="242" t="s">
        <v>165</v>
      </c>
      <c r="C115" s="530" t="s">
        <v>2083</v>
      </c>
      <c r="D115" s="531"/>
      <c r="E115" s="531"/>
      <c r="F115" s="531"/>
      <c r="G115" s="531"/>
      <c r="H115" s="531"/>
      <c r="I115" s="531"/>
      <c r="J115" s="531"/>
      <c r="K115" s="531"/>
      <c r="L115" s="531"/>
      <c r="M115" s="532"/>
    </row>
    <row r="116" spans="1:74" ht="14.4" x14ac:dyDescent="0.3">
      <c r="A116" s="239" t="s">
        <v>329</v>
      </c>
      <c r="B116" s="223" t="s">
        <v>316</v>
      </c>
      <c r="C116" s="521" t="s">
        <v>328</v>
      </c>
      <c r="D116" s="519"/>
      <c r="E116" s="223" t="s">
        <v>180</v>
      </c>
      <c r="F116" s="233">
        <v>6.73</v>
      </c>
      <c r="G116" s="311">
        <v>0</v>
      </c>
      <c r="H116" s="233">
        <f>F116*AM116</f>
        <v>0</v>
      </c>
      <c r="I116" s="233">
        <f>F116*AN116</f>
        <v>0</v>
      </c>
      <c r="J116" s="233">
        <f>F116*G116</f>
        <v>0</v>
      </c>
      <c r="K116" s="233">
        <v>0.48574000000000001</v>
      </c>
      <c r="L116" s="233">
        <f>F116*K116</f>
        <v>3.2690302000000004</v>
      </c>
      <c r="M116" s="240" t="s">
        <v>472</v>
      </c>
      <c r="X116" s="233">
        <f>IF(AO116="5",BH116,0)</f>
        <v>0</v>
      </c>
      <c r="Z116" s="233">
        <f>IF(AO116="1",BF116,0)</f>
        <v>0</v>
      </c>
      <c r="AA116" s="233">
        <f>IF(AO116="1",BG116,0)</f>
        <v>0</v>
      </c>
      <c r="AB116" s="233">
        <f>IF(AO116="7",BF116,0)</f>
        <v>0</v>
      </c>
      <c r="AC116" s="233">
        <f>IF(AO116="7",BG116,0)</f>
        <v>0</v>
      </c>
      <c r="AD116" s="233">
        <f>IF(AO116="2",BF116,0)</f>
        <v>0</v>
      </c>
      <c r="AE116" s="233">
        <f>IF(AO116="2",BG116,0)</f>
        <v>0</v>
      </c>
      <c r="AF116" s="233">
        <f>IF(AO116="0",BH116,0)</f>
        <v>0</v>
      </c>
      <c r="AG116" s="229" t="s">
        <v>154</v>
      </c>
      <c r="AH116" s="233">
        <f>IF(AL116=0,J116,0)</f>
        <v>0</v>
      </c>
      <c r="AI116" s="233">
        <f>IF(AL116=15,J116,0)</f>
        <v>0</v>
      </c>
      <c r="AJ116" s="233">
        <f>IF(AL116=21,J116,0)</f>
        <v>0</v>
      </c>
      <c r="AL116" s="233">
        <v>15</v>
      </c>
      <c r="AM116" s="233">
        <f>G116*0.812882178</f>
        <v>0</v>
      </c>
      <c r="AN116" s="233">
        <f>G116*(1-0.812882178)</f>
        <v>0</v>
      </c>
      <c r="AO116" s="234" t="s">
        <v>157</v>
      </c>
      <c r="AT116" s="233">
        <f>AU116+AV116</f>
        <v>0</v>
      </c>
      <c r="AU116" s="233">
        <f>F116*AM116</f>
        <v>0</v>
      </c>
      <c r="AV116" s="233">
        <f>F116*AN116</f>
        <v>0</v>
      </c>
      <c r="AW116" s="234" t="s">
        <v>310</v>
      </c>
      <c r="AX116" s="234" t="s">
        <v>311</v>
      </c>
      <c r="AY116" s="229" t="s">
        <v>164</v>
      </c>
      <c r="BA116" s="233">
        <f>AU116+AV116</f>
        <v>0</v>
      </c>
      <c r="BB116" s="233">
        <f>G116/(100-BC116)*100</f>
        <v>0</v>
      </c>
      <c r="BC116" s="233">
        <v>0</v>
      </c>
      <c r="BD116" s="233">
        <f>L116</f>
        <v>3.2690302000000004</v>
      </c>
      <c r="BF116" s="233">
        <f>F116*AM116</f>
        <v>0</v>
      </c>
      <c r="BG116" s="233">
        <f>F116*AN116</f>
        <v>0</v>
      </c>
      <c r="BH116" s="233">
        <f>F116*G116</f>
        <v>0</v>
      </c>
      <c r="BI116" s="233"/>
      <c r="BJ116" s="233">
        <v>56</v>
      </c>
      <c r="BU116" s="233" t="e">
        <f>#REF!</f>
        <v>#REF!</v>
      </c>
      <c r="BV116" s="225" t="s">
        <v>328</v>
      </c>
    </row>
    <row r="117" spans="1:74" ht="40.5" customHeight="1" x14ac:dyDescent="0.3">
      <c r="A117" s="241"/>
      <c r="B117" s="242" t="s">
        <v>165</v>
      </c>
      <c r="C117" s="530" t="s">
        <v>2084</v>
      </c>
      <c r="D117" s="531"/>
      <c r="E117" s="531"/>
      <c r="F117" s="531"/>
      <c r="G117" s="531"/>
      <c r="H117" s="531"/>
      <c r="I117" s="531"/>
      <c r="J117" s="531"/>
      <c r="K117" s="531"/>
      <c r="L117" s="531"/>
      <c r="M117" s="532"/>
    </row>
    <row r="118" spans="1:74" ht="14.4" x14ac:dyDescent="0.3">
      <c r="A118" s="239" t="s">
        <v>332</v>
      </c>
      <c r="B118" s="223" t="s">
        <v>330</v>
      </c>
      <c r="C118" s="521" t="s">
        <v>331</v>
      </c>
      <c r="D118" s="519"/>
      <c r="E118" s="223" t="s">
        <v>180</v>
      </c>
      <c r="F118" s="233">
        <v>6.58</v>
      </c>
      <c r="G118" s="311">
        <v>0</v>
      </c>
      <c r="H118" s="233">
        <f>F118*AM118</f>
        <v>0</v>
      </c>
      <c r="I118" s="233">
        <f>F118*AN118</f>
        <v>0</v>
      </c>
      <c r="J118" s="233">
        <f>F118*G118</f>
        <v>0</v>
      </c>
      <c r="K118" s="233">
        <v>0.378</v>
      </c>
      <c r="L118" s="233">
        <f>F118*K118</f>
        <v>2.4872399999999999</v>
      </c>
      <c r="M118" s="240" t="s">
        <v>472</v>
      </c>
      <c r="X118" s="233">
        <f>IF(AO118="5",BH118,0)</f>
        <v>0</v>
      </c>
      <c r="Z118" s="233">
        <f>IF(AO118="1",BF118,0)</f>
        <v>0</v>
      </c>
      <c r="AA118" s="233">
        <f>IF(AO118="1",BG118,0)</f>
        <v>0</v>
      </c>
      <c r="AB118" s="233">
        <f>IF(AO118="7",BF118,0)</f>
        <v>0</v>
      </c>
      <c r="AC118" s="233">
        <f>IF(AO118="7",BG118,0)</f>
        <v>0</v>
      </c>
      <c r="AD118" s="233">
        <f>IF(AO118="2",BF118,0)</f>
        <v>0</v>
      </c>
      <c r="AE118" s="233">
        <f>IF(AO118="2",BG118,0)</f>
        <v>0</v>
      </c>
      <c r="AF118" s="233">
        <f>IF(AO118="0",BH118,0)</f>
        <v>0</v>
      </c>
      <c r="AG118" s="229" t="s">
        <v>154</v>
      </c>
      <c r="AH118" s="233">
        <f>IF(AL118=0,J118,0)</f>
        <v>0</v>
      </c>
      <c r="AI118" s="233">
        <f>IF(AL118=15,J118,0)</f>
        <v>0</v>
      </c>
      <c r="AJ118" s="233">
        <f>IF(AL118=21,J118,0)</f>
        <v>0</v>
      </c>
      <c r="AL118" s="233">
        <v>15</v>
      </c>
      <c r="AM118" s="233">
        <f>G118*0.82523901</f>
        <v>0</v>
      </c>
      <c r="AN118" s="233">
        <f>G118*(1-0.82523901)</f>
        <v>0</v>
      </c>
      <c r="AO118" s="234" t="s">
        <v>157</v>
      </c>
      <c r="AT118" s="233">
        <f>AU118+AV118</f>
        <v>0</v>
      </c>
      <c r="AU118" s="233">
        <f>F118*AM118</f>
        <v>0</v>
      </c>
      <c r="AV118" s="233">
        <f>F118*AN118</f>
        <v>0</v>
      </c>
      <c r="AW118" s="234" t="s">
        <v>310</v>
      </c>
      <c r="AX118" s="234" t="s">
        <v>311</v>
      </c>
      <c r="AY118" s="229" t="s">
        <v>164</v>
      </c>
      <c r="BA118" s="233">
        <f>AU118+AV118</f>
        <v>0</v>
      </c>
      <c r="BB118" s="233">
        <f>G118/(100-BC118)*100</f>
        <v>0</v>
      </c>
      <c r="BC118" s="233">
        <v>0</v>
      </c>
      <c r="BD118" s="233">
        <f>L118</f>
        <v>2.4872399999999999</v>
      </c>
      <c r="BF118" s="233">
        <f>F118*AM118</f>
        <v>0</v>
      </c>
      <c r="BG118" s="233">
        <f>F118*AN118</f>
        <v>0</v>
      </c>
      <c r="BH118" s="233">
        <f>F118*G118</f>
        <v>0</v>
      </c>
      <c r="BI118" s="233"/>
      <c r="BJ118" s="233">
        <v>56</v>
      </c>
      <c r="BU118" s="233" t="e">
        <f>#REF!</f>
        <v>#REF!</v>
      </c>
      <c r="BV118" s="225" t="s">
        <v>331</v>
      </c>
    </row>
    <row r="119" spans="1:74" ht="40.5" customHeight="1" x14ac:dyDescent="0.3">
      <c r="A119" s="241"/>
      <c r="B119" s="242" t="s">
        <v>165</v>
      </c>
      <c r="C119" s="530" t="s">
        <v>2085</v>
      </c>
      <c r="D119" s="531"/>
      <c r="E119" s="531"/>
      <c r="F119" s="531"/>
      <c r="G119" s="531"/>
      <c r="H119" s="531"/>
      <c r="I119" s="531"/>
      <c r="J119" s="531"/>
      <c r="K119" s="531"/>
      <c r="L119" s="531"/>
      <c r="M119" s="532"/>
    </row>
    <row r="120" spans="1:74" ht="14.4" x14ac:dyDescent="0.3">
      <c r="A120" s="239" t="s">
        <v>337</v>
      </c>
      <c r="B120" s="223" t="s">
        <v>333</v>
      </c>
      <c r="C120" s="521" t="s">
        <v>334</v>
      </c>
      <c r="D120" s="519"/>
      <c r="E120" s="223" t="s">
        <v>180</v>
      </c>
      <c r="F120" s="233">
        <v>6.51</v>
      </c>
      <c r="G120" s="311">
        <v>0</v>
      </c>
      <c r="H120" s="233">
        <f>F120*AM120</f>
        <v>0</v>
      </c>
      <c r="I120" s="233">
        <f>F120*AN120</f>
        <v>0</v>
      </c>
      <c r="J120" s="233">
        <f>F120*G120</f>
        <v>0</v>
      </c>
      <c r="K120" s="233">
        <v>0.15826000000000001</v>
      </c>
      <c r="L120" s="233">
        <f>F120*K120</f>
        <v>1.0302726</v>
      </c>
      <c r="M120" s="240" t="s">
        <v>472</v>
      </c>
      <c r="X120" s="233">
        <f>IF(AO120="5",BH120,0)</f>
        <v>0</v>
      </c>
      <c r="Z120" s="233">
        <f>IF(AO120="1",BF120,0)</f>
        <v>0</v>
      </c>
      <c r="AA120" s="233">
        <f>IF(AO120="1",BG120,0)</f>
        <v>0</v>
      </c>
      <c r="AB120" s="233">
        <f>IF(AO120="7",BF120,0)</f>
        <v>0</v>
      </c>
      <c r="AC120" s="233">
        <f>IF(AO120="7",BG120,0)</f>
        <v>0</v>
      </c>
      <c r="AD120" s="233">
        <f>IF(AO120="2",BF120,0)</f>
        <v>0</v>
      </c>
      <c r="AE120" s="233">
        <f>IF(AO120="2",BG120,0)</f>
        <v>0</v>
      </c>
      <c r="AF120" s="233">
        <f>IF(AO120="0",BH120,0)</f>
        <v>0</v>
      </c>
      <c r="AG120" s="229" t="s">
        <v>154</v>
      </c>
      <c r="AH120" s="233">
        <f>IF(AL120=0,J120,0)</f>
        <v>0</v>
      </c>
      <c r="AI120" s="233">
        <f>IF(AL120=15,J120,0)</f>
        <v>0</v>
      </c>
      <c r="AJ120" s="233">
        <f>IF(AL120=21,J120,0)</f>
        <v>0</v>
      </c>
      <c r="AL120" s="233">
        <v>15</v>
      </c>
      <c r="AM120" s="233">
        <f>G120*0.800354344</f>
        <v>0</v>
      </c>
      <c r="AN120" s="233">
        <f>G120*(1-0.800354344)</f>
        <v>0</v>
      </c>
      <c r="AO120" s="234" t="s">
        <v>157</v>
      </c>
      <c r="AT120" s="233">
        <f>AU120+AV120</f>
        <v>0</v>
      </c>
      <c r="AU120" s="233">
        <f>F120*AM120</f>
        <v>0</v>
      </c>
      <c r="AV120" s="233">
        <f>F120*AN120</f>
        <v>0</v>
      </c>
      <c r="AW120" s="234" t="s">
        <v>310</v>
      </c>
      <c r="AX120" s="234" t="s">
        <v>311</v>
      </c>
      <c r="AY120" s="229" t="s">
        <v>164</v>
      </c>
      <c r="BA120" s="233">
        <f>AU120+AV120</f>
        <v>0</v>
      </c>
      <c r="BB120" s="233">
        <f>G120/(100-BC120)*100</f>
        <v>0</v>
      </c>
      <c r="BC120" s="233">
        <v>0</v>
      </c>
      <c r="BD120" s="233">
        <f>L120</f>
        <v>1.0302726</v>
      </c>
      <c r="BF120" s="233">
        <f>F120*AM120</f>
        <v>0</v>
      </c>
      <c r="BG120" s="233">
        <f>F120*AN120</f>
        <v>0</v>
      </c>
      <c r="BH120" s="233">
        <f>F120*G120</f>
        <v>0</v>
      </c>
      <c r="BI120" s="233"/>
      <c r="BJ120" s="233">
        <v>56</v>
      </c>
      <c r="BU120" s="233" t="e">
        <f>#REF!</f>
        <v>#REF!</v>
      </c>
      <c r="BV120" s="225" t="s">
        <v>334</v>
      </c>
    </row>
    <row r="121" spans="1:74" ht="40.5" customHeight="1" x14ac:dyDescent="0.3">
      <c r="A121" s="241"/>
      <c r="B121" s="242" t="s">
        <v>165</v>
      </c>
      <c r="C121" s="530" t="s">
        <v>2086</v>
      </c>
      <c r="D121" s="531"/>
      <c r="E121" s="531"/>
      <c r="F121" s="531"/>
      <c r="G121" s="531"/>
      <c r="H121" s="531"/>
      <c r="I121" s="531"/>
      <c r="J121" s="531"/>
      <c r="K121" s="531"/>
      <c r="L121" s="531"/>
      <c r="M121" s="532"/>
    </row>
    <row r="122" spans="1:74" ht="14.4" x14ac:dyDescent="0.3">
      <c r="A122" s="239" t="s">
        <v>154</v>
      </c>
      <c r="B122" s="224" t="s">
        <v>335</v>
      </c>
      <c r="C122" s="526" t="s">
        <v>336</v>
      </c>
      <c r="D122" s="527"/>
      <c r="E122" s="223" t="s">
        <v>114</v>
      </c>
      <c r="F122" s="223" t="s">
        <v>114</v>
      </c>
      <c r="G122" s="223" t="s">
        <v>114</v>
      </c>
      <c r="H122" s="235">
        <f>SUM(H123:H125)</f>
        <v>0</v>
      </c>
      <c r="I122" s="235">
        <f>SUM(I123:I125)</f>
        <v>0</v>
      </c>
      <c r="J122" s="235">
        <f>SUM(J123:J125)</f>
        <v>0</v>
      </c>
      <c r="K122" s="230" t="s">
        <v>154</v>
      </c>
      <c r="L122" s="235">
        <f>SUM(L123:L125)</f>
        <v>6.1348000000000007E-2</v>
      </c>
      <c r="M122" s="243" t="s">
        <v>154</v>
      </c>
      <c r="AG122" s="229" t="s">
        <v>154</v>
      </c>
      <c r="AQ122" s="222">
        <f>SUM(AH123:AH125)</f>
        <v>0</v>
      </c>
      <c r="AR122" s="222">
        <f>SUM(AI123:AI125)</f>
        <v>0</v>
      </c>
      <c r="AS122" s="222">
        <f>SUM(AJ123:AJ125)</f>
        <v>0</v>
      </c>
    </row>
    <row r="123" spans="1:74" ht="14.4" x14ac:dyDescent="0.3">
      <c r="A123" s="239" t="s">
        <v>341</v>
      </c>
      <c r="B123" s="223" t="s">
        <v>342</v>
      </c>
      <c r="C123" s="521" t="s">
        <v>427</v>
      </c>
      <c r="D123" s="519"/>
      <c r="E123" s="223" t="s">
        <v>180</v>
      </c>
      <c r="F123" s="233">
        <v>80.59</v>
      </c>
      <c r="G123" s="311">
        <v>0</v>
      </c>
      <c r="H123" s="233">
        <f>F123*AM123</f>
        <v>0</v>
      </c>
      <c r="I123" s="233">
        <f>F123*AN123</f>
        <v>0</v>
      </c>
      <c r="J123" s="233">
        <f>F123*G123</f>
        <v>0</v>
      </c>
      <c r="K123" s="233">
        <v>6.9999999999999999E-4</v>
      </c>
      <c r="L123" s="233">
        <f>F123*K123</f>
        <v>5.6413000000000005E-2</v>
      </c>
      <c r="M123" s="240" t="s">
        <v>472</v>
      </c>
      <c r="X123" s="233">
        <f>IF(AO123="5",BH123,0)</f>
        <v>0</v>
      </c>
      <c r="Z123" s="233">
        <f>IF(AO123="1",BF123,0)</f>
        <v>0</v>
      </c>
      <c r="AA123" s="233">
        <f>IF(AO123="1",BG123,0)</f>
        <v>0</v>
      </c>
      <c r="AB123" s="233">
        <f>IF(AO123="7",BF123,0)</f>
        <v>0</v>
      </c>
      <c r="AC123" s="233">
        <f>IF(AO123="7",BG123,0)</f>
        <v>0</v>
      </c>
      <c r="AD123" s="233">
        <f>IF(AO123="2",BF123,0)</f>
        <v>0</v>
      </c>
      <c r="AE123" s="233">
        <f>IF(AO123="2",BG123,0)</f>
        <v>0</v>
      </c>
      <c r="AF123" s="233">
        <f>IF(AO123="0",BH123,0)</f>
        <v>0</v>
      </c>
      <c r="AG123" s="229" t="s">
        <v>154</v>
      </c>
      <c r="AH123" s="233">
        <f>IF(AL123=0,J123,0)</f>
        <v>0</v>
      </c>
      <c r="AI123" s="233">
        <f>IF(AL123=15,J123,0)</f>
        <v>0</v>
      </c>
      <c r="AJ123" s="233">
        <f>IF(AL123=21,J123,0)</f>
        <v>0</v>
      </c>
      <c r="AL123" s="233">
        <v>15</v>
      </c>
      <c r="AM123" s="233">
        <f>G123*0.931513998</f>
        <v>0</v>
      </c>
      <c r="AN123" s="233">
        <f>G123*(1-0.931513998)</f>
        <v>0</v>
      </c>
      <c r="AO123" s="234" t="s">
        <v>157</v>
      </c>
      <c r="AT123" s="233">
        <f>AU123+AV123</f>
        <v>0</v>
      </c>
      <c r="AU123" s="233">
        <f>F123*AM123</f>
        <v>0</v>
      </c>
      <c r="AV123" s="233">
        <f>F123*AN123</f>
        <v>0</v>
      </c>
      <c r="AW123" s="234" t="s">
        <v>340</v>
      </c>
      <c r="AX123" s="234" t="s">
        <v>311</v>
      </c>
      <c r="AY123" s="229" t="s">
        <v>164</v>
      </c>
      <c r="BA123" s="233">
        <f>AU123+AV123</f>
        <v>0</v>
      </c>
      <c r="BB123" s="233">
        <f>G123/(100-BC123)*100</f>
        <v>0</v>
      </c>
      <c r="BC123" s="233">
        <v>0</v>
      </c>
      <c r="BD123" s="233">
        <f>L123</f>
        <v>5.6413000000000005E-2</v>
      </c>
      <c r="BF123" s="233">
        <f>F123*AM123</f>
        <v>0</v>
      </c>
      <c r="BG123" s="233">
        <f>F123*AN123</f>
        <v>0</v>
      </c>
      <c r="BH123" s="233">
        <f>F123*G123</f>
        <v>0</v>
      </c>
      <c r="BI123" s="233"/>
      <c r="BJ123" s="233">
        <v>57</v>
      </c>
      <c r="BU123" s="233" t="e">
        <f>#REF!</f>
        <v>#REF!</v>
      </c>
      <c r="BV123" s="225" t="s">
        <v>427</v>
      </c>
    </row>
    <row r="124" spans="1:74" ht="40.5" customHeight="1" x14ac:dyDescent="0.3">
      <c r="A124" s="241"/>
      <c r="B124" s="242" t="s">
        <v>165</v>
      </c>
      <c r="C124" s="530" t="s">
        <v>2087</v>
      </c>
      <c r="D124" s="531"/>
      <c r="E124" s="531"/>
      <c r="F124" s="531"/>
      <c r="G124" s="531"/>
      <c r="H124" s="531"/>
      <c r="I124" s="531"/>
      <c r="J124" s="531"/>
      <c r="K124" s="531"/>
      <c r="L124" s="531"/>
      <c r="M124" s="532"/>
    </row>
    <row r="125" spans="1:74" ht="14.4" x14ac:dyDescent="0.3">
      <c r="A125" s="239" t="s">
        <v>346</v>
      </c>
      <c r="B125" s="223" t="s">
        <v>342</v>
      </c>
      <c r="C125" s="521" t="s">
        <v>343</v>
      </c>
      <c r="D125" s="519"/>
      <c r="E125" s="223" t="s">
        <v>180</v>
      </c>
      <c r="F125" s="233">
        <v>7.05</v>
      </c>
      <c r="G125" s="311">
        <v>0</v>
      </c>
      <c r="H125" s="233">
        <f>F125*AM125</f>
        <v>0</v>
      </c>
      <c r="I125" s="233">
        <f>F125*AN125</f>
        <v>0</v>
      </c>
      <c r="J125" s="233">
        <f>F125*G125</f>
        <v>0</v>
      </c>
      <c r="K125" s="233">
        <v>6.9999999999999999E-4</v>
      </c>
      <c r="L125" s="233">
        <f>F125*K125</f>
        <v>4.9350000000000002E-3</v>
      </c>
      <c r="M125" s="240" t="s">
        <v>472</v>
      </c>
      <c r="X125" s="233">
        <f>IF(AO125="5",BH125,0)</f>
        <v>0</v>
      </c>
      <c r="Z125" s="233">
        <f>IF(AO125="1",BF125,0)</f>
        <v>0</v>
      </c>
      <c r="AA125" s="233">
        <f>IF(AO125="1",BG125,0)</f>
        <v>0</v>
      </c>
      <c r="AB125" s="233">
        <f>IF(AO125="7",BF125,0)</f>
        <v>0</v>
      </c>
      <c r="AC125" s="233">
        <f>IF(AO125="7",BG125,0)</f>
        <v>0</v>
      </c>
      <c r="AD125" s="233">
        <f>IF(AO125="2",BF125,0)</f>
        <v>0</v>
      </c>
      <c r="AE125" s="233">
        <f>IF(AO125="2",BG125,0)</f>
        <v>0</v>
      </c>
      <c r="AF125" s="233">
        <f>IF(AO125="0",BH125,0)</f>
        <v>0</v>
      </c>
      <c r="AG125" s="229" t="s">
        <v>154</v>
      </c>
      <c r="AH125" s="233">
        <f>IF(AL125=0,J125,0)</f>
        <v>0</v>
      </c>
      <c r="AI125" s="233">
        <f>IF(AL125=15,J125,0)</f>
        <v>0</v>
      </c>
      <c r="AJ125" s="233">
        <f>IF(AL125=21,J125,0)</f>
        <v>0</v>
      </c>
      <c r="AL125" s="233">
        <v>15</v>
      </c>
      <c r="AM125" s="233">
        <f>G125*0.931624738</f>
        <v>0</v>
      </c>
      <c r="AN125" s="233">
        <f>G125*(1-0.931624738)</f>
        <v>0</v>
      </c>
      <c r="AO125" s="234" t="s">
        <v>157</v>
      </c>
      <c r="AT125" s="233">
        <f>AU125+AV125</f>
        <v>0</v>
      </c>
      <c r="AU125" s="233">
        <f>F125*AM125</f>
        <v>0</v>
      </c>
      <c r="AV125" s="233">
        <f>F125*AN125</f>
        <v>0</v>
      </c>
      <c r="AW125" s="234" t="s">
        <v>340</v>
      </c>
      <c r="AX125" s="234" t="s">
        <v>311</v>
      </c>
      <c r="AY125" s="229" t="s">
        <v>164</v>
      </c>
      <c r="BA125" s="233">
        <f>AU125+AV125</f>
        <v>0</v>
      </c>
      <c r="BB125" s="233">
        <f>G125/(100-BC125)*100</f>
        <v>0</v>
      </c>
      <c r="BC125" s="233">
        <v>0</v>
      </c>
      <c r="BD125" s="233">
        <f>L125</f>
        <v>4.9350000000000002E-3</v>
      </c>
      <c r="BF125" s="233">
        <f>F125*AM125</f>
        <v>0</v>
      </c>
      <c r="BG125" s="233">
        <f>F125*AN125</f>
        <v>0</v>
      </c>
      <c r="BH125" s="233">
        <f>F125*G125</f>
        <v>0</v>
      </c>
      <c r="BI125" s="233"/>
      <c r="BJ125" s="233">
        <v>57</v>
      </c>
      <c r="BU125" s="233" t="e">
        <f>#REF!</f>
        <v>#REF!</v>
      </c>
      <c r="BV125" s="225" t="s">
        <v>343</v>
      </c>
    </row>
    <row r="126" spans="1:74" ht="40.5" customHeight="1" x14ac:dyDescent="0.3">
      <c r="A126" s="241"/>
      <c r="B126" s="242" t="s">
        <v>165</v>
      </c>
      <c r="C126" s="530" t="s">
        <v>2088</v>
      </c>
      <c r="D126" s="531"/>
      <c r="E126" s="531"/>
      <c r="F126" s="531"/>
      <c r="G126" s="531"/>
      <c r="H126" s="531"/>
      <c r="I126" s="531"/>
      <c r="J126" s="531"/>
      <c r="K126" s="531"/>
      <c r="L126" s="531"/>
      <c r="M126" s="532"/>
    </row>
    <row r="127" spans="1:74" ht="14.4" x14ac:dyDescent="0.3">
      <c r="A127" s="239" t="s">
        <v>154</v>
      </c>
      <c r="B127" s="224" t="s">
        <v>344</v>
      </c>
      <c r="C127" s="526" t="s">
        <v>345</v>
      </c>
      <c r="D127" s="527"/>
      <c r="E127" s="223" t="s">
        <v>114</v>
      </c>
      <c r="F127" s="223" t="s">
        <v>114</v>
      </c>
      <c r="G127" s="223" t="s">
        <v>114</v>
      </c>
      <c r="H127" s="235">
        <f>SUM(H128:H128)</f>
        <v>0</v>
      </c>
      <c r="I127" s="235">
        <f>SUM(I128:I128)</f>
        <v>0</v>
      </c>
      <c r="J127" s="235">
        <f>SUM(J128:J128)</f>
        <v>0</v>
      </c>
      <c r="K127" s="230" t="s">
        <v>154</v>
      </c>
      <c r="L127" s="235">
        <f>SUM(L128:L128)</f>
        <v>37.260768999999996</v>
      </c>
      <c r="M127" s="243" t="s">
        <v>154</v>
      </c>
      <c r="AG127" s="229" t="s">
        <v>154</v>
      </c>
      <c r="AQ127" s="222">
        <f>SUM(AH128:AH128)</f>
        <v>0</v>
      </c>
      <c r="AR127" s="222">
        <f>SUM(AI128:AI128)</f>
        <v>0</v>
      </c>
      <c r="AS127" s="222">
        <f>SUM(AJ128:AJ128)</f>
        <v>0</v>
      </c>
    </row>
    <row r="128" spans="1:74" ht="26.4" x14ac:dyDescent="0.3">
      <c r="A128" s="239" t="s">
        <v>352</v>
      </c>
      <c r="B128" s="223" t="s">
        <v>347</v>
      </c>
      <c r="C128" s="521" t="s">
        <v>348</v>
      </c>
      <c r="D128" s="519"/>
      <c r="E128" s="223" t="s">
        <v>180</v>
      </c>
      <c r="F128" s="233">
        <v>31.33</v>
      </c>
      <c r="G128" s="311">
        <v>0</v>
      </c>
      <c r="H128" s="233">
        <f>F128*AM128</f>
        <v>0</v>
      </c>
      <c r="I128" s="233">
        <f>F128*AN128</f>
        <v>0</v>
      </c>
      <c r="J128" s="233">
        <f>F128*G128</f>
        <v>0</v>
      </c>
      <c r="K128" s="233">
        <v>1.1893</v>
      </c>
      <c r="L128" s="233">
        <f>F128*K128</f>
        <v>37.260768999999996</v>
      </c>
      <c r="M128" s="240" t="s">
        <v>472</v>
      </c>
      <c r="X128" s="233">
        <f>IF(AO128="5",BH128,0)</f>
        <v>0</v>
      </c>
      <c r="Z128" s="233">
        <f>IF(AO128="1",BF128,0)</f>
        <v>0</v>
      </c>
      <c r="AA128" s="233">
        <f>IF(AO128="1",BG128,0)</f>
        <v>0</v>
      </c>
      <c r="AB128" s="233">
        <f>IF(AO128="7",BF128,0)</f>
        <v>0</v>
      </c>
      <c r="AC128" s="233">
        <f>IF(AO128="7",BG128,0)</f>
        <v>0</v>
      </c>
      <c r="AD128" s="233">
        <f>IF(AO128="2",BF128,0)</f>
        <v>0</v>
      </c>
      <c r="AE128" s="233">
        <f>IF(AO128="2",BG128,0)</f>
        <v>0</v>
      </c>
      <c r="AF128" s="233">
        <f>IF(AO128="0",BH128,0)</f>
        <v>0</v>
      </c>
      <c r="AG128" s="229" t="s">
        <v>154</v>
      </c>
      <c r="AH128" s="233">
        <f>IF(AL128=0,J128,0)</f>
        <v>0</v>
      </c>
      <c r="AI128" s="233">
        <f>IF(AL128=15,J128,0)</f>
        <v>0</v>
      </c>
      <c r="AJ128" s="233">
        <f>IF(AL128=21,J128,0)</f>
        <v>0</v>
      </c>
      <c r="AL128" s="233">
        <v>15</v>
      </c>
      <c r="AM128" s="233">
        <f>G128*0.546625375</f>
        <v>0</v>
      </c>
      <c r="AN128" s="233">
        <f>G128*(1-0.546625375)</f>
        <v>0</v>
      </c>
      <c r="AO128" s="234" t="s">
        <v>157</v>
      </c>
      <c r="AT128" s="233">
        <f>AU128+AV128</f>
        <v>0</v>
      </c>
      <c r="AU128" s="233">
        <f>F128*AM128</f>
        <v>0</v>
      </c>
      <c r="AV128" s="233">
        <f>F128*AN128</f>
        <v>0</v>
      </c>
      <c r="AW128" s="234" t="s">
        <v>349</v>
      </c>
      <c r="AX128" s="234" t="s">
        <v>311</v>
      </c>
      <c r="AY128" s="229" t="s">
        <v>164</v>
      </c>
      <c r="BA128" s="233">
        <f>AU128+AV128</f>
        <v>0</v>
      </c>
      <c r="BB128" s="233">
        <f>G128/(100-BC128)*100</f>
        <v>0</v>
      </c>
      <c r="BC128" s="233">
        <v>0</v>
      </c>
      <c r="BD128" s="233">
        <f>L128</f>
        <v>37.260768999999996</v>
      </c>
      <c r="BF128" s="233">
        <f>F128*AM128</f>
        <v>0</v>
      </c>
      <c r="BG128" s="233">
        <f>F128*AN128</f>
        <v>0</v>
      </c>
      <c r="BH128" s="233">
        <f>F128*G128</f>
        <v>0</v>
      </c>
      <c r="BI128" s="233"/>
      <c r="BJ128" s="233">
        <v>59</v>
      </c>
      <c r="BU128" s="233" t="e">
        <f>#REF!</f>
        <v>#REF!</v>
      </c>
      <c r="BV128" s="225" t="s">
        <v>348</v>
      </c>
    </row>
    <row r="129" spans="1:74" ht="108" customHeight="1" x14ac:dyDescent="0.3">
      <c r="A129" s="241"/>
      <c r="B129" s="242" t="s">
        <v>165</v>
      </c>
      <c r="C129" s="530" t="s">
        <v>2089</v>
      </c>
      <c r="D129" s="531"/>
      <c r="E129" s="531"/>
      <c r="F129" s="531"/>
      <c r="G129" s="531"/>
      <c r="H129" s="531"/>
      <c r="I129" s="531"/>
      <c r="J129" s="531"/>
      <c r="K129" s="531"/>
      <c r="L129" s="531"/>
      <c r="M129" s="532"/>
    </row>
    <row r="130" spans="1:74" ht="14.4" x14ac:dyDescent="0.3">
      <c r="A130" s="239" t="s">
        <v>154</v>
      </c>
      <c r="B130" s="224" t="s">
        <v>1038</v>
      </c>
      <c r="C130" s="526" t="s">
        <v>1039</v>
      </c>
      <c r="D130" s="527"/>
      <c r="E130" s="223" t="s">
        <v>114</v>
      </c>
      <c r="F130" s="223" t="s">
        <v>114</v>
      </c>
      <c r="G130" s="223" t="s">
        <v>114</v>
      </c>
      <c r="H130" s="235">
        <f>SUM(H131:H131)</f>
        <v>0</v>
      </c>
      <c r="I130" s="235">
        <f>SUM(I131:I131)</f>
        <v>0</v>
      </c>
      <c r="J130" s="235">
        <f>SUM(J131:J131)</f>
        <v>0</v>
      </c>
      <c r="K130" s="230" t="s">
        <v>154</v>
      </c>
      <c r="L130" s="235">
        <f>SUM(L131:L131)</f>
        <v>2.8250000000000001E-2</v>
      </c>
      <c r="M130" s="243" t="s">
        <v>154</v>
      </c>
      <c r="AG130" s="229" t="s">
        <v>154</v>
      </c>
      <c r="AQ130" s="222">
        <f>SUM(AH131:AH131)</f>
        <v>0</v>
      </c>
      <c r="AR130" s="222">
        <f>SUM(AI131:AI131)</f>
        <v>0</v>
      </c>
      <c r="AS130" s="222">
        <f>SUM(AJ131:AJ131)</f>
        <v>0</v>
      </c>
    </row>
    <row r="131" spans="1:74" ht="14.4" x14ac:dyDescent="0.3">
      <c r="A131" s="239" t="s">
        <v>357</v>
      </c>
      <c r="B131" s="223" t="s">
        <v>1040</v>
      </c>
      <c r="C131" s="521" t="s">
        <v>1041</v>
      </c>
      <c r="D131" s="519"/>
      <c r="E131" s="223" t="s">
        <v>365</v>
      </c>
      <c r="F131" s="233">
        <v>1</v>
      </c>
      <c r="G131" s="311">
        <v>0</v>
      </c>
      <c r="H131" s="233">
        <f>F131*AM131</f>
        <v>0</v>
      </c>
      <c r="I131" s="233">
        <f>F131*AN131</f>
        <v>0</v>
      </c>
      <c r="J131" s="233">
        <f>F131*G131</f>
        <v>0</v>
      </c>
      <c r="K131" s="233">
        <v>2.8250000000000001E-2</v>
      </c>
      <c r="L131" s="233">
        <f>F131*K131</f>
        <v>2.8250000000000001E-2</v>
      </c>
      <c r="M131" s="240" t="s">
        <v>472</v>
      </c>
      <c r="X131" s="233">
        <f>IF(AO131="5",BH131,0)</f>
        <v>0</v>
      </c>
      <c r="Z131" s="233">
        <f>IF(AO131="1",BF131,0)</f>
        <v>0</v>
      </c>
      <c r="AA131" s="233">
        <f>IF(AO131="1",BG131,0)</f>
        <v>0</v>
      </c>
      <c r="AB131" s="233">
        <f>IF(AO131="7",BF131,0)</f>
        <v>0</v>
      </c>
      <c r="AC131" s="233">
        <f>IF(AO131="7",BG131,0)</f>
        <v>0</v>
      </c>
      <c r="AD131" s="233">
        <f>IF(AO131="2",BF131,0)</f>
        <v>0</v>
      </c>
      <c r="AE131" s="233">
        <f>IF(AO131="2",BG131,0)</f>
        <v>0</v>
      </c>
      <c r="AF131" s="233">
        <f>IF(AO131="0",BH131,0)</f>
        <v>0</v>
      </c>
      <c r="AG131" s="229" t="s">
        <v>154</v>
      </c>
      <c r="AH131" s="233">
        <f>IF(AL131=0,J131,0)</f>
        <v>0</v>
      </c>
      <c r="AI131" s="233">
        <f>IF(AL131=15,J131,0)</f>
        <v>0</v>
      </c>
      <c r="AJ131" s="233">
        <f>IF(AL131=21,J131,0)</f>
        <v>0</v>
      </c>
      <c r="AL131" s="233">
        <v>15</v>
      </c>
      <c r="AM131" s="233">
        <f>G131*0.899115813</f>
        <v>0</v>
      </c>
      <c r="AN131" s="233">
        <f>G131*(1-0.899115813)</f>
        <v>0</v>
      </c>
      <c r="AO131" s="234" t="s">
        <v>184</v>
      </c>
      <c r="AT131" s="233">
        <f>AU131+AV131</f>
        <v>0</v>
      </c>
      <c r="AU131" s="233">
        <f>F131*AM131</f>
        <v>0</v>
      </c>
      <c r="AV131" s="233">
        <f>F131*AN131</f>
        <v>0</v>
      </c>
      <c r="AW131" s="234" t="s">
        <v>1042</v>
      </c>
      <c r="AX131" s="234" t="s">
        <v>433</v>
      </c>
      <c r="AY131" s="229" t="s">
        <v>164</v>
      </c>
      <c r="BA131" s="233">
        <f>AU131+AV131</f>
        <v>0</v>
      </c>
      <c r="BB131" s="233">
        <f>G131/(100-BC131)*100</f>
        <v>0</v>
      </c>
      <c r="BC131" s="233">
        <v>0</v>
      </c>
      <c r="BD131" s="233">
        <f>L131</f>
        <v>2.8250000000000001E-2</v>
      </c>
      <c r="BF131" s="233">
        <f>F131*AM131</f>
        <v>0</v>
      </c>
      <c r="BG131" s="233">
        <f>F131*AN131</f>
        <v>0</v>
      </c>
      <c r="BH131" s="233">
        <f>F131*G131</f>
        <v>0</v>
      </c>
      <c r="BI131" s="233"/>
      <c r="BJ131" s="233">
        <v>721</v>
      </c>
      <c r="BU131" s="233" t="e">
        <f>#REF!</f>
        <v>#REF!</v>
      </c>
      <c r="BV131" s="225" t="s">
        <v>1041</v>
      </c>
    </row>
    <row r="132" spans="1:74" ht="40.5" customHeight="1" x14ac:dyDescent="0.3">
      <c r="A132" s="244"/>
      <c r="B132" s="245" t="s">
        <v>165</v>
      </c>
      <c r="C132" s="540" t="s">
        <v>2090</v>
      </c>
      <c r="D132" s="541"/>
      <c r="E132" s="541"/>
      <c r="F132" s="541"/>
      <c r="G132" s="541"/>
      <c r="H132" s="541"/>
      <c r="I132" s="541"/>
      <c r="J132" s="541"/>
      <c r="K132" s="541"/>
      <c r="L132" s="541"/>
      <c r="M132" s="542"/>
    </row>
    <row r="133" spans="1:74" ht="14.4" x14ac:dyDescent="0.3">
      <c r="A133" s="237" t="s">
        <v>154</v>
      </c>
      <c r="B133" s="260" t="s">
        <v>350</v>
      </c>
      <c r="C133" s="545" t="s">
        <v>351</v>
      </c>
      <c r="D133" s="546"/>
      <c r="E133" s="238" t="s">
        <v>114</v>
      </c>
      <c r="F133" s="238" t="s">
        <v>114</v>
      </c>
      <c r="G133" s="238" t="s">
        <v>114</v>
      </c>
      <c r="H133" s="261">
        <f>SUM(H134:H136)</f>
        <v>0</v>
      </c>
      <c r="I133" s="261">
        <f>SUM(I134:I136)</f>
        <v>0</v>
      </c>
      <c r="J133" s="261">
        <f>SUM(J134:J136)</f>
        <v>0</v>
      </c>
      <c r="K133" s="262" t="s">
        <v>154</v>
      </c>
      <c r="L133" s="261">
        <f>SUM(L134:L136)</f>
        <v>69.910230000000013</v>
      </c>
      <c r="M133" s="263" t="s">
        <v>154</v>
      </c>
      <c r="AG133" s="229" t="s">
        <v>154</v>
      </c>
      <c r="AQ133" s="222">
        <f>SUM(AH134:AH136)</f>
        <v>0</v>
      </c>
      <c r="AR133" s="222">
        <f>SUM(AI134:AI136)</f>
        <v>0</v>
      </c>
      <c r="AS133" s="222">
        <f>SUM(AJ134:AJ136)</f>
        <v>0</v>
      </c>
    </row>
    <row r="134" spans="1:74" ht="14.4" x14ac:dyDescent="0.3">
      <c r="A134" s="239" t="s">
        <v>362</v>
      </c>
      <c r="B134" s="223" t="s">
        <v>353</v>
      </c>
      <c r="C134" s="521" t="s">
        <v>1043</v>
      </c>
      <c r="D134" s="519"/>
      <c r="E134" s="223" t="s">
        <v>160</v>
      </c>
      <c r="F134" s="233">
        <v>22.1</v>
      </c>
      <c r="G134" s="311">
        <v>0</v>
      </c>
      <c r="H134" s="233">
        <f>F134*AM134</f>
        <v>0</v>
      </c>
      <c r="I134" s="233">
        <f>F134*AN134</f>
        <v>0</v>
      </c>
      <c r="J134" s="233">
        <f>F134*G134</f>
        <v>0</v>
      </c>
      <c r="K134" s="233">
        <v>0.51870000000000005</v>
      </c>
      <c r="L134" s="233">
        <f>F134*K134</f>
        <v>11.463270000000001</v>
      </c>
      <c r="M134" s="240" t="s">
        <v>472</v>
      </c>
      <c r="X134" s="233">
        <f>IF(AO134="5",BH134,0)</f>
        <v>0</v>
      </c>
      <c r="Z134" s="233">
        <f>IF(AO134="1",BF134,0)</f>
        <v>0</v>
      </c>
      <c r="AA134" s="233">
        <f>IF(AO134="1",BG134,0)</f>
        <v>0</v>
      </c>
      <c r="AB134" s="233">
        <f>IF(AO134="7",BF134,0)</f>
        <v>0</v>
      </c>
      <c r="AC134" s="233">
        <f>IF(AO134="7",BG134,0)</f>
        <v>0</v>
      </c>
      <c r="AD134" s="233">
        <f>IF(AO134="2",BF134,0)</f>
        <v>0</v>
      </c>
      <c r="AE134" s="233">
        <f>IF(AO134="2",BG134,0)</f>
        <v>0</v>
      </c>
      <c r="AF134" s="233">
        <f>IF(AO134="0",BH134,0)</f>
        <v>0</v>
      </c>
      <c r="AG134" s="229" t="s">
        <v>154</v>
      </c>
      <c r="AH134" s="233">
        <f>IF(AL134=0,J134,0)</f>
        <v>0</v>
      </c>
      <c r="AI134" s="233">
        <f>IF(AL134=15,J134,0)</f>
        <v>0</v>
      </c>
      <c r="AJ134" s="233">
        <f>IF(AL134=21,J134,0)</f>
        <v>0</v>
      </c>
      <c r="AL134" s="233">
        <v>15</v>
      </c>
      <c r="AM134" s="233">
        <f>G134*0.366564509</f>
        <v>0</v>
      </c>
      <c r="AN134" s="233">
        <f>G134*(1-0.366564509)</f>
        <v>0</v>
      </c>
      <c r="AO134" s="234" t="s">
        <v>157</v>
      </c>
      <c r="AT134" s="233">
        <f>AU134+AV134</f>
        <v>0</v>
      </c>
      <c r="AU134" s="233">
        <f>F134*AM134</f>
        <v>0</v>
      </c>
      <c r="AV134" s="233">
        <f>F134*AN134</f>
        <v>0</v>
      </c>
      <c r="AW134" s="234" t="s">
        <v>355</v>
      </c>
      <c r="AX134" s="234" t="s">
        <v>356</v>
      </c>
      <c r="AY134" s="229" t="s">
        <v>164</v>
      </c>
      <c r="BA134" s="233">
        <f>AU134+AV134</f>
        <v>0</v>
      </c>
      <c r="BB134" s="233">
        <f>G134/(100-BC134)*100</f>
        <v>0</v>
      </c>
      <c r="BC134" s="233">
        <v>0</v>
      </c>
      <c r="BD134" s="233">
        <f>L134</f>
        <v>11.463270000000001</v>
      </c>
      <c r="BF134" s="233">
        <f>F134*AM134</f>
        <v>0</v>
      </c>
      <c r="BG134" s="233">
        <f>F134*AN134</f>
        <v>0</v>
      </c>
      <c r="BH134" s="233">
        <f>F134*G134</f>
        <v>0</v>
      </c>
      <c r="BI134" s="233"/>
      <c r="BJ134" s="233">
        <v>83</v>
      </c>
      <c r="BU134" s="233" t="e">
        <f>#REF!</f>
        <v>#REF!</v>
      </c>
      <c r="BV134" s="225" t="s">
        <v>1043</v>
      </c>
    </row>
    <row r="135" spans="1:74" ht="121.5" customHeight="1" x14ac:dyDescent="0.3">
      <c r="A135" s="241"/>
      <c r="B135" s="242" t="s">
        <v>165</v>
      </c>
      <c r="C135" s="530" t="s">
        <v>2091</v>
      </c>
      <c r="D135" s="531"/>
      <c r="E135" s="531"/>
      <c r="F135" s="531"/>
      <c r="G135" s="531"/>
      <c r="H135" s="531"/>
      <c r="I135" s="531"/>
      <c r="J135" s="531"/>
      <c r="K135" s="531"/>
      <c r="L135" s="531"/>
      <c r="M135" s="532"/>
    </row>
    <row r="136" spans="1:74" ht="14.4" x14ac:dyDescent="0.3">
      <c r="A136" s="239" t="s">
        <v>367</v>
      </c>
      <c r="B136" s="223" t="s">
        <v>358</v>
      </c>
      <c r="C136" s="521" t="s">
        <v>1044</v>
      </c>
      <c r="D136" s="519"/>
      <c r="E136" s="223" t="s">
        <v>160</v>
      </c>
      <c r="F136" s="233">
        <v>101.4</v>
      </c>
      <c r="G136" s="311">
        <v>0</v>
      </c>
      <c r="H136" s="233">
        <f>F136*AM136</f>
        <v>0</v>
      </c>
      <c r="I136" s="233">
        <f>F136*AN136</f>
        <v>0</v>
      </c>
      <c r="J136" s="233">
        <f>F136*G136</f>
        <v>0</v>
      </c>
      <c r="K136" s="233">
        <v>0.57640000000000002</v>
      </c>
      <c r="L136" s="233">
        <f>F136*K136</f>
        <v>58.446960000000004</v>
      </c>
      <c r="M136" s="240" t="s">
        <v>472</v>
      </c>
      <c r="X136" s="233">
        <f>IF(AO136="5",BH136,0)</f>
        <v>0</v>
      </c>
      <c r="Z136" s="233">
        <f>IF(AO136="1",BF136,0)</f>
        <v>0</v>
      </c>
      <c r="AA136" s="233">
        <f>IF(AO136="1",BG136,0)</f>
        <v>0</v>
      </c>
      <c r="AB136" s="233">
        <f>IF(AO136="7",BF136,0)</f>
        <v>0</v>
      </c>
      <c r="AC136" s="233">
        <f>IF(AO136="7",BG136,0)</f>
        <v>0</v>
      </c>
      <c r="AD136" s="233">
        <f>IF(AO136="2",BF136,0)</f>
        <v>0</v>
      </c>
      <c r="AE136" s="233">
        <f>IF(AO136="2",BG136,0)</f>
        <v>0</v>
      </c>
      <c r="AF136" s="233">
        <f>IF(AO136="0",BH136,0)</f>
        <v>0</v>
      </c>
      <c r="AG136" s="229" t="s">
        <v>154</v>
      </c>
      <c r="AH136" s="233">
        <f>IF(AL136=0,J136,0)</f>
        <v>0</v>
      </c>
      <c r="AI136" s="233">
        <f>IF(AL136=15,J136,0)</f>
        <v>0</v>
      </c>
      <c r="AJ136" s="233">
        <f>IF(AL136=21,J136,0)</f>
        <v>0</v>
      </c>
      <c r="AL136" s="233">
        <v>15</v>
      </c>
      <c r="AM136" s="233">
        <f>G136*0.459682242</f>
        <v>0</v>
      </c>
      <c r="AN136" s="233">
        <f>G136*(1-0.459682242)</f>
        <v>0</v>
      </c>
      <c r="AO136" s="234" t="s">
        <v>157</v>
      </c>
      <c r="AT136" s="233">
        <f>AU136+AV136</f>
        <v>0</v>
      </c>
      <c r="AU136" s="233">
        <f>F136*AM136</f>
        <v>0</v>
      </c>
      <c r="AV136" s="233">
        <f>F136*AN136</f>
        <v>0</v>
      </c>
      <c r="AW136" s="234" t="s">
        <v>355</v>
      </c>
      <c r="AX136" s="234" t="s">
        <v>356</v>
      </c>
      <c r="AY136" s="229" t="s">
        <v>164</v>
      </c>
      <c r="BA136" s="233">
        <f>AU136+AV136</f>
        <v>0</v>
      </c>
      <c r="BB136" s="233">
        <f>G136/(100-BC136)*100</f>
        <v>0</v>
      </c>
      <c r="BC136" s="233">
        <v>0</v>
      </c>
      <c r="BD136" s="233">
        <f>L136</f>
        <v>58.446960000000004</v>
      </c>
      <c r="BF136" s="233">
        <f>F136*AM136</f>
        <v>0</v>
      </c>
      <c r="BG136" s="233">
        <f>F136*AN136</f>
        <v>0</v>
      </c>
      <c r="BH136" s="233">
        <f>F136*G136</f>
        <v>0</v>
      </c>
      <c r="BI136" s="233"/>
      <c r="BJ136" s="233">
        <v>83</v>
      </c>
      <c r="BU136" s="233" t="e">
        <f>#REF!</f>
        <v>#REF!</v>
      </c>
      <c r="BV136" s="225" t="s">
        <v>1044</v>
      </c>
    </row>
    <row r="137" spans="1:74" ht="121.5" customHeight="1" x14ac:dyDescent="0.3">
      <c r="A137" s="241"/>
      <c r="B137" s="242" t="s">
        <v>165</v>
      </c>
      <c r="C137" s="530" t="s">
        <v>2092</v>
      </c>
      <c r="D137" s="531"/>
      <c r="E137" s="531"/>
      <c r="F137" s="531"/>
      <c r="G137" s="531"/>
      <c r="H137" s="531"/>
      <c r="I137" s="531"/>
      <c r="J137" s="531"/>
      <c r="K137" s="531"/>
      <c r="L137" s="531"/>
      <c r="M137" s="532"/>
    </row>
    <row r="138" spans="1:74" ht="14.4" x14ac:dyDescent="0.3">
      <c r="A138" s="239" t="s">
        <v>154</v>
      </c>
      <c r="B138" s="224" t="s">
        <v>360</v>
      </c>
      <c r="C138" s="526" t="s">
        <v>361</v>
      </c>
      <c r="D138" s="527"/>
      <c r="E138" s="223" t="s">
        <v>114</v>
      </c>
      <c r="F138" s="223" t="s">
        <v>114</v>
      </c>
      <c r="G138" s="223" t="s">
        <v>114</v>
      </c>
      <c r="H138" s="235">
        <f>SUM(H139:H139)</f>
        <v>0</v>
      </c>
      <c r="I138" s="235">
        <f>SUM(I139:I139)</f>
        <v>0</v>
      </c>
      <c r="J138" s="235">
        <f>SUM(J139:J139)</f>
        <v>0</v>
      </c>
      <c r="K138" s="230" t="s">
        <v>154</v>
      </c>
      <c r="L138" s="235">
        <f>SUM(L139:L139)</f>
        <v>0.98431999999999997</v>
      </c>
      <c r="M138" s="243" t="s">
        <v>154</v>
      </c>
      <c r="AG138" s="229" t="s">
        <v>154</v>
      </c>
      <c r="AQ138" s="222">
        <f>SUM(AH139:AH139)</f>
        <v>0</v>
      </c>
      <c r="AR138" s="222">
        <f>SUM(AI139:AI139)</f>
        <v>0</v>
      </c>
      <c r="AS138" s="222">
        <f>SUM(AJ139:AJ139)</f>
        <v>0</v>
      </c>
    </row>
    <row r="139" spans="1:74" ht="14.4" x14ac:dyDescent="0.3">
      <c r="A139" s="239" t="s">
        <v>305</v>
      </c>
      <c r="B139" s="223" t="s">
        <v>1045</v>
      </c>
      <c r="C139" s="521" t="s">
        <v>1046</v>
      </c>
      <c r="D139" s="519"/>
      <c r="E139" s="223" t="s">
        <v>365</v>
      </c>
      <c r="F139" s="233">
        <v>16</v>
      </c>
      <c r="G139" s="311">
        <v>0</v>
      </c>
      <c r="H139" s="233">
        <f>F139*AM139</f>
        <v>0</v>
      </c>
      <c r="I139" s="233">
        <f>F139*AN139</f>
        <v>0</v>
      </c>
      <c r="J139" s="233">
        <f>F139*G139</f>
        <v>0</v>
      </c>
      <c r="K139" s="233">
        <v>6.1519999999999998E-2</v>
      </c>
      <c r="L139" s="233">
        <f>F139*K139</f>
        <v>0.98431999999999997</v>
      </c>
      <c r="M139" s="240" t="s">
        <v>472</v>
      </c>
      <c r="X139" s="233">
        <f>IF(AO139="5",BH139,0)</f>
        <v>0</v>
      </c>
      <c r="Z139" s="233">
        <f>IF(AO139="1",BF139,0)</f>
        <v>0</v>
      </c>
      <c r="AA139" s="233">
        <f>IF(AO139="1",BG139,0)</f>
        <v>0</v>
      </c>
      <c r="AB139" s="233">
        <f>IF(AO139="7",BF139,0)</f>
        <v>0</v>
      </c>
      <c r="AC139" s="233">
        <f>IF(AO139="7",BG139,0)</f>
        <v>0</v>
      </c>
      <c r="AD139" s="233">
        <f>IF(AO139="2",BF139,0)</f>
        <v>0</v>
      </c>
      <c r="AE139" s="233">
        <f>IF(AO139="2",BG139,0)</f>
        <v>0</v>
      </c>
      <c r="AF139" s="233">
        <f>IF(AO139="0",BH139,0)</f>
        <v>0</v>
      </c>
      <c r="AG139" s="229" t="s">
        <v>154</v>
      </c>
      <c r="AH139" s="233">
        <f>IF(AL139=0,J139,0)</f>
        <v>0</v>
      </c>
      <c r="AI139" s="233">
        <f>IF(AL139=15,J139,0)</f>
        <v>0</v>
      </c>
      <c r="AJ139" s="233">
        <f>IF(AL139=21,J139,0)</f>
        <v>0</v>
      </c>
      <c r="AL139" s="233">
        <v>15</v>
      </c>
      <c r="AM139" s="233">
        <f>G139*0.937835451</f>
        <v>0</v>
      </c>
      <c r="AN139" s="233">
        <f>G139*(1-0.937835451)</f>
        <v>0</v>
      </c>
      <c r="AO139" s="234" t="s">
        <v>157</v>
      </c>
      <c r="AT139" s="233">
        <f>AU139+AV139</f>
        <v>0</v>
      </c>
      <c r="AU139" s="233">
        <f>F139*AM139</f>
        <v>0</v>
      </c>
      <c r="AV139" s="233">
        <f>F139*AN139</f>
        <v>0</v>
      </c>
      <c r="AW139" s="234" t="s">
        <v>366</v>
      </c>
      <c r="AX139" s="234" t="s">
        <v>356</v>
      </c>
      <c r="AY139" s="229" t="s">
        <v>164</v>
      </c>
      <c r="BA139" s="233">
        <f>AU139+AV139</f>
        <v>0</v>
      </c>
      <c r="BB139" s="233">
        <f>G139/(100-BC139)*100</f>
        <v>0</v>
      </c>
      <c r="BC139" s="233">
        <v>0</v>
      </c>
      <c r="BD139" s="233">
        <f>L139</f>
        <v>0.98431999999999997</v>
      </c>
      <c r="BF139" s="233">
        <f>F139*AM139</f>
        <v>0</v>
      </c>
      <c r="BG139" s="233">
        <f>F139*AN139</f>
        <v>0</v>
      </c>
      <c r="BH139" s="233">
        <f>F139*G139</f>
        <v>0</v>
      </c>
      <c r="BI139" s="233"/>
      <c r="BJ139" s="233">
        <v>89</v>
      </c>
      <c r="BU139" s="233" t="e">
        <f>#REF!</f>
        <v>#REF!</v>
      </c>
      <c r="BV139" s="225" t="s">
        <v>1046</v>
      </c>
    </row>
    <row r="140" spans="1:74" ht="54" customHeight="1" x14ac:dyDescent="0.3">
      <c r="A140" s="241"/>
      <c r="B140" s="242" t="s">
        <v>165</v>
      </c>
      <c r="C140" s="530" t="s">
        <v>2093</v>
      </c>
      <c r="D140" s="531"/>
      <c r="E140" s="531"/>
      <c r="F140" s="531"/>
      <c r="G140" s="531"/>
      <c r="H140" s="531"/>
      <c r="I140" s="531"/>
      <c r="J140" s="531"/>
      <c r="K140" s="531"/>
      <c r="L140" s="531"/>
      <c r="M140" s="532"/>
    </row>
    <row r="141" spans="1:74" ht="14.4" x14ac:dyDescent="0.3">
      <c r="A141" s="239" t="s">
        <v>154</v>
      </c>
      <c r="B141" s="224" t="s">
        <v>370</v>
      </c>
      <c r="C141" s="526" t="s">
        <v>371</v>
      </c>
      <c r="D141" s="527"/>
      <c r="E141" s="223" t="s">
        <v>114</v>
      </c>
      <c r="F141" s="223" t="s">
        <v>114</v>
      </c>
      <c r="G141" s="223" t="s">
        <v>114</v>
      </c>
      <c r="H141" s="235">
        <f>SUM(H142:H142)</f>
        <v>0</v>
      </c>
      <c r="I141" s="235">
        <f>SUM(I142:I142)</f>
        <v>0</v>
      </c>
      <c r="J141" s="235">
        <f>SUM(J142:J142)</f>
        <v>0</v>
      </c>
      <c r="K141" s="230" t="s">
        <v>154</v>
      </c>
      <c r="L141" s="235">
        <f>SUM(L142:L142)</f>
        <v>8.6449999999999999E-2</v>
      </c>
      <c r="M141" s="243" t="s">
        <v>154</v>
      </c>
      <c r="AG141" s="229" t="s">
        <v>154</v>
      </c>
      <c r="AQ141" s="222">
        <f>SUM(AH142:AH142)</f>
        <v>0</v>
      </c>
      <c r="AR141" s="222">
        <f>SUM(AI142:AI142)</f>
        <v>0</v>
      </c>
      <c r="AS141" s="222">
        <f>SUM(AJ142:AJ142)</f>
        <v>0</v>
      </c>
    </row>
    <row r="142" spans="1:74" ht="14.4" x14ac:dyDescent="0.3">
      <c r="A142" s="239" t="s">
        <v>335</v>
      </c>
      <c r="B142" s="223" t="s">
        <v>372</v>
      </c>
      <c r="C142" s="521" t="s">
        <v>373</v>
      </c>
      <c r="D142" s="519"/>
      <c r="E142" s="223" t="s">
        <v>160</v>
      </c>
      <c r="F142" s="233">
        <v>123.5</v>
      </c>
      <c r="G142" s="311">
        <v>0</v>
      </c>
      <c r="H142" s="233">
        <f>F142*AM142</f>
        <v>0</v>
      </c>
      <c r="I142" s="233">
        <f>F142*AN142</f>
        <v>0</v>
      </c>
      <c r="J142" s="233">
        <f>F142*G142</f>
        <v>0</v>
      </c>
      <c r="K142" s="233">
        <v>6.9999999999999999E-4</v>
      </c>
      <c r="L142" s="233">
        <f>F142*K142</f>
        <v>8.6449999999999999E-2</v>
      </c>
      <c r="M142" s="240" t="s">
        <v>472</v>
      </c>
      <c r="X142" s="233">
        <f>IF(AO142="5",BH142,0)</f>
        <v>0</v>
      </c>
      <c r="Z142" s="233">
        <f>IF(AO142="1",BF142,0)</f>
        <v>0</v>
      </c>
      <c r="AA142" s="233">
        <f>IF(AO142="1",BG142,0)</f>
        <v>0</v>
      </c>
      <c r="AB142" s="233">
        <f>IF(AO142="7",BF142,0)</f>
        <v>0</v>
      </c>
      <c r="AC142" s="233">
        <f>IF(AO142="7",BG142,0)</f>
        <v>0</v>
      </c>
      <c r="AD142" s="233">
        <f>IF(AO142="2",BF142,0)</f>
        <v>0</v>
      </c>
      <c r="AE142" s="233">
        <f>IF(AO142="2",BG142,0)</f>
        <v>0</v>
      </c>
      <c r="AF142" s="233">
        <f>IF(AO142="0",BH142,0)</f>
        <v>0</v>
      </c>
      <c r="AG142" s="229" t="s">
        <v>154</v>
      </c>
      <c r="AH142" s="233">
        <f>IF(AL142=0,J142,0)</f>
        <v>0</v>
      </c>
      <c r="AI142" s="233">
        <f>IF(AL142=15,J142,0)</f>
        <v>0</v>
      </c>
      <c r="AJ142" s="233">
        <f>IF(AL142=21,J142,0)</f>
        <v>0</v>
      </c>
      <c r="AL142" s="233">
        <v>15</v>
      </c>
      <c r="AM142" s="233">
        <f>G142*0.071213702</f>
        <v>0</v>
      </c>
      <c r="AN142" s="233">
        <f>G142*(1-0.071213702)</f>
        <v>0</v>
      </c>
      <c r="AO142" s="234" t="s">
        <v>157</v>
      </c>
      <c r="AT142" s="233">
        <f>AU142+AV142</f>
        <v>0</v>
      </c>
      <c r="AU142" s="233">
        <f>F142*AM142</f>
        <v>0</v>
      </c>
      <c r="AV142" s="233">
        <f>F142*AN142</f>
        <v>0</v>
      </c>
      <c r="AW142" s="234" t="s">
        <v>374</v>
      </c>
      <c r="AX142" s="234" t="s">
        <v>375</v>
      </c>
      <c r="AY142" s="229" t="s">
        <v>164</v>
      </c>
      <c r="BA142" s="233">
        <f>AU142+AV142</f>
        <v>0</v>
      </c>
      <c r="BB142" s="233">
        <f>G142/(100-BC142)*100</f>
        <v>0</v>
      </c>
      <c r="BC142" s="233">
        <v>0</v>
      </c>
      <c r="BD142" s="233">
        <f>L142</f>
        <v>8.6449999999999999E-2</v>
      </c>
      <c r="BF142" s="233">
        <f>F142*AM142</f>
        <v>0</v>
      </c>
      <c r="BG142" s="233">
        <f>F142*AN142</f>
        <v>0</v>
      </c>
      <c r="BH142" s="233">
        <f>F142*G142</f>
        <v>0</v>
      </c>
      <c r="BI142" s="233"/>
      <c r="BJ142" s="233">
        <v>93</v>
      </c>
      <c r="BU142" s="233" t="e">
        <f>#REF!</f>
        <v>#REF!</v>
      </c>
      <c r="BV142" s="225" t="s">
        <v>373</v>
      </c>
    </row>
    <row r="143" spans="1:74" ht="40.5" customHeight="1" x14ac:dyDescent="0.3">
      <c r="A143" s="241"/>
      <c r="B143" s="242" t="s">
        <v>165</v>
      </c>
      <c r="C143" s="530" t="s">
        <v>2094</v>
      </c>
      <c r="D143" s="531"/>
      <c r="E143" s="531"/>
      <c r="F143" s="531"/>
      <c r="G143" s="531"/>
      <c r="H143" s="531"/>
      <c r="I143" s="531"/>
      <c r="J143" s="531"/>
      <c r="K143" s="531"/>
      <c r="L143" s="531"/>
      <c r="M143" s="532"/>
    </row>
    <row r="144" spans="1:74" ht="14.4" x14ac:dyDescent="0.3">
      <c r="A144" s="239" t="s">
        <v>154</v>
      </c>
      <c r="B144" s="224" t="s">
        <v>376</v>
      </c>
      <c r="C144" s="526" t="s">
        <v>377</v>
      </c>
      <c r="D144" s="527"/>
      <c r="E144" s="223" t="s">
        <v>114</v>
      </c>
      <c r="F144" s="223" t="s">
        <v>114</v>
      </c>
      <c r="G144" s="223" t="s">
        <v>114</v>
      </c>
      <c r="H144" s="235">
        <f>SUM(H145:H145)</f>
        <v>0</v>
      </c>
      <c r="I144" s="235">
        <f>SUM(I145:I145)</f>
        <v>0</v>
      </c>
      <c r="J144" s="235">
        <f>SUM(J145:J145)</f>
        <v>0</v>
      </c>
      <c r="K144" s="230" t="s">
        <v>154</v>
      </c>
      <c r="L144" s="235">
        <f>SUM(L145:L145)</f>
        <v>0</v>
      </c>
      <c r="M144" s="243" t="s">
        <v>154</v>
      </c>
      <c r="AG144" s="229" t="s">
        <v>154</v>
      </c>
      <c r="AQ144" s="222">
        <f>SUM(AH145:AH145)</f>
        <v>0</v>
      </c>
      <c r="AR144" s="222">
        <f>SUM(AI145:AI145)</f>
        <v>0</v>
      </c>
      <c r="AS144" s="222">
        <f>SUM(AJ145:AJ145)</f>
        <v>0</v>
      </c>
    </row>
    <row r="145" spans="1:74" ht="14.4" x14ac:dyDescent="0.3">
      <c r="A145" s="239" t="s">
        <v>384</v>
      </c>
      <c r="B145" s="223" t="s">
        <v>378</v>
      </c>
      <c r="C145" s="521" t="s">
        <v>379</v>
      </c>
      <c r="D145" s="519"/>
      <c r="E145" s="223" t="s">
        <v>380</v>
      </c>
      <c r="F145" s="233">
        <v>92.99</v>
      </c>
      <c r="G145" s="311">
        <v>0</v>
      </c>
      <c r="H145" s="233">
        <f>F145*AM145</f>
        <v>0</v>
      </c>
      <c r="I145" s="233">
        <f>F145*AN145</f>
        <v>0</v>
      </c>
      <c r="J145" s="233">
        <f>F145*G145</f>
        <v>0</v>
      </c>
      <c r="K145" s="233">
        <v>0</v>
      </c>
      <c r="L145" s="233">
        <f>F145*K145</f>
        <v>0</v>
      </c>
      <c r="M145" s="240" t="s">
        <v>472</v>
      </c>
      <c r="X145" s="233">
        <f>IF(AO145="5",BH145,0)</f>
        <v>0</v>
      </c>
      <c r="Z145" s="233">
        <f>IF(AO145="1",BF145,0)</f>
        <v>0</v>
      </c>
      <c r="AA145" s="233">
        <f>IF(AO145="1",BG145,0)</f>
        <v>0</v>
      </c>
      <c r="AB145" s="233">
        <f>IF(AO145="7",BF145,0)</f>
        <v>0</v>
      </c>
      <c r="AC145" s="233">
        <f>IF(AO145="7",BG145,0)</f>
        <v>0</v>
      </c>
      <c r="AD145" s="233">
        <f>IF(AO145="2",BF145,0)</f>
        <v>0</v>
      </c>
      <c r="AE145" s="233">
        <f>IF(AO145="2",BG145,0)</f>
        <v>0</v>
      </c>
      <c r="AF145" s="233">
        <f>IF(AO145="0",BH145,0)</f>
        <v>0</v>
      </c>
      <c r="AG145" s="229" t="s">
        <v>154</v>
      </c>
      <c r="AH145" s="233">
        <f>IF(AL145=0,J145,0)</f>
        <v>0</v>
      </c>
      <c r="AI145" s="233">
        <f>IF(AL145=15,J145,0)</f>
        <v>0</v>
      </c>
      <c r="AJ145" s="233">
        <f>IF(AL145=21,J145,0)</f>
        <v>0</v>
      </c>
      <c r="AL145" s="233">
        <v>15</v>
      </c>
      <c r="AM145" s="233">
        <f>G145*0</f>
        <v>0</v>
      </c>
      <c r="AN145" s="233">
        <f>G145*(1-0)</f>
        <v>0</v>
      </c>
      <c r="AO145" s="234" t="s">
        <v>157</v>
      </c>
      <c r="AT145" s="233">
        <f>AU145+AV145</f>
        <v>0</v>
      </c>
      <c r="AU145" s="233">
        <f>F145*AM145</f>
        <v>0</v>
      </c>
      <c r="AV145" s="233">
        <f>F145*AN145</f>
        <v>0</v>
      </c>
      <c r="AW145" s="234" t="s">
        <v>381</v>
      </c>
      <c r="AX145" s="234" t="s">
        <v>375</v>
      </c>
      <c r="AY145" s="229" t="s">
        <v>164</v>
      </c>
      <c r="BA145" s="233">
        <f>AU145+AV145</f>
        <v>0</v>
      </c>
      <c r="BB145" s="233">
        <f>G145/(100-BC145)*100</f>
        <v>0</v>
      </c>
      <c r="BC145" s="233">
        <v>0</v>
      </c>
      <c r="BD145" s="233">
        <f>L145</f>
        <v>0</v>
      </c>
      <c r="BF145" s="233">
        <f>F145*AM145</f>
        <v>0</v>
      </c>
      <c r="BG145" s="233">
        <f>F145*AN145</f>
        <v>0</v>
      </c>
      <c r="BH145" s="233">
        <f>F145*G145</f>
        <v>0</v>
      </c>
      <c r="BI145" s="233"/>
      <c r="BJ145" s="233">
        <v>97</v>
      </c>
      <c r="BU145" s="233" t="e">
        <f>#REF!</f>
        <v>#REF!</v>
      </c>
      <c r="BV145" s="225" t="s">
        <v>379</v>
      </c>
    </row>
    <row r="146" spans="1:74" ht="40.5" customHeight="1" x14ac:dyDescent="0.3">
      <c r="A146" s="241"/>
      <c r="B146" s="242" t="s">
        <v>165</v>
      </c>
      <c r="C146" s="530" t="s">
        <v>2095</v>
      </c>
      <c r="D146" s="531"/>
      <c r="E146" s="531"/>
      <c r="F146" s="531"/>
      <c r="G146" s="531"/>
      <c r="H146" s="531"/>
      <c r="I146" s="531"/>
      <c r="J146" s="531"/>
      <c r="K146" s="531"/>
      <c r="L146" s="531"/>
      <c r="M146" s="532"/>
    </row>
    <row r="147" spans="1:74" ht="14.4" x14ac:dyDescent="0.3">
      <c r="A147" s="239" t="s">
        <v>154</v>
      </c>
      <c r="B147" s="224" t="s">
        <v>382</v>
      </c>
      <c r="C147" s="526" t="s">
        <v>383</v>
      </c>
      <c r="D147" s="527"/>
      <c r="E147" s="223" t="s">
        <v>114</v>
      </c>
      <c r="F147" s="223" t="s">
        <v>114</v>
      </c>
      <c r="G147" s="223" t="s">
        <v>114</v>
      </c>
      <c r="H147" s="235">
        <f>SUM(H148:H156)</f>
        <v>0</v>
      </c>
      <c r="I147" s="235">
        <f>SUM(I148:I156)</f>
        <v>0</v>
      </c>
      <c r="J147" s="235">
        <f>SUM(J148:J156)</f>
        <v>0</v>
      </c>
      <c r="K147" s="230" t="s">
        <v>154</v>
      </c>
      <c r="L147" s="235">
        <f>SUM(L148:L156)</f>
        <v>0</v>
      </c>
      <c r="M147" s="243" t="s">
        <v>154</v>
      </c>
      <c r="AG147" s="229" t="s">
        <v>154</v>
      </c>
      <c r="AQ147" s="222">
        <f>SUM(AH148:AH156)</f>
        <v>0</v>
      </c>
      <c r="AR147" s="222">
        <f>SUM(AI148:AI156)</f>
        <v>0</v>
      </c>
      <c r="AS147" s="222">
        <f>SUM(AJ148:AJ156)</f>
        <v>0</v>
      </c>
    </row>
    <row r="148" spans="1:74" ht="14.4" x14ac:dyDescent="0.3">
      <c r="A148" s="239" t="s">
        <v>344</v>
      </c>
      <c r="B148" s="223" t="s">
        <v>385</v>
      </c>
      <c r="C148" s="521" t="s">
        <v>386</v>
      </c>
      <c r="D148" s="519"/>
      <c r="E148" s="223" t="s">
        <v>380</v>
      </c>
      <c r="F148" s="233">
        <v>77.83</v>
      </c>
      <c r="G148" s="311">
        <v>0</v>
      </c>
      <c r="H148" s="233">
        <f>F148*AM148</f>
        <v>0</v>
      </c>
      <c r="I148" s="233">
        <f>F148*AN148</f>
        <v>0</v>
      </c>
      <c r="J148" s="233">
        <f>F148*G148</f>
        <v>0</v>
      </c>
      <c r="K148" s="233">
        <v>0</v>
      </c>
      <c r="L148" s="233">
        <f>F148*K148</f>
        <v>0</v>
      </c>
      <c r="M148" s="240" t="s">
        <v>472</v>
      </c>
      <c r="X148" s="233">
        <f>IF(AO148="5",BH148,0)</f>
        <v>0</v>
      </c>
      <c r="Z148" s="233">
        <f>IF(AO148="1",BF148,0)</f>
        <v>0</v>
      </c>
      <c r="AA148" s="233">
        <f>IF(AO148="1",BG148,0)</f>
        <v>0</v>
      </c>
      <c r="AB148" s="233">
        <f>IF(AO148="7",BF148,0)</f>
        <v>0</v>
      </c>
      <c r="AC148" s="233">
        <f>IF(AO148="7",BG148,0)</f>
        <v>0</v>
      </c>
      <c r="AD148" s="233">
        <f>IF(AO148="2",BF148,0)</f>
        <v>0</v>
      </c>
      <c r="AE148" s="233">
        <f>IF(AO148="2",BG148,0)</f>
        <v>0</v>
      </c>
      <c r="AF148" s="233">
        <f>IF(AO148="0",BH148,0)</f>
        <v>0</v>
      </c>
      <c r="AG148" s="229" t="s">
        <v>154</v>
      </c>
      <c r="AH148" s="233">
        <f>IF(AL148=0,J148,0)</f>
        <v>0</v>
      </c>
      <c r="AI148" s="233">
        <f>IF(AL148=15,J148,0)</f>
        <v>0</v>
      </c>
      <c r="AJ148" s="233">
        <f>IF(AL148=21,J148,0)</f>
        <v>0</v>
      </c>
      <c r="AL148" s="233">
        <v>15</v>
      </c>
      <c r="AM148" s="233">
        <f>G148*0</f>
        <v>0</v>
      </c>
      <c r="AN148" s="233">
        <f>G148*(1-0)</f>
        <v>0</v>
      </c>
      <c r="AO148" s="234" t="s">
        <v>177</v>
      </c>
      <c r="AT148" s="233">
        <f>AU148+AV148</f>
        <v>0</v>
      </c>
      <c r="AU148" s="233">
        <f>F148*AM148</f>
        <v>0</v>
      </c>
      <c r="AV148" s="233">
        <f>F148*AN148</f>
        <v>0</v>
      </c>
      <c r="AW148" s="234" t="s">
        <v>387</v>
      </c>
      <c r="AX148" s="234" t="s">
        <v>375</v>
      </c>
      <c r="AY148" s="229" t="s">
        <v>164</v>
      </c>
      <c r="BA148" s="233">
        <f>AU148+AV148</f>
        <v>0</v>
      </c>
      <c r="BB148" s="233">
        <f>G148/(100-BC148)*100</f>
        <v>0</v>
      </c>
      <c r="BC148" s="233">
        <v>0</v>
      </c>
      <c r="BD148" s="233">
        <f>L148</f>
        <v>0</v>
      </c>
      <c r="BF148" s="233">
        <f>F148*AM148</f>
        <v>0</v>
      </c>
      <c r="BG148" s="233">
        <f>F148*AN148</f>
        <v>0</v>
      </c>
      <c r="BH148" s="233">
        <f>F148*G148</f>
        <v>0</v>
      </c>
      <c r="BI148" s="233"/>
      <c r="BJ148" s="233"/>
      <c r="BU148" s="233" t="e">
        <f>#REF!</f>
        <v>#REF!</v>
      </c>
      <c r="BV148" s="225" t="s">
        <v>386</v>
      </c>
    </row>
    <row r="149" spans="1:74" ht="14.4" x14ac:dyDescent="0.3">
      <c r="A149" s="239" t="s">
        <v>390</v>
      </c>
      <c r="B149" s="223" t="s">
        <v>388</v>
      </c>
      <c r="C149" s="521" t="s">
        <v>389</v>
      </c>
      <c r="D149" s="519"/>
      <c r="E149" s="223" t="s">
        <v>380</v>
      </c>
      <c r="F149" s="233">
        <v>1342.57</v>
      </c>
      <c r="G149" s="311">
        <v>0</v>
      </c>
      <c r="H149" s="233">
        <f>F149*AM149</f>
        <v>0</v>
      </c>
      <c r="I149" s="233">
        <f>F149*AN149</f>
        <v>0</v>
      </c>
      <c r="J149" s="233">
        <f>F149*G149</f>
        <v>0</v>
      </c>
      <c r="K149" s="233">
        <v>0</v>
      </c>
      <c r="L149" s="233">
        <f>F149*K149</f>
        <v>0</v>
      </c>
      <c r="M149" s="240" t="s">
        <v>472</v>
      </c>
      <c r="X149" s="233">
        <f>IF(AO149="5",BH149,0)</f>
        <v>0</v>
      </c>
      <c r="Z149" s="233">
        <f>IF(AO149="1",BF149,0)</f>
        <v>0</v>
      </c>
      <c r="AA149" s="233">
        <f>IF(AO149="1",BG149,0)</f>
        <v>0</v>
      </c>
      <c r="AB149" s="233">
        <f>IF(AO149="7",BF149,0)</f>
        <v>0</v>
      </c>
      <c r="AC149" s="233">
        <f>IF(AO149="7",BG149,0)</f>
        <v>0</v>
      </c>
      <c r="AD149" s="233">
        <f>IF(AO149="2",BF149,0)</f>
        <v>0</v>
      </c>
      <c r="AE149" s="233">
        <f>IF(AO149="2",BG149,0)</f>
        <v>0</v>
      </c>
      <c r="AF149" s="233">
        <f>IF(AO149="0",BH149,0)</f>
        <v>0</v>
      </c>
      <c r="AG149" s="229" t="s">
        <v>154</v>
      </c>
      <c r="AH149" s="233">
        <f>IF(AL149=0,J149,0)</f>
        <v>0</v>
      </c>
      <c r="AI149" s="233">
        <f>IF(AL149=15,J149,0)</f>
        <v>0</v>
      </c>
      <c r="AJ149" s="233">
        <f>IF(AL149=21,J149,0)</f>
        <v>0</v>
      </c>
      <c r="AL149" s="233">
        <v>15</v>
      </c>
      <c r="AM149" s="233">
        <f>G149*0</f>
        <v>0</v>
      </c>
      <c r="AN149" s="233">
        <f>G149*(1-0)</f>
        <v>0</v>
      </c>
      <c r="AO149" s="234" t="s">
        <v>177</v>
      </c>
      <c r="AT149" s="233">
        <f>AU149+AV149</f>
        <v>0</v>
      </c>
      <c r="AU149" s="233">
        <f>F149*AM149</f>
        <v>0</v>
      </c>
      <c r="AV149" s="233">
        <f>F149*AN149</f>
        <v>0</v>
      </c>
      <c r="AW149" s="234" t="s">
        <v>387</v>
      </c>
      <c r="AX149" s="234" t="s">
        <v>375</v>
      </c>
      <c r="AY149" s="229" t="s">
        <v>164</v>
      </c>
      <c r="BA149" s="233">
        <f>AU149+AV149</f>
        <v>0</v>
      </c>
      <c r="BB149" s="233">
        <f>G149/(100-BC149)*100</f>
        <v>0</v>
      </c>
      <c r="BC149" s="233">
        <v>0</v>
      </c>
      <c r="BD149" s="233">
        <f>L149</f>
        <v>0</v>
      </c>
      <c r="BF149" s="233">
        <f>F149*AM149</f>
        <v>0</v>
      </c>
      <c r="BG149" s="233">
        <f>F149*AN149</f>
        <v>0</v>
      </c>
      <c r="BH149" s="233">
        <f>F149*G149</f>
        <v>0</v>
      </c>
      <c r="BI149" s="233"/>
      <c r="BJ149" s="233"/>
      <c r="BU149" s="233" t="e">
        <f>#REF!</f>
        <v>#REF!</v>
      </c>
      <c r="BV149" s="225" t="s">
        <v>389</v>
      </c>
    </row>
    <row r="150" spans="1:74" ht="40.5" customHeight="1" x14ac:dyDescent="0.3">
      <c r="A150" s="241"/>
      <c r="B150" s="242" t="s">
        <v>165</v>
      </c>
      <c r="C150" s="530" t="s">
        <v>1528</v>
      </c>
      <c r="D150" s="531"/>
      <c r="E150" s="531"/>
      <c r="F150" s="531"/>
      <c r="G150" s="531"/>
      <c r="H150" s="531"/>
      <c r="I150" s="531"/>
      <c r="J150" s="531"/>
      <c r="K150" s="531"/>
      <c r="L150" s="531"/>
      <c r="M150" s="532"/>
    </row>
    <row r="151" spans="1:74" ht="14.4" x14ac:dyDescent="0.3">
      <c r="A151" s="239" t="s">
        <v>393</v>
      </c>
      <c r="B151" s="223" t="s">
        <v>391</v>
      </c>
      <c r="C151" s="521" t="s">
        <v>392</v>
      </c>
      <c r="D151" s="519"/>
      <c r="E151" s="223" t="s">
        <v>380</v>
      </c>
      <c r="F151" s="233">
        <v>19.46</v>
      </c>
      <c r="G151" s="311">
        <v>0</v>
      </c>
      <c r="H151" s="233">
        <f>F151*AM151</f>
        <v>0</v>
      </c>
      <c r="I151" s="233">
        <f>F151*AN151</f>
        <v>0</v>
      </c>
      <c r="J151" s="233">
        <f>F151*G151</f>
        <v>0</v>
      </c>
      <c r="K151" s="233">
        <v>0</v>
      </c>
      <c r="L151" s="233">
        <f>F151*K151</f>
        <v>0</v>
      </c>
      <c r="M151" s="240" t="s">
        <v>472</v>
      </c>
      <c r="X151" s="233">
        <f>IF(AO151="5",BH151,0)</f>
        <v>0</v>
      </c>
      <c r="Z151" s="233">
        <f>IF(AO151="1",BF151,0)</f>
        <v>0</v>
      </c>
      <c r="AA151" s="233">
        <f>IF(AO151="1",BG151,0)</f>
        <v>0</v>
      </c>
      <c r="AB151" s="233">
        <f>IF(AO151="7",BF151,0)</f>
        <v>0</v>
      </c>
      <c r="AC151" s="233">
        <f>IF(AO151="7",BG151,0)</f>
        <v>0</v>
      </c>
      <c r="AD151" s="233">
        <f>IF(AO151="2",BF151,0)</f>
        <v>0</v>
      </c>
      <c r="AE151" s="233">
        <f>IF(AO151="2",BG151,0)</f>
        <v>0</v>
      </c>
      <c r="AF151" s="233">
        <f>IF(AO151="0",BH151,0)</f>
        <v>0</v>
      </c>
      <c r="AG151" s="229" t="s">
        <v>154</v>
      </c>
      <c r="AH151" s="233">
        <f>IF(AL151=0,J151,0)</f>
        <v>0</v>
      </c>
      <c r="AI151" s="233">
        <f>IF(AL151=15,J151,0)</f>
        <v>0</v>
      </c>
      <c r="AJ151" s="233">
        <f>IF(AL151=21,J151,0)</f>
        <v>0</v>
      </c>
      <c r="AL151" s="233">
        <v>15</v>
      </c>
      <c r="AM151" s="233">
        <f>G151*0</f>
        <v>0</v>
      </c>
      <c r="AN151" s="233">
        <f>G151*(1-0)</f>
        <v>0</v>
      </c>
      <c r="AO151" s="234" t="s">
        <v>177</v>
      </c>
      <c r="AT151" s="233">
        <f>AU151+AV151</f>
        <v>0</v>
      </c>
      <c r="AU151" s="233">
        <f>F151*AM151</f>
        <v>0</v>
      </c>
      <c r="AV151" s="233">
        <f>F151*AN151</f>
        <v>0</v>
      </c>
      <c r="AW151" s="234" t="s">
        <v>387</v>
      </c>
      <c r="AX151" s="234" t="s">
        <v>375</v>
      </c>
      <c r="AY151" s="229" t="s">
        <v>164</v>
      </c>
      <c r="BA151" s="233">
        <f>AU151+AV151</f>
        <v>0</v>
      </c>
      <c r="BB151" s="233">
        <f>G151/(100-BC151)*100</f>
        <v>0</v>
      </c>
      <c r="BC151" s="233">
        <v>0</v>
      </c>
      <c r="BD151" s="233">
        <f>L151</f>
        <v>0</v>
      </c>
      <c r="BF151" s="233">
        <f>F151*AM151</f>
        <v>0</v>
      </c>
      <c r="BG151" s="233">
        <f>F151*AN151</f>
        <v>0</v>
      </c>
      <c r="BH151" s="233">
        <f>F151*G151</f>
        <v>0</v>
      </c>
      <c r="BI151" s="233"/>
      <c r="BJ151" s="233"/>
      <c r="BU151" s="233" t="e">
        <f>#REF!</f>
        <v>#REF!</v>
      </c>
      <c r="BV151" s="225" t="s">
        <v>392</v>
      </c>
    </row>
    <row r="152" spans="1:74" ht="40.5" customHeight="1" x14ac:dyDescent="0.3">
      <c r="A152" s="241"/>
      <c r="B152" s="242" t="s">
        <v>165</v>
      </c>
      <c r="C152" s="530" t="s">
        <v>1529</v>
      </c>
      <c r="D152" s="531"/>
      <c r="E152" s="531"/>
      <c r="F152" s="531"/>
      <c r="G152" s="531"/>
      <c r="H152" s="531"/>
      <c r="I152" s="531"/>
      <c r="J152" s="531"/>
      <c r="K152" s="531"/>
      <c r="L152" s="531"/>
      <c r="M152" s="532"/>
    </row>
    <row r="153" spans="1:74" ht="14.4" x14ac:dyDescent="0.3">
      <c r="A153" s="239" t="s">
        <v>396</v>
      </c>
      <c r="B153" s="223" t="s">
        <v>394</v>
      </c>
      <c r="C153" s="521" t="s">
        <v>395</v>
      </c>
      <c r="D153" s="519"/>
      <c r="E153" s="223" t="s">
        <v>380</v>
      </c>
      <c r="F153" s="233">
        <v>71.88</v>
      </c>
      <c r="G153" s="311">
        <v>0</v>
      </c>
      <c r="H153" s="233">
        <f>F153*AM153</f>
        <v>0</v>
      </c>
      <c r="I153" s="233">
        <f>F153*AN153</f>
        <v>0</v>
      </c>
      <c r="J153" s="233">
        <f>F153*G153</f>
        <v>0</v>
      </c>
      <c r="K153" s="233">
        <v>0</v>
      </c>
      <c r="L153" s="233">
        <f>F153*K153</f>
        <v>0</v>
      </c>
      <c r="M153" s="240" t="s">
        <v>472</v>
      </c>
      <c r="X153" s="233">
        <f>IF(AO153="5",BH153,0)</f>
        <v>0</v>
      </c>
      <c r="Z153" s="233">
        <f>IF(AO153="1",BF153,0)</f>
        <v>0</v>
      </c>
      <c r="AA153" s="233">
        <f>IF(AO153="1",BG153,0)</f>
        <v>0</v>
      </c>
      <c r="AB153" s="233">
        <f>IF(AO153="7",BF153,0)</f>
        <v>0</v>
      </c>
      <c r="AC153" s="233">
        <f>IF(AO153="7",BG153,0)</f>
        <v>0</v>
      </c>
      <c r="AD153" s="233">
        <f>IF(AO153="2",BF153,0)</f>
        <v>0</v>
      </c>
      <c r="AE153" s="233">
        <f>IF(AO153="2",BG153,0)</f>
        <v>0</v>
      </c>
      <c r="AF153" s="233">
        <f>IF(AO153="0",BH153,0)</f>
        <v>0</v>
      </c>
      <c r="AG153" s="229" t="s">
        <v>154</v>
      </c>
      <c r="AH153" s="233">
        <f>IF(AL153=0,J153,0)</f>
        <v>0</v>
      </c>
      <c r="AI153" s="233">
        <f>IF(AL153=15,J153,0)</f>
        <v>0</v>
      </c>
      <c r="AJ153" s="233">
        <f>IF(AL153=21,J153,0)</f>
        <v>0</v>
      </c>
      <c r="AL153" s="233">
        <v>15</v>
      </c>
      <c r="AM153" s="233">
        <f>G153*0</f>
        <v>0</v>
      </c>
      <c r="AN153" s="233">
        <f>G153*(1-0)</f>
        <v>0</v>
      </c>
      <c r="AO153" s="234" t="s">
        <v>177</v>
      </c>
      <c r="AT153" s="233">
        <f>AU153+AV153</f>
        <v>0</v>
      </c>
      <c r="AU153" s="233">
        <f>F153*AM153</f>
        <v>0</v>
      </c>
      <c r="AV153" s="233">
        <f>F153*AN153</f>
        <v>0</v>
      </c>
      <c r="AW153" s="234" t="s">
        <v>387</v>
      </c>
      <c r="AX153" s="234" t="s">
        <v>375</v>
      </c>
      <c r="AY153" s="229" t="s">
        <v>164</v>
      </c>
      <c r="BA153" s="233">
        <f>AU153+AV153</f>
        <v>0</v>
      </c>
      <c r="BB153" s="233">
        <f>G153/(100-BC153)*100</f>
        <v>0</v>
      </c>
      <c r="BC153" s="233">
        <v>0</v>
      </c>
      <c r="BD153" s="233">
        <f>L153</f>
        <v>0</v>
      </c>
      <c r="BF153" s="233">
        <f>F153*AM153</f>
        <v>0</v>
      </c>
      <c r="BG153" s="233">
        <f>F153*AN153</f>
        <v>0</v>
      </c>
      <c r="BH153" s="233">
        <f>F153*G153</f>
        <v>0</v>
      </c>
      <c r="BI153" s="233"/>
      <c r="BJ153" s="233"/>
      <c r="BU153" s="233" t="e">
        <f>#REF!</f>
        <v>#REF!</v>
      </c>
      <c r="BV153" s="225" t="s">
        <v>395</v>
      </c>
    </row>
    <row r="154" spans="1:74" ht="14.4" x14ac:dyDescent="0.3">
      <c r="A154" s="239" t="s">
        <v>401</v>
      </c>
      <c r="B154" s="223" t="s">
        <v>397</v>
      </c>
      <c r="C154" s="521" t="s">
        <v>398</v>
      </c>
      <c r="D154" s="519"/>
      <c r="E154" s="223" t="s">
        <v>380</v>
      </c>
      <c r="F154" s="233">
        <v>826.62</v>
      </c>
      <c r="G154" s="311">
        <v>0</v>
      </c>
      <c r="H154" s="233">
        <f>F154*AM154</f>
        <v>0</v>
      </c>
      <c r="I154" s="233">
        <f>F154*AN154</f>
        <v>0</v>
      </c>
      <c r="J154" s="233">
        <f>F154*G154</f>
        <v>0</v>
      </c>
      <c r="K154" s="233">
        <v>0</v>
      </c>
      <c r="L154" s="233">
        <f>F154*K154</f>
        <v>0</v>
      </c>
      <c r="M154" s="240" t="s">
        <v>472</v>
      </c>
      <c r="X154" s="233">
        <f>IF(AO154="5",BH154,0)</f>
        <v>0</v>
      </c>
      <c r="Z154" s="233">
        <f>IF(AO154="1",BF154,0)</f>
        <v>0</v>
      </c>
      <c r="AA154" s="233">
        <f>IF(AO154="1",BG154,0)</f>
        <v>0</v>
      </c>
      <c r="AB154" s="233">
        <f>IF(AO154="7",BF154,0)</f>
        <v>0</v>
      </c>
      <c r="AC154" s="233">
        <f>IF(AO154="7",BG154,0)</f>
        <v>0</v>
      </c>
      <c r="AD154" s="233">
        <f>IF(AO154="2",BF154,0)</f>
        <v>0</v>
      </c>
      <c r="AE154" s="233">
        <f>IF(AO154="2",BG154,0)</f>
        <v>0</v>
      </c>
      <c r="AF154" s="233">
        <f>IF(AO154="0",BH154,0)</f>
        <v>0</v>
      </c>
      <c r="AG154" s="229" t="s">
        <v>154</v>
      </c>
      <c r="AH154" s="233">
        <f>IF(AL154=0,J154,0)</f>
        <v>0</v>
      </c>
      <c r="AI154" s="233">
        <f>IF(AL154=15,J154,0)</f>
        <v>0</v>
      </c>
      <c r="AJ154" s="233">
        <f>IF(AL154=21,J154,0)</f>
        <v>0</v>
      </c>
      <c r="AL154" s="233">
        <v>15</v>
      </c>
      <c r="AM154" s="233">
        <f>G154*0</f>
        <v>0</v>
      </c>
      <c r="AN154" s="233">
        <f>G154*(1-0)</f>
        <v>0</v>
      </c>
      <c r="AO154" s="234" t="s">
        <v>177</v>
      </c>
      <c r="AT154" s="233">
        <f>AU154+AV154</f>
        <v>0</v>
      </c>
      <c r="AU154" s="233">
        <f>F154*AM154</f>
        <v>0</v>
      </c>
      <c r="AV154" s="233">
        <f>F154*AN154</f>
        <v>0</v>
      </c>
      <c r="AW154" s="234" t="s">
        <v>387</v>
      </c>
      <c r="AX154" s="234" t="s">
        <v>375</v>
      </c>
      <c r="AY154" s="229" t="s">
        <v>164</v>
      </c>
      <c r="BA154" s="233">
        <f>AU154+AV154</f>
        <v>0</v>
      </c>
      <c r="BB154" s="233">
        <f>G154/(100-BC154)*100</f>
        <v>0</v>
      </c>
      <c r="BC154" s="233">
        <v>0</v>
      </c>
      <c r="BD154" s="233">
        <f>L154</f>
        <v>0</v>
      </c>
      <c r="BF154" s="233">
        <f>F154*AM154</f>
        <v>0</v>
      </c>
      <c r="BG154" s="233">
        <f>F154*AN154</f>
        <v>0</v>
      </c>
      <c r="BH154" s="233">
        <f>F154*G154</f>
        <v>0</v>
      </c>
      <c r="BI154" s="233"/>
      <c r="BJ154" s="233"/>
      <c r="BU154" s="233" t="e">
        <f>#REF!</f>
        <v>#REF!</v>
      </c>
      <c r="BV154" s="225" t="s">
        <v>398</v>
      </c>
    </row>
    <row r="155" spans="1:74" ht="40.5" customHeight="1" x14ac:dyDescent="0.3">
      <c r="A155" s="241"/>
      <c r="B155" s="242" t="s">
        <v>165</v>
      </c>
      <c r="C155" s="530" t="s">
        <v>2096</v>
      </c>
      <c r="D155" s="531"/>
      <c r="E155" s="531"/>
      <c r="F155" s="531"/>
      <c r="G155" s="531"/>
      <c r="H155" s="531"/>
      <c r="I155" s="531"/>
      <c r="J155" s="531"/>
      <c r="K155" s="531"/>
      <c r="L155" s="531"/>
      <c r="M155" s="532"/>
    </row>
    <row r="156" spans="1:74" ht="26.4" x14ac:dyDescent="0.3">
      <c r="A156" s="239" t="s">
        <v>405</v>
      </c>
      <c r="B156" s="223" t="s">
        <v>385</v>
      </c>
      <c r="C156" s="521" t="s">
        <v>443</v>
      </c>
      <c r="D156" s="519"/>
      <c r="E156" s="223" t="s">
        <v>380</v>
      </c>
      <c r="F156" s="233">
        <v>205.32</v>
      </c>
      <c r="G156" s="311">
        <v>0</v>
      </c>
      <c r="H156" s="233">
        <f>F156*AM156</f>
        <v>0</v>
      </c>
      <c r="I156" s="233">
        <f>F156*AN156</f>
        <v>0</v>
      </c>
      <c r="J156" s="233">
        <f>F156*G156</f>
        <v>0</v>
      </c>
      <c r="K156" s="233">
        <v>0</v>
      </c>
      <c r="L156" s="233">
        <f>F156*K156</f>
        <v>0</v>
      </c>
      <c r="M156" s="240" t="s">
        <v>472</v>
      </c>
      <c r="X156" s="233">
        <f>IF(AO156="5",BH156,0)</f>
        <v>0</v>
      </c>
      <c r="Z156" s="233">
        <f>IF(AO156="1",BF156,0)</f>
        <v>0</v>
      </c>
      <c r="AA156" s="233">
        <f>IF(AO156="1",BG156,0)</f>
        <v>0</v>
      </c>
      <c r="AB156" s="233">
        <f>IF(AO156="7",BF156,0)</f>
        <v>0</v>
      </c>
      <c r="AC156" s="233">
        <f>IF(AO156="7",BG156,0)</f>
        <v>0</v>
      </c>
      <c r="AD156" s="233">
        <f>IF(AO156="2",BF156,0)</f>
        <v>0</v>
      </c>
      <c r="AE156" s="233">
        <f>IF(AO156="2",BG156,0)</f>
        <v>0</v>
      </c>
      <c r="AF156" s="233">
        <f>IF(AO156="0",BH156,0)</f>
        <v>0</v>
      </c>
      <c r="AG156" s="229" t="s">
        <v>154</v>
      </c>
      <c r="AH156" s="233">
        <f>IF(AL156=0,J156,0)</f>
        <v>0</v>
      </c>
      <c r="AI156" s="233">
        <f>IF(AL156=15,J156,0)</f>
        <v>0</v>
      </c>
      <c r="AJ156" s="233">
        <f>IF(AL156=21,J156,0)</f>
        <v>0</v>
      </c>
      <c r="AL156" s="233">
        <v>15</v>
      </c>
      <c r="AM156" s="233">
        <f>G156*0</f>
        <v>0</v>
      </c>
      <c r="AN156" s="233">
        <f>G156*(1-0)</f>
        <v>0</v>
      </c>
      <c r="AO156" s="234" t="s">
        <v>177</v>
      </c>
      <c r="AT156" s="233">
        <f>AU156+AV156</f>
        <v>0</v>
      </c>
      <c r="AU156" s="233">
        <f>F156*AM156</f>
        <v>0</v>
      </c>
      <c r="AV156" s="233">
        <f>F156*AN156</f>
        <v>0</v>
      </c>
      <c r="AW156" s="234" t="s">
        <v>387</v>
      </c>
      <c r="AX156" s="234" t="s">
        <v>375</v>
      </c>
      <c r="AY156" s="229" t="s">
        <v>164</v>
      </c>
      <c r="BA156" s="233">
        <f>AU156+AV156</f>
        <v>0</v>
      </c>
      <c r="BB156" s="233">
        <f>G156/(100-BC156)*100</f>
        <v>0</v>
      </c>
      <c r="BC156" s="233">
        <v>0</v>
      </c>
      <c r="BD156" s="233">
        <f>L156</f>
        <v>0</v>
      </c>
      <c r="BF156" s="233">
        <f>F156*AM156</f>
        <v>0</v>
      </c>
      <c r="BG156" s="233">
        <f>F156*AN156</f>
        <v>0</v>
      </c>
      <c r="BH156" s="233">
        <f>F156*G156</f>
        <v>0</v>
      </c>
      <c r="BI156" s="233"/>
      <c r="BJ156" s="233"/>
      <c r="BU156" s="233" t="e">
        <f>#REF!</f>
        <v>#REF!</v>
      </c>
      <c r="BV156" s="225" t="s">
        <v>443</v>
      </c>
    </row>
    <row r="157" spans="1:74" ht="14.4" x14ac:dyDescent="0.3">
      <c r="A157" s="239" t="s">
        <v>154</v>
      </c>
      <c r="B157" s="224" t="s">
        <v>399</v>
      </c>
      <c r="C157" s="526" t="s">
        <v>400</v>
      </c>
      <c r="D157" s="527"/>
      <c r="E157" s="223" t="s">
        <v>114</v>
      </c>
      <c r="F157" s="223" t="s">
        <v>114</v>
      </c>
      <c r="G157" s="223" t="s">
        <v>114</v>
      </c>
      <c r="H157" s="235">
        <f>SUM(H158:H160)</f>
        <v>0</v>
      </c>
      <c r="I157" s="235">
        <f>SUM(I158:I160)</f>
        <v>0</v>
      </c>
      <c r="J157" s="235">
        <f>SUM(J158:J160)</f>
        <v>0</v>
      </c>
      <c r="K157" s="230" t="s">
        <v>154</v>
      </c>
      <c r="L157" s="235">
        <f>SUM(L158:L160)</f>
        <v>0</v>
      </c>
      <c r="M157" s="243" t="s">
        <v>154</v>
      </c>
      <c r="AG157" s="229" t="s">
        <v>154</v>
      </c>
      <c r="AQ157" s="222">
        <f>SUM(AH158:AH160)</f>
        <v>0</v>
      </c>
      <c r="AR157" s="222">
        <f>SUM(AI158:AI160)</f>
        <v>0</v>
      </c>
      <c r="AS157" s="222">
        <f>SUM(AJ158:AJ160)</f>
        <v>0</v>
      </c>
    </row>
    <row r="158" spans="1:74" ht="14.4" x14ac:dyDescent="0.3">
      <c r="A158" s="239" t="s">
        <v>408</v>
      </c>
      <c r="B158" s="223" t="s">
        <v>402</v>
      </c>
      <c r="C158" s="521" t="s">
        <v>403</v>
      </c>
      <c r="D158" s="519"/>
      <c r="E158" s="223" t="s">
        <v>380</v>
      </c>
      <c r="F158" s="233">
        <v>71</v>
      </c>
      <c r="G158" s="311">
        <v>0</v>
      </c>
      <c r="H158" s="233">
        <f>F158*AM158</f>
        <v>0</v>
      </c>
      <c r="I158" s="233">
        <f>F158*AN158</f>
        <v>0</v>
      </c>
      <c r="J158" s="233">
        <f>F158*G158</f>
        <v>0</v>
      </c>
      <c r="K158" s="233">
        <v>0</v>
      </c>
      <c r="L158" s="233">
        <f>F158*K158</f>
        <v>0</v>
      </c>
      <c r="M158" s="240" t="s">
        <v>472</v>
      </c>
      <c r="X158" s="233">
        <f>IF(AO158="5",BH158,0)</f>
        <v>0</v>
      </c>
      <c r="Z158" s="233">
        <f>IF(AO158="1",BF158,0)</f>
        <v>0</v>
      </c>
      <c r="AA158" s="233">
        <f>IF(AO158="1",BG158,0)</f>
        <v>0</v>
      </c>
      <c r="AB158" s="233">
        <f>IF(AO158="7",BF158,0)</f>
        <v>0</v>
      </c>
      <c r="AC158" s="233">
        <f>IF(AO158="7",BG158,0)</f>
        <v>0</v>
      </c>
      <c r="AD158" s="233">
        <f>IF(AO158="2",BF158,0)</f>
        <v>0</v>
      </c>
      <c r="AE158" s="233">
        <f>IF(AO158="2",BG158,0)</f>
        <v>0</v>
      </c>
      <c r="AF158" s="233">
        <f>IF(AO158="0",BH158,0)</f>
        <v>0</v>
      </c>
      <c r="AG158" s="229" t="s">
        <v>154</v>
      </c>
      <c r="AH158" s="233">
        <f>IF(AL158=0,J158,0)</f>
        <v>0</v>
      </c>
      <c r="AI158" s="233">
        <f>IF(AL158=15,J158,0)</f>
        <v>0</v>
      </c>
      <c r="AJ158" s="233">
        <f>IF(AL158=21,J158,0)</f>
        <v>0</v>
      </c>
      <c r="AL158" s="233">
        <v>15</v>
      </c>
      <c r="AM158" s="233">
        <f>G158*0</f>
        <v>0</v>
      </c>
      <c r="AN158" s="233">
        <f>G158*(1-0)</f>
        <v>0</v>
      </c>
      <c r="AO158" s="234" t="s">
        <v>177</v>
      </c>
      <c r="AT158" s="233">
        <f>AU158+AV158</f>
        <v>0</v>
      </c>
      <c r="AU158" s="233">
        <f>F158*AM158</f>
        <v>0</v>
      </c>
      <c r="AV158" s="233">
        <f>F158*AN158</f>
        <v>0</v>
      </c>
      <c r="AW158" s="234" t="s">
        <v>404</v>
      </c>
      <c r="AX158" s="234" t="s">
        <v>375</v>
      </c>
      <c r="AY158" s="229" t="s">
        <v>164</v>
      </c>
      <c r="BA158" s="233">
        <f>AU158+AV158</f>
        <v>0</v>
      </c>
      <c r="BB158" s="233">
        <f>G158/(100-BC158)*100</f>
        <v>0</v>
      </c>
      <c r="BC158" s="233">
        <v>0</v>
      </c>
      <c r="BD158" s="233">
        <f>L158</f>
        <v>0</v>
      </c>
      <c r="BF158" s="233">
        <f>F158*AM158</f>
        <v>0</v>
      </c>
      <c r="BG158" s="233">
        <f>F158*AN158</f>
        <v>0</v>
      </c>
      <c r="BH158" s="233">
        <f>F158*G158</f>
        <v>0</v>
      </c>
      <c r="BI158" s="233"/>
      <c r="BJ158" s="233"/>
      <c r="BU158" s="233" t="e">
        <f>#REF!</f>
        <v>#REF!</v>
      </c>
      <c r="BV158" s="225" t="s">
        <v>403</v>
      </c>
    </row>
    <row r="159" spans="1:74" ht="14.4" x14ac:dyDescent="0.3">
      <c r="A159" s="239" t="s">
        <v>413</v>
      </c>
      <c r="B159" s="223" t="s">
        <v>406</v>
      </c>
      <c r="C159" s="521" t="s">
        <v>407</v>
      </c>
      <c r="D159" s="519"/>
      <c r="E159" s="223" t="s">
        <v>380</v>
      </c>
      <c r="F159" s="233">
        <v>146.82</v>
      </c>
      <c r="G159" s="311">
        <v>0</v>
      </c>
      <c r="H159" s="233">
        <f>F159*AM159</f>
        <v>0</v>
      </c>
      <c r="I159" s="233">
        <f>F159*AN159</f>
        <v>0</v>
      </c>
      <c r="J159" s="233">
        <f>F159*G159</f>
        <v>0</v>
      </c>
      <c r="K159" s="233">
        <v>0</v>
      </c>
      <c r="L159" s="233">
        <f>F159*K159</f>
        <v>0</v>
      </c>
      <c r="M159" s="240" t="s">
        <v>472</v>
      </c>
      <c r="X159" s="233">
        <f>IF(AO159="5",BH159,0)</f>
        <v>0</v>
      </c>
      <c r="Z159" s="233">
        <f>IF(AO159="1",BF159,0)</f>
        <v>0</v>
      </c>
      <c r="AA159" s="233">
        <f>IF(AO159="1",BG159,0)</f>
        <v>0</v>
      </c>
      <c r="AB159" s="233">
        <f>IF(AO159="7",BF159,0)</f>
        <v>0</v>
      </c>
      <c r="AC159" s="233">
        <f>IF(AO159="7",BG159,0)</f>
        <v>0</v>
      </c>
      <c r="AD159" s="233">
        <f>IF(AO159="2",BF159,0)</f>
        <v>0</v>
      </c>
      <c r="AE159" s="233">
        <f>IF(AO159="2",BG159,0)</f>
        <v>0</v>
      </c>
      <c r="AF159" s="233">
        <f>IF(AO159="0",BH159,0)</f>
        <v>0</v>
      </c>
      <c r="AG159" s="229" t="s">
        <v>154</v>
      </c>
      <c r="AH159" s="233">
        <f>IF(AL159=0,J159,0)</f>
        <v>0</v>
      </c>
      <c r="AI159" s="233">
        <f>IF(AL159=15,J159,0)</f>
        <v>0</v>
      </c>
      <c r="AJ159" s="233">
        <f>IF(AL159=21,J159,0)</f>
        <v>0</v>
      </c>
      <c r="AL159" s="233">
        <v>15</v>
      </c>
      <c r="AM159" s="233">
        <f>G159*0</f>
        <v>0</v>
      </c>
      <c r="AN159" s="233">
        <f>G159*(1-0)</f>
        <v>0</v>
      </c>
      <c r="AO159" s="234" t="s">
        <v>177</v>
      </c>
      <c r="AT159" s="233">
        <f>AU159+AV159</f>
        <v>0</v>
      </c>
      <c r="AU159" s="233">
        <f>F159*AM159</f>
        <v>0</v>
      </c>
      <c r="AV159" s="233">
        <f>F159*AN159</f>
        <v>0</v>
      </c>
      <c r="AW159" s="234" t="s">
        <v>404</v>
      </c>
      <c r="AX159" s="234" t="s">
        <v>375</v>
      </c>
      <c r="AY159" s="229" t="s">
        <v>164</v>
      </c>
      <c r="BA159" s="233">
        <f>AU159+AV159</f>
        <v>0</v>
      </c>
      <c r="BB159" s="233">
        <f>G159/(100-BC159)*100</f>
        <v>0</v>
      </c>
      <c r="BC159" s="233">
        <v>0</v>
      </c>
      <c r="BD159" s="233">
        <f>L159</f>
        <v>0</v>
      </c>
      <c r="BF159" s="233">
        <f>F159*AM159</f>
        <v>0</v>
      </c>
      <c r="BG159" s="233">
        <f>F159*AN159</f>
        <v>0</v>
      </c>
      <c r="BH159" s="233">
        <f>F159*G159</f>
        <v>0</v>
      </c>
      <c r="BI159" s="233"/>
      <c r="BJ159" s="233"/>
      <c r="BU159" s="233" t="e">
        <f>#REF!</f>
        <v>#REF!</v>
      </c>
      <c r="BV159" s="225" t="s">
        <v>407</v>
      </c>
    </row>
    <row r="160" spans="1:74" ht="14.4" x14ac:dyDescent="0.3">
      <c r="A160" s="239" t="s">
        <v>419</v>
      </c>
      <c r="B160" s="223" t="s">
        <v>409</v>
      </c>
      <c r="C160" s="521" t="s">
        <v>410</v>
      </c>
      <c r="D160" s="519"/>
      <c r="E160" s="223" t="s">
        <v>380</v>
      </c>
      <c r="F160" s="233">
        <v>1.52</v>
      </c>
      <c r="G160" s="311">
        <v>0</v>
      </c>
      <c r="H160" s="233">
        <f>F160*AM160</f>
        <v>0</v>
      </c>
      <c r="I160" s="233">
        <f>F160*AN160</f>
        <v>0</v>
      </c>
      <c r="J160" s="233">
        <f>F160*G160</f>
        <v>0</v>
      </c>
      <c r="K160" s="233">
        <v>0</v>
      </c>
      <c r="L160" s="233">
        <f>F160*K160</f>
        <v>0</v>
      </c>
      <c r="M160" s="240" t="s">
        <v>472</v>
      </c>
      <c r="X160" s="233">
        <f>IF(AO160="5",BH160,0)</f>
        <v>0</v>
      </c>
      <c r="Z160" s="233">
        <f>IF(AO160="1",BF160,0)</f>
        <v>0</v>
      </c>
      <c r="AA160" s="233">
        <f>IF(AO160="1",BG160,0)</f>
        <v>0</v>
      </c>
      <c r="AB160" s="233">
        <f>IF(AO160="7",BF160,0)</f>
        <v>0</v>
      </c>
      <c r="AC160" s="233">
        <f>IF(AO160="7",BG160,0)</f>
        <v>0</v>
      </c>
      <c r="AD160" s="233">
        <f>IF(AO160="2",BF160,0)</f>
        <v>0</v>
      </c>
      <c r="AE160" s="233">
        <f>IF(AO160="2",BG160,0)</f>
        <v>0</v>
      </c>
      <c r="AF160" s="233">
        <f>IF(AO160="0",BH160,0)</f>
        <v>0</v>
      </c>
      <c r="AG160" s="229" t="s">
        <v>154</v>
      </c>
      <c r="AH160" s="233">
        <f>IF(AL160=0,J160,0)</f>
        <v>0</v>
      </c>
      <c r="AI160" s="233">
        <f>IF(AL160=15,J160,0)</f>
        <v>0</v>
      </c>
      <c r="AJ160" s="233">
        <f>IF(AL160=21,J160,0)</f>
        <v>0</v>
      </c>
      <c r="AL160" s="233">
        <v>15</v>
      </c>
      <c r="AM160" s="233">
        <f>G160*0</f>
        <v>0</v>
      </c>
      <c r="AN160" s="233">
        <f>G160*(1-0)</f>
        <v>0</v>
      </c>
      <c r="AO160" s="234" t="s">
        <v>177</v>
      </c>
      <c r="AT160" s="233">
        <f>AU160+AV160</f>
        <v>0</v>
      </c>
      <c r="AU160" s="233">
        <f>F160*AM160</f>
        <v>0</v>
      </c>
      <c r="AV160" s="233">
        <f>F160*AN160</f>
        <v>0</v>
      </c>
      <c r="AW160" s="234" t="s">
        <v>404</v>
      </c>
      <c r="AX160" s="234" t="s">
        <v>375</v>
      </c>
      <c r="AY160" s="229" t="s">
        <v>164</v>
      </c>
      <c r="BA160" s="233">
        <f>AU160+AV160</f>
        <v>0</v>
      </c>
      <c r="BB160" s="233">
        <f>G160/(100-BC160)*100</f>
        <v>0</v>
      </c>
      <c r="BC160" s="233">
        <v>0</v>
      </c>
      <c r="BD160" s="233">
        <f>L160</f>
        <v>0</v>
      </c>
      <c r="BF160" s="233">
        <f>F160*AM160</f>
        <v>0</v>
      </c>
      <c r="BG160" s="233">
        <f>F160*AN160</f>
        <v>0</v>
      </c>
      <c r="BH160" s="233">
        <f>F160*G160</f>
        <v>0</v>
      </c>
      <c r="BI160" s="233"/>
      <c r="BJ160" s="233"/>
      <c r="BU160" s="233" t="e">
        <f>#REF!</f>
        <v>#REF!</v>
      </c>
      <c r="BV160" s="225" t="s">
        <v>410</v>
      </c>
    </row>
    <row r="161" spans="1:74" ht="14.4" x14ac:dyDescent="0.3">
      <c r="A161" s="239" t="s">
        <v>154</v>
      </c>
      <c r="B161" s="224" t="s">
        <v>411</v>
      </c>
      <c r="C161" s="526" t="s">
        <v>412</v>
      </c>
      <c r="D161" s="527"/>
      <c r="E161" s="223" t="s">
        <v>114</v>
      </c>
      <c r="F161" s="223" t="s">
        <v>114</v>
      </c>
      <c r="G161" s="223" t="s">
        <v>114</v>
      </c>
      <c r="H161" s="235">
        <f>SUM(H162:H162)</f>
        <v>0</v>
      </c>
      <c r="I161" s="235">
        <f>SUM(I162:I162)</f>
        <v>0</v>
      </c>
      <c r="J161" s="235">
        <f>SUM(J162:J162)</f>
        <v>0</v>
      </c>
      <c r="K161" s="230" t="s">
        <v>154</v>
      </c>
      <c r="L161" s="235">
        <f>SUM(L162:L162)</f>
        <v>0</v>
      </c>
      <c r="M161" s="243" t="s">
        <v>154</v>
      </c>
      <c r="AG161" s="229" t="s">
        <v>154</v>
      </c>
      <c r="AQ161" s="222">
        <f>SUM(AH162:AH162)</f>
        <v>0</v>
      </c>
      <c r="AR161" s="222">
        <f>SUM(AI162:AI162)</f>
        <v>0</v>
      </c>
      <c r="AS161" s="222">
        <f>SUM(AJ162:AJ162)</f>
        <v>0</v>
      </c>
    </row>
    <row r="162" spans="1:74" ht="14.4" x14ac:dyDescent="0.3">
      <c r="A162" s="239" t="s">
        <v>548</v>
      </c>
      <c r="B162" s="223" t="s">
        <v>414</v>
      </c>
      <c r="C162" s="521" t="s">
        <v>415</v>
      </c>
      <c r="D162" s="519"/>
      <c r="E162" s="223" t="s">
        <v>380</v>
      </c>
      <c r="F162" s="233">
        <v>8.73</v>
      </c>
      <c r="G162" s="311">
        <v>0</v>
      </c>
      <c r="H162" s="233">
        <f>F162*AM162</f>
        <v>0</v>
      </c>
      <c r="I162" s="233">
        <f>F162*AN162</f>
        <v>0</v>
      </c>
      <c r="J162" s="233">
        <f>F162*G162</f>
        <v>0</v>
      </c>
      <c r="K162" s="233">
        <v>0</v>
      </c>
      <c r="L162" s="233">
        <f>F162*K162</f>
        <v>0</v>
      </c>
      <c r="M162" s="240" t="s">
        <v>472</v>
      </c>
      <c r="X162" s="233">
        <f>IF(AO162="5",BH162,0)</f>
        <v>0</v>
      </c>
      <c r="Z162" s="233">
        <f>IF(AO162="1",BF162,0)</f>
        <v>0</v>
      </c>
      <c r="AA162" s="233">
        <f>IF(AO162="1",BG162,0)</f>
        <v>0</v>
      </c>
      <c r="AB162" s="233">
        <f>IF(AO162="7",BF162,0)</f>
        <v>0</v>
      </c>
      <c r="AC162" s="233">
        <f>IF(AO162="7",BG162,0)</f>
        <v>0</v>
      </c>
      <c r="AD162" s="233">
        <f>IF(AO162="2",BF162,0)</f>
        <v>0</v>
      </c>
      <c r="AE162" s="233">
        <f>IF(AO162="2",BG162,0)</f>
        <v>0</v>
      </c>
      <c r="AF162" s="233">
        <f>IF(AO162="0",BH162,0)</f>
        <v>0</v>
      </c>
      <c r="AG162" s="229" t="s">
        <v>154</v>
      </c>
      <c r="AH162" s="233">
        <f>IF(AL162=0,J162,0)</f>
        <v>0</v>
      </c>
      <c r="AI162" s="233">
        <f>IF(AL162=15,J162,0)</f>
        <v>0</v>
      </c>
      <c r="AJ162" s="233">
        <f>IF(AL162=21,J162,0)</f>
        <v>0</v>
      </c>
      <c r="AL162" s="233">
        <v>15</v>
      </c>
      <c r="AM162" s="233">
        <f>G162*0</f>
        <v>0</v>
      </c>
      <c r="AN162" s="233">
        <f>G162*(1-0)</f>
        <v>0</v>
      </c>
      <c r="AO162" s="234" t="s">
        <v>177</v>
      </c>
      <c r="AT162" s="233">
        <f>AU162+AV162</f>
        <v>0</v>
      </c>
      <c r="AU162" s="233">
        <f>F162*AM162</f>
        <v>0</v>
      </c>
      <c r="AV162" s="233">
        <f>F162*AN162</f>
        <v>0</v>
      </c>
      <c r="AW162" s="234" t="s">
        <v>416</v>
      </c>
      <c r="AX162" s="234" t="s">
        <v>375</v>
      </c>
      <c r="AY162" s="229" t="s">
        <v>164</v>
      </c>
      <c r="BA162" s="233">
        <f>AU162+AV162</f>
        <v>0</v>
      </c>
      <c r="BB162" s="233">
        <f>G162/(100-BC162)*100</f>
        <v>0</v>
      </c>
      <c r="BC162" s="233">
        <v>0</v>
      </c>
      <c r="BD162" s="233">
        <f>L162</f>
        <v>0</v>
      </c>
      <c r="BF162" s="233">
        <f>F162*AM162</f>
        <v>0</v>
      </c>
      <c r="BG162" s="233">
        <f>F162*AN162</f>
        <v>0</v>
      </c>
      <c r="BH162" s="233">
        <f>F162*G162</f>
        <v>0</v>
      </c>
      <c r="BI162" s="233"/>
      <c r="BJ162" s="233"/>
      <c r="BU162" s="233" t="e">
        <f>#REF!</f>
        <v>#REF!</v>
      </c>
      <c r="BV162" s="225" t="s">
        <v>415</v>
      </c>
    </row>
    <row r="163" spans="1:74" ht="14.4" x14ac:dyDescent="0.3">
      <c r="A163" s="239" t="s">
        <v>154</v>
      </c>
      <c r="B163" s="224" t="s">
        <v>417</v>
      </c>
      <c r="C163" s="526" t="s">
        <v>418</v>
      </c>
      <c r="D163" s="527"/>
      <c r="E163" s="223" t="s">
        <v>114</v>
      </c>
      <c r="F163" s="223" t="s">
        <v>114</v>
      </c>
      <c r="G163" s="223" t="s">
        <v>114</v>
      </c>
      <c r="H163" s="235">
        <f>SUM(H164:H164)</f>
        <v>0</v>
      </c>
      <c r="I163" s="235">
        <f>SUM(I164:I164)</f>
        <v>0</v>
      </c>
      <c r="J163" s="235">
        <f>SUM(J164:J164)</f>
        <v>0</v>
      </c>
      <c r="K163" s="230" t="s">
        <v>154</v>
      </c>
      <c r="L163" s="235">
        <f>SUM(L164:L164)</f>
        <v>0.04</v>
      </c>
      <c r="M163" s="243" t="s">
        <v>154</v>
      </c>
      <c r="AG163" s="229" t="s">
        <v>154</v>
      </c>
      <c r="AQ163" s="222">
        <f>SUM(AH164:AH164)</f>
        <v>0</v>
      </c>
      <c r="AR163" s="222">
        <f>SUM(AI164:AI164)</f>
        <v>0</v>
      </c>
      <c r="AS163" s="222">
        <f>SUM(AJ164:AJ164)</f>
        <v>0</v>
      </c>
    </row>
    <row r="164" spans="1:74" ht="14.4" x14ac:dyDescent="0.3">
      <c r="A164" s="239" t="s">
        <v>551</v>
      </c>
      <c r="B164" s="223" t="s">
        <v>420</v>
      </c>
      <c r="C164" s="521" t="s">
        <v>421</v>
      </c>
      <c r="D164" s="519"/>
      <c r="E164" s="223" t="s">
        <v>196</v>
      </c>
      <c r="F164" s="233">
        <v>0.32</v>
      </c>
      <c r="G164" s="311">
        <v>0</v>
      </c>
      <c r="H164" s="233">
        <f>F164*AM164</f>
        <v>0</v>
      </c>
      <c r="I164" s="233">
        <f>F164*AN164</f>
        <v>0</v>
      </c>
      <c r="J164" s="233">
        <f>F164*G164</f>
        <v>0</v>
      </c>
      <c r="K164" s="233">
        <v>0.125</v>
      </c>
      <c r="L164" s="233">
        <f>F164*K164</f>
        <v>0.04</v>
      </c>
      <c r="M164" s="240" t="s">
        <v>472</v>
      </c>
      <c r="X164" s="233">
        <f>IF(AO164="5",BH164,0)</f>
        <v>0</v>
      </c>
      <c r="Z164" s="233">
        <f>IF(AO164="1",BF164,0)</f>
        <v>0</v>
      </c>
      <c r="AA164" s="233">
        <f>IF(AO164="1",BG164,0)</f>
        <v>0</v>
      </c>
      <c r="AB164" s="233">
        <f>IF(AO164="7",BF164,0)</f>
        <v>0</v>
      </c>
      <c r="AC164" s="233">
        <f>IF(AO164="7",BG164,0)</f>
        <v>0</v>
      </c>
      <c r="AD164" s="233">
        <f>IF(AO164="2",BF164,0)</f>
        <v>0</v>
      </c>
      <c r="AE164" s="233">
        <f>IF(AO164="2",BG164,0)</f>
        <v>0</v>
      </c>
      <c r="AF164" s="233">
        <f>IF(AO164="0",BH164,0)</f>
        <v>0</v>
      </c>
      <c r="AG164" s="229" t="s">
        <v>154</v>
      </c>
      <c r="AH164" s="233">
        <f>IF(AL164=0,J164,0)</f>
        <v>0</v>
      </c>
      <c r="AI164" s="233">
        <f>IF(AL164=15,J164,0)</f>
        <v>0</v>
      </c>
      <c r="AJ164" s="233">
        <f>IF(AL164=21,J164,0)</f>
        <v>0</v>
      </c>
      <c r="AL164" s="233">
        <v>15</v>
      </c>
      <c r="AM164" s="233">
        <f>G164*0.298775874</f>
        <v>0</v>
      </c>
      <c r="AN164" s="233">
        <f>G164*(1-0.298775874)</f>
        <v>0</v>
      </c>
      <c r="AO164" s="234" t="s">
        <v>166</v>
      </c>
      <c r="AT164" s="233">
        <f>AU164+AV164</f>
        <v>0</v>
      </c>
      <c r="AU164" s="233">
        <f>F164*AM164</f>
        <v>0</v>
      </c>
      <c r="AV164" s="233">
        <f>F164*AN164</f>
        <v>0</v>
      </c>
      <c r="AW164" s="234" t="s">
        <v>422</v>
      </c>
      <c r="AX164" s="234" t="s">
        <v>375</v>
      </c>
      <c r="AY164" s="229" t="s">
        <v>164</v>
      </c>
      <c r="BA164" s="233">
        <f>AU164+AV164</f>
        <v>0</v>
      </c>
      <c r="BB164" s="233">
        <f>G164/(100-BC164)*100</f>
        <v>0</v>
      </c>
      <c r="BC164" s="233">
        <v>0</v>
      </c>
      <c r="BD164" s="233">
        <f>L164</f>
        <v>0.04</v>
      </c>
      <c r="BF164" s="233">
        <f>F164*AM164</f>
        <v>0</v>
      </c>
      <c r="BG164" s="233">
        <f>F164*AN164</f>
        <v>0</v>
      </c>
      <c r="BH164" s="233">
        <f>F164*G164</f>
        <v>0</v>
      </c>
      <c r="BI164" s="233"/>
      <c r="BJ164" s="233"/>
      <c r="BU164" s="233" t="e">
        <f>#REF!</f>
        <v>#REF!</v>
      </c>
      <c r="BV164" s="225" t="s">
        <v>421</v>
      </c>
    </row>
    <row r="165" spans="1:74" ht="40.5" customHeight="1" x14ac:dyDescent="0.3">
      <c r="A165" s="244"/>
      <c r="B165" s="245" t="s">
        <v>165</v>
      </c>
      <c r="C165" s="540" t="s">
        <v>1881</v>
      </c>
      <c r="D165" s="541"/>
      <c r="E165" s="541"/>
      <c r="F165" s="541"/>
      <c r="G165" s="541"/>
      <c r="H165" s="541"/>
      <c r="I165" s="541"/>
      <c r="J165" s="541"/>
      <c r="K165" s="541"/>
      <c r="L165" s="541"/>
      <c r="M165" s="542"/>
    </row>
    <row r="166" spans="1:74" ht="14.4" x14ac:dyDescent="0.3">
      <c r="H166" s="527" t="s">
        <v>423</v>
      </c>
      <c r="I166" s="527"/>
      <c r="J166" s="235">
        <f>J12+J29+J34+J47+J52+J73+J80+J83+J88+J93+J96+J99+J122+J127+J130+J133+J138+J141+J144+J147+J157+J161+J163</f>
        <v>0</v>
      </c>
    </row>
    <row r="167" spans="1:74" ht="13.5" customHeight="1" x14ac:dyDescent="0.3">
      <c r="A167" s="521" t="s">
        <v>2097</v>
      </c>
      <c r="B167" s="519"/>
      <c r="C167" s="519"/>
      <c r="D167" s="519"/>
      <c r="E167" s="519"/>
      <c r="F167" s="519"/>
      <c r="G167" s="519"/>
      <c r="H167" s="519"/>
      <c r="I167" s="519"/>
      <c r="J167" s="519"/>
      <c r="K167" s="519"/>
      <c r="L167" s="519"/>
      <c r="M167" s="519"/>
    </row>
    <row r="168" spans="1:74" ht="15" customHeight="1" x14ac:dyDescent="0.3">
      <c r="A168" s="549" t="s">
        <v>1165</v>
      </c>
      <c r="B168" s="550"/>
      <c r="C168" s="550"/>
      <c r="D168" s="550"/>
      <c r="E168" s="550"/>
      <c r="F168" s="550"/>
      <c r="G168" s="550"/>
      <c r="H168" s="550"/>
      <c r="I168" s="550"/>
      <c r="J168" s="550"/>
      <c r="K168" s="550"/>
      <c r="L168" s="550"/>
      <c r="M168" s="550"/>
    </row>
  </sheetData>
  <sheetProtection algorithmName="SHA-512" hashValue="QoLVAH5UqmEb+fJkKSiujj7NvFqnjQkLfCDa5ARYvxY5a0wECFe1hItMJy1NLK7TjuqJrSKwAOZsjhNd2DWEkA==" saltValue="y3zUfscJ7l853Lsj0/4Ykg==" spinCount="100000" sheet="1" objects="1" scenarios="1" formatCells="0" formatColumns="0" formatRows="0" insertColumns="0" insertRows="0" insertHyperlinks="0"/>
  <mergeCells count="186">
    <mergeCell ref="A1:M1"/>
    <mergeCell ref="A2:B3"/>
    <mergeCell ref="C2:D3"/>
    <mergeCell ref="E2:F3"/>
    <mergeCell ref="G2:G3"/>
    <mergeCell ref="H2:H3"/>
    <mergeCell ref="I2:M3"/>
    <mergeCell ref="A6:B7"/>
    <mergeCell ref="C6:D7"/>
    <mergeCell ref="E6:F7"/>
    <mergeCell ref="G6:G7"/>
    <mergeCell ref="H6:H7"/>
    <mergeCell ref="I6:M7"/>
    <mergeCell ref="A4:B5"/>
    <mergeCell ref="C4:D5"/>
    <mergeCell ref="E4:F5"/>
    <mergeCell ref="G4:G5"/>
    <mergeCell ref="H4:H5"/>
    <mergeCell ref="I4:M5"/>
    <mergeCell ref="C10:D10"/>
    <mergeCell ref="H10:J10"/>
    <mergeCell ref="K10:L10"/>
    <mergeCell ref="C11:D11"/>
    <mergeCell ref="C12:D12"/>
    <mergeCell ref="C13:D13"/>
    <mergeCell ref="A8:B9"/>
    <mergeCell ref="C8:D9"/>
    <mergeCell ref="E8:F9"/>
    <mergeCell ref="G8:G9"/>
    <mergeCell ref="H8:H9"/>
    <mergeCell ref="I8:M9"/>
    <mergeCell ref="C20:M20"/>
    <mergeCell ref="C21:D21"/>
    <mergeCell ref="C22:M22"/>
    <mergeCell ref="C23:D23"/>
    <mergeCell ref="C24:M24"/>
    <mergeCell ref="C25:D25"/>
    <mergeCell ref="C14:M14"/>
    <mergeCell ref="C15:D15"/>
    <mergeCell ref="C16:M16"/>
    <mergeCell ref="C17:D17"/>
    <mergeCell ref="C18:M18"/>
    <mergeCell ref="C19:D19"/>
    <mergeCell ref="C32:D32"/>
    <mergeCell ref="C33:M33"/>
    <mergeCell ref="C34:D34"/>
    <mergeCell ref="C35:D35"/>
    <mergeCell ref="C36:M36"/>
    <mergeCell ref="C37:D37"/>
    <mergeCell ref="C26:M26"/>
    <mergeCell ref="C27:D27"/>
    <mergeCell ref="C28:M28"/>
    <mergeCell ref="C29:D29"/>
    <mergeCell ref="C30:D30"/>
    <mergeCell ref="C31:M31"/>
    <mergeCell ref="C44:M44"/>
    <mergeCell ref="C45:D45"/>
    <mergeCell ref="C46:M46"/>
    <mergeCell ref="C47:D47"/>
    <mergeCell ref="C48:D48"/>
    <mergeCell ref="C49:M49"/>
    <mergeCell ref="C38:M38"/>
    <mergeCell ref="C39:D39"/>
    <mergeCell ref="C40:M40"/>
    <mergeCell ref="C41:D41"/>
    <mergeCell ref="C42:M42"/>
    <mergeCell ref="C43:D43"/>
    <mergeCell ref="C56:M56"/>
    <mergeCell ref="C57:D57"/>
    <mergeCell ref="C58:M58"/>
    <mergeCell ref="C59:D59"/>
    <mergeCell ref="C60:M60"/>
    <mergeCell ref="C61:D61"/>
    <mergeCell ref="C50:D50"/>
    <mergeCell ref="C51:M51"/>
    <mergeCell ref="C52:D52"/>
    <mergeCell ref="C53:D53"/>
    <mergeCell ref="C54:M54"/>
    <mergeCell ref="C55:D55"/>
    <mergeCell ref="C68:M68"/>
    <mergeCell ref="C69:D69"/>
    <mergeCell ref="C70:M70"/>
    <mergeCell ref="C71:D71"/>
    <mergeCell ref="C72:M72"/>
    <mergeCell ref="C73:D73"/>
    <mergeCell ref="C62:M62"/>
    <mergeCell ref="C63:D63"/>
    <mergeCell ref="C64:M64"/>
    <mergeCell ref="C65:D65"/>
    <mergeCell ref="C66:M66"/>
    <mergeCell ref="C67:D67"/>
    <mergeCell ref="C80:D80"/>
    <mergeCell ref="C81:D81"/>
    <mergeCell ref="C82:M82"/>
    <mergeCell ref="C83:D83"/>
    <mergeCell ref="C84:D84"/>
    <mergeCell ref="C85:M85"/>
    <mergeCell ref="C74:D74"/>
    <mergeCell ref="C75:M75"/>
    <mergeCell ref="C76:D76"/>
    <mergeCell ref="C77:M77"/>
    <mergeCell ref="C78:D78"/>
    <mergeCell ref="C79:M79"/>
    <mergeCell ref="C92:M92"/>
    <mergeCell ref="C93:D93"/>
    <mergeCell ref="C94:D94"/>
    <mergeCell ref="C95:M95"/>
    <mergeCell ref="C96:D96"/>
    <mergeCell ref="C97:D97"/>
    <mergeCell ref="C86:D86"/>
    <mergeCell ref="C87:M87"/>
    <mergeCell ref="C88:D88"/>
    <mergeCell ref="C89:D89"/>
    <mergeCell ref="C90:M90"/>
    <mergeCell ref="C91:D91"/>
    <mergeCell ref="C104:D104"/>
    <mergeCell ref="C105:M105"/>
    <mergeCell ref="C106:D106"/>
    <mergeCell ref="C107:M107"/>
    <mergeCell ref="C108:D108"/>
    <mergeCell ref="C109:M109"/>
    <mergeCell ref="C98:M98"/>
    <mergeCell ref="C99:D99"/>
    <mergeCell ref="C100:D100"/>
    <mergeCell ref="C101:M101"/>
    <mergeCell ref="C102:D102"/>
    <mergeCell ref="C103:M103"/>
    <mergeCell ref="C116:D116"/>
    <mergeCell ref="C117:M117"/>
    <mergeCell ref="C118:D118"/>
    <mergeCell ref="C119:M119"/>
    <mergeCell ref="C120:D120"/>
    <mergeCell ref="C121:M121"/>
    <mergeCell ref="C110:D110"/>
    <mergeCell ref="C111:M111"/>
    <mergeCell ref="C112:D112"/>
    <mergeCell ref="C113:M113"/>
    <mergeCell ref="C114:D114"/>
    <mergeCell ref="C115:M115"/>
    <mergeCell ref="C128:D128"/>
    <mergeCell ref="C129:M129"/>
    <mergeCell ref="C130:D130"/>
    <mergeCell ref="C131:D131"/>
    <mergeCell ref="C132:M132"/>
    <mergeCell ref="C133:D133"/>
    <mergeCell ref="C122:D122"/>
    <mergeCell ref="C123:D123"/>
    <mergeCell ref="C124:M124"/>
    <mergeCell ref="C125:D125"/>
    <mergeCell ref="C126:M126"/>
    <mergeCell ref="C127:D127"/>
    <mergeCell ref="C140:M140"/>
    <mergeCell ref="C141:D141"/>
    <mergeCell ref="C142:D142"/>
    <mergeCell ref="C143:M143"/>
    <mergeCell ref="C144:D144"/>
    <mergeCell ref="C145:D145"/>
    <mergeCell ref="C134:D134"/>
    <mergeCell ref="C135:M135"/>
    <mergeCell ref="C136:D136"/>
    <mergeCell ref="C137:M137"/>
    <mergeCell ref="C138:D138"/>
    <mergeCell ref="C139:D139"/>
    <mergeCell ref="A168:M168"/>
    <mergeCell ref="C164:D164"/>
    <mergeCell ref="C165:M165"/>
    <mergeCell ref="H166:I166"/>
    <mergeCell ref="A167:M167"/>
    <mergeCell ref="C158:D158"/>
    <mergeCell ref="C159:D159"/>
    <mergeCell ref="C160:D160"/>
    <mergeCell ref="C161:D161"/>
    <mergeCell ref="C162:D162"/>
    <mergeCell ref="C163:D163"/>
    <mergeCell ref="C152:M152"/>
    <mergeCell ref="C153:D153"/>
    <mergeCell ref="C154:D154"/>
    <mergeCell ref="C155:M155"/>
    <mergeCell ref="C156:D156"/>
    <mergeCell ref="C157:D157"/>
    <mergeCell ref="C146:M146"/>
    <mergeCell ref="C147:D147"/>
    <mergeCell ref="C148:D148"/>
    <mergeCell ref="C149:D149"/>
    <mergeCell ref="C150:M150"/>
    <mergeCell ref="C151:D151"/>
  </mergeCells>
  <pageMargins left="0.78740157480314965" right="0.39370078740157483" top="0.39370078740157483" bottom="0.39370078740157483" header="0" footer="0.39370078740157483"/>
  <pageSetup paperSize="9" scale="57" fitToHeight="0" orientation="landscape" r:id="rId1"/>
  <headerFooter>
    <oddFooter>&amp;L&amp;A&amp;C&amp;F&amp;Rstran &amp;N / strana &amp;P</oddFooter>
  </headerFooter>
  <rowBreaks count="5" manualBreakCount="5">
    <brk id="24" max="12" man="1"/>
    <brk id="44" max="12" man="1"/>
    <brk id="72" max="12" man="1"/>
    <brk id="105" max="12" man="1"/>
    <brk id="132" max="12" man="1"/>
  </row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F76D4-AF7E-4714-BC11-82B29B04F024}">
  <sheetPr codeName="List18">
    <pageSetUpPr autoPageBreaks="0" fitToPage="1"/>
  </sheetPr>
  <dimension ref="A1:BU116"/>
  <sheetViews>
    <sheetView showOutlineSymbols="0" view="pageBreakPreview" zoomScale="55" zoomScaleNormal="25" zoomScaleSheetLayoutView="55" workbookViewId="0">
      <pane ySplit="11" topLeftCell="A12" activePane="bottomLeft" state="frozenSplit"/>
      <selection activeCell="A115" sqref="A115:O115"/>
      <selection pane="bottomLeft" activeCell="G13" sqref="G13"/>
    </sheetView>
  </sheetViews>
  <sheetFormatPr defaultColWidth="12.109375" defaultRowHeight="15" customHeight="1" x14ac:dyDescent="0.3"/>
  <cols>
    <col min="1" max="1" width="5.33203125" style="58" customWidth="1"/>
    <col min="2" max="2" width="16.6640625" style="58" customWidth="1"/>
    <col min="3" max="3" width="81.33203125" style="58" customWidth="1"/>
    <col min="4" max="4" width="12.6640625" style="58" customWidth="1"/>
    <col min="5" max="5" width="8.6640625" style="58" customWidth="1"/>
    <col min="6" max="6" width="10.6640625" style="58" customWidth="1"/>
    <col min="7" max="7" width="18.6640625" style="58" customWidth="1"/>
    <col min="8" max="12" width="12.6640625" style="58" customWidth="1"/>
    <col min="13" max="13" width="19.6640625" style="58" customWidth="1"/>
    <col min="14" max="16384" width="12.109375" style="58"/>
  </cols>
  <sheetData>
    <row r="1" spans="1:73" ht="54.75" customHeight="1" x14ac:dyDescent="0.3">
      <c r="A1" s="592" t="s">
        <v>2303</v>
      </c>
      <c r="B1" s="593"/>
      <c r="C1" s="593"/>
      <c r="D1" s="593"/>
      <c r="E1" s="593"/>
      <c r="F1" s="593"/>
      <c r="G1" s="593"/>
      <c r="H1" s="593"/>
      <c r="I1" s="593"/>
      <c r="J1" s="593"/>
      <c r="K1" s="593"/>
      <c r="L1" s="593"/>
      <c r="M1" s="594"/>
      <c r="AQ1" s="59">
        <f>SUM(AH1:AH2)</f>
        <v>0</v>
      </c>
      <c r="AR1" s="59">
        <f>SUM(AI1:AI2)</f>
        <v>0</v>
      </c>
      <c r="AS1" s="59">
        <f>SUM(AJ1:AJ2)</f>
        <v>0</v>
      </c>
    </row>
    <row r="2" spans="1:73" ht="15" customHeight="1" x14ac:dyDescent="0.3">
      <c r="A2" s="595" t="s">
        <v>112</v>
      </c>
      <c r="B2" s="588"/>
      <c r="C2" s="573" t="s">
        <v>68</v>
      </c>
      <c r="D2" s="574"/>
      <c r="E2" s="574"/>
      <c r="F2" s="574"/>
      <c r="G2" s="588" t="s">
        <v>113</v>
      </c>
      <c r="H2" s="596" t="s">
        <v>1156</v>
      </c>
      <c r="I2" s="587" t="s">
        <v>457</v>
      </c>
      <c r="J2" s="587" t="s">
        <v>69</v>
      </c>
      <c r="K2" s="587"/>
      <c r="L2" s="587"/>
      <c r="M2" s="597"/>
    </row>
    <row r="3" spans="1:73" ht="15" customHeight="1" x14ac:dyDescent="0.3">
      <c r="A3" s="591"/>
      <c r="B3" s="565"/>
      <c r="C3" s="571"/>
      <c r="D3" s="571"/>
      <c r="E3" s="571"/>
      <c r="F3" s="571"/>
      <c r="G3" s="565"/>
      <c r="H3" s="522"/>
      <c r="I3" s="551"/>
      <c r="J3" s="551"/>
      <c r="K3" s="551"/>
      <c r="L3" s="551"/>
      <c r="M3" s="552"/>
    </row>
    <row r="4" spans="1:73" ht="15" customHeight="1" x14ac:dyDescent="0.3">
      <c r="A4" s="563" t="s">
        <v>115</v>
      </c>
      <c r="B4" s="565"/>
      <c r="C4" s="551" t="s">
        <v>106</v>
      </c>
      <c r="D4" s="565"/>
      <c r="E4" s="565"/>
      <c r="F4" s="565"/>
      <c r="G4" s="565" t="s">
        <v>116</v>
      </c>
      <c r="H4" s="522" t="s">
        <v>1156</v>
      </c>
      <c r="I4" s="551" t="s">
        <v>458</v>
      </c>
      <c r="J4" s="551" t="s">
        <v>1157</v>
      </c>
      <c r="K4" s="551"/>
      <c r="L4" s="551"/>
      <c r="M4" s="552"/>
    </row>
    <row r="5" spans="1:73" ht="15" customHeight="1" x14ac:dyDescent="0.3">
      <c r="A5" s="591"/>
      <c r="B5" s="565"/>
      <c r="C5" s="565"/>
      <c r="D5" s="565"/>
      <c r="E5" s="565"/>
      <c r="F5" s="565"/>
      <c r="G5" s="565"/>
      <c r="H5" s="522"/>
      <c r="I5" s="551"/>
      <c r="J5" s="551"/>
      <c r="K5" s="551"/>
      <c r="L5" s="551"/>
      <c r="M5" s="552"/>
    </row>
    <row r="6" spans="1:73" ht="15" customHeight="1" x14ac:dyDescent="0.3">
      <c r="A6" s="563" t="s">
        <v>117</v>
      </c>
      <c r="B6" s="565"/>
      <c r="C6" s="551" t="s">
        <v>459</v>
      </c>
      <c r="D6" s="565"/>
      <c r="E6" s="565"/>
      <c r="F6" s="565"/>
      <c r="G6" s="565" t="s">
        <v>119</v>
      </c>
      <c r="H6" s="522" t="s">
        <v>1156</v>
      </c>
      <c r="I6" s="551" t="s">
        <v>460</v>
      </c>
      <c r="J6" s="551" t="s">
        <v>461</v>
      </c>
      <c r="K6" s="551"/>
      <c r="L6" s="551"/>
      <c r="M6" s="552"/>
    </row>
    <row r="7" spans="1:73" ht="15" customHeight="1" x14ac:dyDescent="0.3">
      <c r="A7" s="591"/>
      <c r="B7" s="565"/>
      <c r="C7" s="565"/>
      <c r="D7" s="565"/>
      <c r="E7" s="565"/>
      <c r="F7" s="565"/>
      <c r="G7" s="565"/>
      <c r="H7" s="522"/>
      <c r="I7" s="551"/>
      <c r="J7" s="551"/>
      <c r="K7" s="551"/>
      <c r="L7" s="551"/>
      <c r="M7" s="552"/>
    </row>
    <row r="8" spans="1:73" ht="15" customHeight="1" x14ac:dyDescent="0.3">
      <c r="A8" s="563" t="s">
        <v>120</v>
      </c>
      <c r="B8" s="565"/>
      <c r="C8" s="551" t="s">
        <v>1061</v>
      </c>
      <c r="D8" s="565"/>
      <c r="E8" s="565"/>
      <c r="F8" s="565"/>
      <c r="G8" s="565" t="s">
        <v>122</v>
      </c>
      <c r="H8" s="522" t="s">
        <v>1155</v>
      </c>
      <c r="I8" s="551" t="s">
        <v>462</v>
      </c>
      <c r="J8" s="577" t="s">
        <v>1158</v>
      </c>
      <c r="K8" s="577"/>
      <c r="L8" s="577"/>
      <c r="M8" s="578"/>
    </row>
    <row r="9" spans="1:73" ht="15" customHeight="1" thickBot="1" x14ac:dyDescent="0.35">
      <c r="A9" s="598"/>
      <c r="B9" s="576"/>
      <c r="C9" s="576"/>
      <c r="D9" s="576"/>
      <c r="E9" s="576"/>
      <c r="F9" s="576"/>
      <c r="G9" s="576"/>
      <c r="H9" s="534"/>
      <c r="I9" s="553"/>
      <c r="J9" s="579"/>
      <c r="K9" s="579"/>
      <c r="L9" s="579"/>
      <c r="M9" s="580"/>
    </row>
    <row r="10" spans="1:73" ht="15" customHeight="1" x14ac:dyDescent="0.3">
      <c r="A10" s="104" t="s">
        <v>123</v>
      </c>
      <c r="B10" s="105" t="s">
        <v>124</v>
      </c>
      <c r="C10" s="566" t="s">
        <v>125</v>
      </c>
      <c r="D10" s="567"/>
      <c r="E10" s="105" t="s">
        <v>126</v>
      </c>
      <c r="F10" s="106" t="s">
        <v>127</v>
      </c>
      <c r="G10" s="107" t="s">
        <v>128</v>
      </c>
      <c r="H10" s="568" t="s">
        <v>129</v>
      </c>
      <c r="I10" s="569"/>
      <c r="J10" s="570"/>
      <c r="K10" s="569" t="s">
        <v>130</v>
      </c>
      <c r="L10" s="569"/>
      <c r="M10" s="108" t="s">
        <v>131</v>
      </c>
      <c r="BI10" s="64" t="s">
        <v>132</v>
      </c>
      <c r="BJ10" s="65" t="s">
        <v>133</v>
      </c>
      <c r="BU10" s="65" t="s">
        <v>134</v>
      </c>
    </row>
    <row r="11" spans="1:73" ht="15" customHeight="1" thickBot="1" x14ac:dyDescent="0.35">
      <c r="A11" s="97" t="s">
        <v>114</v>
      </c>
      <c r="B11" s="98" t="s">
        <v>114</v>
      </c>
      <c r="C11" s="599" t="s">
        <v>135</v>
      </c>
      <c r="D11" s="600"/>
      <c r="E11" s="98" t="s">
        <v>114</v>
      </c>
      <c r="F11" s="98" t="s">
        <v>114</v>
      </c>
      <c r="G11" s="99" t="s">
        <v>136</v>
      </c>
      <c r="H11" s="100" t="s">
        <v>137</v>
      </c>
      <c r="I11" s="101" t="s">
        <v>138</v>
      </c>
      <c r="J11" s="102" t="s">
        <v>139</v>
      </c>
      <c r="K11" s="101" t="s">
        <v>140</v>
      </c>
      <c r="L11" s="99" t="s">
        <v>139</v>
      </c>
      <c r="M11" s="103" t="s">
        <v>141</v>
      </c>
      <c r="X11" s="64" t="s">
        <v>142</v>
      </c>
      <c r="Y11" s="64" t="s">
        <v>143</v>
      </c>
      <c r="Z11" s="64" t="s">
        <v>144</v>
      </c>
      <c r="AA11" s="64" t="s">
        <v>145</v>
      </c>
      <c r="AB11" s="64" t="s">
        <v>146</v>
      </c>
      <c r="AC11" s="64" t="s">
        <v>147</v>
      </c>
      <c r="AD11" s="64" t="s">
        <v>148</v>
      </c>
      <c r="AE11" s="64" t="s">
        <v>149</v>
      </c>
      <c r="AF11" s="64" t="s">
        <v>150</v>
      </c>
      <c r="BF11" s="64" t="s">
        <v>151</v>
      </c>
      <c r="BG11" s="64" t="s">
        <v>152</v>
      </c>
      <c r="BH11" s="64" t="s">
        <v>153</v>
      </c>
    </row>
    <row r="12" spans="1:73" ht="15" customHeight="1" x14ac:dyDescent="0.3">
      <c r="A12" s="82" t="s">
        <v>154</v>
      </c>
      <c r="B12" s="61" t="s">
        <v>155</v>
      </c>
      <c r="C12" s="564" t="s">
        <v>156</v>
      </c>
      <c r="D12" s="571"/>
      <c r="E12" s="60" t="s">
        <v>114</v>
      </c>
      <c r="F12" s="60" t="s">
        <v>114</v>
      </c>
      <c r="G12" s="60" t="s">
        <v>114</v>
      </c>
      <c r="H12" s="73">
        <f>SUM(H13:H15)</f>
        <v>0</v>
      </c>
      <c r="I12" s="73">
        <f>SUM(I13:I15)</f>
        <v>0</v>
      </c>
      <c r="J12" s="73">
        <f>SUM(J13:J15)</f>
        <v>0</v>
      </c>
      <c r="K12" s="65" t="s">
        <v>154</v>
      </c>
      <c r="L12" s="73">
        <f>SUM(L13:L15)</f>
        <v>0</v>
      </c>
      <c r="M12" s="91" t="s">
        <v>154</v>
      </c>
      <c r="AG12" s="64" t="s">
        <v>154</v>
      </c>
      <c r="AQ12" s="59">
        <f>SUM(AH13:AH15)</f>
        <v>0</v>
      </c>
      <c r="AR12" s="59">
        <f>SUM(AI13:AI15)</f>
        <v>0</v>
      </c>
      <c r="AS12" s="59">
        <f>SUM(AJ13:AJ15)</f>
        <v>0</v>
      </c>
    </row>
    <row r="13" spans="1:73" ht="27" customHeight="1" x14ac:dyDescent="0.3">
      <c r="A13" s="82" t="s">
        <v>157</v>
      </c>
      <c r="B13" s="60" t="s">
        <v>170</v>
      </c>
      <c r="C13" s="551" t="s">
        <v>171</v>
      </c>
      <c r="D13" s="565"/>
      <c r="E13" s="60" t="s">
        <v>172</v>
      </c>
      <c r="F13" s="70">
        <v>32</v>
      </c>
      <c r="G13" s="311">
        <v>0</v>
      </c>
      <c r="H13" s="70">
        <f>F13*AM13</f>
        <v>0</v>
      </c>
      <c r="I13" s="70">
        <f>F13*AN13</f>
        <v>0</v>
      </c>
      <c r="J13" s="70">
        <f>F13*G13</f>
        <v>0</v>
      </c>
      <c r="K13" s="70">
        <v>0</v>
      </c>
      <c r="L13" s="70">
        <f>F13*K13</f>
        <v>0</v>
      </c>
      <c r="M13" s="89" t="s">
        <v>472</v>
      </c>
      <c r="X13" s="70">
        <f>IF(AO13="5",BH13,0)</f>
        <v>0</v>
      </c>
      <c r="Z13" s="70">
        <f>IF(AO13="1",BF13,0)</f>
        <v>0</v>
      </c>
      <c r="AA13" s="70">
        <f>IF(AO13="1",BG13,0)</f>
        <v>0</v>
      </c>
      <c r="AB13" s="70">
        <f>IF(AO13="7",BF13,0)</f>
        <v>0</v>
      </c>
      <c r="AC13" s="70">
        <f>IF(AO13="7",BG13,0)</f>
        <v>0</v>
      </c>
      <c r="AD13" s="70">
        <f>IF(AO13="2",BF13,0)</f>
        <v>0</v>
      </c>
      <c r="AE13" s="70">
        <f>IF(AO13="2",BG13,0)</f>
        <v>0</v>
      </c>
      <c r="AF13" s="70">
        <f>IF(AO13="0",BH13,0)</f>
        <v>0</v>
      </c>
      <c r="AG13" s="64" t="s">
        <v>154</v>
      </c>
      <c r="AH13" s="70">
        <f>IF(AL13=0,J13,0)</f>
        <v>0</v>
      </c>
      <c r="AI13" s="70">
        <f>IF(AL13=15,J13,0)</f>
        <v>0</v>
      </c>
      <c r="AJ13" s="70">
        <f>IF(AL13=21,J13,0)</f>
        <v>0</v>
      </c>
      <c r="AL13" s="70">
        <v>21</v>
      </c>
      <c r="AM13" s="70">
        <f>G13*0</f>
        <v>0</v>
      </c>
      <c r="AN13" s="70">
        <f>G13*(1-0)</f>
        <v>0</v>
      </c>
      <c r="AO13" s="71" t="s">
        <v>157</v>
      </c>
      <c r="AT13" s="70">
        <f>AU13+AV13</f>
        <v>0</v>
      </c>
      <c r="AU13" s="70">
        <f>F13*AM13</f>
        <v>0</v>
      </c>
      <c r="AV13" s="70">
        <f>F13*AN13</f>
        <v>0</v>
      </c>
      <c r="AW13" s="71" t="s">
        <v>162</v>
      </c>
      <c r="AX13" s="71" t="s">
        <v>163</v>
      </c>
      <c r="AY13" s="64" t="s">
        <v>164</v>
      </c>
      <c r="BA13" s="70">
        <f>AU13+AV13</f>
        <v>0</v>
      </c>
      <c r="BB13" s="70">
        <f>G13/(100-BC13)*100</f>
        <v>0</v>
      </c>
      <c r="BC13" s="70">
        <v>0</v>
      </c>
      <c r="BD13" s="70">
        <f>L13</f>
        <v>0</v>
      </c>
      <c r="BF13" s="70">
        <f>F13*AM13</f>
        <v>0</v>
      </c>
      <c r="BG13" s="70">
        <f>F13*AN13</f>
        <v>0</v>
      </c>
      <c r="BH13" s="70">
        <f>F13*G13</f>
        <v>0</v>
      </c>
      <c r="BI13" s="70"/>
      <c r="BJ13" s="70">
        <v>11</v>
      </c>
      <c r="BU13" s="70" t="e">
        <f>#REF!</f>
        <v>#REF!</v>
      </c>
    </row>
    <row r="14" spans="1:73" ht="40.5" customHeight="1" x14ac:dyDescent="0.3">
      <c r="A14" s="90"/>
      <c r="B14" s="72" t="s">
        <v>165</v>
      </c>
      <c r="C14" s="581" t="s">
        <v>1062</v>
      </c>
      <c r="D14" s="582"/>
      <c r="E14" s="582"/>
      <c r="F14" s="582"/>
      <c r="G14" s="582"/>
      <c r="H14" s="582"/>
      <c r="I14" s="582"/>
      <c r="J14" s="582"/>
      <c r="K14" s="582"/>
      <c r="L14" s="582"/>
      <c r="M14" s="583"/>
    </row>
    <row r="15" spans="1:73" ht="27" customHeight="1" x14ac:dyDescent="0.3">
      <c r="A15" s="82" t="s">
        <v>166</v>
      </c>
      <c r="B15" s="60" t="s">
        <v>174</v>
      </c>
      <c r="C15" s="551" t="s">
        <v>175</v>
      </c>
      <c r="D15" s="565"/>
      <c r="E15" s="60" t="s">
        <v>176</v>
      </c>
      <c r="F15" s="70">
        <v>4</v>
      </c>
      <c r="G15" s="311">
        <v>0</v>
      </c>
      <c r="H15" s="70">
        <f>F15*AM15</f>
        <v>0</v>
      </c>
      <c r="I15" s="70">
        <f>F15*AN15</f>
        <v>0</v>
      </c>
      <c r="J15" s="70">
        <f>F15*G15</f>
        <v>0</v>
      </c>
      <c r="K15" s="70">
        <v>0</v>
      </c>
      <c r="L15" s="70">
        <f>F15*K15</f>
        <v>0</v>
      </c>
      <c r="M15" s="89" t="s">
        <v>472</v>
      </c>
      <c r="X15" s="70">
        <f>IF(AO15="5",BH15,0)</f>
        <v>0</v>
      </c>
      <c r="Z15" s="70">
        <f>IF(AO15="1",BF15,0)</f>
        <v>0</v>
      </c>
      <c r="AA15" s="70">
        <f>IF(AO15="1",BG15,0)</f>
        <v>0</v>
      </c>
      <c r="AB15" s="70">
        <f>IF(AO15="7",BF15,0)</f>
        <v>0</v>
      </c>
      <c r="AC15" s="70">
        <f>IF(AO15="7",BG15,0)</f>
        <v>0</v>
      </c>
      <c r="AD15" s="70">
        <f>IF(AO15="2",BF15,0)</f>
        <v>0</v>
      </c>
      <c r="AE15" s="70">
        <f>IF(AO15="2",BG15,0)</f>
        <v>0</v>
      </c>
      <c r="AF15" s="70">
        <f>IF(AO15="0",BH15,0)</f>
        <v>0</v>
      </c>
      <c r="AG15" s="64" t="s">
        <v>154</v>
      </c>
      <c r="AH15" s="70">
        <f>IF(AL15=0,J15,0)</f>
        <v>0</v>
      </c>
      <c r="AI15" s="70">
        <f>IF(AL15=15,J15,0)</f>
        <v>0</v>
      </c>
      <c r="AJ15" s="70">
        <f>IF(AL15=21,J15,0)</f>
        <v>0</v>
      </c>
      <c r="AL15" s="70">
        <v>21</v>
      </c>
      <c r="AM15" s="70">
        <f>G15*0</f>
        <v>0</v>
      </c>
      <c r="AN15" s="70">
        <f>G15*(1-0)</f>
        <v>0</v>
      </c>
      <c r="AO15" s="71" t="s">
        <v>157</v>
      </c>
      <c r="AT15" s="70">
        <f>AU15+AV15</f>
        <v>0</v>
      </c>
      <c r="AU15" s="70">
        <f>F15*AM15</f>
        <v>0</v>
      </c>
      <c r="AV15" s="70">
        <f>F15*AN15</f>
        <v>0</v>
      </c>
      <c r="AW15" s="71" t="s">
        <v>162</v>
      </c>
      <c r="AX15" s="71" t="s">
        <v>163</v>
      </c>
      <c r="AY15" s="64" t="s">
        <v>164</v>
      </c>
      <c r="BA15" s="70">
        <f>AU15+AV15</f>
        <v>0</v>
      </c>
      <c r="BB15" s="70">
        <f>G15/(100-BC15)*100</f>
        <v>0</v>
      </c>
      <c r="BC15" s="70">
        <v>0</v>
      </c>
      <c r="BD15" s="70">
        <f>L15</f>
        <v>0</v>
      </c>
      <c r="BF15" s="70">
        <f>F15*AM15</f>
        <v>0</v>
      </c>
      <c r="BG15" s="70">
        <f>F15*AN15</f>
        <v>0</v>
      </c>
      <c r="BH15" s="70">
        <f>F15*G15</f>
        <v>0</v>
      </c>
      <c r="BI15" s="70"/>
      <c r="BJ15" s="70">
        <v>11</v>
      </c>
      <c r="BU15" s="70" t="e">
        <f>#REF!</f>
        <v>#REF!</v>
      </c>
    </row>
    <row r="16" spans="1:73" ht="40.5" customHeight="1" x14ac:dyDescent="0.3">
      <c r="A16" s="90"/>
      <c r="B16" s="72" t="s">
        <v>165</v>
      </c>
      <c r="C16" s="581" t="s">
        <v>475</v>
      </c>
      <c r="D16" s="582"/>
      <c r="E16" s="582"/>
      <c r="F16" s="582"/>
      <c r="G16" s="582"/>
      <c r="H16" s="582"/>
      <c r="I16" s="582"/>
      <c r="J16" s="582"/>
      <c r="K16" s="582"/>
      <c r="L16" s="582"/>
      <c r="M16" s="583"/>
    </row>
    <row r="17" spans="1:73" ht="15" customHeight="1" x14ac:dyDescent="0.3">
      <c r="A17" s="82" t="s">
        <v>154</v>
      </c>
      <c r="B17" s="61" t="s">
        <v>191</v>
      </c>
      <c r="C17" s="564" t="s">
        <v>192</v>
      </c>
      <c r="D17" s="571"/>
      <c r="E17" s="60" t="s">
        <v>114</v>
      </c>
      <c r="F17" s="60" t="s">
        <v>114</v>
      </c>
      <c r="G17" s="60" t="s">
        <v>114</v>
      </c>
      <c r="H17" s="73">
        <f>SUM(H18:H18)</f>
        <v>0</v>
      </c>
      <c r="I17" s="73">
        <f>SUM(I18:I18)</f>
        <v>0</v>
      </c>
      <c r="J17" s="73">
        <f>SUM(J18:J18)</f>
        <v>0</v>
      </c>
      <c r="K17" s="65" t="s">
        <v>154</v>
      </c>
      <c r="L17" s="73">
        <f>SUM(L18:L18)</f>
        <v>0</v>
      </c>
      <c r="M17" s="91" t="s">
        <v>154</v>
      </c>
      <c r="AG17" s="64" t="s">
        <v>154</v>
      </c>
      <c r="AQ17" s="59">
        <f>SUM(AH18:AH18)</f>
        <v>0</v>
      </c>
      <c r="AR17" s="59">
        <f>SUM(AI18:AI18)</f>
        <v>0</v>
      </c>
      <c r="AS17" s="59">
        <f>SUM(AJ18:AJ18)</f>
        <v>0</v>
      </c>
    </row>
    <row r="18" spans="1:73" ht="27" customHeight="1" x14ac:dyDescent="0.3">
      <c r="A18" s="82" t="s">
        <v>169</v>
      </c>
      <c r="B18" s="60" t="s">
        <v>199</v>
      </c>
      <c r="C18" s="551" t="s">
        <v>200</v>
      </c>
      <c r="D18" s="565"/>
      <c r="E18" s="60" t="s">
        <v>196</v>
      </c>
      <c r="F18" s="70">
        <v>1</v>
      </c>
      <c r="G18" s="311">
        <v>0</v>
      </c>
      <c r="H18" s="70">
        <f>F18*AM18</f>
        <v>0</v>
      </c>
      <c r="I18" s="70">
        <f>F18*AN18</f>
        <v>0</v>
      </c>
      <c r="J18" s="70">
        <f>F18*G18</f>
        <v>0</v>
      </c>
      <c r="K18" s="70">
        <v>0</v>
      </c>
      <c r="L18" s="70">
        <f>F18*K18</f>
        <v>0</v>
      </c>
      <c r="M18" s="89" t="s">
        <v>472</v>
      </c>
      <c r="X18" s="70">
        <f>IF(AO18="5",BH18,0)</f>
        <v>0</v>
      </c>
      <c r="Z18" s="70">
        <f>IF(AO18="1",BF18,0)</f>
        <v>0</v>
      </c>
      <c r="AA18" s="70">
        <f>IF(AO18="1",BG18,0)</f>
        <v>0</v>
      </c>
      <c r="AB18" s="70">
        <f>IF(AO18="7",BF18,0)</f>
        <v>0</v>
      </c>
      <c r="AC18" s="70">
        <f>IF(AO18="7",BG18,0)</f>
        <v>0</v>
      </c>
      <c r="AD18" s="70">
        <f>IF(AO18="2",BF18,0)</f>
        <v>0</v>
      </c>
      <c r="AE18" s="70">
        <f>IF(AO18="2",BG18,0)</f>
        <v>0</v>
      </c>
      <c r="AF18" s="70">
        <f>IF(AO18="0",BH18,0)</f>
        <v>0</v>
      </c>
      <c r="AG18" s="64" t="s">
        <v>154</v>
      </c>
      <c r="AH18" s="70">
        <f>IF(AL18=0,J18,0)</f>
        <v>0</v>
      </c>
      <c r="AI18" s="70">
        <f>IF(AL18=15,J18,0)</f>
        <v>0</v>
      </c>
      <c r="AJ18" s="70">
        <f>IF(AL18=21,J18,0)</f>
        <v>0</v>
      </c>
      <c r="AL18" s="70">
        <v>21</v>
      </c>
      <c r="AM18" s="70">
        <f>G18*0</f>
        <v>0</v>
      </c>
      <c r="AN18" s="70">
        <f>G18*(1-0)</f>
        <v>0</v>
      </c>
      <c r="AO18" s="71" t="s">
        <v>157</v>
      </c>
      <c r="AT18" s="70">
        <f>AU18+AV18</f>
        <v>0</v>
      </c>
      <c r="AU18" s="70">
        <f>F18*AM18</f>
        <v>0</v>
      </c>
      <c r="AV18" s="70">
        <f>F18*AN18</f>
        <v>0</v>
      </c>
      <c r="AW18" s="71" t="s">
        <v>197</v>
      </c>
      <c r="AX18" s="71" t="s">
        <v>163</v>
      </c>
      <c r="AY18" s="64" t="s">
        <v>164</v>
      </c>
      <c r="BA18" s="70">
        <f>AU18+AV18</f>
        <v>0</v>
      </c>
      <c r="BB18" s="70">
        <f>G18/(100-BC18)*100</f>
        <v>0</v>
      </c>
      <c r="BC18" s="70">
        <v>0</v>
      </c>
      <c r="BD18" s="70">
        <f>L18</f>
        <v>0</v>
      </c>
      <c r="BF18" s="70">
        <f>F18*AM18</f>
        <v>0</v>
      </c>
      <c r="BG18" s="70">
        <f>F18*AN18</f>
        <v>0</v>
      </c>
      <c r="BH18" s="70">
        <f>F18*G18</f>
        <v>0</v>
      </c>
      <c r="BI18" s="70"/>
      <c r="BJ18" s="70">
        <v>12</v>
      </c>
      <c r="BU18" s="70" t="e">
        <f>#REF!</f>
        <v>#REF!</v>
      </c>
    </row>
    <row r="19" spans="1:73" ht="13.5" customHeight="1" x14ac:dyDescent="0.3">
      <c r="A19" s="90"/>
      <c r="B19" s="72" t="s">
        <v>165</v>
      </c>
      <c r="C19" s="581" t="s">
        <v>480</v>
      </c>
      <c r="D19" s="582"/>
      <c r="E19" s="582"/>
      <c r="F19" s="582"/>
      <c r="G19" s="582"/>
      <c r="H19" s="582"/>
      <c r="I19" s="582"/>
      <c r="J19" s="582"/>
      <c r="K19" s="582"/>
      <c r="L19" s="582"/>
      <c r="M19" s="583"/>
    </row>
    <row r="20" spans="1:73" ht="15" customHeight="1" x14ac:dyDescent="0.3">
      <c r="A20" s="82" t="s">
        <v>154</v>
      </c>
      <c r="B20" s="61" t="s">
        <v>517</v>
      </c>
      <c r="C20" s="564" t="s">
        <v>518</v>
      </c>
      <c r="D20" s="571"/>
      <c r="E20" s="60" t="s">
        <v>114</v>
      </c>
      <c r="F20" s="60" t="s">
        <v>114</v>
      </c>
      <c r="G20" s="60" t="s">
        <v>114</v>
      </c>
      <c r="H20" s="73">
        <f>SUM(H21:H27)</f>
        <v>0</v>
      </c>
      <c r="I20" s="73">
        <f>SUM(I21:I27)</f>
        <v>0</v>
      </c>
      <c r="J20" s="73">
        <f>SUM(J21:J27)</f>
        <v>0</v>
      </c>
      <c r="K20" s="65" t="s">
        <v>154</v>
      </c>
      <c r="L20" s="73">
        <f>SUM(L21:L27)</f>
        <v>7.6000000000000009E-3</v>
      </c>
      <c r="M20" s="91" t="s">
        <v>154</v>
      </c>
      <c r="AG20" s="64" t="s">
        <v>154</v>
      </c>
      <c r="AQ20" s="59">
        <f>SUM(AH21:AH27)</f>
        <v>0</v>
      </c>
      <c r="AR20" s="59">
        <f>SUM(AI21:AI27)</f>
        <v>0</v>
      </c>
      <c r="AS20" s="59">
        <f>SUM(AJ21:AJ27)</f>
        <v>0</v>
      </c>
    </row>
    <row r="21" spans="1:73" ht="27" customHeight="1" x14ac:dyDescent="0.3">
      <c r="A21" s="82" t="s">
        <v>173</v>
      </c>
      <c r="B21" s="60" t="s">
        <v>526</v>
      </c>
      <c r="C21" s="551" t="s">
        <v>527</v>
      </c>
      <c r="D21" s="565"/>
      <c r="E21" s="60" t="s">
        <v>365</v>
      </c>
      <c r="F21" s="70">
        <v>4</v>
      </c>
      <c r="G21" s="311">
        <v>0</v>
      </c>
      <c r="H21" s="70">
        <f>F21*AM21</f>
        <v>0</v>
      </c>
      <c r="I21" s="70">
        <f>F21*AN21</f>
        <v>0</v>
      </c>
      <c r="J21" s="70">
        <f>F21*G21</f>
        <v>0</v>
      </c>
      <c r="K21" s="70">
        <v>8.0000000000000007E-5</v>
      </c>
      <c r="L21" s="70">
        <f>F21*K21</f>
        <v>3.2000000000000003E-4</v>
      </c>
      <c r="M21" s="89" t="s">
        <v>472</v>
      </c>
      <c r="X21" s="70">
        <f>IF(AO21="5",BH21,0)</f>
        <v>0</v>
      </c>
      <c r="Z21" s="70">
        <f>IF(AO21="1",BF21,0)</f>
        <v>0</v>
      </c>
      <c r="AA21" s="70">
        <f>IF(AO21="1",BG21,0)</f>
        <v>0</v>
      </c>
      <c r="AB21" s="70">
        <f>IF(AO21="7",BF21,0)</f>
        <v>0</v>
      </c>
      <c r="AC21" s="70">
        <f>IF(AO21="7",BG21,0)</f>
        <v>0</v>
      </c>
      <c r="AD21" s="70">
        <f>IF(AO21="2",BF21,0)</f>
        <v>0</v>
      </c>
      <c r="AE21" s="70">
        <f>IF(AO21="2",BG21,0)</f>
        <v>0</v>
      </c>
      <c r="AF21" s="70">
        <f>IF(AO21="0",BH21,0)</f>
        <v>0</v>
      </c>
      <c r="AG21" s="64" t="s">
        <v>154</v>
      </c>
      <c r="AH21" s="70">
        <f>IF(AL21=0,J21,0)</f>
        <v>0</v>
      </c>
      <c r="AI21" s="70">
        <f>IF(AL21=15,J21,0)</f>
        <v>0</v>
      </c>
      <c r="AJ21" s="70">
        <f>IF(AL21=21,J21,0)</f>
        <v>0</v>
      </c>
      <c r="AL21" s="70">
        <v>21</v>
      </c>
      <c r="AM21" s="70">
        <f>G21*0.00586034912718205</f>
        <v>0</v>
      </c>
      <c r="AN21" s="70">
        <f>G21*(1-0.00586034912718205)</f>
        <v>0</v>
      </c>
      <c r="AO21" s="71" t="s">
        <v>184</v>
      </c>
      <c r="AT21" s="70">
        <f>AU21+AV21</f>
        <v>0</v>
      </c>
      <c r="AU21" s="70">
        <f>F21*AM21</f>
        <v>0</v>
      </c>
      <c r="AV21" s="70">
        <f>F21*AN21</f>
        <v>0</v>
      </c>
      <c r="AW21" s="71" t="s">
        <v>521</v>
      </c>
      <c r="AX21" s="71" t="s">
        <v>522</v>
      </c>
      <c r="AY21" s="64" t="s">
        <v>164</v>
      </c>
      <c r="BA21" s="70">
        <f>AU21+AV21</f>
        <v>0</v>
      </c>
      <c r="BB21" s="70">
        <f>G21/(100-BC21)*100</f>
        <v>0</v>
      </c>
      <c r="BC21" s="70">
        <v>0</v>
      </c>
      <c r="BD21" s="70">
        <f>L21</f>
        <v>3.2000000000000003E-4</v>
      </c>
      <c r="BF21" s="70">
        <f>F21*AM21</f>
        <v>0</v>
      </c>
      <c r="BG21" s="70">
        <f>F21*AN21</f>
        <v>0</v>
      </c>
      <c r="BH21" s="70">
        <f>F21*G21</f>
        <v>0</v>
      </c>
      <c r="BI21" s="70"/>
      <c r="BJ21" s="70">
        <v>733</v>
      </c>
      <c r="BU21" s="70" t="e">
        <f>#REF!</f>
        <v>#REF!</v>
      </c>
    </row>
    <row r="22" spans="1:73" ht="27" customHeight="1" x14ac:dyDescent="0.3">
      <c r="A22" s="90"/>
      <c r="B22" s="72" t="s">
        <v>165</v>
      </c>
      <c r="C22" s="581" t="s">
        <v>528</v>
      </c>
      <c r="D22" s="582"/>
      <c r="E22" s="582"/>
      <c r="F22" s="582"/>
      <c r="G22" s="582"/>
      <c r="H22" s="582"/>
      <c r="I22" s="582"/>
      <c r="J22" s="582"/>
      <c r="K22" s="582"/>
      <c r="L22" s="582"/>
      <c r="M22" s="583"/>
    </row>
    <row r="23" spans="1:73" ht="27" customHeight="1" x14ac:dyDescent="0.3">
      <c r="A23" s="82" t="s">
        <v>177</v>
      </c>
      <c r="B23" s="60" t="s">
        <v>1063</v>
      </c>
      <c r="C23" s="551" t="s">
        <v>1064</v>
      </c>
      <c r="D23" s="565"/>
      <c r="E23" s="60" t="s">
        <v>365</v>
      </c>
      <c r="F23" s="70">
        <v>1</v>
      </c>
      <c r="G23" s="311">
        <v>0</v>
      </c>
      <c r="H23" s="70">
        <f>F23*AM23</f>
        <v>0</v>
      </c>
      <c r="I23" s="70">
        <f>F23*AN23</f>
        <v>0</v>
      </c>
      <c r="J23" s="70">
        <f>F23*G23</f>
        <v>0</v>
      </c>
      <c r="K23" s="70">
        <v>8.0000000000000007E-5</v>
      </c>
      <c r="L23" s="70">
        <f>F23*K23</f>
        <v>8.0000000000000007E-5</v>
      </c>
      <c r="M23" s="89" t="s">
        <v>472</v>
      </c>
      <c r="X23" s="70">
        <f>IF(AO23="5",BH23,0)</f>
        <v>0</v>
      </c>
      <c r="Z23" s="70">
        <f>IF(AO23="1",BF23,0)</f>
        <v>0</v>
      </c>
      <c r="AA23" s="70">
        <f>IF(AO23="1",BG23,0)</f>
        <v>0</v>
      </c>
      <c r="AB23" s="70">
        <f>IF(AO23="7",BF23,0)</f>
        <v>0</v>
      </c>
      <c r="AC23" s="70">
        <f>IF(AO23="7",BG23,0)</f>
        <v>0</v>
      </c>
      <c r="AD23" s="70">
        <f>IF(AO23="2",BF23,0)</f>
        <v>0</v>
      </c>
      <c r="AE23" s="70">
        <f>IF(AO23="2",BG23,0)</f>
        <v>0</v>
      </c>
      <c r="AF23" s="70">
        <f>IF(AO23="0",BH23,0)</f>
        <v>0</v>
      </c>
      <c r="AG23" s="64" t="s">
        <v>154</v>
      </c>
      <c r="AH23" s="70">
        <f>IF(AL23=0,J23,0)</f>
        <v>0</v>
      </c>
      <c r="AI23" s="70">
        <f>IF(AL23=15,J23,0)</f>
        <v>0</v>
      </c>
      <c r="AJ23" s="70">
        <f>IF(AL23=21,J23,0)</f>
        <v>0</v>
      </c>
      <c r="AL23" s="70">
        <v>21</v>
      </c>
      <c r="AM23" s="70">
        <f>G23*0.0109302325581395</f>
        <v>0</v>
      </c>
      <c r="AN23" s="70">
        <f>G23*(1-0.0109302325581395)</f>
        <v>0</v>
      </c>
      <c r="AO23" s="71" t="s">
        <v>184</v>
      </c>
      <c r="AT23" s="70">
        <f>AU23+AV23</f>
        <v>0</v>
      </c>
      <c r="AU23" s="70">
        <f>F23*AM23</f>
        <v>0</v>
      </c>
      <c r="AV23" s="70">
        <f>F23*AN23</f>
        <v>0</v>
      </c>
      <c r="AW23" s="71" t="s">
        <v>521</v>
      </c>
      <c r="AX23" s="71" t="s">
        <v>522</v>
      </c>
      <c r="AY23" s="64" t="s">
        <v>164</v>
      </c>
      <c r="BA23" s="70">
        <f>AU23+AV23</f>
        <v>0</v>
      </c>
      <c r="BB23" s="70">
        <f>G23/(100-BC23)*100</f>
        <v>0</v>
      </c>
      <c r="BC23" s="70">
        <v>0</v>
      </c>
      <c r="BD23" s="70">
        <f>L23</f>
        <v>8.0000000000000007E-5</v>
      </c>
      <c r="BF23" s="70">
        <f>F23*AM23</f>
        <v>0</v>
      </c>
      <c r="BG23" s="70">
        <f>F23*AN23</f>
        <v>0</v>
      </c>
      <c r="BH23" s="70">
        <f>F23*G23</f>
        <v>0</v>
      </c>
      <c r="BI23" s="70"/>
      <c r="BJ23" s="70">
        <v>733</v>
      </c>
      <c r="BU23" s="70" t="e">
        <f>#REF!</f>
        <v>#REF!</v>
      </c>
    </row>
    <row r="24" spans="1:73" ht="27" customHeight="1" x14ac:dyDescent="0.3">
      <c r="A24" s="90"/>
      <c r="B24" s="72" t="s">
        <v>165</v>
      </c>
      <c r="C24" s="581" t="s">
        <v>528</v>
      </c>
      <c r="D24" s="582"/>
      <c r="E24" s="582"/>
      <c r="F24" s="582"/>
      <c r="G24" s="582"/>
      <c r="H24" s="582"/>
      <c r="I24" s="582"/>
      <c r="J24" s="582"/>
      <c r="K24" s="582"/>
      <c r="L24" s="582"/>
      <c r="M24" s="583"/>
    </row>
    <row r="25" spans="1:73" ht="27" customHeight="1" x14ac:dyDescent="0.3">
      <c r="A25" s="116" t="s">
        <v>181</v>
      </c>
      <c r="B25" s="75" t="s">
        <v>526</v>
      </c>
      <c r="C25" s="650" t="s">
        <v>527</v>
      </c>
      <c r="D25" s="651"/>
      <c r="E25" s="75" t="s">
        <v>365</v>
      </c>
      <c r="F25" s="76">
        <v>45</v>
      </c>
      <c r="G25" s="311">
        <v>0</v>
      </c>
      <c r="H25" s="76">
        <f>F25*AM25</f>
        <v>0</v>
      </c>
      <c r="I25" s="76">
        <f>F25*AN25</f>
        <v>0</v>
      </c>
      <c r="J25" s="76">
        <f>F25*G25</f>
        <v>0</v>
      </c>
      <c r="K25" s="76">
        <v>8.0000000000000007E-5</v>
      </c>
      <c r="L25" s="76">
        <f>F25*K25</f>
        <v>3.6000000000000003E-3</v>
      </c>
      <c r="M25" s="117" t="s">
        <v>472</v>
      </c>
      <c r="X25" s="70">
        <f>IF(AO25="5",BH25,0)</f>
        <v>0</v>
      </c>
      <c r="Z25" s="70">
        <f>IF(AO25="1",BF25,0)</f>
        <v>0</v>
      </c>
      <c r="AA25" s="70">
        <f>IF(AO25="1",BG25,0)</f>
        <v>0</v>
      </c>
      <c r="AB25" s="70">
        <f>IF(AO25="7",BF25,0)</f>
        <v>0</v>
      </c>
      <c r="AC25" s="70">
        <f>IF(AO25="7",BG25,0)</f>
        <v>0</v>
      </c>
      <c r="AD25" s="70">
        <f>IF(AO25="2",BF25,0)</f>
        <v>0</v>
      </c>
      <c r="AE25" s="70">
        <f>IF(AO25="2",BG25,0)</f>
        <v>0</v>
      </c>
      <c r="AF25" s="70">
        <f>IF(AO25="0",BH25,0)</f>
        <v>0</v>
      </c>
      <c r="AG25" s="64" t="s">
        <v>154</v>
      </c>
      <c r="AH25" s="70">
        <f>IF(AL25=0,J25,0)</f>
        <v>0</v>
      </c>
      <c r="AI25" s="70">
        <f>IF(AL25=15,J25,0)</f>
        <v>0</v>
      </c>
      <c r="AJ25" s="70">
        <f>IF(AL25=21,J25,0)</f>
        <v>0</v>
      </c>
      <c r="AL25" s="70">
        <v>21</v>
      </c>
      <c r="AM25" s="70">
        <f>G25*0.00586034912718205</f>
        <v>0</v>
      </c>
      <c r="AN25" s="70">
        <f>G25*(1-0.00586034912718205)</f>
        <v>0</v>
      </c>
      <c r="AO25" s="71" t="s">
        <v>184</v>
      </c>
      <c r="AT25" s="70">
        <f>AU25+AV25</f>
        <v>0</v>
      </c>
      <c r="AU25" s="70">
        <f>F25*AM25</f>
        <v>0</v>
      </c>
      <c r="AV25" s="70">
        <f>F25*AN25</f>
        <v>0</v>
      </c>
      <c r="AW25" s="71" t="s">
        <v>521</v>
      </c>
      <c r="AX25" s="71" t="s">
        <v>522</v>
      </c>
      <c r="AY25" s="64" t="s">
        <v>164</v>
      </c>
      <c r="BA25" s="70">
        <f>AU25+AV25</f>
        <v>0</v>
      </c>
      <c r="BB25" s="70">
        <f>G25/(100-BC25)*100</f>
        <v>0</v>
      </c>
      <c r="BC25" s="70">
        <v>0</v>
      </c>
      <c r="BD25" s="70">
        <f>L25</f>
        <v>3.6000000000000003E-3</v>
      </c>
      <c r="BF25" s="70">
        <f>F25*AM25</f>
        <v>0</v>
      </c>
      <c r="BG25" s="70">
        <f>F25*AN25</f>
        <v>0</v>
      </c>
      <c r="BH25" s="70">
        <f>F25*G25</f>
        <v>0</v>
      </c>
      <c r="BI25" s="70"/>
      <c r="BJ25" s="70">
        <v>733</v>
      </c>
      <c r="BU25" s="70" t="e">
        <f>#REF!</f>
        <v>#REF!</v>
      </c>
    </row>
    <row r="26" spans="1:73" ht="27" customHeight="1" x14ac:dyDescent="0.3">
      <c r="A26" s="90"/>
      <c r="B26" s="72" t="s">
        <v>165</v>
      </c>
      <c r="C26" s="581" t="s">
        <v>528</v>
      </c>
      <c r="D26" s="582"/>
      <c r="E26" s="582"/>
      <c r="F26" s="582"/>
      <c r="G26" s="582"/>
      <c r="H26" s="582"/>
      <c r="I26" s="582"/>
      <c r="J26" s="582"/>
      <c r="K26" s="582"/>
      <c r="L26" s="582"/>
      <c r="M26" s="583"/>
    </row>
    <row r="27" spans="1:73" ht="27" customHeight="1" x14ac:dyDescent="0.3">
      <c r="A27" s="122" t="s">
        <v>184</v>
      </c>
      <c r="B27" s="77" t="s">
        <v>519</v>
      </c>
      <c r="C27" s="648" t="s">
        <v>520</v>
      </c>
      <c r="D27" s="649"/>
      <c r="E27" s="77" t="s">
        <v>365</v>
      </c>
      <c r="F27" s="78">
        <v>45</v>
      </c>
      <c r="G27" s="311">
        <v>0</v>
      </c>
      <c r="H27" s="78">
        <f>F27*AM27</f>
        <v>0</v>
      </c>
      <c r="I27" s="78">
        <f>F27*AN27</f>
        <v>0</v>
      </c>
      <c r="J27" s="78">
        <f>F27*G27</f>
        <v>0</v>
      </c>
      <c r="K27" s="78">
        <v>8.0000000000000007E-5</v>
      </c>
      <c r="L27" s="78">
        <f>F27*K27</f>
        <v>3.6000000000000003E-3</v>
      </c>
      <c r="M27" s="123" t="s">
        <v>472</v>
      </c>
      <c r="X27" s="70">
        <f>IF(AO27="5",BH27,0)</f>
        <v>0</v>
      </c>
      <c r="Z27" s="70">
        <f>IF(AO27="1",BF27,0)</f>
        <v>0</v>
      </c>
      <c r="AA27" s="70">
        <f>IF(AO27="1",BG27,0)</f>
        <v>0</v>
      </c>
      <c r="AB27" s="70">
        <f>IF(AO27="7",BF27,0)</f>
        <v>0</v>
      </c>
      <c r="AC27" s="70">
        <f>IF(AO27="7",BG27,0)</f>
        <v>0</v>
      </c>
      <c r="AD27" s="70">
        <f>IF(AO27="2",BF27,0)</f>
        <v>0</v>
      </c>
      <c r="AE27" s="70">
        <f>IF(AO27="2",BG27,0)</f>
        <v>0</v>
      </c>
      <c r="AF27" s="70">
        <f>IF(AO27="0",BH27,0)</f>
        <v>0</v>
      </c>
      <c r="AG27" s="64" t="s">
        <v>154</v>
      </c>
      <c r="AH27" s="70">
        <f>IF(AL27=0,J27,0)</f>
        <v>0</v>
      </c>
      <c r="AI27" s="70">
        <f>IF(AL27=15,J27,0)</f>
        <v>0</v>
      </c>
      <c r="AJ27" s="70">
        <f>IF(AL27=21,J27,0)</f>
        <v>0</v>
      </c>
      <c r="AL27" s="70">
        <v>21</v>
      </c>
      <c r="AM27" s="70">
        <f>G27*0.00493697478991597</f>
        <v>0</v>
      </c>
      <c r="AN27" s="70">
        <f>G27*(1-0.00493697478991597)</f>
        <v>0</v>
      </c>
      <c r="AO27" s="71" t="s">
        <v>184</v>
      </c>
      <c r="AT27" s="70">
        <f>AU27+AV27</f>
        <v>0</v>
      </c>
      <c r="AU27" s="70">
        <f>F27*AM27</f>
        <v>0</v>
      </c>
      <c r="AV27" s="70">
        <f>F27*AN27</f>
        <v>0</v>
      </c>
      <c r="AW27" s="71" t="s">
        <v>521</v>
      </c>
      <c r="AX27" s="71" t="s">
        <v>522</v>
      </c>
      <c r="AY27" s="64" t="s">
        <v>164</v>
      </c>
      <c r="BA27" s="70">
        <f>AU27+AV27</f>
        <v>0</v>
      </c>
      <c r="BB27" s="70">
        <f>G27/(100-BC27)*100</f>
        <v>0</v>
      </c>
      <c r="BC27" s="70">
        <v>0</v>
      </c>
      <c r="BD27" s="70">
        <f>L27</f>
        <v>3.6000000000000003E-3</v>
      </c>
      <c r="BF27" s="70">
        <f>F27*AM27</f>
        <v>0</v>
      </c>
      <c r="BG27" s="70">
        <f>F27*AN27</f>
        <v>0</v>
      </c>
      <c r="BH27" s="70">
        <f>F27*G27</f>
        <v>0</v>
      </c>
      <c r="BI27" s="70"/>
      <c r="BJ27" s="70">
        <v>733</v>
      </c>
      <c r="BU27" s="70" t="e">
        <f>#REF!</f>
        <v>#REF!</v>
      </c>
    </row>
    <row r="28" spans="1:73" ht="27" customHeight="1" x14ac:dyDescent="0.3">
      <c r="A28" s="90"/>
      <c r="B28" s="72" t="s">
        <v>165</v>
      </c>
      <c r="C28" s="581" t="s">
        <v>528</v>
      </c>
      <c r="D28" s="582"/>
      <c r="E28" s="582"/>
      <c r="F28" s="582"/>
      <c r="G28" s="582"/>
      <c r="H28" s="582"/>
      <c r="I28" s="582"/>
      <c r="J28" s="582"/>
      <c r="K28" s="582"/>
      <c r="L28" s="582"/>
      <c r="M28" s="583"/>
    </row>
    <row r="29" spans="1:73" ht="15" customHeight="1" x14ac:dyDescent="0.3">
      <c r="A29" s="82" t="s">
        <v>154</v>
      </c>
      <c r="B29" s="61" t="s">
        <v>350</v>
      </c>
      <c r="C29" s="564" t="s">
        <v>351</v>
      </c>
      <c r="D29" s="571"/>
      <c r="E29" s="60" t="s">
        <v>114</v>
      </c>
      <c r="F29" s="60" t="s">
        <v>114</v>
      </c>
      <c r="G29" s="60" t="s">
        <v>114</v>
      </c>
      <c r="H29" s="73">
        <f>SUM(H30:H32)</f>
        <v>0</v>
      </c>
      <c r="I29" s="73">
        <f>SUM(I30:I32)</f>
        <v>0</v>
      </c>
      <c r="J29" s="73">
        <f>SUM(J30:J32)</f>
        <v>0</v>
      </c>
      <c r="K29" s="65" t="s">
        <v>154</v>
      </c>
      <c r="L29" s="73">
        <f>SUM(L30:L32)</f>
        <v>24.730440000000002</v>
      </c>
      <c r="M29" s="91" t="s">
        <v>154</v>
      </c>
      <c r="AG29" s="64" t="s">
        <v>154</v>
      </c>
      <c r="AQ29" s="59">
        <f>SUM(AH30:AH32)</f>
        <v>0</v>
      </c>
      <c r="AR29" s="59">
        <f>SUM(AI30:AI32)</f>
        <v>0</v>
      </c>
      <c r="AS29" s="59">
        <f>SUM(AJ30:AJ32)</f>
        <v>0</v>
      </c>
    </row>
    <row r="30" spans="1:73" ht="13.5" customHeight="1" x14ac:dyDescent="0.3">
      <c r="A30" s="82" t="s">
        <v>187</v>
      </c>
      <c r="B30" s="60" t="s">
        <v>1065</v>
      </c>
      <c r="C30" s="551" t="s">
        <v>1066</v>
      </c>
      <c r="D30" s="565"/>
      <c r="E30" s="60" t="s">
        <v>160</v>
      </c>
      <c r="F30" s="70">
        <v>17</v>
      </c>
      <c r="G30" s="311">
        <v>0</v>
      </c>
      <c r="H30" s="70">
        <f>F30*AM30</f>
        <v>0</v>
      </c>
      <c r="I30" s="70">
        <f>F30*AN30</f>
        <v>0</v>
      </c>
      <c r="J30" s="70">
        <f>F30*G30</f>
        <v>0</v>
      </c>
      <c r="K30" s="70">
        <v>0.69011999999999996</v>
      </c>
      <c r="L30" s="70">
        <f>F30*K30</f>
        <v>11.73204</v>
      </c>
      <c r="M30" s="89" t="s">
        <v>472</v>
      </c>
      <c r="X30" s="70">
        <f>IF(AO30="5",BH30,0)</f>
        <v>0</v>
      </c>
      <c r="Z30" s="70">
        <f>IF(AO30="1",BF30,0)</f>
        <v>0</v>
      </c>
      <c r="AA30" s="70">
        <f>IF(AO30="1",BG30,0)</f>
        <v>0</v>
      </c>
      <c r="AB30" s="70">
        <f>IF(AO30="7",BF30,0)</f>
        <v>0</v>
      </c>
      <c r="AC30" s="70">
        <f>IF(AO30="7",BG30,0)</f>
        <v>0</v>
      </c>
      <c r="AD30" s="70">
        <f>IF(AO30="2",BF30,0)</f>
        <v>0</v>
      </c>
      <c r="AE30" s="70">
        <f>IF(AO30="2",BG30,0)</f>
        <v>0</v>
      </c>
      <c r="AF30" s="70">
        <f>IF(AO30="0",BH30,0)</f>
        <v>0</v>
      </c>
      <c r="AG30" s="64" t="s">
        <v>154</v>
      </c>
      <c r="AH30" s="70">
        <f>IF(AL30=0,J30,0)</f>
        <v>0</v>
      </c>
      <c r="AI30" s="70">
        <f>IF(AL30=15,J30,0)</f>
        <v>0</v>
      </c>
      <c r="AJ30" s="70">
        <f>IF(AL30=21,J30,0)</f>
        <v>0</v>
      </c>
      <c r="AL30" s="70">
        <v>21</v>
      </c>
      <c r="AM30" s="70">
        <f>G30*0.28759455433425</f>
        <v>0</v>
      </c>
      <c r="AN30" s="70">
        <f>G30*(1-0.28759455433425)</f>
        <v>0</v>
      </c>
      <c r="AO30" s="71" t="s">
        <v>157</v>
      </c>
      <c r="AT30" s="70">
        <f>AU30+AV30</f>
        <v>0</v>
      </c>
      <c r="AU30" s="70">
        <f>F30*AM30</f>
        <v>0</v>
      </c>
      <c r="AV30" s="70">
        <f>F30*AN30</f>
        <v>0</v>
      </c>
      <c r="AW30" s="71" t="s">
        <v>355</v>
      </c>
      <c r="AX30" s="71" t="s">
        <v>356</v>
      </c>
      <c r="AY30" s="64" t="s">
        <v>164</v>
      </c>
      <c r="BA30" s="70">
        <f>AU30+AV30</f>
        <v>0</v>
      </c>
      <c r="BB30" s="70">
        <f>G30/(100-BC30)*100</f>
        <v>0</v>
      </c>
      <c r="BC30" s="70">
        <v>0</v>
      </c>
      <c r="BD30" s="70">
        <f>L30</f>
        <v>11.73204</v>
      </c>
      <c r="BF30" s="70">
        <f>F30*AM30</f>
        <v>0</v>
      </c>
      <c r="BG30" s="70">
        <f>F30*AN30</f>
        <v>0</v>
      </c>
      <c r="BH30" s="70">
        <f>F30*G30</f>
        <v>0</v>
      </c>
      <c r="BI30" s="70"/>
      <c r="BJ30" s="70">
        <v>83</v>
      </c>
      <c r="BU30" s="70" t="e">
        <f>#REF!</f>
        <v>#REF!</v>
      </c>
    </row>
    <row r="31" spans="1:73" ht="108" customHeight="1" x14ac:dyDescent="0.3">
      <c r="A31" s="92"/>
      <c r="B31" s="93" t="s">
        <v>165</v>
      </c>
      <c r="C31" s="584" t="s">
        <v>1067</v>
      </c>
      <c r="D31" s="585"/>
      <c r="E31" s="585"/>
      <c r="F31" s="585"/>
      <c r="G31" s="585"/>
      <c r="H31" s="585"/>
      <c r="I31" s="585"/>
      <c r="J31" s="585"/>
      <c r="K31" s="585"/>
      <c r="L31" s="585"/>
      <c r="M31" s="586"/>
    </row>
    <row r="32" spans="1:73" ht="27" customHeight="1" x14ac:dyDescent="0.3">
      <c r="A32" s="84" t="s">
        <v>193</v>
      </c>
      <c r="B32" s="85" t="s">
        <v>1167</v>
      </c>
      <c r="C32" s="587" t="s">
        <v>1168</v>
      </c>
      <c r="D32" s="588"/>
      <c r="E32" s="85" t="s">
        <v>160</v>
      </c>
      <c r="F32" s="94">
        <v>60</v>
      </c>
      <c r="G32" s="311">
        <v>0</v>
      </c>
      <c r="H32" s="94">
        <f>F32*AM32</f>
        <v>0</v>
      </c>
      <c r="I32" s="94">
        <f>F32*AN32</f>
        <v>0</v>
      </c>
      <c r="J32" s="94">
        <f>F32*G32</f>
        <v>0</v>
      </c>
      <c r="K32" s="94">
        <v>0.21664</v>
      </c>
      <c r="L32" s="94">
        <f>F32*K32</f>
        <v>12.9984</v>
      </c>
      <c r="M32" s="95" t="s">
        <v>472</v>
      </c>
      <c r="X32" s="70">
        <f>IF(AO32="5",BH32,0)</f>
        <v>0</v>
      </c>
      <c r="Z32" s="70">
        <f>IF(AO32="1",BF32,0)</f>
        <v>0</v>
      </c>
      <c r="AA32" s="70">
        <f>IF(AO32="1",BG32,0)</f>
        <v>0</v>
      </c>
      <c r="AB32" s="70">
        <f>IF(AO32="7",BF32,0)</f>
        <v>0</v>
      </c>
      <c r="AC32" s="70">
        <f>IF(AO32="7",BG32,0)</f>
        <v>0</v>
      </c>
      <c r="AD32" s="70">
        <f>IF(AO32="2",BF32,0)</f>
        <v>0</v>
      </c>
      <c r="AE32" s="70">
        <f>IF(AO32="2",BG32,0)</f>
        <v>0</v>
      </c>
      <c r="AF32" s="70">
        <f>IF(AO32="0",BH32,0)</f>
        <v>0</v>
      </c>
      <c r="AG32" s="64" t="s">
        <v>154</v>
      </c>
      <c r="AH32" s="70">
        <f>IF(AL32=0,J32,0)</f>
        <v>0</v>
      </c>
      <c r="AI32" s="70">
        <f>IF(AL32=15,J32,0)</f>
        <v>0</v>
      </c>
      <c r="AJ32" s="70">
        <f>IF(AL32=21,J32,0)</f>
        <v>0</v>
      </c>
      <c r="AL32" s="70">
        <v>21</v>
      </c>
      <c r="AM32" s="70">
        <f>G32*0.443831683916295</f>
        <v>0</v>
      </c>
      <c r="AN32" s="70">
        <f>G32*(1-0.443831683916295)</f>
        <v>0</v>
      </c>
      <c r="AO32" s="71" t="s">
        <v>157</v>
      </c>
      <c r="AT32" s="70">
        <f>AU32+AV32</f>
        <v>0</v>
      </c>
      <c r="AU32" s="70">
        <f>F32*AM32</f>
        <v>0</v>
      </c>
      <c r="AV32" s="70">
        <f>F32*AN32</f>
        <v>0</v>
      </c>
      <c r="AW32" s="71" t="s">
        <v>355</v>
      </c>
      <c r="AX32" s="71" t="s">
        <v>356</v>
      </c>
      <c r="AY32" s="64" t="s">
        <v>164</v>
      </c>
      <c r="BA32" s="70">
        <f>AU32+AV32</f>
        <v>0</v>
      </c>
      <c r="BB32" s="70">
        <f>G32/(100-BC32)*100</f>
        <v>0</v>
      </c>
      <c r="BC32" s="70">
        <v>0</v>
      </c>
      <c r="BD32" s="70">
        <f>L32</f>
        <v>12.9984</v>
      </c>
      <c r="BF32" s="70">
        <f>F32*AM32</f>
        <v>0</v>
      </c>
      <c r="BG32" s="70">
        <f>F32*AN32</f>
        <v>0</v>
      </c>
      <c r="BH32" s="70">
        <f>F32*G32</f>
        <v>0</v>
      </c>
      <c r="BI32" s="70"/>
      <c r="BJ32" s="70">
        <v>83</v>
      </c>
      <c r="BU32" s="70" t="e">
        <f>#REF!</f>
        <v>#REF!</v>
      </c>
    </row>
    <row r="33" spans="1:73" ht="121.5" customHeight="1" x14ac:dyDescent="0.3">
      <c r="A33" s="90"/>
      <c r="B33" s="72" t="s">
        <v>165</v>
      </c>
      <c r="C33" s="581" t="s">
        <v>1169</v>
      </c>
      <c r="D33" s="582"/>
      <c r="E33" s="582"/>
      <c r="F33" s="582"/>
      <c r="G33" s="582"/>
      <c r="H33" s="582"/>
      <c r="I33" s="582"/>
      <c r="J33" s="582"/>
      <c r="K33" s="582"/>
      <c r="L33" s="582"/>
      <c r="M33" s="583"/>
    </row>
    <row r="34" spans="1:73" ht="15" customHeight="1" x14ac:dyDescent="0.3">
      <c r="A34" s="82" t="s">
        <v>154</v>
      </c>
      <c r="B34" s="61" t="s">
        <v>529</v>
      </c>
      <c r="C34" s="564" t="s">
        <v>530</v>
      </c>
      <c r="D34" s="571"/>
      <c r="E34" s="60" t="s">
        <v>114</v>
      </c>
      <c r="F34" s="60" t="s">
        <v>114</v>
      </c>
      <c r="G34" s="60" t="s">
        <v>114</v>
      </c>
      <c r="H34" s="73">
        <f>SUM(H35:H40)</f>
        <v>0</v>
      </c>
      <c r="I34" s="73">
        <f>SUM(I35:I40)</f>
        <v>0</v>
      </c>
      <c r="J34" s="73">
        <f>SUM(J35:J40)</f>
        <v>0</v>
      </c>
      <c r="K34" s="65" t="s">
        <v>154</v>
      </c>
      <c r="L34" s="73">
        <f>SUM(L35:L40)</f>
        <v>1.17E-3</v>
      </c>
      <c r="M34" s="91" t="s">
        <v>154</v>
      </c>
      <c r="AG34" s="64" t="s">
        <v>154</v>
      </c>
      <c r="AQ34" s="59">
        <f>SUM(AH35:AH40)</f>
        <v>0</v>
      </c>
      <c r="AR34" s="59">
        <f>SUM(AI35:AI40)</f>
        <v>0</v>
      </c>
      <c r="AS34" s="59">
        <f>SUM(AJ35:AJ40)</f>
        <v>0</v>
      </c>
    </row>
    <row r="35" spans="1:73" ht="27" customHeight="1" x14ac:dyDescent="0.3">
      <c r="A35" s="82" t="s">
        <v>198</v>
      </c>
      <c r="B35" s="60" t="s">
        <v>534</v>
      </c>
      <c r="C35" s="551" t="s">
        <v>535</v>
      </c>
      <c r="D35" s="565"/>
      <c r="E35" s="60" t="s">
        <v>365</v>
      </c>
      <c r="F35" s="70">
        <v>1</v>
      </c>
      <c r="G35" s="311">
        <v>0</v>
      </c>
      <c r="H35" s="70">
        <f>F35*AM35</f>
        <v>0</v>
      </c>
      <c r="I35" s="70">
        <f>F35*AN35</f>
        <v>0</v>
      </c>
      <c r="J35" s="70">
        <f>F35*G35</f>
        <v>0</v>
      </c>
      <c r="K35" s="70">
        <v>4.0999999999999999E-4</v>
      </c>
      <c r="L35" s="70">
        <f>F35*K35</f>
        <v>4.0999999999999999E-4</v>
      </c>
      <c r="M35" s="89" t="s">
        <v>472</v>
      </c>
      <c r="X35" s="70">
        <f>IF(AO35="5",BH35,0)</f>
        <v>0</v>
      </c>
      <c r="Z35" s="70">
        <f>IF(AO35="1",BF35,0)</f>
        <v>0</v>
      </c>
      <c r="AA35" s="70">
        <f>IF(AO35="1",BG35,0)</f>
        <v>0</v>
      </c>
      <c r="AB35" s="70">
        <f>IF(AO35="7",BF35,0)</f>
        <v>0</v>
      </c>
      <c r="AC35" s="70">
        <f>IF(AO35="7",BG35,0)</f>
        <v>0</v>
      </c>
      <c r="AD35" s="70">
        <f>IF(AO35="2",BF35,0)</f>
        <v>0</v>
      </c>
      <c r="AE35" s="70">
        <f>IF(AO35="2",BG35,0)</f>
        <v>0</v>
      </c>
      <c r="AF35" s="70">
        <f>IF(AO35="0",BH35,0)</f>
        <v>0</v>
      </c>
      <c r="AG35" s="64" t="s">
        <v>154</v>
      </c>
      <c r="AH35" s="70">
        <f>IF(AL35=0,J35,0)</f>
        <v>0</v>
      </c>
      <c r="AI35" s="70">
        <f>IF(AL35=15,J35,0)</f>
        <v>0</v>
      </c>
      <c r="AJ35" s="70">
        <f>IF(AL35=21,J35,0)</f>
        <v>0</v>
      </c>
      <c r="AL35" s="70">
        <v>21</v>
      </c>
      <c r="AM35" s="70">
        <f>G35*0.302760252365931</f>
        <v>0</v>
      </c>
      <c r="AN35" s="70">
        <f>G35*(1-0.302760252365931)</f>
        <v>0</v>
      </c>
      <c r="AO35" s="71" t="s">
        <v>157</v>
      </c>
      <c r="AT35" s="70">
        <f>AU35+AV35</f>
        <v>0</v>
      </c>
      <c r="AU35" s="70">
        <f>F35*AM35</f>
        <v>0</v>
      </c>
      <c r="AV35" s="70">
        <f>F35*AN35</f>
        <v>0</v>
      </c>
      <c r="AW35" s="71" t="s">
        <v>533</v>
      </c>
      <c r="AX35" s="71" t="s">
        <v>356</v>
      </c>
      <c r="AY35" s="64" t="s">
        <v>164</v>
      </c>
      <c r="BA35" s="70">
        <f>AU35+AV35</f>
        <v>0</v>
      </c>
      <c r="BB35" s="70">
        <f>G35/(100-BC35)*100</f>
        <v>0</v>
      </c>
      <c r="BC35" s="70">
        <v>0</v>
      </c>
      <c r="BD35" s="70">
        <f>L35</f>
        <v>4.0999999999999999E-4</v>
      </c>
      <c r="BF35" s="70">
        <f>F35*AM35</f>
        <v>0</v>
      </c>
      <c r="BG35" s="70">
        <f>F35*AN35</f>
        <v>0</v>
      </c>
      <c r="BH35" s="70">
        <f>F35*G35</f>
        <v>0</v>
      </c>
      <c r="BI35" s="70"/>
      <c r="BJ35" s="70">
        <v>85</v>
      </c>
      <c r="BU35" s="70" t="e">
        <f>#REF!</f>
        <v>#REF!</v>
      </c>
    </row>
    <row r="36" spans="1:73" ht="40.5" customHeight="1" x14ac:dyDescent="0.3">
      <c r="A36" s="90"/>
      <c r="B36" s="72" t="s">
        <v>165</v>
      </c>
      <c r="C36" s="581" t="s">
        <v>1068</v>
      </c>
      <c r="D36" s="582"/>
      <c r="E36" s="582"/>
      <c r="F36" s="582"/>
      <c r="G36" s="582"/>
      <c r="H36" s="582"/>
      <c r="I36" s="582"/>
      <c r="J36" s="582"/>
      <c r="K36" s="582"/>
      <c r="L36" s="582"/>
      <c r="M36" s="583"/>
    </row>
    <row r="37" spans="1:73" ht="27" customHeight="1" x14ac:dyDescent="0.3">
      <c r="A37" s="82" t="s">
        <v>155</v>
      </c>
      <c r="B37" s="60" t="s">
        <v>1069</v>
      </c>
      <c r="C37" s="551" t="s">
        <v>1070</v>
      </c>
      <c r="D37" s="565"/>
      <c r="E37" s="60" t="s">
        <v>365</v>
      </c>
      <c r="F37" s="70">
        <v>1</v>
      </c>
      <c r="G37" s="311">
        <v>0</v>
      </c>
      <c r="H37" s="70">
        <f>F37*AM37</f>
        <v>0</v>
      </c>
      <c r="I37" s="70">
        <f>F37*AN37</f>
        <v>0</v>
      </c>
      <c r="J37" s="70">
        <f>F37*G37</f>
        <v>0</v>
      </c>
      <c r="K37" s="70">
        <v>3.2000000000000003E-4</v>
      </c>
      <c r="L37" s="70">
        <f>F37*K37</f>
        <v>3.2000000000000003E-4</v>
      </c>
      <c r="M37" s="89" t="s">
        <v>472</v>
      </c>
      <c r="X37" s="70">
        <f>IF(AO37="5",BH37,0)</f>
        <v>0</v>
      </c>
      <c r="Z37" s="70">
        <f>IF(AO37="1",BF37,0)</f>
        <v>0</v>
      </c>
      <c r="AA37" s="70">
        <f>IF(AO37="1",BG37,0)</f>
        <v>0</v>
      </c>
      <c r="AB37" s="70">
        <f>IF(AO37="7",BF37,0)</f>
        <v>0</v>
      </c>
      <c r="AC37" s="70">
        <f>IF(AO37="7",BG37,0)</f>
        <v>0</v>
      </c>
      <c r="AD37" s="70">
        <f>IF(AO37="2",BF37,0)</f>
        <v>0</v>
      </c>
      <c r="AE37" s="70">
        <f>IF(AO37="2",BG37,0)</f>
        <v>0</v>
      </c>
      <c r="AF37" s="70">
        <f>IF(AO37="0",BH37,0)</f>
        <v>0</v>
      </c>
      <c r="AG37" s="64" t="s">
        <v>154</v>
      </c>
      <c r="AH37" s="70">
        <f>IF(AL37=0,J37,0)</f>
        <v>0</v>
      </c>
      <c r="AI37" s="70">
        <f>IF(AL37=15,J37,0)</f>
        <v>0</v>
      </c>
      <c r="AJ37" s="70">
        <f>IF(AL37=21,J37,0)</f>
        <v>0</v>
      </c>
      <c r="AL37" s="70">
        <v>21</v>
      </c>
      <c r="AM37" s="70">
        <f>G37*0.217058823529412</f>
        <v>0</v>
      </c>
      <c r="AN37" s="70">
        <f>G37*(1-0.217058823529412)</f>
        <v>0</v>
      </c>
      <c r="AO37" s="71" t="s">
        <v>157</v>
      </c>
      <c r="AT37" s="70">
        <f>AU37+AV37</f>
        <v>0</v>
      </c>
      <c r="AU37" s="70">
        <f>F37*AM37</f>
        <v>0</v>
      </c>
      <c r="AV37" s="70">
        <f>F37*AN37</f>
        <v>0</v>
      </c>
      <c r="AW37" s="71" t="s">
        <v>533</v>
      </c>
      <c r="AX37" s="71" t="s">
        <v>356</v>
      </c>
      <c r="AY37" s="64" t="s">
        <v>164</v>
      </c>
      <c r="BA37" s="70">
        <f>AU37+AV37</f>
        <v>0</v>
      </c>
      <c r="BB37" s="70">
        <f>G37/(100-BC37)*100</f>
        <v>0</v>
      </c>
      <c r="BC37" s="70">
        <v>0</v>
      </c>
      <c r="BD37" s="70">
        <f>L37</f>
        <v>3.2000000000000003E-4</v>
      </c>
      <c r="BF37" s="70">
        <f>F37*AM37</f>
        <v>0</v>
      </c>
      <c r="BG37" s="70">
        <f>F37*AN37</f>
        <v>0</v>
      </c>
      <c r="BH37" s="70">
        <f>F37*G37</f>
        <v>0</v>
      </c>
      <c r="BI37" s="70"/>
      <c r="BJ37" s="70">
        <v>85</v>
      </c>
      <c r="BU37" s="70" t="e">
        <f>#REF!</f>
        <v>#REF!</v>
      </c>
    </row>
    <row r="38" spans="1:73" ht="40.5" customHeight="1" x14ac:dyDescent="0.3">
      <c r="A38" s="90"/>
      <c r="B38" s="72" t="s">
        <v>165</v>
      </c>
      <c r="C38" s="581" t="s">
        <v>1068</v>
      </c>
      <c r="D38" s="582"/>
      <c r="E38" s="582"/>
      <c r="F38" s="582"/>
      <c r="G38" s="582"/>
      <c r="H38" s="582"/>
      <c r="I38" s="582"/>
      <c r="J38" s="582"/>
      <c r="K38" s="582"/>
      <c r="L38" s="582"/>
      <c r="M38" s="583"/>
    </row>
    <row r="39" spans="1:73" ht="13.5" customHeight="1" x14ac:dyDescent="0.3">
      <c r="A39" s="82" t="s">
        <v>191</v>
      </c>
      <c r="B39" s="60" t="s">
        <v>1071</v>
      </c>
      <c r="C39" s="551" t="s">
        <v>1072</v>
      </c>
      <c r="D39" s="565"/>
      <c r="E39" s="60" t="s">
        <v>365</v>
      </c>
      <c r="F39" s="70">
        <v>1</v>
      </c>
      <c r="G39" s="311">
        <v>0</v>
      </c>
      <c r="H39" s="70">
        <f>F39*AM39</f>
        <v>0</v>
      </c>
      <c r="I39" s="70">
        <f>F39*AN39</f>
        <v>0</v>
      </c>
      <c r="J39" s="70">
        <f>F39*G39</f>
        <v>0</v>
      </c>
      <c r="K39" s="70">
        <v>0</v>
      </c>
      <c r="L39" s="70">
        <f>F39*K39</f>
        <v>0</v>
      </c>
      <c r="M39" s="89" t="s">
        <v>472</v>
      </c>
      <c r="X39" s="70">
        <f>IF(AO39="5",BH39,0)</f>
        <v>0</v>
      </c>
      <c r="Z39" s="70">
        <f>IF(AO39="1",BF39,0)</f>
        <v>0</v>
      </c>
      <c r="AA39" s="70">
        <f>IF(AO39="1",BG39,0)</f>
        <v>0</v>
      </c>
      <c r="AB39" s="70">
        <f>IF(AO39="7",BF39,0)</f>
        <v>0</v>
      </c>
      <c r="AC39" s="70">
        <f>IF(AO39="7",BG39,0)</f>
        <v>0</v>
      </c>
      <c r="AD39" s="70">
        <f>IF(AO39="2",BF39,0)</f>
        <v>0</v>
      </c>
      <c r="AE39" s="70">
        <f>IF(AO39="2",BG39,0)</f>
        <v>0</v>
      </c>
      <c r="AF39" s="70">
        <f>IF(AO39="0",BH39,0)</f>
        <v>0</v>
      </c>
      <c r="AG39" s="64" t="s">
        <v>154</v>
      </c>
      <c r="AH39" s="70">
        <f>IF(AL39=0,J39,0)</f>
        <v>0</v>
      </c>
      <c r="AI39" s="70">
        <f>IF(AL39=15,J39,0)</f>
        <v>0</v>
      </c>
      <c r="AJ39" s="70">
        <f>IF(AL39=21,J39,0)</f>
        <v>0</v>
      </c>
      <c r="AL39" s="70">
        <v>21</v>
      </c>
      <c r="AM39" s="70">
        <f>G39*0.0000317465356592962</f>
        <v>0</v>
      </c>
      <c r="AN39" s="70">
        <f>G39*(1-0.0000317465356592962)</f>
        <v>0</v>
      </c>
      <c r="AO39" s="71" t="s">
        <v>157</v>
      </c>
      <c r="AT39" s="70">
        <f>AU39+AV39</f>
        <v>0</v>
      </c>
      <c r="AU39" s="70">
        <f>F39*AM39</f>
        <v>0</v>
      </c>
      <c r="AV39" s="70">
        <f>F39*AN39</f>
        <v>0</v>
      </c>
      <c r="AW39" s="71" t="s">
        <v>533</v>
      </c>
      <c r="AX39" s="71" t="s">
        <v>356</v>
      </c>
      <c r="AY39" s="64" t="s">
        <v>164</v>
      </c>
      <c r="BA39" s="70">
        <f>AU39+AV39</f>
        <v>0</v>
      </c>
      <c r="BB39" s="70">
        <f>G39/(100-BC39)*100</f>
        <v>0</v>
      </c>
      <c r="BC39" s="70">
        <v>0</v>
      </c>
      <c r="BD39" s="70">
        <f>L39</f>
        <v>0</v>
      </c>
      <c r="BF39" s="70">
        <f>F39*AM39</f>
        <v>0</v>
      </c>
      <c r="BG39" s="70">
        <f>F39*AN39</f>
        <v>0</v>
      </c>
      <c r="BH39" s="70">
        <f>F39*G39</f>
        <v>0</v>
      </c>
      <c r="BI39" s="70"/>
      <c r="BJ39" s="70">
        <v>85</v>
      </c>
      <c r="BU39" s="70" t="e">
        <f>#REF!</f>
        <v>#REF!</v>
      </c>
    </row>
    <row r="40" spans="1:73" ht="13.5" customHeight="1" x14ac:dyDescent="0.3">
      <c r="A40" s="82" t="s">
        <v>201</v>
      </c>
      <c r="B40" s="60" t="s">
        <v>537</v>
      </c>
      <c r="C40" s="551" t="s">
        <v>1073</v>
      </c>
      <c r="D40" s="565"/>
      <c r="E40" s="60" t="s">
        <v>365</v>
      </c>
      <c r="F40" s="70">
        <v>2</v>
      </c>
      <c r="G40" s="311">
        <v>0</v>
      </c>
      <c r="H40" s="70">
        <f>F40*AM40</f>
        <v>0</v>
      </c>
      <c r="I40" s="70">
        <f>F40*AN40</f>
        <v>0</v>
      </c>
      <c r="J40" s="70">
        <f>F40*G40</f>
        <v>0</v>
      </c>
      <c r="K40" s="70">
        <v>2.2000000000000001E-4</v>
      </c>
      <c r="L40" s="70">
        <f>F40*K40</f>
        <v>4.4000000000000002E-4</v>
      </c>
      <c r="M40" s="89" t="s">
        <v>472</v>
      </c>
      <c r="X40" s="70">
        <f>IF(AO40="5",BH40,0)</f>
        <v>0</v>
      </c>
      <c r="Z40" s="70">
        <f>IF(AO40="1",BF40,0)</f>
        <v>0</v>
      </c>
      <c r="AA40" s="70">
        <f>IF(AO40="1",BG40,0)</f>
        <v>0</v>
      </c>
      <c r="AB40" s="70">
        <f>IF(AO40="7",BF40,0)</f>
        <v>0</v>
      </c>
      <c r="AC40" s="70">
        <f>IF(AO40="7",BG40,0)</f>
        <v>0</v>
      </c>
      <c r="AD40" s="70">
        <f>IF(AO40="2",BF40,0)</f>
        <v>0</v>
      </c>
      <c r="AE40" s="70">
        <f>IF(AO40="2",BG40,0)</f>
        <v>0</v>
      </c>
      <c r="AF40" s="70">
        <f>IF(AO40="0",BH40,0)</f>
        <v>0</v>
      </c>
      <c r="AG40" s="64" t="s">
        <v>154</v>
      </c>
      <c r="AH40" s="70">
        <f>IF(AL40=0,J40,0)</f>
        <v>0</v>
      </c>
      <c r="AI40" s="70">
        <f>IF(AL40=15,J40,0)</f>
        <v>0</v>
      </c>
      <c r="AJ40" s="70">
        <f>IF(AL40=21,J40,0)</f>
        <v>0</v>
      </c>
      <c r="AL40" s="70">
        <v>21</v>
      </c>
      <c r="AM40" s="70">
        <f>G40*0.21</f>
        <v>0</v>
      </c>
      <c r="AN40" s="70">
        <f>G40*(1-0.21)</f>
        <v>0</v>
      </c>
      <c r="AO40" s="71" t="s">
        <v>157</v>
      </c>
      <c r="AT40" s="70">
        <f>AU40+AV40</f>
        <v>0</v>
      </c>
      <c r="AU40" s="70">
        <f>F40*AM40</f>
        <v>0</v>
      </c>
      <c r="AV40" s="70">
        <f>F40*AN40</f>
        <v>0</v>
      </c>
      <c r="AW40" s="71" t="s">
        <v>533</v>
      </c>
      <c r="AX40" s="71" t="s">
        <v>356</v>
      </c>
      <c r="AY40" s="64" t="s">
        <v>164</v>
      </c>
      <c r="BA40" s="70">
        <f>AU40+AV40</f>
        <v>0</v>
      </c>
      <c r="BB40" s="70">
        <f>G40/(100-BC40)*100</f>
        <v>0</v>
      </c>
      <c r="BC40" s="70">
        <v>0</v>
      </c>
      <c r="BD40" s="70">
        <f>L40</f>
        <v>4.4000000000000002E-4</v>
      </c>
      <c r="BF40" s="70">
        <f>F40*AM40</f>
        <v>0</v>
      </c>
      <c r="BG40" s="70">
        <f>F40*AN40</f>
        <v>0</v>
      </c>
      <c r="BH40" s="70">
        <f>F40*G40</f>
        <v>0</v>
      </c>
      <c r="BI40" s="70"/>
      <c r="BJ40" s="70">
        <v>85</v>
      </c>
      <c r="BU40" s="70" t="e">
        <f>#REF!</f>
        <v>#REF!</v>
      </c>
    </row>
    <row r="41" spans="1:73" ht="40.5" customHeight="1" x14ac:dyDescent="0.3">
      <c r="A41" s="90"/>
      <c r="B41" s="72" t="s">
        <v>165</v>
      </c>
      <c r="C41" s="581" t="s">
        <v>536</v>
      </c>
      <c r="D41" s="582"/>
      <c r="E41" s="582"/>
      <c r="F41" s="582"/>
      <c r="G41" s="582"/>
      <c r="H41" s="582"/>
      <c r="I41" s="582"/>
      <c r="J41" s="582"/>
      <c r="K41" s="582"/>
      <c r="L41" s="582"/>
      <c r="M41" s="583"/>
    </row>
    <row r="42" spans="1:73" ht="15" customHeight="1" x14ac:dyDescent="0.3">
      <c r="A42" s="82" t="s">
        <v>154</v>
      </c>
      <c r="B42" s="61" t="s">
        <v>539</v>
      </c>
      <c r="C42" s="564" t="s">
        <v>540</v>
      </c>
      <c r="D42" s="571"/>
      <c r="E42" s="60" t="s">
        <v>114</v>
      </c>
      <c r="F42" s="60" t="s">
        <v>114</v>
      </c>
      <c r="G42" s="60" t="s">
        <v>114</v>
      </c>
      <c r="H42" s="73">
        <f>SUM(H43:H54)</f>
        <v>0</v>
      </c>
      <c r="I42" s="73">
        <f>SUM(I43:I54)</f>
        <v>0</v>
      </c>
      <c r="J42" s="73">
        <f>SUM(J43:J54)</f>
        <v>0</v>
      </c>
      <c r="K42" s="65" t="s">
        <v>154</v>
      </c>
      <c r="L42" s="73">
        <f>SUM(L43:L54)</f>
        <v>0</v>
      </c>
      <c r="M42" s="91" t="s">
        <v>154</v>
      </c>
      <c r="AG42" s="64" t="s">
        <v>154</v>
      </c>
      <c r="AQ42" s="59">
        <f>SUM(AH43:AH54)</f>
        <v>0</v>
      </c>
      <c r="AR42" s="59">
        <f>SUM(AI43:AI54)</f>
        <v>0</v>
      </c>
      <c r="AS42" s="59">
        <f>SUM(AJ43:AJ54)</f>
        <v>0</v>
      </c>
    </row>
    <row r="43" spans="1:73" ht="27" customHeight="1" x14ac:dyDescent="0.3">
      <c r="A43" s="82" t="s">
        <v>210</v>
      </c>
      <c r="B43" s="60" t="s">
        <v>552</v>
      </c>
      <c r="C43" s="551" t="s">
        <v>553</v>
      </c>
      <c r="D43" s="565"/>
      <c r="E43" s="60" t="s">
        <v>160</v>
      </c>
      <c r="F43" s="70">
        <v>17</v>
      </c>
      <c r="G43" s="311">
        <v>0</v>
      </c>
      <c r="H43" s="70">
        <f>F43*AM43</f>
        <v>0</v>
      </c>
      <c r="I43" s="70">
        <f>F43*AN43</f>
        <v>0</v>
      </c>
      <c r="J43" s="70">
        <f>F43*G43</f>
        <v>0</v>
      </c>
      <c r="K43" s="70">
        <v>0</v>
      </c>
      <c r="L43" s="70">
        <f>F43*K43</f>
        <v>0</v>
      </c>
      <c r="M43" s="89" t="s">
        <v>472</v>
      </c>
      <c r="X43" s="70">
        <f>IF(AO43="5",BH43,0)</f>
        <v>0</v>
      </c>
      <c r="Z43" s="70">
        <f>IF(AO43="1",BF43,0)</f>
        <v>0</v>
      </c>
      <c r="AA43" s="70">
        <f>IF(AO43="1",BG43,0)</f>
        <v>0</v>
      </c>
      <c r="AB43" s="70">
        <f>IF(AO43="7",BF43,0)</f>
        <v>0</v>
      </c>
      <c r="AC43" s="70">
        <f>IF(AO43="7",BG43,0)</f>
        <v>0</v>
      </c>
      <c r="AD43" s="70">
        <f>IF(AO43="2",BF43,0)</f>
        <v>0</v>
      </c>
      <c r="AE43" s="70">
        <f>IF(AO43="2",BG43,0)</f>
        <v>0</v>
      </c>
      <c r="AF43" s="70">
        <f>IF(AO43="0",BH43,0)</f>
        <v>0</v>
      </c>
      <c r="AG43" s="64" t="s">
        <v>154</v>
      </c>
      <c r="AH43" s="70">
        <f>IF(AL43=0,J43,0)</f>
        <v>0</v>
      </c>
      <c r="AI43" s="70">
        <f>IF(AL43=15,J43,0)</f>
        <v>0</v>
      </c>
      <c r="AJ43" s="70">
        <f>IF(AL43=21,J43,0)</f>
        <v>0</v>
      </c>
      <c r="AL43" s="70">
        <v>21</v>
      </c>
      <c r="AM43" s="70">
        <f>G43*0</f>
        <v>0</v>
      </c>
      <c r="AN43" s="70">
        <f>G43*(1-0)</f>
        <v>0</v>
      </c>
      <c r="AO43" s="71" t="s">
        <v>157</v>
      </c>
      <c r="AT43" s="70">
        <f>AU43+AV43</f>
        <v>0</v>
      </c>
      <c r="AU43" s="70">
        <f>F43*AM43</f>
        <v>0</v>
      </c>
      <c r="AV43" s="70">
        <f>F43*AN43</f>
        <v>0</v>
      </c>
      <c r="AW43" s="71" t="s">
        <v>543</v>
      </c>
      <c r="AX43" s="71" t="s">
        <v>356</v>
      </c>
      <c r="AY43" s="64" t="s">
        <v>164</v>
      </c>
      <c r="BA43" s="70">
        <f>AU43+AV43</f>
        <v>0</v>
      </c>
      <c r="BB43" s="70">
        <f>G43/(100-BC43)*100</f>
        <v>0</v>
      </c>
      <c r="BC43" s="70">
        <v>0</v>
      </c>
      <c r="BD43" s="70">
        <f>L43</f>
        <v>0</v>
      </c>
      <c r="BF43" s="70">
        <f>F43*AM43</f>
        <v>0</v>
      </c>
      <c r="BG43" s="70">
        <f>F43*AN43</f>
        <v>0</v>
      </c>
      <c r="BH43" s="70">
        <f>F43*G43</f>
        <v>0</v>
      </c>
      <c r="BI43" s="70"/>
      <c r="BJ43" s="70">
        <v>87</v>
      </c>
      <c r="BU43" s="70" t="e">
        <f>#REF!</f>
        <v>#REF!</v>
      </c>
    </row>
    <row r="44" spans="1:73" ht="54" customHeight="1" x14ac:dyDescent="0.3">
      <c r="A44" s="90"/>
      <c r="B44" s="72" t="s">
        <v>165</v>
      </c>
      <c r="C44" s="581" t="s">
        <v>1074</v>
      </c>
      <c r="D44" s="582"/>
      <c r="E44" s="582"/>
      <c r="F44" s="582"/>
      <c r="G44" s="582"/>
      <c r="H44" s="582"/>
      <c r="I44" s="582"/>
      <c r="J44" s="582"/>
      <c r="K44" s="582"/>
      <c r="L44" s="582"/>
      <c r="M44" s="583"/>
    </row>
    <row r="45" spans="1:73" ht="27" customHeight="1" x14ac:dyDescent="0.3">
      <c r="A45" s="82" t="s">
        <v>161</v>
      </c>
      <c r="B45" s="60" t="s">
        <v>1075</v>
      </c>
      <c r="C45" s="551" t="s">
        <v>1076</v>
      </c>
      <c r="D45" s="565"/>
      <c r="E45" s="60" t="s">
        <v>160</v>
      </c>
      <c r="F45" s="70">
        <v>245</v>
      </c>
      <c r="G45" s="311">
        <v>0</v>
      </c>
      <c r="H45" s="70">
        <f>F45*AM45</f>
        <v>0</v>
      </c>
      <c r="I45" s="70">
        <f>F45*AN45</f>
        <v>0</v>
      </c>
      <c r="J45" s="70">
        <f>F45*G45</f>
        <v>0</v>
      </c>
      <c r="K45" s="70">
        <v>0</v>
      </c>
      <c r="L45" s="70">
        <f>F45*K45</f>
        <v>0</v>
      </c>
      <c r="M45" s="89" t="s">
        <v>472</v>
      </c>
      <c r="X45" s="70">
        <f>IF(AO45="5",BH45,0)</f>
        <v>0</v>
      </c>
      <c r="Z45" s="70">
        <f>IF(AO45="1",BF45,0)</f>
        <v>0</v>
      </c>
      <c r="AA45" s="70">
        <f>IF(AO45="1",BG45,0)</f>
        <v>0</v>
      </c>
      <c r="AB45" s="70">
        <f>IF(AO45="7",BF45,0)</f>
        <v>0</v>
      </c>
      <c r="AC45" s="70">
        <f>IF(AO45="7",BG45,0)</f>
        <v>0</v>
      </c>
      <c r="AD45" s="70">
        <f>IF(AO45="2",BF45,0)</f>
        <v>0</v>
      </c>
      <c r="AE45" s="70">
        <f>IF(AO45="2",BG45,0)</f>
        <v>0</v>
      </c>
      <c r="AF45" s="70">
        <f>IF(AO45="0",BH45,0)</f>
        <v>0</v>
      </c>
      <c r="AG45" s="64" t="s">
        <v>154</v>
      </c>
      <c r="AH45" s="70">
        <f>IF(AL45=0,J45,0)</f>
        <v>0</v>
      </c>
      <c r="AI45" s="70">
        <f>IF(AL45=15,J45,0)</f>
        <v>0</v>
      </c>
      <c r="AJ45" s="70">
        <f>IF(AL45=21,J45,0)</f>
        <v>0</v>
      </c>
      <c r="AL45" s="70">
        <v>21</v>
      </c>
      <c r="AM45" s="70">
        <f>G45*0</f>
        <v>0</v>
      </c>
      <c r="AN45" s="70">
        <f>G45*(1-0)</f>
        <v>0</v>
      </c>
      <c r="AO45" s="71" t="s">
        <v>157</v>
      </c>
      <c r="AT45" s="70">
        <f>AU45+AV45</f>
        <v>0</v>
      </c>
      <c r="AU45" s="70">
        <f>F45*AM45</f>
        <v>0</v>
      </c>
      <c r="AV45" s="70">
        <f>F45*AN45</f>
        <v>0</v>
      </c>
      <c r="AW45" s="71" t="s">
        <v>543</v>
      </c>
      <c r="AX45" s="71" t="s">
        <v>356</v>
      </c>
      <c r="AY45" s="64" t="s">
        <v>164</v>
      </c>
      <c r="BA45" s="70">
        <f>AU45+AV45</f>
        <v>0</v>
      </c>
      <c r="BB45" s="70">
        <f>G45/(100-BC45)*100</f>
        <v>0</v>
      </c>
      <c r="BC45" s="70">
        <v>0</v>
      </c>
      <c r="BD45" s="70">
        <f>L45</f>
        <v>0</v>
      </c>
      <c r="BF45" s="70">
        <f>F45*AM45</f>
        <v>0</v>
      </c>
      <c r="BG45" s="70">
        <f>F45*AN45</f>
        <v>0</v>
      </c>
      <c r="BH45" s="70">
        <f>F45*G45</f>
        <v>0</v>
      </c>
      <c r="BI45" s="70"/>
      <c r="BJ45" s="70">
        <v>87</v>
      </c>
      <c r="BU45" s="70" t="e">
        <f>#REF!</f>
        <v>#REF!</v>
      </c>
    </row>
    <row r="46" spans="1:73" ht="54" customHeight="1" x14ac:dyDescent="0.3">
      <c r="A46" s="90"/>
      <c r="B46" s="72" t="s">
        <v>165</v>
      </c>
      <c r="C46" s="581" t="s">
        <v>1077</v>
      </c>
      <c r="D46" s="582"/>
      <c r="E46" s="582"/>
      <c r="F46" s="582"/>
      <c r="G46" s="582"/>
      <c r="H46" s="582"/>
      <c r="I46" s="582"/>
      <c r="J46" s="582"/>
      <c r="K46" s="582"/>
      <c r="L46" s="582"/>
      <c r="M46" s="583"/>
    </row>
    <row r="47" spans="1:73" ht="13.5" customHeight="1" x14ac:dyDescent="0.3">
      <c r="A47" s="82" t="s">
        <v>215</v>
      </c>
      <c r="B47" s="60" t="s">
        <v>560</v>
      </c>
      <c r="C47" s="551" t="s">
        <v>561</v>
      </c>
      <c r="D47" s="565"/>
      <c r="E47" s="60" t="s">
        <v>365</v>
      </c>
      <c r="F47" s="70">
        <v>19</v>
      </c>
      <c r="G47" s="311">
        <v>0</v>
      </c>
      <c r="H47" s="70">
        <f>F47*AM47</f>
        <v>0</v>
      </c>
      <c r="I47" s="70">
        <f>F47*AN47</f>
        <v>0</v>
      </c>
      <c r="J47" s="70">
        <f>F47*G47</f>
        <v>0</v>
      </c>
      <c r="K47" s="70">
        <v>0</v>
      </c>
      <c r="L47" s="70">
        <f>F47*K47</f>
        <v>0</v>
      </c>
      <c r="M47" s="89" t="s">
        <v>472</v>
      </c>
      <c r="X47" s="70">
        <f>IF(AO47="5",BH47,0)</f>
        <v>0</v>
      </c>
      <c r="Z47" s="70">
        <f>IF(AO47="1",BF47,0)</f>
        <v>0</v>
      </c>
      <c r="AA47" s="70">
        <f>IF(AO47="1",BG47,0)</f>
        <v>0</v>
      </c>
      <c r="AB47" s="70">
        <f>IF(AO47="7",BF47,0)</f>
        <v>0</v>
      </c>
      <c r="AC47" s="70">
        <f>IF(AO47="7",BG47,0)</f>
        <v>0</v>
      </c>
      <c r="AD47" s="70">
        <f>IF(AO47="2",BF47,0)</f>
        <v>0</v>
      </c>
      <c r="AE47" s="70">
        <f>IF(AO47="2",BG47,0)</f>
        <v>0</v>
      </c>
      <c r="AF47" s="70">
        <f>IF(AO47="0",BH47,0)</f>
        <v>0</v>
      </c>
      <c r="AG47" s="64" t="s">
        <v>154</v>
      </c>
      <c r="AH47" s="70">
        <f>IF(AL47=0,J47,0)</f>
        <v>0</v>
      </c>
      <c r="AI47" s="70">
        <f>IF(AL47=15,J47,0)</f>
        <v>0</v>
      </c>
      <c r="AJ47" s="70">
        <f>IF(AL47=21,J47,0)</f>
        <v>0</v>
      </c>
      <c r="AL47" s="70">
        <v>21</v>
      </c>
      <c r="AM47" s="70">
        <f>G47*0</f>
        <v>0</v>
      </c>
      <c r="AN47" s="70">
        <f>G47*(1-0)</f>
        <v>0</v>
      </c>
      <c r="AO47" s="71" t="s">
        <v>157</v>
      </c>
      <c r="AT47" s="70">
        <f>AU47+AV47</f>
        <v>0</v>
      </c>
      <c r="AU47" s="70">
        <f>F47*AM47</f>
        <v>0</v>
      </c>
      <c r="AV47" s="70">
        <f>F47*AN47</f>
        <v>0</v>
      </c>
      <c r="AW47" s="71" t="s">
        <v>543</v>
      </c>
      <c r="AX47" s="71" t="s">
        <v>356</v>
      </c>
      <c r="AY47" s="64" t="s">
        <v>164</v>
      </c>
      <c r="BA47" s="70">
        <f>AU47+AV47</f>
        <v>0</v>
      </c>
      <c r="BB47" s="70">
        <f>G47/(100-BC47)*100</f>
        <v>0</v>
      </c>
      <c r="BC47" s="70">
        <v>0</v>
      </c>
      <c r="BD47" s="70">
        <f>L47</f>
        <v>0</v>
      </c>
      <c r="BF47" s="70">
        <f>F47*AM47</f>
        <v>0</v>
      </c>
      <c r="BG47" s="70">
        <f>F47*AN47</f>
        <v>0</v>
      </c>
      <c r="BH47" s="70">
        <f>F47*G47</f>
        <v>0</v>
      </c>
      <c r="BI47" s="70"/>
      <c r="BJ47" s="70">
        <v>87</v>
      </c>
      <c r="BU47" s="70" t="e">
        <f>#REF!</f>
        <v>#REF!</v>
      </c>
    </row>
    <row r="48" spans="1:73" ht="27" customHeight="1" x14ac:dyDescent="0.3">
      <c r="A48" s="90"/>
      <c r="B48" s="72" t="s">
        <v>165</v>
      </c>
      <c r="C48" s="581" t="s">
        <v>558</v>
      </c>
      <c r="D48" s="582"/>
      <c r="E48" s="582"/>
      <c r="F48" s="582"/>
      <c r="G48" s="582"/>
      <c r="H48" s="582"/>
      <c r="I48" s="582"/>
      <c r="J48" s="582"/>
      <c r="K48" s="582"/>
      <c r="L48" s="582"/>
      <c r="M48" s="583"/>
    </row>
    <row r="49" spans="1:73" ht="27" customHeight="1" x14ac:dyDescent="0.3">
      <c r="A49" s="82" t="s">
        <v>220</v>
      </c>
      <c r="B49" s="60" t="s">
        <v>556</v>
      </c>
      <c r="C49" s="551" t="s">
        <v>1078</v>
      </c>
      <c r="D49" s="565"/>
      <c r="E49" s="60" t="s">
        <v>471</v>
      </c>
      <c r="F49" s="70">
        <v>16</v>
      </c>
      <c r="G49" s="311">
        <v>0</v>
      </c>
      <c r="H49" s="70">
        <f>F49*AM49</f>
        <v>0</v>
      </c>
      <c r="I49" s="70">
        <f>F49*AN49</f>
        <v>0</v>
      </c>
      <c r="J49" s="70">
        <f>F49*G49</f>
        <v>0</v>
      </c>
      <c r="K49" s="70">
        <v>0</v>
      </c>
      <c r="L49" s="70">
        <f>F49*K49</f>
        <v>0</v>
      </c>
      <c r="M49" s="89" t="s">
        <v>472</v>
      </c>
      <c r="X49" s="70">
        <f>IF(AO49="5",BH49,0)</f>
        <v>0</v>
      </c>
      <c r="Z49" s="70">
        <f>IF(AO49="1",BF49,0)</f>
        <v>0</v>
      </c>
      <c r="AA49" s="70">
        <f>IF(AO49="1",BG49,0)</f>
        <v>0</v>
      </c>
      <c r="AB49" s="70">
        <f>IF(AO49="7",BF49,0)</f>
        <v>0</v>
      </c>
      <c r="AC49" s="70">
        <f>IF(AO49="7",BG49,0)</f>
        <v>0</v>
      </c>
      <c r="AD49" s="70">
        <f>IF(AO49="2",BF49,0)</f>
        <v>0</v>
      </c>
      <c r="AE49" s="70">
        <f>IF(AO49="2",BG49,0)</f>
        <v>0</v>
      </c>
      <c r="AF49" s="70">
        <f>IF(AO49="0",BH49,0)</f>
        <v>0</v>
      </c>
      <c r="AG49" s="64" t="s">
        <v>154</v>
      </c>
      <c r="AH49" s="70">
        <f>IF(AL49=0,J49,0)</f>
        <v>0</v>
      </c>
      <c r="AI49" s="70">
        <f>IF(AL49=15,J49,0)</f>
        <v>0</v>
      </c>
      <c r="AJ49" s="70">
        <f>IF(AL49=21,J49,0)</f>
        <v>0</v>
      </c>
      <c r="AL49" s="70">
        <v>21</v>
      </c>
      <c r="AM49" s="70">
        <f>G49*0</f>
        <v>0</v>
      </c>
      <c r="AN49" s="70">
        <f>G49*(1-0)</f>
        <v>0</v>
      </c>
      <c r="AO49" s="71" t="s">
        <v>157</v>
      </c>
      <c r="AT49" s="70">
        <f>AU49+AV49</f>
        <v>0</v>
      </c>
      <c r="AU49" s="70">
        <f>F49*AM49</f>
        <v>0</v>
      </c>
      <c r="AV49" s="70">
        <f>F49*AN49</f>
        <v>0</v>
      </c>
      <c r="AW49" s="71" t="s">
        <v>543</v>
      </c>
      <c r="AX49" s="71" t="s">
        <v>356</v>
      </c>
      <c r="AY49" s="64" t="s">
        <v>164</v>
      </c>
      <c r="BA49" s="70">
        <f>AU49+AV49</f>
        <v>0</v>
      </c>
      <c r="BB49" s="70">
        <f>G49/(100-BC49)*100</f>
        <v>0</v>
      </c>
      <c r="BC49" s="70">
        <v>0</v>
      </c>
      <c r="BD49" s="70">
        <f>L49</f>
        <v>0</v>
      </c>
      <c r="BF49" s="70">
        <f>F49*AM49</f>
        <v>0</v>
      </c>
      <c r="BG49" s="70">
        <f>F49*AN49</f>
        <v>0</v>
      </c>
      <c r="BH49" s="70">
        <f>F49*G49</f>
        <v>0</v>
      </c>
      <c r="BI49" s="70"/>
      <c r="BJ49" s="70">
        <v>87</v>
      </c>
      <c r="BU49" s="70" t="e">
        <f>#REF!</f>
        <v>#REF!</v>
      </c>
    </row>
    <row r="50" spans="1:73" ht="27" customHeight="1" x14ac:dyDescent="0.3">
      <c r="A50" s="116" t="s">
        <v>224</v>
      </c>
      <c r="B50" s="75" t="s">
        <v>556</v>
      </c>
      <c r="C50" s="650" t="s">
        <v>557</v>
      </c>
      <c r="D50" s="651"/>
      <c r="E50" s="75" t="s">
        <v>365</v>
      </c>
      <c r="F50" s="76">
        <v>10</v>
      </c>
      <c r="G50" s="311">
        <v>0</v>
      </c>
      <c r="H50" s="76">
        <f>F50*AM50</f>
        <v>0</v>
      </c>
      <c r="I50" s="76">
        <f>F50*AN50</f>
        <v>0</v>
      </c>
      <c r="J50" s="76">
        <f>F50*G50</f>
        <v>0</v>
      </c>
      <c r="K50" s="76">
        <v>0</v>
      </c>
      <c r="L50" s="76">
        <f>F50*K50</f>
        <v>0</v>
      </c>
      <c r="M50" s="117" t="s">
        <v>472</v>
      </c>
      <c r="X50" s="70">
        <f>IF(AO50="5",BH50,0)</f>
        <v>0</v>
      </c>
      <c r="Z50" s="70">
        <f>IF(AO50="1",BF50,0)</f>
        <v>0</v>
      </c>
      <c r="AA50" s="70">
        <f>IF(AO50="1",BG50,0)</f>
        <v>0</v>
      </c>
      <c r="AB50" s="70">
        <f>IF(AO50="7",BF50,0)</f>
        <v>0</v>
      </c>
      <c r="AC50" s="70">
        <f>IF(AO50="7",BG50,0)</f>
        <v>0</v>
      </c>
      <c r="AD50" s="70">
        <f>IF(AO50="2",BF50,0)</f>
        <v>0</v>
      </c>
      <c r="AE50" s="70">
        <f>IF(AO50="2",BG50,0)</f>
        <v>0</v>
      </c>
      <c r="AF50" s="70">
        <f>IF(AO50="0",BH50,0)</f>
        <v>0</v>
      </c>
      <c r="AG50" s="64" t="s">
        <v>154</v>
      </c>
      <c r="AH50" s="70">
        <f>IF(AL50=0,J50,0)</f>
        <v>0</v>
      </c>
      <c r="AI50" s="70">
        <f>IF(AL50=15,J50,0)</f>
        <v>0</v>
      </c>
      <c r="AJ50" s="70">
        <f>IF(AL50=21,J50,0)</f>
        <v>0</v>
      </c>
      <c r="AL50" s="70">
        <v>21</v>
      </c>
      <c r="AM50" s="70">
        <f>G50*0</f>
        <v>0</v>
      </c>
      <c r="AN50" s="70">
        <f>G50*(1-0)</f>
        <v>0</v>
      </c>
      <c r="AO50" s="71" t="s">
        <v>157</v>
      </c>
      <c r="AT50" s="70">
        <f>AU50+AV50</f>
        <v>0</v>
      </c>
      <c r="AU50" s="70">
        <f>F50*AM50</f>
        <v>0</v>
      </c>
      <c r="AV50" s="70">
        <f>F50*AN50</f>
        <v>0</v>
      </c>
      <c r="AW50" s="71" t="s">
        <v>543</v>
      </c>
      <c r="AX50" s="71" t="s">
        <v>356</v>
      </c>
      <c r="AY50" s="64" t="s">
        <v>164</v>
      </c>
      <c r="BA50" s="70">
        <f>AU50+AV50</f>
        <v>0</v>
      </c>
      <c r="BB50" s="70">
        <f>G50/(100-BC50)*100</f>
        <v>0</v>
      </c>
      <c r="BC50" s="70">
        <v>0</v>
      </c>
      <c r="BD50" s="70">
        <f>L50</f>
        <v>0</v>
      </c>
      <c r="BF50" s="70">
        <f>F50*AM50</f>
        <v>0</v>
      </c>
      <c r="BG50" s="70">
        <f>F50*AN50</f>
        <v>0</v>
      </c>
      <c r="BH50" s="70">
        <f>F50*G50</f>
        <v>0</v>
      </c>
      <c r="BI50" s="70"/>
      <c r="BJ50" s="70">
        <v>87</v>
      </c>
      <c r="BU50" s="70" t="e">
        <f>#REF!</f>
        <v>#REF!</v>
      </c>
    </row>
    <row r="51" spans="1:73" ht="27" customHeight="1" x14ac:dyDescent="0.3">
      <c r="A51" s="90"/>
      <c r="B51" s="72" t="s">
        <v>165</v>
      </c>
      <c r="C51" s="581" t="s">
        <v>558</v>
      </c>
      <c r="D51" s="582"/>
      <c r="E51" s="582"/>
      <c r="F51" s="582"/>
      <c r="G51" s="582"/>
      <c r="H51" s="582"/>
      <c r="I51" s="582"/>
      <c r="J51" s="582"/>
      <c r="K51" s="582"/>
      <c r="L51" s="582"/>
      <c r="M51" s="583"/>
    </row>
    <row r="52" spans="1:73" ht="13.5" customHeight="1" x14ac:dyDescent="0.3">
      <c r="A52" s="116" t="s">
        <v>228</v>
      </c>
      <c r="B52" s="75" t="s">
        <v>560</v>
      </c>
      <c r="C52" s="650" t="s">
        <v>561</v>
      </c>
      <c r="D52" s="651"/>
      <c r="E52" s="75" t="s">
        <v>365</v>
      </c>
      <c r="F52" s="76">
        <v>10</v>
      </c>
      <c r="G52" s="311">
        <v>0</v>
      </c>
      <c r="H52" s="76">
        <f>F52*AM52</f>
        <v>0</v>
      </c>
      <c r="I52" s="76">
        <f>F52*AN52</f>
        <v>0</v>
      </c>
      <c r="J52" s="76">
        <f>F52*G52</f>
        <v>0</v>
      </c>
      <c r="K52" s="76">
        <v>0</v>
      </c>
      <c r="L52" s="76">
        <f>F52*K52</f>
        <v>0</v>
      </c>
      <c r="M52" s="117" t="s">
        <v>472</v>
      </c>
      <c r="X52" s="70">
        <f>IF(AO52="5",BH52,0)</f>
        <v>0</v>
      </c>
      <c r="Z52" s="70">
        <f>IF(AO52="1",BF52,0)</f>
        <v>0</v>
      </c>
      <c r="AA52" s="70">
        <f>IF(AO52="1",BG52,0)</f>
        <v>0</v>
      </c>
      <c r="AB52" s="70">
        <f>IF(AO52="7",BF52,0)</f>
        <v>0</v>
      </c>
      <c r="AC52" s="70">
        <f>IF(AO52="7",BG52,0)</f>
        <v>0</v>
      </c>
      <c r="AD52" s="70">
        <f>IF(AO52="2",BF52,0)</f>
        <v>0</v>
      </c>
      <c r="AE52" s="70">
        <f>IF(AO52="2",BG52,0)</f>
        <v>0</v>
      </c>
      <c r="AF52" s="70">
        <f>IF(AO52="0",BH52,0)</f>
        <v>0</v>
      </c>
      <c r="AG52" s="64" t="s">
        <v>154</v>
      </c>
      <c r="AH52" s="70">
        <f>IF(AL52=0,J52,0)</f>
        <v>0</v>
      </c>
      <c r="AI52" s="70">
        <f>IF(AL52=15,J52,0)</f>
        <v>0</v>
      </c>
      <c r="AJ52" s="70">
        <f>IF(AL52=21,J52,0)</f>
        <v>0</v>
      </c>
      <c r="AL52" s="70">
        <v>21</v>
      </c>
      <c r="AM52" s="70">
        <f>G52*0</f>
        <v>0</v>
      </c>
      <c r="AN52" s="70">
        <f>G52*(1-0)</f>
        <v>0</v>
      </c>
      <c r="AO52" s="71" t="s">
        <v>157</v>
      </c>
      <c r="AT52" s="70">
        <f>AU52+AV52</f>
        <v>0</v>
      </c>
      <c r="AU52" s="70">
        <f>F52*AM52</f>
        <v>0</v>
      </c>
      <c r="AV52" s="70">
        <f>F52*AN52</f>
        <v>0</v>
      </c>
      <c r="AW52" s="71" t="s">
        <v>543</v>
      </c>
      <c r="AX52" s="71" t="s">
        <v>356</v>
      </c>
      <c r="AY52" s="64" t="s">
        <v>164</v>
      </c>
      <c r="BA52" s="70">
        <f>AU52+AV52</f>
        <v>0</v>
      </c>
      <c r="BB52" s="70">
        <f>G52/(100-BC52)*100</f>
        <v>0</v>
      </c>
      <c r="BC52" s="70">
        <v>0</v>
      </c>
      <c r="BD52" s="70">
        <f>L52</f>
        <v>0</v>
      </c>
      <c r="BF52" s="70">
        <f>F52*AM52</f>
        <v>0</v>
      </c>
      <c r="BG52" s="70">
        <f>F52*AN52</f>
        <v>0</v>
      </c>
      <c r="BH52" s="70">
        <f>F52*G52</f>
        <v>0</v>
      </c>
      <c r="BI52" s="70"/>
      <c r="BJ52" s="70">
        <v>87</v>
      </c>
      <c r="BU52" s="70" t="e">
        <f>#REF!</f>
        <v>#REF!</v>
      </c>
    </row>
    <row r="53" spans="1:73" ht="27" customHeight="1" x14ac:dyDescent="0.3">
      <c r="A53" s="90"/>
      <c r="B53" s="72" t="s">
        <v>165</v>
      </c>
      <c r="C53" s="581" t="s">
        <v>558</v>
      </c>
      <c r="D53" s="582"/>
      <c r="E53" s="582"/>
      <c r="F53" s="582"/>
      <c r="G53" s="582"/>
      <c r="H53" s="582"/>
      <c r="I53" s="582"/>
      <c r="J53" s="582"/>
      <c r="K53" s="582"/>
      <c r="L53" s="582"/>
      <c r="M53" s="583"/>
    </row>
    <row r="54" spans="1:73" ht="27" customHeight="1" x14ac:dyDescent="0.3">
      <c r="A54" s="116" t="s">
        <v>232</v>
      </c>
      <c r="B54" s="75" t="s">
        <v>556</v>
      </c>
      <c r="C54" s="650" t="s">
        <v>1078</v>
      </c>
      <c r="D54" s="651"/>
      <c r="E54" s="75" t="s">
        <v>471</v>
      </c>
      <c r="F54" s="76">
        <v>20</v>
      </c>
      <c r="G54" s="311">
        <v>0</v>
      </c>
      <c r="H54" s="76">
        <f>F54*AM54</f>
        <v>0</v>
      </c>
      <c r="I54" s="76">
        <f>F54*AN54</f>
        <v>0</v>
      </c>
      <c r="J54" s="76">
        <f>F54*G54</f>
        <v>0</v>
      </c>
      <c r="K54" s="76">
        <v>0</v>
      </c>
      <c r="L54" s="76">
        <f>F54*K54</f>
        <v>0</v>
      </c>
      <c r="M54" s="117" t="s">
        <v>472</v>
      </c>
      <c r="X54" s="70">
        <f>IF(AO54="5",BH54,0)</f>
        <v>0</v>
      </c>
      <c r="Z54" s="70">
        <f>IF(AO54="1",BF54,0)</f>
        <v>0</v>
      </c>
      <c r="AA54" s="70">
        <f>IF(AO54="1",BG54,0)</f>
        <v>0</v>
      </c>
      <c r="AB54" s="70">
        <f>IF(AO54="7",BF54,0)</f>
        <v>0</v>
      </c>
      <c r="AC54" s="70">
        <f>IF(AO54="7",BG54,0)</f>
        <v>0</v>
      </c>
      <c r="AD54" s="70">
        <f>IF(AO54="2",BF54,0)</f>
        <v>0</v>
      </c>
      <c r="AE54" s="70">
        <f>IF(AO54="2",BG54,0)</f>
        <v>0</v>
      </c>
      <c r="AF54" s="70">
        <f>IF(AO54="0",BH54,0)</f>
        <v>0</v>
      </c>
      <c r="AG54" s="64" t="s">
        <v>154</v>
      </c>
      <c r="AH54" s="70">
        <f>IF(AL54=0,J54,0)</f>
        <v>0</v>
      </c>
      <c r="AI54" s="70">
        <f>IF(AL54=15,J54,0)</f>
        <v>0</v>
      </c>
      <c r="AJ54" s="70">
        <f>IF(AL54=21,J54,0)</f>
        <v>0</v>
      </c>
      <c r="AL54" s="70">
        <v>21</v>
      </c>
      <c r="AM54" s="70">
        <f>G54*0</f>
        <v>0</v>
      </c>
      <c r="AN54" s="70">
        <f>G54*(1-0)</f>
        <v>0</v>
      </c>
      <c r="AO54" s="71" t="s">
        <v>157</v>
      </c>
      <c r="AT54" s="70">
        <f>AU54+AV54</f>
        <v>0</v>
      </c>
      <c r="AU54" s="70">
        <f>F54*AM54</f>
        <v>0</v>
      </c>
      <c r="AV54" s="70">
        <f>F54*AN54</f>
        <v>0</v>
      </c>
      <c r="AW54" s="71" t="s">
        <v>543</v>
      </c>
      <c r="AX54" s="71" t="s">
        <v>356</v>
      </c>
      <c r="AY54" s="64" t="s">
        <v>164</v>
      </c>
      <c r="BA54" s="70">
        <f>AU54+AV54</f>
        <v>0</v>
      </c>
      <c r="BB54" s="70">
        <f>G54/(100-BC54)*100</f>
        <v>0</v>
      </c>
      <c r="BC54" s="70">
        <v>0</v>
      </c>
      <c r="BD54" s="70">
        <f>L54</f>
        <v>0</v>
      </c>
      <c r="BF54" s="70">
        <f>F54*AM54</f>
        <v>0</v>
      </c>
      <c r="BG54" s="70">
        <f>F54*AN54</f>
        <v>0</v>
      </c>
      <c r="BH54" s="70">
        <f>F54*G54</f>
        <v>0</v>
      </c>
      <c r="BI54" s="70"/>
      <c r="BJ54" s="70">
        <v>87</v>
      </c>
      <c r="BU54" s="70" t="e">
        <f>#REF!</f>
        <v>#REF!</v>
      </c>
    </row>
    <row r="55" spans="1:73" ht="15" customHeight="1" x14ac:dyDescent="0.3">
      <c r="A55" s="82" t="s">
        <v>154</v>
      </c>
      <c r="B55" s="61" t="s">
        <v>360</v>
      </c>
      <c r="C55" s="564" t="s">
        <v>361</v>
      </c>
      <c r="D55" s="571"/>
      <c r="E55" s="60" t="s">
        <v>114</v>
      </c>
      <c r="F55" s="60" t="s">
        <v>114</v>
      </c>
      <c r="G55" s="60" t="s">
        <v>114</v>
      </c>
      <c r="H55" s="73">
        <f>SUM(H56:H72)</f>
        <v>0</v>
      </c>
      <c r="I55" s="73">
        <f>SUM(I56:I72)</f>
        <v>0</v>
      </c>
      <c r="J55" s="73">
        <f>SUM(J56:J72)</f>
        <v>0</v>
      </c>
      <c r="K55" s="65" t="s">
        <v>154</v>
      </c>
      <c r="L55" s="73">
        <f>SUM(L56:L72)</f>
        <v>0.12938</v>
      </c>
      <c r="M55" s="91" t="s">
        <v>154</v>
      </c>
      <c r="AG55" s="64" t="s">
        <v>154</v>
      </c>
      <c r="AQ55" s="59">
        <f>SUM(AH56:AH72)</f>
        <v>0</v>
      </c>
      <c r="AR55" s="59">
        <f>SUM(AI56:AI72)</f>
        <v>0</v>
      </c>
      <c r="AS55" s="59">
        <f>SUM(AJ56:AJ72)</f>
        <v>0</v>
      </c>
    </row>
    <row r="56" spans="1:73" ht="13.5" customHeight="1" x14ac:dyDescent="0.3">
      <c r="A56" s="82" t="s">
        <v>235</v>
      </c>
      <c r="B56" s="60" t="s">
        <v>577</v>
      </c>
      <c r="C56" s="551" t="s">
        <v>578</v>
      </c>
      <c r="D56" s="565"/>
      <c r="E56" s="60" t="s">
        <v>160</v>
      </c>
      <c r="F56" s="70">
        <v>262</v>
      </c>
      <c r="G56" s="311">
        <v>0</v>
      </c>
      <c r="H56" s="70">
        <f>F56*AM56</f>
        <v>0</v>
      </c>
      <c r="I56" s="70">
        <f>F56*AN56</f>
        <v>0</v>
      </c>
      <c r="J56" s="70">
        <f>F56*G56</f>
        <v>0</v>
      </c>
      <c r="K56" s="70">
        <v>0</v>
      </c>
      <c r="L56" s="70">
        <f>F56*K56</f>
        <v>0</v>
      </c>
      <c r="M56" s="89" t="s">
        <v>472</v>
      </c>
      <c r="X56" s="70">
        <f>IF(AO56="5",BH56,0)</f>
        <v>0</v>
      </c>
      <c r="Z56" s="70">
        <f>IF(AO56="1",BF56,0)</f>
        <v>0</v>
      </c>
      <c r="AA56" s="70">
        <f>IF(AO56="1",BG56,0)</f>
        <v>0</v>
      </c>
      <c r="AB56" s="70">
        <f>IF(AO56="7",BF56,0)</f>
        <v>0</v>
      </c>
      <c r="AC56" s="70">
        <f>IF(AO56="7",BG56,0)</f>
        <v>0</v>
      </c>
      <c r="AD56" s="70">
        <f>IF(AO56="2",BF56,0)</f>
        <v>0</v>
      </c>
      <c r="AE56" s="70">
        <f>IF(AO56="2",BG56,0)</f>
        <v>0</v>
      </c>
      <c r="AF56" s="70">
        <f>IF(AO56="0",BH56,0)</f>
        <v>0</v>
      </c>
      <c r="AG56" s="64" t="s">
        <v>154</v>
      </c>
      <c r="AH56" s="70">
        <f>IF(AL56=0,J56,0)</f>
        <v>0</v>
      </c>
      <c r="AI56" s="70">
        <f>IF(AL56=15,J56,0)</f>
        <v>0</v>
      </c>
      <c r="AJ56" s="70">
        <f>IF(AL56=21,J56,0)</f>
        <v>0</v>
      </c>
      <c r="AL56" s="70">
        <v>21</v>
      </c>
      <c r="AM56" s="70">
        <f>G56*0.0251078854452727</f>
        <v>0</v>
      </c>
      <c r="AN56" s="70">
        <f>G56*(1-0.0251078854452727)</f>
        <v>0</v>
      </c>
      <c r="AO56" s="71" t="s">
        <v>157</v>
      </c>
      <c r="AT56" s="70">
        <f>AU56+AV56</f>
        <v>0</v>
      </c>
      <c r="AU56" s="70">
        <f>F56*AM56</f>
        <v>0</v>
      </c>
      <c r="AV56" s="70">
        <f>F56*AN56</f>
        <v>0</v>
      </c>
      <c r="AW56" s="71" t="s">
        <v>366</v>
      </c>
      <c r="AX56" s="71" t="s">
        <v>356</v>
      </c>
      <c r="AY56" s="64" t="s">
        <v>164</v>
      </c>
      <c r="BA56" s="70">
        <f>AU56+AV56</f>
        <v>0</v>
      </c>
      <c r="BB56" s="70">
        <f>G56/(100-BC56)*100</f>
        <v>0</v>
      </c>
      <c r="BC56" s="70">
        <v>0</v>
      </c>
      <c r="BD56" s="70">
        <f>L56</f>
        <v>0</v>
      </c>
      <c r="BF56" s="70">
        <f>F56*AM56</f>
        <v>0</v>
      </c>
      <c r="BG56" s="70">
        <f>F56*AN56</f>
        <v>0</v>
      </c>
      <c r="BH56" s="70">
        <f>F56*G56</f>
        <v>0</v>
      </c>
      <c r="BI56" s="70"/>
      <c r="BJ56" s="70">
        <v>89</v>
      </c>
      <c r="BU56" s="70" t="e">
        <f>#REF!</f>
        <v>#REF!</v>
      </c>
    </row>
    <row r="57" spans="1:73" ht="40.5" customHeight="1" x14ac:dyDescent="0.3">
      <c r="A57" s="90"/>
      <c r="B57" s="72" t="s">
        <v>165</v>
      </c>
      <c r="C57" s="581" t="s">
        <v>1079</v>
      </c>
      <c r="D57" s="582"/>
      <c r="E57" s="582"/>
      <c r="F57" s="582"/>
      <c r="G57" s="582"/>
      <c r="H57" s="582"/>
      <c r="I57" s="582"/>
      <c r="J57" s="582"/>
      <c r="K57" s="582"/>
      <c r="L57" s="582"/>
      <c r="M57" s="583"/>
    </row>
    <row r="58" spans="1:73" ht="13.5" customHeight="1" x14ac:dyDescent="0.3">
      <c r="A58" s="82" t="s">
        <v>238</v>
      </c>
      <c r="B58" s="60" t="s">
        <v>581</v>
      </c>
      <c r="C58" s="551" t="s">
        <v>582</v>
      </c>
      <c r="D58" s="565"/>
      <c r="E58" s="60" t="s">
        <v>160</v>
      </c>
      <c r="F58" s="70">
        <v>262</v>
      </c>
      <c r="G58" s="311">
        <v>0</v>
      </c>
      <c r="H58" s="70">
        <f>F58*AM58</f>
        <v>0</v>
      </c>
      <c r="I58" s="70">
        <f>F58*AN58</f>
        <v>0</v>
      </c>
      <c r="J58" s="70">
        <f>F58*G58</f>
        <v>0</v>
      </c>
      <c r="K58" s="70">
        <v>0</v>
      </c>
      <c r="L58" s="70">
        <f>F58*K58</f>
        <v>0</v>
      </c>
      <c r="M58" s="89" t="s">
        <v>472</v>
      </c>
      <c r="X58" s="70">
        <f>IF(AO58="5",BH58,0)</f>
        <v>0</v>
      </c>
      <c r="Z58" s="70">
        <f>IF(AO58="1",BF58,0)</f>
        <v>0</v>
      </c>
      <c r="AA58" s="70">
        <f>IF(AO58="1",BG58,0)</f>
        <v>0</v>
      </c>
      <c r="AB58" s="70">
        <f>IF(AO58="7",BF58,0)</f>
        <v>0</v>
      </c>
      <c r="AC58" s="70">
        <f>IF(AO58="7",BG58,0)</f>
        <v>0</v>
      </c>
      <c r="AD58" s="70">
        <f>IF(AO58="2",BF58,0)</f>
        <v>0</v>
      </c>
      <c r="AE58" s="70">
        <f>IF(AO58="2",BG58,0)</f>
        <v>0</v>
      </c>
      <c r="AF58" s="70">
        <f>IF(AO58="0",BH58,0)</f>
        <v>0</v>
      </c>
      <c r="AG58" s="64" t="s">
        <v>154</v>
      </c>
      <c r="AH58" s="70">
        <f>IF(AL58=0,J58,0)</f>
        <v>0</v>
      </c>
      <c r="AI58" s="70">
        <f>IF(AL58=15,J58,0)</f>
        <v>0</v>
      </c>
      <c r="AJ58" s="70">
        <f>IF(AL58=21,J58,0)</f>
        <v>0</v>
      </c>
      <c r="AL58" s="70">
        <v>21</v>
      </c>
      <c r="AM58" s="70">
        <f>G58*0.00582072176949942</f>
        <v>0</v>
      </c>
      <c r="AN58" s="70">
        <f>G58*(1-0.00582072176949942)</f>
        <v>0</v>
      </c>
      <c r="AO58" s="71" t="s">
        <v>157</v>
      </c>
      <c r="AT58" s="70">
        <f>AU58+AV58</f>
        <v>0</v>
      </c>
      <c r="AU58" s="70">
        <f>F58*AM58</f>
        <v>0</v>
      </c>
      <c r="AV58" s="70">
        <f>F58*AN58</f>
        <v>0</v>
      </c>
      <c r="AW58" s="71" t="s">
        <v>366</v>
      </c>
      <c r="AX58" s="71" t="s">
        <v>356</v>
      </c>
      <c r="AY58" s="64" t="s">
        <v>164</v>
      </c>
      <c r="BA58" s="70">
        <f>AU58+AV58</f>
        <v>0</v>
      </c>
      <c r="BB58" s="70">
        <f>G58/(100-BC58)*100</f>
        <v>0</v>
      </c>
      <c r="BC58" s="70">
        <v>0</v>
      </c>
      <c r="BD58" s="70">
        <f>L58</f>
        <v>0</v>
      </c>
      <c r="BF58" s="70">
        <f>F58*AM58</f>
        <v>0</v>
      </c>
      <c r="BG58" s="70">
        <f>F58*AN58</f>
        <v>0</v>
      </c>
      <c r="BH58" s="70">
        <f>F58*G58</f>
        <v>0</v>
      </c>
      <c r="BI58" s="70"/>
      <c r="BJ58" s="70">
        <v>89</v>
      </c>
      <c r="BU58" s="70" t="e">
        <f>#REF!</f>
        <v>#REF!</v>
      </c>
    </row>
    <row r="59" spans="1:73" ht="40.5" customHeight="1" x14ac:dyDescent="0.3">
      <c r="A59" s="92"/>
      <c r="B59" s="93" t="s">
        <v>165</v>
      </c>
      <c r="C59" s="584" t="s">
        <v>1080</v>
      </c>
      <c r="D59" s="585"/>
      <c r="E59" s="585"/>
      <c r="F59" s="585"/>
      <c r="G59" s="585"/>
      <c r="H59" s="585"/>
      <c r="I59" s="585"/>
      <c r="J59" s="585"/>
      <c r="K59" s="585"/>
      <c r="L59" s="585"/>
      <c r="M59" s="586"/>
    </row>
    <row r="60" spans="1:73" ht="13.5" customHeight="1" x14ac:dyDescent="0.3">
      <c r="A60" s="84" t="s">
        <v>241</v>
      </c>
      <c r="B60" s="85" t="s">
        <v>1081</v>
      </c>
      <c r="C60" s="587" t="s">
        <v>1082</v>
      </c>
      <c r="D60" s="588"/>
      <c r="E60" s="85" t="s">
        <v>365</v>
      </c>
      <c r="F60" s="94">
        <v>1</v>
      </c>
      <c r="G60" s="311">
        <v>0</v>
      </c>
      <c r="H60" s="94">
        <f>F60*AM60</f>
        <v>0</v>
      </c>
      <c r="I60" s="94">
        <f>F60*AN60</f>
        <v>0</v>
      </c>
      <c r="J60" s="94">
        <f>F60*G60</f>
        <v>0</v>
      </c>
      <c r="K60" s="94">
        <v>2.1000000000000001E-4</v>
      </c>
      <c r="L60" s="94">
        <f>F60*K60</f>
        <v>2.1000000000000001E-4</v>
      </c>
      <c r="M60" s="95" t="s">
        <v>472</v>
      </c>
      <c r="X60" s="70">
        <f>IF(AO60="5",BH60,0)</f>
        <v>0</v>
      </c>
      <c r="Z60" s="70">
        <f>IF(AO60="1",BF60,0)</f>
        <v>0</v>
      </c>
      <c r="AA60" s="70">
        <f>IF(AO60="1",BG60,0)</f>
        <v>0</v>
      </c>
      <c r="AB60" s="70">
        <f>IF(AO60="7",BF60,0)</f>
        <v>0</v>
      </c>
      <c r="AC60" s="70">
        <f>IF(AO60="7",BG60,0)</f>
        <v>0</v>
      </c>
      <c r="AD60" s="70">
        <f>IF(AO60="2",BF60,0)</f>
        <v>0</v>
      </c>
      <c r="AE60" s="70">
        <f>IF(AO60="2",BG60,0)</f>
        <v>0</v>
      </c>
      <c r="AF60" s="70">
        <f>IF(AO60="0",BH60,0)</f>
        <v>0</v>
      </c>
      <c r="AG60" s="64" t="s">
        <v>154</v>
      </c>
      <c r="AH60" s="70">
        <f>IF(AL60=0,J60,0)</f>
        <v>0</v>
      </c>
      <c r="AI60" s="70">
        <f>IF(AL60=15,J60,0)</f>
        <v>0</v>
      </c>
      <c r="AJ60" s="70">
        <f>IF(AL60=21,J60,0)</f>
        <v>0</v>
      </c>
      <c r="AL60" s="70">
        <v>21</v>
      </c>
      <c r="AM60" s="70">
        <f>G60*0.145984703632887</f>
        <v>0</v>
      </c>
      <c r="AN60" s="70">
        <f>G60*(1-0.145984703632887)</f>
        <v>0</v>
      </c>
      <c r="AO60" s="71" t="s">
        <v>157</v>
      </c>
      <c r="AT60" s="70">
        <f>AU60+AV60</f>
        <v>0</v>
      </c>
      <c r="AU60" s="70">
        <f>F60*AM60</f>
        <v>0</v>
      </c>
      <c r="AV60" s="70">
        <f>F60*AN60</f>
        <v>0</v>
      </c>
      <c r="AW60" s="71" t="s">
        <v>366</v>
      </c>
      <c r="AX60" s="71" t="s">
        <v>356</v>
      </c>
      <c r="AY60" s="64" t="s">
        <v>164</v>
      </c>
      <c r="BA60" s="70">
        <f>AU60+AV60</f>
        <v>0</v>
      </c>
      <c r="BB60" s="70">
        <f>G60/(100-BC60)*100</f>
        <v>0</v>
      </c>
      <c r="BC60" s="70">
        <v>0</v>
      </c>
      <c r="BD60" s="70">
        <f>L60</f>
        <v>2.1000000000000001E-4</v>
      </c>
      <c r="BF60" s="70">
        <f>F60*AM60</f>
        <v>0</v>
      </c>
      <c r="BG60" s="70">
        <f>F60*AN60</f>
        <v>0</v>
      </c>
      <c r="BH60" s="70">
        <f>F60*G60</f>
        <v>0</v>
      </c>
      <c r="BI60" s="70"/>
      <c r="BJ60" s="70">
        <v>89</v>
      </c>
      <c r="BU60" s="70" t="e">
        <f>#REF!</f>
        <v>#REF!</v>
      </c>
    </row>
    <row r="61" spans="1:73" ht="13.5" customHeight="1" x14ac:dyDescent="0.3">
      <c r="A61" s="82" t="s">
        <v>244</v>
      </c>
      <c r="B61" s="60" t="s">
        <v>1083</v>
      </c>
      <c r="C61" s="551" t="s">
        <v>1084</v>
      </c>
      <c r="D61" s="565"/>
      <c r="E61" s="60" t="s">
        <v>365</v>
      </c>
      <c r="F61" s="70">
        <v>2</v>
      </c>
      <c r="G61" s="311">
        <v>0</v>
      </c>
      <c r="H61" s="70">
        <f>F61*AM61</f>
        <v>0</v>
      </c>
      <c r="I61" s="70">
        <f>F61*AN61</f>
        <v>0</v>
      </c>
      <c r="J61" s="70">
        <f>F61*G61</f>
        <v>0</v>
      </c>
      <c r="K61" s="70">
        <v>2.1000000000000001E-4</v>
      </c>
      <c r="L61" s="70">
        <f>F61*K61</f>
        <v>4.2000000000000002E-4</v>
      </c>
      <c r="M61" s="89" t="s">
        <v>472</v>
      </c>
      <c r="X61" s="70">
        <f>IF(AO61="5",BH61,0)</f>
        <v>0</v>
      </c>
      <c r="Z61" s="70">
        <f>IF(AO61="1",BF61,0)</f>
        <v>0</v>
      </c>
      <c r="AA61" s="70">
        <f>IF(AO61="1",BG61,0)</f>
        <v>0</v>
      </c>
      <c r="AB61" s="70">
        <f>IF(AO61="7",BF61,0)</f>
        <v>0</v>
      </c>
      <c r="AC61" s="70">
        <f>IF(AO61="7",BG61,0)</f>
        <v>0</v>
      </c>
      <c r="AD61" s="70">
        <f>IF(AO61="2",BF61,0)</f>
        <v>0</v>
      </c>
      <c r="AE61" s="70">
        <f>IF(AO61="2",BG61,0)</f>
        <v>0</v>
      </c>
      <c r="AF61" s="70">
        <f>IF(AO61="0",BH61,0)</f>
        <v>0</v>
      </c>
      <c r="AG61" s="64" t="s">
        <v>154</v>
      </c>
      <c r="AH61" s="70">
        <f>IF(AL61=0,J61,0)</f>
        <v>0</v>
      </c>
      <c r="AI61" s="70">
        <f>IF(AL61=15,J61,0)</f>
        <v>0</v>
      </c>
      <c r="AJ61" s="70">
        <f>IF(AL61=21,J61,0)</f>
        <v>0</v>
      </c>
      <c r="AL61" s="70">
        <v>21</v>
      </c>
      <c r="AM61" s="70">
        <f>G61*0.145984703632887</f>
        <v>0</v>
      </c>
      <c r="AN61" s="70">
        <f>G61*(1-0.145984703632887)</f>
        <v>0</v>
      </c>
      <c r="AO61" s="71" t="s">
        <v>157</v>
      </c>
      <c r="AT61" s="70">
        <f>AU61+AV61</f>
        <v>0</v>
      </c>
      <c r="AU61" s="70">
        <f>F61*AM61</f>
        <v>0</v>
      </c>
      <c r="AV61" s="70">
        <f>F61*AN61</f>
        <v>0</v>
      </c>
      <c r="AW61" s="71" t="s">
        <v>366</v>
      </c>
      <c r="AX61" s="71" t="s">
        <v>356</v>
      </c>
      <c r="AY61" s="64" t="s">
        <v>164</v>
      </c>
      <c r="BA61" s="70">
        <f>AU61+AV61</f>
        <v>0</v>
      </c>
      <c r="BB61" s="70">
        <f>G61/(100-BC61)*100</f>
        <v>0</v>
      </c>
      <c r="BC61" s="70">
        <v>0</v>
      </c>
      <c r="BD61" s="70">
        <f>L61</f>
        <v>4.2000000000000002E-4</v>
      </c>
      <c r="BF61" s="70">
        <f>F61*AM61</f>
        <v>0</v>
      </c>
      <c r="BG61" s="70">
        <f>F61*AN61</f>
        <v>0</v>
      </c>
      <c r="BH61" s="70">
        <f>F61*G61</f>
        <v>0</v>
      </c>
      <c r="BI61" s="70"/>
      <c r="BJ61" s="70">
        <v>89</v>
      </c>
      <c r="BU61" s="70" t="e">
        <f>#REF!</f>
        <v>#REF!</v>
      </c>
    </row>
    <row r="62" spans="1:73" ht="27" customHeight="1" x14ac:dyDescent="0.3">
      <c r="A62" s="82" t="s">
        <v>247</v>
      </c>
      <c r="B62" s="60" t="s">
        <v>1085</v>
      </c>
      <c r="C62" s="551" t="s">
        <v>1086</v>
      </c>
      <c r="D62" s="565"/>
      <c r="E62" s="60" t="s">
        <v>365</v>
      </c>
      <c r="F62" s="70">
        <v>3</v>
      </c>
      <c r="G62" s="311">
        <v>0</v>
      </c>
      <c r="H62" s="70">
        <f>F62*AM62</f>
        <v>0</v>
      </c>
      <c r="I62" s="70">
        <f>F62*AN62</f>
        <v>0</v>
      </c>
      <c r="J62" s="70">
        <f>F62*G62</f>
        <v>0</v>
      </c>
      <c r="K62" s="70">
        <v>2.2000000000000001E-4</v>
      </c>
      <c r="L62" s="70">
        <f>F62*K62</f>
        <v>6.6E-4</v>
      </c>
      <c r="M62" s="89" t="s">
        <v>472</v>
      </c>
      <c r="X62" s="70">
        <f>IF(AO62="5",BH62,0)</f>
        <v>0</v>
      </c>
      <c r="Z62" s="70">
        <f>IF(AO62="1",BF62,0)</f>
        <v>0</v>
      </c>
      <c r="AA62" s="70">
        <f>IF(AO62="1",BG62,0)</f>
        <v>0</v>
      </c>
      <c r="AB62" s="70">
        <f>IF(AO62="7",BF62,0)</f>
        <v>0</v>
      </c>
      <c r="AC62" s="70">
        <f>IF(AO62="7",BG62,0)</f>
        <v>0</v>
      </c>
      <c r="AD62" s="70">
        <f>IF(AO62="2",BF62,0)</f>
        <v>0</v>
      </c>
      <c r="AE62" s="70">
        <f>IF(AO62="2",BG62,0)</f>
        <v>0</v>
      </c>
      <c r="AF62" s="70">
        <f>IF(AO62="0",BH62,0)</f>
        <v>0</v>
      </c>
      <c r="AG62" s="64" t="s">
        <v>154</v>
      </c>
      <c r="AH62" s="70">
        <f>IF(AL62=0,J62,0)</f>
        <v>0</v>
      </c>
      <c r="AI62" s="70">
        <f>IF(AL62=15,J62,0)</f>
        <v>0</v>
      </c>
      <c r="AJ62" s="70">
        <f>IF(AL62=21,J62,0)</f>
        <v>0</v>
      </c>
      <c r="AL62" s="70">
        <v>21</v>
      </c>
      <c r="AM62" s="70">
        <f>G62*0.187854545454545</f>
        <v>0</v>
      </c>
      <c r="AN62" s="70">
        <f>G62*(1-0.187854545454545)</f>
        <v>0</v>
      </c>
      <c r="AO62" s="71" t="s">
        <v>157</v>
      </c>
      <c r="AT62" s="70">
        <f>AU62+AV62</f>
        <v>0</v>
      </c>
      <c r="AU62" s="70">
        <f>F62*AM62</f>
        <v>0</v>
      </c>
      <c r="AV62" s="70">
        <f>F62*AN62</f>
        <v>0</v>
      </c>
      <c r="AW62" s="71" t="s">
        <v>366</v>
      </c>
      <c r="AX62" s="71" t="s">
        <v>356</v>
      </c>
      <c r="AY62" s="64" t="s">
        <v>164</v>
      </c>
      <c r="BA62" s="70">
        <f>AU62+AV62</f>
        <v>0</v>
      </c>
      <c r="BB62" s="70">
        <f>G62/(100-BC62)*100</f>
        <v>0</v>
      </c>
      <c r="BC62" s="70">
        <v>0</v>
      </c>
      <c r="BD62" s="70">
        <f>L62</f>
        <v>6.6E-4</v>
      </c>
      <c r="BF62" s="70">
        <f>F62*AM62</f>
        <v>0</v>
      </c>
      <c r="BG62" s="70">
        <f>F62*AN62</f>
        <v>0</v>
      </c>
      <c r="BH62" s="70">
        <f>F62*G62</f>
        <v>0</v>
      </c>
      <c r="BI62" s="70"/>
      <c r="BJ62" s="70">
        <v>89</v>
      </c>
      <c r="BU62" s="70" t="e">
        <f>#REF!</f>
        <v>#REF!</v>
      </c>
    </row>
    <row r="63" spans="1:73" ht="13.5" customHeight="1" x14ac:dyDescent="0.3">
      <c r="A63" s="82" t="s">
        <v>250</v>
      </c>
      <c r="B63" s="60" t="s">
        <v>567</v>
      </c>
      <c r="C63" s="551" t="s">
        <v>568</v>
      </c>
      <c r="D63" s="565"/>
      <c r="E63" s="60" t="s">
        <v>365</v>
      </c>
      <c r="F63" s="70">
        <v>1</v>
      </c>
      <c r="G63" s="311">
        <v>0</v>
      </c>
      <c r="H63" s="70">
        <f>F63*AM63</f>
        <v>0</v>
      </c>
      <c r="I63" s="70">
        <f>F63*AN63</f>
        <v>0</v>
      </c>
      <c r="J63" s="70">
        <f>F63*G63</f>
        <v>0</v>
      </c>
      <c r="K63" s="70">
        <v>0.12303</v>
      </c>
      <c r="L63" s="70">
        <f>F63*K63</f>
        <v>0.12303</v>
      </c>
      <c r="M63" s="89" t="s">
        <v>472</v>
      </c>
      <c r="X63" s="70">
        <f>IF(AO63="5",BH63,0)</f>
        <v>0</v>
      </c>
      <c r="Z63" s="70">
        <f>IF(AO63="1",BF63,0)</f>
        <v>0</v>
      </c>
      <c r="AA63" s="70">
        <f>IF(AO63="1",BG63,0)</f>
        <v>0</v>
      </c>
      <c r="AB63" s="70">
        <f>IF(AO63="7",BF63,0)</f>
        <v>0</v>
      </c>
      <c r="AC63" s="70">
        <f>IF(AO63="7",BG63,0)</f>
        <v>0</v>
      </c>
      <c r="AD63" s="70">
        <f>IF(AO63="2",BF63,0)</f>
        <v>0</v>
      </c>
      <c r="AE63" s="70">
        <f>IF(AO63="2",BG63,0)</f>
        <v>0</v>
      </c>
      <c r="AF63" s="70">
        <f>IF(AO63="0",BH63,0)</f>
        <v>0</v>
      </c>
      <c r="AG63" s="64" t="s">
        <v>154</v>
      </c>
      <c r="AH63" s="70">
        <f>IF(AL63=0,J63,0)</f>
        <v>0</v>
      </c>
      <c r="AI63" s="70">
        <f>IF(AL63=15,J63,0)</f>
        <v>0</v>
      </c>
      <c r="AJ63" s="70">
        <f>IF(AL63=21,J63,0)</f>
        <v>0</v>
      </c>
      <c r="AL63" s="70">
        <v>21</v>
      </c>
      <c r="AM63" s="70">
        <f>G63*0.42892998678996</f>
        <v>0</v>
      </c>
      <c r="AN63" s="70">
        <f>G63*(1-0.42892998678996)</f>
        <v>0</v>
      </c>
      <c r="AO63" s="71" t="s">
        <v>157</v>
      </c>
      <c r="AT63" s="70">
        <f>AU63+AV63</f>
        <v>0</v>
      </c>
      <c r="AU63" s="70">
        <f>F63*AM63</f>
        <v>0</v>
      </c>
      <c r="AV63" s="70">
        <f>F63*AN63</f>
        <v>0</v>
      </c>
      <c r="AW63" s="71" t="s">
        <v>366</v>
      </c>
      <c r="AX63" s="71" t="s">
        <v>356</v>
      </c>
      <c r="AY63" s="64" t="s">
        <v>164</v>
      </c>
      <c r="BA63" s="70">
        <f>AU63+AV63</f>
        <v>0</v>
      </c>
      <c r="BB63" s="70">
        <f>G63/(100-BC63)*100</f>
        <v>0</v>
      </c>
      <c r="BC63" s="70">
        <v>0</v>
      </c>
      <c r="BD63" s="70">
        <f>L63</f>
        <v>0.12303</v>
      </c>
      <c r="BF63" s="70">
        <f>F63*AM63</f>
        <v>0</v>
      </c>
      <c r="BG63" s="70">
        <f>F63*AN63</f>
        <v>0</v>
      </c>
      <c r="BH63" s="70">
        <f>F63*G63</f>
        <v>0</v>
      </c>
      <c r="BI63" s="70"/>
      <c r="BJ63" s="70">
        <v>89</v>
      </c>
      <c r="BU63" s="70" t="e">
        <f>#REF!</f>
        <v>#REF!</v>
      </c>
    </row>
    <row r="64" spans="1:73" ht="13.5" customHeight="1" x14ac:dyDescent="0.3">
      <c r="A64" s="90"/>
      <c r="B64" s="72" t="s">
        <v>165</v>
      </c>
      <c r="C64" s="581" t="s">
        <v>614</v>
      </c>
      <c r="D64" s="582"/>
      <c r="E64" s="582"/>
      <c r="F64" s="582"/>
      <c r="G64" s="582"/>
      <c r="H64" s="582"/>
      <c r="I64" s="582"/>
      <c r="J64" s="582"/>
      <c r="K64" s="582"/>
      <c r="L64" s="582"/>
      <c r="M64" s="583"/>
    </row>
    <row r="65" spans="1:73" ht="27" customHeight="1" x14ac:dyDescent="0.3">
      <c r="A65" s="116" t="s">
        <v>253</v>
      </c>
      <c r="B65" s="75" t="s">
        <v>1087</v>
      </c>
      <c r="C65" s="650" t="s">
        <v>1088</v>
      </c>
      <c r="D65" s="651"/>
      <c r="E65" s="75" t="s">
        <v>365</v>
      </c>
      <c r="F65" s="76">
        <v>1</v>
      </c>
      <c r="G65" s="311">
        <v>0</v>
      </c>
      <c r="H65" s="76">
        <f t="shared" ref="H65:H72" si="0">F65*AM65</f>
        <v>0</v>
      </c>
      <c r="I65" s="76">
        <f t="shared" ref="I65:I72" si="1">F65*AN65</f>
        <v>0</v>
      </c>
      <c r="J65" s="76">
        <f t="shared" ref="J65:J72" si="2">F65*G65</f>
        <v>0</v>
      </c>
      <c r="K65" s="76">
        <v>4.0999999999999999E-4</v>
      </c>
      <c r="L65" s="76">
        <f t="shared" ref="L65:L72" si="3">F65*K65</f>
        <v>4.0999999999999999E-4</v>
      </c>
      <c r="M65" s="117" t="s">
        <v>472</v>
      </c>
      <c r="X65" s="70">
        <f t="shared" ref="X65:X72" si="4">IF(AO65="5",BH65,0)</f>
        <v>0</v>
      </c>
      <c r="Z65" s="70">
        <f t="shared" ref="Z65:Z72" si="5">IF(AO65="1",BF65,0)</f>
        <v>0</v>
      </c>
      <c r="AA65" s="70">
        <f t="shared" ref="AA65:AA72" si="6">IF(AO65="1",BG65,0)</f>
        <v>0</v>
      </c>
      <c r="AB65" s="70">
        <f t="shared" ref="AB65:AB72" si="7">IF(AO65="7",BF65,0)</f>
        <v>0</v>
      </c>
      <c r="AC65" s="70">
        <f t="shared" ref="AC65:AC72" si="8">IF(AO65="7",BG65,0)</f>
        <v>0</v>
      </c>
      <c r="AD65" s="70">
        <f t="shared" ref="AD65:AD72" si="9">IF(AO65="2",BF65,0)</f>
        <v>0</v>
      </c>
      <c r="AE65" s="70">
        <f t="shared" ref="AE65:AE72" si="10">IF(AO65="2",BG65,0)</f>
        <v>0</v>
      </c>
      <c r="AF65" s="70">
        <f t="shared" ref="AF65:AF72" si="11">IF(AO65="0",BH65,0)</f>
        <v>0</v>
      </c>
      <c r="AG65" s="64" t="s">
        <v>154</v>
      </c>
      <c r="AH65" s="70">
        <f t="shared" ref="AH65:AH72" si="12">IF(AL65=0,J65,0)</f>
        <v>0</v>
      </c>
      <c r="AI65" s="70">
        <f t="shared" ref="AI65:AI72" si="13">IF(AL65=15,J65,0)</f>
        <v>0</v>
      </c>
      <c r="AJ65" s="70">
        <f t="shared" ref="AJ65:AJ72" si="14">IF(AL65=21,J65,0)</f>
        <v>0</v>
      </c>
      <c r="AL65" s="70">
        <v>21</v>
      </c>
      <c r="AM65" s="70">
        <f>G65*0.210702524698134</f>
        <v>0</v>
      </c>
      <c r="AN65" s="70">
        <f>G65*(1-0.210702524698134)</f>
        <v>0</v>
      </c>
      <c r="AO65" s="71" t="s">
        <v>157</v>
      </c>
      <c r="AT65" s="70">
        <f t="shared" ref="AT65:AT72" si="15">AU65+AV65</f>
        <v>0</v>
      </c>
      <c r="AU65" s="70">
        <f t="shared" ref="AU65:AU72" si="16">F65*AM65</f>
        <v>0</v>
      </c>
      <c r="AV65" s="70">
        <f t="shared" ref="AV65:AV72" si="17">F65*AN65</f>
        <v>0</v>
      </c>
      <c r="AW65" s="71" t="s">
        <v>366</v>
      </c>
      <c r="AX65" s="71" t="s">
        <v>356</v>
      </c>
      <c r="AY65" s="64" t="s">
        <v>164</v>
      </c>
      <c r="BA65" s="70">
        <f t="shared" ref="BA65:BA72" si="18">AU65+AV65</f>
        <v>0</v>
      </c>
      <c r="BB65" s="70">
        <f t="shared" ref="BB65:BB72" si="19">G65/(100-BC65)*100</f>
        <v>0</v>
      </c>
      <c r="BC65" s="70">
        <v>0</v>
      </c>
      <c r="BD65" s="70">
        <f t="shared" ref="BD65:BD72" si="20">L65</f>
        <v>4.0999999999999999E-4</v>
      </c>
      <c r="BF65" s="70">
        <f t="shared" ref="BF65:BF72" si="21">F65*AM65</f>
        <v>0</v>
      </c>
      <c r="BG65" s="70">
        <f t="shared" ref="BG65:BG72" si="22">F65*AN65</f>
        <v>0</v>
      </c>
      <c r="BH65" s="70">
        <f t="shared" ref="BH65:BH72" si="23">F65*G65</f>
        <v>0</v>
      </c>
      <c r="BI65" s="70"/>
      <c r="BJ65" s="70">
        <v>89</v>
      </c>
      <c r="BU65" s="70" t="e">
        <f>#REF!</f>
        <v>#REF!</v>
      </c>
    </row>
    <row r="66" spans="1:73" ht="13.5" customHeight="1" x14ac:dyDescent="0.3">
      <c r="A66" s="116" t="s">
        <v>256</v>
      </c>
      <c r="B66" s="75" t="s">
        <v>1089</v>
      </c>
      <c r="C66" s="650" t="s">
        <v>1090</v>
      </c>
      <c r="D66" s="651"/>
      <c r="E66" s="75" t="s">
        <v>365</v>
      </c>
      <c r="F66" s="76">
        <v>3</v>
      </c>
      <c r="G66" s="311">
        <v>0</v>
      </c>
      <c r="H66" s="76">
        <f t="shared" si="0"/>
        <v>0</v>
      </c>
      <c r="I66" s="76">
        <f t="shared" si="1"/>
        <v>0</v>
      </c>
      <c r="J66" s="76">
        <f t="shared" si="2"/>
        <v>0</v>
      </c>
      <c r="K66" s="76">
        <v>2.2000000000000001E-4</v>
      </c>
      <c r="L66" s="76">
        <f t="shared" si="3"/>
        <v>6.6E-4</v>
      </c>
      <c r="M66" s="117" t="s">
        <v>472</v>
      </c>
      <c r="X66" s="70">
        <f t="shared" si="4"/>
        <v>0</v>
      </c>
      <c r="Z66" s="70">
        <f t="shared" si="5"/>
        <v>0</v>
      </c>
      <c r="AA66" s="70">
        <f t="shared" si="6"/>
        <v>0</v>
      </c>
      <c r="AB66" s="70">
        <f t="shared" si="7"/>
        <v>0</v>
      </c>
      <c r="AC66" s="70">
        <f t="shared" si="8"/>
        <v>0</v>
      </c>
      <c r="AD66" s="70">
        <f t="shared" si="9"/>
        <v>0</v>
      </c>
      <c r="AE66" s="70">
        <f t="shared" si="10"/>
        <v>0</v>
      </c>
      <c r="AF66" s="70">
        <f t="shared" si="11"/>
        <v>0</v>
      </c>
      <c r="AG66" s="64" t="s">
        <v>154</v>
      </c>
      <c r="AH66" s="70">
        <f t="shared" si="12"/>
        <v>0</v>
      </c>
      <c r="AI66" s="70">
        <f t="shared" si="13"/>
        <v>0</v>
      </c>
      <c r="AJ66" s="70">
        <f t="shared" si="14"/>
        <v>0</v>
      </c>
      <c r="AL66" s="70">
        <v>21</v>
      </c>
      <c r="AM66" s="70">
        <f>G66*0.160684292379471</f>
        <v>0</v>
      </c>
      <c r="AN66" s="70">
        <f>G66*(1-0.160684292379471)</f>
        <v>0</v>
      </c>
      <c r="AO66" s="71" t="s">
        <v>157</v>
      </c>
      <c r="AT66" s="70">
        <f t="shared" si="15"/>
        <v>0</v>
      </c>
      <c r="AU66" s="70">
        <f t="shared" si="16"/>
        <v>0</v>
      </c>
      <c r="AV66" s="70">
        <f t="shared" si="17"/>
        <v>0</v>
      </c>
      <c r="AW66" s="71" t="s">
        <v>366</v>
      </c>
      <c r="AX66" s="71" t="s">
        <v>356</v>
      </c>
      <c r="AY66" s="64" t="s">
        <v>164</v>
      </c>
      <c r="BA66" s="70">
        <f t="shared" si="18"/>
        <v>0</v>
      </c>
      <c r="BB66" s="70">
        <f t="shared" si="19"/>
        <v>0</v>
      </c>
      <c r="BC66" s="70">
        <v>0</v>
      </c>
      <c r="BD66" s="70">
        <f t="shared" si="20"/>
        <v>6.6E-4</v>
      </c>
      <c r="BF66" s="70">
        <f t="shared" si="21"/>
        <v>0</v>
      </c>
      <c r="BG66" s="70">
        <f t="shared" si="22"/>
        <v>0</v>
      </c>
      <c r="BH66" s="70">
        <f t="shared" si="23"/>
        <v>0</v>
      </c>
      <c r="BI66" s="70"/>
      <c r="BJ66" s="70">
        <v>89</v>
      </c>
      <c r="BU66" s="70" t="e">
        <f>#REF!</f>
        <v>#REF!</v>
      </c>
    </row>
    <row r="67" spans="1:73" ht="13.5" customHeight="1" x14ac:dyDescent="0.3">
      <c r="A67" s="116" t="s">
        <v>260</v>
      </c>
      <c r="B67" s="75" t="s">
        <v>1081</v>
      </c>
      <c r="C67" s="650" t="s">
        <v>1082</v>
      </c>
      <c r="D67" s="651"/>
      <c r="E67" s="75" t="s">
        <v>365</v>
      </c>
      <c r="F67" s="76">
        <v>2</v>
      </c>
      <c r="G67" s="311">
        <v>0</v>
      </c>
      <c r="H67" s="76">
        <f t="shared" si="0"/>
        <v>0</v>
      </c>
      <c r="I67" s="76">
        <f t="shared" si="1"/>
        <v>0</v>
      </c>
      <c r="J67" s="76">
        <f t="shared" si="2"/>
        <v>0</v>
      </c>
      <c r="K67" s="76">
        <v>2.1000000000000001E-4</v>
      </c>
      <c r="L67" s="76">
        <f t="shared" si="3"/>
        <v>4.2000000000000002E-4</v>
      </c>
      <c r="M67" s="117" t="s">
        <v>472</v>
      </c>
      <c r="X67" s="70">
        <f t="shared" si="4"/>
        <v>0</v>
      </c>
      <c r="Z67" s="70">
        <f t="shared" si="5"/>
        <v>0</v>
      </c>
      <c r="AA67" s="70">
        <f t="shared" si="6"/>
        <v>0</v>
      </c>
      <c r="AB67" s="70">
        <f t="shared" si="7"/>
        <v>0</v>
      </c>
      <c r="AC67" s="70">
        <f t="shared" si="8"/>
        <v>0</v>
      </c>
      <c r="AD67" s="70">
        <f t="shared" si="9"/>
        <v>0</v>
      </c>
      <c r="AE67" s="70">
        <f t="shared" si="10"/>
        <v>0</v>
      </c>
      <c r="AF67" s="70">
        <f t="shared" si="11"/>
        <v>0</v>
      </c>
      <c r="AG67" s="64" t="s">
        <v>154</v>
      </c>
      <c r="AH67" s="70">
        <f t="shared" si="12"/>
        <v>0</v>
      </c>
      <c r="AI67" s="70">
        <f t="shared" si="13"/>
        <v>0</v>
      </c>
      <c r="AJ67" s="70">
        <f t="shared" si="14"/>
        <v>0</v>
      </c>
      <c r="AL67" s="70">
        <v>21</v>
      </c>
      <c r="AM67" s="70">
        <f>G67*0.145984703632887</f>
        <v>0</v>
      </c>
      <c r="AN67" s="70">
        <f>G67*(1-0.145984703632887)</f>
        <v>0</v>
      </c>
      <c r="AO67" s="71" t="s">
        <v>157</v>
      </c>
      <c r="AT67" s="70">
        <f t="shared" si="15"/>
        <v>0</v>
      </c>
      <c r="AU67" s="70">
        <f t="shared" si="16"/>
        <v>0</v>
      </c>
      <c r="AV67" s="70">
        <f t="shared" si="17"/>
        <v>0</v>
      </c>
      <c r="AW67" s="71" t="s">
        <v>366</v>
      </c>
      <c r="AX67" s="71" t="s">
        <v>356</v>
      </c>
      <c r="AY67" s="64" t="s">
        <v>164</v>
      </c>
      <c r="BA67" s="70">
        <f t="shared" si="18"/>
        <v>0</v>
      </c>
      <c r="BB67" s="70">
        <f t="shared" si="19"/>
        <v>0</v>
      </c>
      <c r="BC67" s="70">
        <v>0</v>
      </c>
      <c r="BD67" s="70">
        <f t="shared" si="20"/>
        <v>4.2000000000000002E-4</v>
      </c>
      <c r="BF67" s="70">
        <f t="shared" si="21"/>
        <v>0</v>
      </c>
      <c r="BG67" s="70">
        <f t="shared" si="22"/>
        <v>0</v>
      </c>
      <c r="BH67" s="70">
        <f t="shared" si="23"/>
        <v>0</v>
      </c>
      <c r="BI67" s="70"/>
      <c r="BJ67" s="70">
        <v>89</v>
      </c>
      <c r="BU67" s="70" t="e">
        <f>#REF!</f>
        <v>#REF!</v>
      </c>
    </row>
    <row r="68" spans="1:73" ht="13.5" customHeight="1" x14ac:dyDescent="0.3">
      <c r="A68" s="116" t="s">
        <v>264</v>
      </c>
      <c r="B68" s="75" t="s">
        <v>1083</v>
      </c>
      <c r="C68" s="650" t="s">
        <v>1084</v>
      </c>
      <c r="D68" s="651"/>
      <c r="E68" s="75" t="s">
        <v>365</v>
      </c>
      <c r="F68" s="76">
        <v>2</v>
      </c>
      <c r="G68" s="311">
        <v>0</v>
      </c>
      <c r="H68" s="76">
        <f t="shared" si="0"/>
        <v>0</v>
      </c>
      <c r="I68" s="76">
        <f t="shared" si="1"/>
        <v>0</v>
      </c>
      <c r="J68" s="76">
        <f t="shared" si="2"/>
        <v>0</v>
      </c>
      <c r="K68" s="76">
        <v>2.1000000000000001E-4</v>
      </c>
      <c r="L68" s="76">
        <f t="shared" si="3"/>
        <v>4.2000000000000002E-4</v>
      </c>
      <c r="M68" s="117" t="s">
        <v>472</v>
      </c>
      <c r="X68" s="70">
        <f t="shared" si="4"/>
        <v>0</v>
      </c>
      <c r="Z68" s="70">
        <f t="shared" si="5"/>
        <v>0</v>
      </c>
      <c r="AA68" s="70">
        <f t="shared" si="6"/>
        <v>0</v>
      </c>
      <c r="AB68" s="70">
        <f t="shared" si="7"/>
        <v>0</v>
      </c>
      <c r="AC68" s="70">
        <f t="shared" si="8"/>
        <v>0</v>
      </c>
      <c r="AD68" s="70">
        <f t="shared" si="9"/>
        <v>0</v>
      </c>
      <c r="AE68" s="70">
        <f t="shared" si="10"/>
        <v>0</v>
      </c>
      <c r="AF68" s="70">
        <f t="shared" si="11"/>
        <v>0</v>
      </c>
      <c r="AG68" s="64" t="s">
        <v>154</v>
      </c>
      <c r="AH68" s="70">
        <f t="shared" si="12"/>
        <v>0</v>
      </c>
      <c r="AI68" s="70">
        <f t="shared" si="13"/>
        <v>0</v>
      </c>
      <c r="AJ68" s="70">
        <f t="shared" si="14"/>
        <v>0</v>
      </c>
      <c r="AL68" s="70">
        <v>21</v>
      </c>
      <c r="AM68" s="70">
        <f>G68*0.145984703632887</f>
        <v>0</v>
      </c>
      <c r="AN68" s="70">
        <f>G68*(1-0.145984703632887)</f>
        <v>0</v>
      </c>
      <c r="AO68" s="71" t="s">
        <v>157</v>
      </c>
      <c r="AT68" s="70">
        <f t="shared" si="15"/>
        <v>0</v>
      </c>
      <c r="AU68" s="70">
        <f t="shared" si="16"/>
        <v>0</v>
      </c>
      <c r="AV68" s="70">
        <f t="shared" si="17"/>
        <v>0</v>
      </c>
      <c r="AW68" s="71" t="s">
        <v>366</v>
      </c>
      <c r="AX68" s="71" t="s">
        <v>356</v>
      </c>
      <c r="AY68" s="64" t="s">
        <v>164</v>
      </c>
      <c r="BA68" s="70">
        <f t="shared" si="18"/>
        <v>0</v>
      </c>
      <c r="BB68" s="70">
        <f t="shared" si="19"/>
        <v>0</v>
      </c>
      <c r="BC68" s="70">
        <v>0</v>
      </c>
      <c r="BD68" s="70">
        <f t="shared" si="20"/>
        <v>4.2000000000000002E-4</v>
      </c>
      <c r="BF68" s="70">
        <f t="shared" si="21"/>
        <v>0</v>
      </c>
      <c r="BG68" s="70">
        <f t="shared" si="22"/>
        <v>0</v>
      </c>
      <c r="BH68" s="70">
        <f t="shared" si="23"/>
        <v>0</v>
      </c>
      <c r="BI68" s="70"/>
      <c r="BJ68" s="70">
        <v>89</v>
      </c>
      <c r="BU68" s="70" t="e">
        <f>#REF!</f>
        <v>#REF!</v>
      </c>
    </row>
    <row r="69" spans="1:73" ht="13.5" customHeight="1" x14ac:dyDescent="0.3">
      <c r="A69" s="116" t="s">
        <v>267</v>
      </c>
      <c r="B69" s="75" t="s">
        <v>1089</v>
      </c>
      <c r="C69" s="650" t="s">
        <v>1090</v>
      </c>
      <c r="D69" s="651"/>
      <c r="E69" s="75" t="s">
        <v>365</v>
      </c>
      <c r="F69" s="76">
        <v>2</v>
      </c>
      <c r="G69" s="311">
        <v>0</v>
      </c>
      <c r="H69" s="76">
        <f t="shared" si="0"/>
        <v>0</v>
      </c>
      <c r="I69" s="76">
        <f t="shared" si="1"/>
        <v>0</v>
      </c>
      <c r="J69" s="76">
        <f t="shared" si="2"/>
        <v>0</v>
      </c>
      <c r="K69" s="76">
        <v>2.2000000000000001E-4</v>
      </c>
      <c r="L69" s="76">
        <f t="shared" si="3"/>
        <v>4.4000000000000002E-4</v>
      </c>
      <c r="M69" s="117" t="s">
        <v>472</v>
      </c>
      <c r="X69" s="70">
        <f t="shared" si="4"/>
        <v>0</v>
      </c>
      <c r="Z69" s="70">
        <f t="shared" si="5"/>
        <v>0</v>
      </c>
      <c r="AA69" s="70">
        <f t="shared" si="6"/>
        <v>0</v>
      </c>
      <c r="AB69" s="70">
        <f t="shared" si="7"/>
        <v>0</v>
      </c>
      <c r="AC69" s="70">
        <f t="shared" si="8"/>
        <v>0</v>
      </c>
      <c r="AD69" s="70">
        <f t="shared" si="9"/>
        <v>0</v>
      </c>
      <c r="AE69" s="70">
        <f t="shared" si="10"/>
        <v>0</v>
      </c>
      <c r="AF69" s="70">
        <f t="shared" si="11"/>
        <v>0</v>
      </c>
      <c r="AG69" s="64" t="s">
        <v>154</v>
      </c>
      <c r="AH69" s="70">
        <f t="shared" si="12"/>
        <v>0</v>
      </c>
      <c r="AI69" s="70">
        <f t="shared" si="13"/>
        <v>0</v>
      </c>
      <c r="AJ69" s="70">
        <f t="shared" si="14"/>
        <v>0</v>
      </c>
      <c r="AL69" s="70">
        <v>21</v>
      </c>
      <c r="AM69" s="70">
        <f>G69*0.160684292379471</f>
        <v>0</v>
      </c>
      <c r="AN69" s="70">
        <f>G69*(1-0.160684292379471)</f>
        <v>0</v>
      </c>
      <c r="AO69" s="71" t="s">
        <v>157</v>
      </c>
      <c r="AT69" s="70">
        <f t="shared" si="15"/>
        <v>0</v>
      </c>
      <c r="AU69" s="70">
        <f t="shared" si="16"/>
        <v>0</v>
      </c>
      <c r="AV69" s="70">
        <f t="shared" si="17"/>
        <v>0</v>
      </c>
      <c r="AW69" s="71" t="s">
        <v>366</v>
      </c>
      <c r="AX69" s="71" t="s">
        <v>356</v>
      </c>
      <c r="AY69" s="64" t="s">
        <v>164</v>
      </c>
      <c r="BA69" s="70">
        <f t="shared" si="18"/>
        <v>0</v>
      </c>
      <c r="BB69" s="70">
        <f t="shared" si="19"/>
        <v>0</v>
      </c>
      <c r="BC69" s="70">
        <v>0</v>
      </c>
      <c r="BD69" s="70">
        <f t="shared" si="20"/>
        <v>4.4000000000000002E-4</v>
      </c>
      <c r="BF69" s="70">
        <f t="shared" si="21"/>
        <v>0</v>
      </c>
      <c r="BG69" s="70">
        <f t="shared" si="22"/>
        <v>0</v>
      </c>
      <c r="BH69" s="70">
        <f t="shared" si="23"/>
        <v>0</v>
      </c>
      <c r="BI69" s="70"/>
      <c r="BJ69" s="70">
        <v>89</v>
      </c>
      <c r="BU69" s="70" t="e">
        <f>#REF!</f>
        <v>#REF!</v>
      </c>
    </row>
    <row r="70" spans="1:73" ht="27" customHeight="1" x14ac:dyDescent="0.3">
      <c r="A70" s="116" t="s">
        <v>271</v>
      </c>
      <c r="B70" s="75" t="s">
        <v>1087</v>
      </c>
      <c r="C70" s="650" t="s">
        <v>1088</v>
      </c>
      <c r="D70" s="651"/>
      <c r="E70" s="75" t="s">
        <v>365</v>
      </c>
      <c r="F70" s="76">
        <v>2</v>
      </c>
      <c r="G70" s="311">
        <v>0</v>
      </c>
      <c r="H70" s="76">
        <f t="shared" si="0"/>
        <v>0</v>
      </c>
      <c r="I70" s="76">
        <f t="shared" si="1"/>
        <v>0</v>
      </c>
      <c r="J70" s="76">
        <f t="shared" si="2"/>
        <v>0</v>
      </c>
      <c r="K70" s="76">
        <v>4.0999999999999999E-4</v>
      </c>
      <c r="L70" s="76">
        <f t="shared" si="3"/>
        <v>8.1999999999999998E-4</v>
      </c>
      <c r="M70" s="117" t="s">
        <v>472</v>
      </c>
      <c r="X70" s="70">
        <f t="shared" si="4"/>
        <v>0</v>
      </c>
      <c r="Z70" s="70">
        <f t="shared" si="5"/>
        <v>0</v>
      </c>
      <c r="AA70" s="70">
        <f t="shared" si="6"/>
        <v>0</v>
      </c>
      <c r="AB70" s="70">
        <f t="shared" si="7"/>
        <v>0</v>
      </c>
      <c r="AC70" s="70">
        <f t="shared" si="8"/>
        <v>0</v>
      </c>
      <c r="AD70" s="70">
        <f t="shared" si="9"/>
        <v>0</v>
      </c>
      <c r="AE70" s="70">
        <f t="shared" si="10"/>
        <v>0</v>
      </c>
      <c r="AF70" s="70">
        <f t="shared" si="11"/>
        <v>0</v>
      </c>
      <c r="AG70" s="64" t="s">
        <v>154</v>
      </c>
      <c r="AH70" s="70">
        <f t="shared" si="12"/>
        <v>0</v>
      </c>
      <c r="AI70" s="70">
        <f t="shared" si="13"/>
        <v>0</v>
      </c>
      <c r="AJ70" s="70">
        <f t="shared" si="14"/>
        <v>0</v>
      </c>
      <c r="AL70" s="70">
        <v>21</v>
      </c>
      <c r="AM70" s="70">
        <f>G70*0.210702524698134</f>
        <v>0</v>
      </c>
      <c r="AN70" s="70">
        <f>G70*(1-0.210702524698134)</f>
        <v>0</v>
      </c>
      <c r="AO70" s="71" t="s">
        <v>157</v>
      </c>
      <c r="AT70" s="70">
        <f t="shared" si="15"/>
        <v>0</v>
      </c>
      <c r="AU70" s="70">
        <f t="shared" si="16"/>
        <v>0</v>
      </c>
      <c r="AV70" s="70">
        <f t="shared" si="17"/>
        <v>0</v>
      </c>
      <c r="AW70" s="71" t="s">
        <v>366</v>
      </c>
      <c r="AX70" s="71" t="s">
        <v>356</v>
      </c>
      <c r="AY70" s="64" t="s">
        <v>164</v>
      </c>
      <c r="BA70" s="70">
        <f t="shared" si="18"/>
        <v>0</v>
      </c>
      <c r="BB70" s="70">
        <f t="shared" si="19"/>
        <v>0</v>
      </c>
      <c r="BC70" s="70">
        <v>0</v>
      </c>
      <c r="BD70" s="70">
        <f t="shared" si="20"/>
        <v>8.1999999999999998E-4</v>
      </c>
      <c r="BF70" s="70">
        <f t="shared" si="21"/>
        <v>0</v>
      </c>
      <c r="BG70" s="70">
        <f t="shared" si="22"/>
        <v>0</v>
      </c>
      <c r="BH70" s="70">
        <f t="shared" si="23"/>
        <v>0</v>
      </c>
      <c r="BI70" s="70"/>
      <c r="BJ70" s="70">
        <v>89</v>
      </c>
      <c r="BU70" s="70" t="e">
        <f>#REF!</f>
        <v>#REF!</v>
      </c>
    </row>
    <row r="71" spans="1:73" ht="27" customHeight="1" x14ac:dyDescent="0.3">
      <c r="A71" s="116" t="s">
        <v>276</v>
      </c>
      <c r="B71" s="75" t="s">
        <v>1085</v>
      </c>
      <c r="C71" s="650" t="s">
        <v>1086</v>
      </c>
      <c r="D71" s="651"/>
      <c r="E71" s="75" t="s">
        <v>365</v>
      </c>
      <c r="F71" s="76">
        <v>3</v>
      </c>
      <c r="G71" s="311">
        <v>0</v>
      </c>
      <c r="H71" s="76">
        <f t="shared" si="0"/>
        <v>0</v>
      </c>
      <c r="I71" s="76">
        <f t="shared" si="1"/>
        <v>0</v>
      </c>
      <c r="J71" s="76">
        <f t="shared" si="2"/>
        <v>0</v>
      </c>
      <c r="K71" s="76">
        <v>2.2000000000000001E-4</v>
      </c>
      <c r="L71" s="76">
        <f t="shared" si="3"/>
        <v>6.6E-4</v>
      </c>
      <c r="M71" s="117" t="s">
        <v>472</v>
      </c>
      <c r="X71" s="70">
        <f t="shared" si="4"/>
        <v>0</v>
      </c>
      <c r="Z71" s="70">
        <f t="shared" si="5"/>
        <v>0</v>
      </c>
      <c r="AA71" s="70">
        <f t="shared" si="6"/>
        <v>0</v>
      </c>
      <c r="AB71" s="70">
        <f t="shared" si="7"/>
        <v>0</v>
      </c>
      <c r="AC71" s="70">
        <f t="shared" si="8"/>
        <v>0</v>
      </c>
      <c r="AD71" s="70">
        <f t="shared" si="9"/>
        <v>0</v>
      </c>
      <c r="AE71" s="70">
        <f t="shared" si="10"/>
        <v>0</v>
      </c>
      <c r="AF71" s="70">
        <f t="shared" si="11"/>
        <v>0</v>
      </c>
      <c r="AG71" s="64" t="s">
        <v>154</v>
      </c>
      <c r="AH71" s="70">
        <f t="shared" si="12"/>
        <v>0</v>
      </c>
      <c r="AI71" s="70">
        <f t="shared" si="13"/>
        <v>0</v>
      </c>
      <c r="AJ71" s="70">
        <f t="shared" si="14"/>
        <v>0</v>
      </c>
      <c r="AL71" s="70">
        <v>21</v>
      </c>
      <c r="AM71" s="70">
        <f>G71*0.187854545454545</f>
        <v>0</v>
      </c>
      <c r="AN71" s="70">
        <f>G71*(1-0.187854545454545)</f>
        <v>0</v>
      </c>
      <c r="AO71" s="71" t="s">
        <v>157</v>
      </c>
      <c r="AT71" s="70">
        <f t="shared" si="15"/>
        <v>0</v>
      </c>
      <c r="AU71" s="70">
        <f t="shared" si="16"/>
        <v>0</v>
      </c>
      <c r="AV71" s="70">
        <f t="shared" si="17"/>
        <v>0</v>
      </c>
      <c r="AW71" s="71" t="s">
        <v>366</v>
      </c>
      <c r="AX71" s="71" t="s">
        <v>356</v>
      </c>
      <c r="AY71" s="64" t="s">
        <v>164</v>
      </c>
      <c r="BA71" s="70">
        <f t="shared" si="18"/>
        <v>0</v>
      </c>
      <c r="BB71" s="70">
        <f t="shared" si="19"/>
        <v>0</v>
      </c>
      <c r="BC71" s="70">
        <v>0</v>
      </c>
      <c r="BD71" s="70">
        <f t="shared" si="20"/>
        <v>6.6E-4</v>
      </c>
      <c r="BF71" s="70">
        <f t="shared" si="21"/>
        <v>0</v>
      </c>
      <c r="BG71" s="70">
        <f t="shared" si="22"/>
        <v>0</v>
      </c>
      <c r="BH71" s="70">
        <f t="shared" si="23"/>
        <v>0</v>
      </c>
      <c r="BI71" s="70"/>
      <c r="BJ71" s="70">
        <v>89</v>
      </c>
      <c r="BU71" s="70" t="e">
        <f>#REF!</f>
        <v>#REF!</v>
      </c>
    </row>
    <row r="72" spans="1:73" ht="27" customHeight="1" x14ac:dyDescent="0.3">
      <c r="A72" s="116" t="s">
        <v>281</v>
      </c>
      <c r="B72" s="75" t="s">
        <v>1091</v>
      </c>
      <c r="C72" s="650" t="s">
        <v>1092</v>
      </c>
      <c r="D72" s="651"/>
      <c r="E72" s="75" t="s">
        <v>365</v>
      </c>
      <c r="F72" s="76">
        <v>3</v>
      </c>
      <c r="G72" s="311">
        <v>0</v>
      </c>
      <c r="H72" s="76">
        <f t="shared" si="0"/>
        <v>0</v>
      </c>
      <c r="I72" s="76">
        <f t="shared" si="1"/>
        <v>0</v>
      </c>
      <c r="J72" s="76">
        <f t="shared" si="2"/>
        <v>0</v>
      </c>
      <c r="K72" s="76">
        <v>4.0999999999999999E-4</v>
      </c>
      <c r="L72" s="76">
        <f t="shared" si="3"/>
        <v>1.23E-3</v>
      </c>
      <c r="M72" s="117" t="s">
        <v>472</v>
      </c>
      <c r="X72" s="70">
        <f t="shared" si="4"/>
        <v>0</v>
      </c>
      <c r="Z72" s="70">
        <f t="shared" si="5"/>
        <v>0</v>
      </c>
      <c r="AA72" s="70">
        <f t="shared" si="6"/>
        <v>0</v>
      </c>
      <c r="AB72" s="70">
        <f t="shared" si="7"/>
        <v>0</v>
      </c>
      <c r="AC72" s="70">
        <f t="shared" si="8"/>
        <v>0</v>
      </c>
      <c r="AD72" s="70">
        <f t="shared" si="9"/>
        <v>0</v>
      </c>
      <c r="AE72" s="70">
        <f t="shared" si="10"/>
        <v>0</v>
      </c>
      <c r="AF72" s="70">
        <f t="shared" si="11"/>
        <v>0</v>
      </c>
      <c r="AG72" s="64" t="s">
        <v>154</v>
      </c>
      <c r="AH72" s="70">
        <f t="shared" si="12"/>
        <v>0</v>
      </c>
      <c r="AI72" s="70">
        <f t="shared" si="13"/>
        <v>0</v>
      </c>
      <c r="AJ72" s="70">
        <f t="shared" si="14"/>
        <v>0</v>
      </c>
      <c r="AL72" s="70">
        <v>21</v>
      </c>
      <c r="AM72" s="70">
        <f>G72*0.232951856211847</f>
        <v>0</v>
      </c>
      <c r="AN72" s="70">
        <f>G72*(1-0.232951856211847)</f>
        <v>0</v>
      </c>
      <c r="AO72" s="71" t="s">
        <v>157</v>
      </c>
      <c r="AT72" s="70">
        <f t="shared" si="15"/>
        <v>0</v>
      </c>
      <c r="AU72" s="70">
        <f t="shared" si="16"/>
        <v>0</v>
      </c>
      <c r="AV72" s="70">
        <f t="shared" si="17"/>
        <v>0</v>
      </c>
      <c r="AW72" s="71" t="s">
        <v>366</v>
      </c>
      <c r="AX72" s="71" t="s">
        <v>356</v>
      </c>
      <c r="AY72" s="64" t="s">
        <v>164</v>
      </c>
      <c r="BA72" s="70">
        <f t="shared" si="18"/>
        <v>0</v>
      </c>
      <c r="BB72" s="70">
        <f t="shared" si="19"/>
        <v>0</v>
      </c>
      <c r="BC72" s="70">
        <v>0</v>
      </c>
      <c r="BD72" s="70">
        <f t="shared" si="20"/>
        <v>1.23E-3</v>
      </c>
      <c r="BF72" s="70">
        <f t="shared" si="21"/>
        <v>0</v>
      </c>
      <c r="BG72" s="70">
        <f t="shared" si="22"/>
        <v>0</v>
      </c>
      <c r="BH72" s="70">
        <f t="shared" si="23"/>
        <v>0</v>
      </c>
      <c r="BI72" s="70"/>
      <c r="BJ72" s="70">
        <v>89</v>
      </c>
      <c r="BU72" s="70" t="e">
        <f>#REF!</f>
        <v>#REF!</v>
      </c>
    </row>
    <row r="73" spans="1:73" ht="15" customHeight="1" x14ac:dyDescent="0.3">
      <c r="A73" s="82" t="s">
        <v>154</v>
      </c>
      <c r="B73" s="61" t="s">
        <v>399</v>
      </c>
      <c r="C73" s="564" t="s">
        <v>400</v>
      </c>
      <c r="D73" s="571"/>
      <c r="E73" s="60" t="s">
        <v>114</v>
      </c>
      <c r="F73" s="60" t="s">
        <v>114</v>
      </c>
      <c r="G73" s="60" t="s">
        <v>114</v>
      </c>
      <c r="H73" s="73">
        <f>SUM(H74:H74)</f>
        <v>0</v>
      </c>
      <c r="I73" s="73">
        <f>SUM(I74:I74)</f>
        <v>0</v>
      </c>
      <c r="J73" s="73">
        <f>SUM(J74:J74)</f>
        <v>0</v>
      </c>
      <c r="K73" s="65" t="s">
        <v>154</v>
      </c>
      <c r="L73" s="73">
        <f>SUM(L74:L74)</f>
        <v>0</v>
      </c>
      <c r="M73" s="91" t="s">
        <v>154</v>
      </c>
      <c r="AG73" s="64" t="s">
        <v>154</v>
      </c>
      <c r="AQ73" s="59">
        <f>SUM(AH74:AH74)</f>
        <v>0</v>
      </c>
      <c r="AR73" s="59">
        <f>SUM(AI74:AI74)</f>
        <v>0</v>
      </c>
      <c r="AS73" s="59">
        <f>SUM(AJ74:AJ74)</f>
        <v>0</v>
      </c>
    </row>
    <row r="74" spans="1:73" ht="27" customHeight="1" x14ac:dyDescent="0.3">
      <c r="A74" s="82" t="s">
        <v>285</v>
      </c>
      <c r="B74" s="60" t="s">
        <v>402</v>
      </c>
      <c r="C74" s="551" t="s">
        <v>403</v>
      </c>
      <c r="D74" s="565"/>
      <c r="E74" s="60" t="s">
        <v>380</v>
      </c>
      <c r="F74" s="70">
        <v>0.28999999999999998</v>
      </c>
      <c r="G74" s="311">
        <v>0</v>
      </c>
      <c r="H74" s="70">
        <f>F74*AM74</f>
        <v>0</v>
      </c>
      <c r="I74" s="70">
        <f>F74*AN74</f>
        <v>0</v>
      </c>
      <c r="J74" s="70">
        <f>F74*G74</f>
        <v>0</v>
      </c>
      <c r="K74" s="70">
        <v>0</v>
      </c>
      <c r="L74" s="70">
        <f>F74*K74</f>
        <v>0</v>
      </c>
      <c r="M74" s="89" t="s">
        <v>472</v>
      </c>
      <c r="X74" s="70">
        <f>IF(AO74="5",BH74,0)</f>
        <v>0</v>
      </c>
      <c r="Z74" s="70">
        <f>IF(AO74="1",BF74,0)</f>
        <v>0</v>
      </c>
      <c r="AA74" s="70">
        <f>IF(AO74="1",BG74,0)</f>
        <v>0</v>
      </c>
      <c r="AB74" s="70">
        <f>IF(AO74="7",BF74,0)</f>
        <v>0</v>
      </c>
      <c r="AC74" s="70">
        <f>IF(AO74="7",BG74,0)</f>
        <v>0</v>
      </c>
      <c r="AD74" s="70">
        <f>IF(AO74="2",BF74,0)</f>
        <v>0</v>
      </c>
      <c r="AE74" s="70">
        <f>IF(AO74="2",BG74,0)</f>
        <v>0</v>
      </c>
      <c r="AF74" s="70">
        <f>IF(AO74="0",BH74,0)</f>
        <v>0</v>
      </c>
      <c r="AG74" s="64" t="s">
        <v>154</v>
      </c>
      <c r="AH74" s="70">
        <f>IF(AL74=0,J74,0)</f>
        <v>0</v>
      </c>
      <c r="AI74" s="70">
        <f>IF(AL74=15,J74,0)</f>
        <v>0</v>
      </c>
      <c r="AJ74" s="70">
        <f>IF(AL74=21,J74,0)</f>
        <v>0</v>
      </c>
      <c r="AL74" s="70">
        <v>21</v>
      </c>
      <c r="AM74" s="70">
        <f>G74*0</f>
        <v>0</v>
      </c>
      <c r="AN74" s="70">
        <f>G74*(1-0)</f>
        <v>0</v>
      </c>
      <c r="AO74" s="71" t="s">
        <v>177</v>
      </c>
      <c r="AT74" s="70">
        <f>AU74+AV74</f>
        <v>0</v>
      </c>
      <c r="AU74" s="70">
        <f>F74*AM74</f>
        <v>0</v>
      </c>
      <c r="AV74" s="70">
        <f>F74*AN74</f>
        <v>0</v>
      </c>
      <c r="AW74" s="71" t="s">
        <v>404</v>
      </c>
      <c r="AX74" s="71" t="s">
        <v>375</v>
      </c>
      <c r="AY74" s="64" t="s">
        <v>164</v>
      </c>
      <c r="BA74" s="70">
        <f>AU74+AV74</f>
        <v>0</v>
      </c>
      <c r="BB74" s="70">
        <f>G74/(100-BC74)*100</f>
        <v>0</v>
      </c>
      <c r="BC74" s="70">
        <v>0</v>
      </c>
      <c r="BD74" s="70">
        <f>L74</f>
        <v>0</v>
      </c>
      <c r="BF74" s="70">
        <f>F74*AM74</f>
        <v>0</v>
      </c>
      <c r="BG74" s="70">
        <f>F74*AN74</f>
        <v>0</v>
      </c>
      <c r="BH74" s="70">
        <f>F74*G74</f>
        <v>0</v>
      </c>
      <c r="BI74" s="70"/>
      <c r="BJ74" s="70"/>
      <c r="BU74" s="70" t="e">
        <f>#REF!</f>
        <v>#REF!</v>
      </c>
    </row>
    <row r="75" spans="1:73" ht="15" customHeight="1" x14ac:dyDescent="0.3">
      <c r="A75" s="82" t="s">
        <v>154</v>
      </c>
      <c r="B75" s="61" t="s">
        <v>154</v>
      </c>
      <c r="C75" s="564" t="s">
        <v>449</v>
      </c>
      <c r="D75" s="571"/>
      <c r="E75" s="60" t="s">
        <v>114</v>
      </c>
      <c r="F75" s="60" t="s">
        <v>114</v>
      </c>
      <c r="G75" s="60" t="s">
        <v>114</v>
      </c>
      <c r="H75" s="73">
        <f>SUM(H76:H112)</f>
        <v>0</v>
      </c>
      <c r="I75" s="73">
        <f>SUM(I76:I112)</f>
        <v>0</v>
      </c>
      <c r="J75" s="73">
        <f>SUM(J76:J112)</f>
        <v>0</v>
      </c>
      <c r="K75" s="65" t="s">
        <v>154</v>
      </c>
      <c r="L75" s="73">
        <f>SUM(L76:L112)</f>
        <v>0.51446000000000003</v>
      </c>
      <c r="M75" s="91" t="s">
        <v>154</v>
      </c>
      <c r="AG75" s="64" t="s">
        <v>154</v>
      </c>
      <c r="AQ75" s="59">
        <f>SUM(AH76:AH112)</f>
        <v>0</v>
      </c>
      <c r="AR75" s="59">
        <f>SUM(AI76:AI112)</f>
        <v>0</v>
      </c>
      <c r="AS75" s="59">
        <f>SUM(AJ76:AJ112)</f>
        <v>0</v>
      </c>
    </row>
    <row r="76" spans="1:73" ht="27" customHeight="1" x14ac:dyDescent="0.3">
      <c r="A76" s="82" t="s">
        <v>290</v>
      </c>
      <c r="B76" s="60" t="s">
        <v>1093</v>
      </c>
      <c r="C76" s="551" t="s">
        <v>1094</v>
      </c>
      <c r="D76" s="565"/>
      <c r="E76" s="60" t="s">
        <v>160</v>
      </c>
      <c r="F76" s="70">
        <v>200</v>
      </c>
      <c r="G76" s="311">
        <v>0</v>
      </c>
      <c r="H76" s="70">
        <f>F76*AM76</f>
        <v>0</v>
      </c>
      <c r="I76" s="70">
        <f>F76*AN76</f>
        <v>0</v>
      </c>
      <c r="J76" s="70">
        <f>F76*G76</f>
        <v>0</v>
      </c>
      <c r="K76" s="70">
        <v>1.4599999999999999E-3</v>
      </c>
      <c r="L76" s="70">
        <f>F76*K76</f>
        <v>0.29199999999999998</v>
      </c>
      <c r="M76" s="89" t="s">
        <v>472</v>
      </c>
      <c r="X76" s="70">
        <f>IF(AO76="5",BH76,0)</f>
        <v>0</v>
      </c>
      <c r="Z76" s="70">
        <f>IF(AO76="1",BF76,0)</f>
        <v>0</v>
      </c>
      <c r="AA76" s="70">
        <f>IF(AO76="1",BG76,0)</f>
        <v>0</v>
      </c>
      <c r="AB76" s="70">
        <f>IF(AO76="7",BF76,0)</f>
        <v>0</v>
      </c>
      <c r="AC76" s="70">
        <f>IF(AO76="7",BG76,0)</f>
        <v>0</v>
      </c>
      <c r="AD76" s="70">
        <f>IF(AO76="2",BF76,0)</f>
        <v>0</v>
      </c>
      <c r="AE76" s="70">
        <f>IF(AO76="2",BG76,0)</f>
        <v>0</v>
      </c>
      <c r="AF76" s="70">
        <f>IF(AO76="0",BH76,0)</f>
        <v>0</v>
      </c>
      <c r="AG76" s="64" t="s">
        <v>154</v>
      </c>
      <c r="AH76" s="70">
        <f>IF(AL76=0,J76,0)</f>
        <v>0</v>
      </c>
      <c r="AI76" s="70">
        <f>IF(AL76=15,J76,0)</f>
        <v>0</v>
      </c>
      <c r="AJ76" s="70">
        <f>IF(AL76=21,J76,0)</f>
        <v>0</v>
      </c>
      <c r="AL76" s="70">
        <v>21</v>
      </c>
      <c r="AM76" s="70">
        <f>G76*1</f>
        <v>0</v>
      </c>
      <c r="AN76" s="70">
        <f>G76*(1-1)</f>
        <v>0</v>
      </c>
      <c r="AO76" s="71" t="s">
        <v>453</v>
      </c>
      <c r="AT76" s="70">
        <f>AU76+AV76</f>
        <v>0</v>
      </c>
      <c r="AU76" s="70">
        <f>F76*AM76</f>
        <v>0</v>
      </c>
      <c r="AV76" s="70">
        <f>F76*AN76</f>
        <v>0</v>
      </c>
      <c r="AW76" s="71" t="s">
        <v>454</v>
      </c>
      <c r="AX76" s="71" t="s">
        <v>455</v>
      </c>
      <c r="AY76" s="64" t="s">
        <v>164</v>
      </c>
      <c r="BA76" s="70">
        <f>AU76+AV76</f>
        <v>0</v>
      </c>
      <c r="BB76" s="70">
        <f>G76/(100-BC76)*100</f>
        <v>0</v>
      </c>
      <c r="BC76" s="70">
        <v>0</v>
      </c>
      <c r="BD76" s="70">
        <f>L76</f>
        <v>0.29199999999999998</v>
      </c>
      <c r="BF76" s="70">
        <f>F76*AM76</f>
        <v>0</v>
      </c>
      <c r="BG76" s="70">
        <f>F76*AN76</f>
        <v>0</v>
      </c>
      <c r="BH76" s="70">
        <f>F76*G76</f>
        <v>0</v>
      </c>
      <c r="BI76" s="70"/>
      <c r="BJ76" s="70"/>
      <c r="BU76" s="70" t="e">
        <f>#REF!</f>
        <v>#REF!</v>
      </c>
    </row>
    <row r="77" spans="1:73" ht="67.5" customHeight="1" x14ac:dyDescent="0.3">
      <c r="A77" s="90"/>
      <c r="B77" s="72" t="s">
        <v>165</v>
      </c>
      <c r="C77" s="581" t="s">
        <v>1095</v>
      </c>
      <c r="D77" s="582"/>
      <c r="E77" s="582"/>
      <c r="F77" s="582"/>
      <c r="G77" s="582"/>
      <c r="H77" s="582"/>
      <c r="I77" s="582"/>
      <c r="J77" s="582"/>
      <c r="K77" s="582"/>
      <c r="L77" s="582"/>
      <c r="M77" s="583"/>
    </row>
    <row r="78" spans="1:73" ht="13.5" customHeight="1" x14ac:dyDescent="0.3">
      <c r="A78" s="82" t="s">
        <v>294</v>
      </c>
      <c r="B78" s="60" t="s">
        <v>1096</v>
      </c>
      <c r="C78" s="551" t="s">
        <v>1097</v>
      </c>
      <c r="D78" s="565"/>
      <c r="E78" s="60" t="s">
        <v>365</v>
      </c>
      <c r="F78" s="70">
        <v>1</v>
      </c>
      <c r="G78" s="311">
        <v>0</v>
      </c>
      <c r="H78" s="70">
        <f t="shared" ref="H78:H112" si="24">F78*AM78</f>
        <v>0</v>
      </c>
      <c r="I78" s="70">
        <f t="shared" ref="I78:I112" si="25">F78*AN78</f>
        <v>0</v>
      </c>
      <c r="J78" s="70">
        <f t="shared" ref="J78:J112" si="26">F78*G78</f>
        <v>0</v>
      </c>
      <c r="K78" s="70">
        <v>7.1000000000000004E-3</v>
      </c>
      <c r="L78" s="70">
        <f t="shared" ref="L78:L112" si="27">F78*K78</f>
        <v>7.1000000000000004E-3</v>
      </c>
      <c r="M78" s="89" t="s">
        <v>472</v>
      </c>
      <c r="X78" s="70">
        <f t="shared" ref="X78:X112" si="28">IF(AO78="5",BH78,0)</f>
        <v>0</v>
      </c>
      <c r="Z78" s="70">
        <f t="shared" ref="Z78:Z112" si="29">IF(AO78="1",BF78,0)</f>
        <v>0</v>
      </c>
      <c r="AA78" s="70">
        <f t="shared" ref="AA78:AA112" si="30">IF(AO78="1",BG78,0)</f>
        <v>0</v>
      </c>
      <c r="AB78" s="70">
        <f t="shared" ref="AB78:AB112" si="31">IF(AO78="7",BF78,0)</f>
        <v>0</v>
      </c>
      <c r="AC78" s="70">
        <f t="shared" ref="AC78:AC112" si="32">IF(AO78="7",BG78,0)</f>
        <v>0</v>
      </c>
      <c r="AD78" s="70">
        <f t="shared" ref="AD78:AD112" si="33">IF(AO78="2",BF78,0)</f>
        <v>0</v>
      </c>
      <c r="AE78" s="70">
        <f t="shared" ref="AE78:AE112" si="34">IF(AO78="2",BG78,0)</f>
        <v>0</v>
      </c>
      <c r="AF78" s="70">
        <f t="shared" ref="AF78:AF112" si="35">IF(AO78="0",BH78,0)</f>
        <v>0</v>
      </c>
      <c r="AG78" s="64" t="s">
        <v>154</v>
      </c>
      <c r="AH78" s="70">
        <f t="shared" ref="AH78:AH112" si="36">IF(AL78=0,J78,0)</f>
        <v>0</v>
      </c>
      <c r="AI78" s="70">
        <f t="shared" ref="AI78:AI112" si="37">IF(AL78=15,J78,0)</f>
        <v>0</v>
      </c>
      <c r="AJ78" s="70">
        <f t="shared" ref="AJ78:AJ112" si="38">IF(AL78=21,J78,0)</f>
        <v>0</v>
      </c>
      <c r="AL78" s="70">
        <v>21</v>
      </c>
      <c r="AM78" s="70">
        <f t="shared" ref="AM78:AM112" si="39">G78*1</f>
        <v>0</v>
      </c>
      <c r="AN78" s="70">
        <f t="shared" ref="AN78:AN112" si="40">G78*(1-1)</f>
        <v>0</v>
      </c>
      <c r="AO78" s="71" t="s">
        <v>453</v>
      </c>
      <c r="AT78" s="70">
        <f t="shared" ref="AT78:AT112" si="41">AU78+AV78</f>
        <v>0</v>
      </c>
      <c r="AU78" s="70">
        <f t="shared" ref="AU78:AU112" si="42">F78*AM78</f>
        <v>0</v>
      </c>
      <c r="AV78" s="70">
        <f t="shared" ref="AV78:AV112" si="43">F78*AN78</f>
        <v>0</v>
      </c>
      <c r="AW78" s="71" t="s">
        <v>454</v>
      </c>
      <c r="AX78" s="71" t="s">
        <v>455</v>
      </c>
      <c r="AY78" s="64" t="s">
        <v>164</v>
      </c>
      <c r="BA78" s="70">
        <f t="shared" ref="BA78:BA112" si="44">AU78+AV78</f>
        <v>0</v>
      </c>
      <c r="BB78" s="70">
        <f t="shared" ref="BB78:BB112" si="45">G78/(100-BC78)*100</f>
        <v>0</v>
      </c>
      <c r="BC78" s="70">
        <v>0</v>
      </c>
      <c r="BD78" s="70">
        <f t="shared" ref="BD78:BD112" si="46">L78</f>
        <v>7.1000000000000004E-3</v>
      </c>
      <c r="BF78" s="70">
        <f t="shared" ref="BF78:BF112" si="47">F78*AM78</f>
        <v>0</v>
      </c>
      <c r="BG78" s="70">
        <f t="shared" ref="BG78:BG112" si="48">F78*AN78</f>
        <v>0</v>
      </c>
      <c r="BH78" s="70">
        <f t="shared" ref="BH78:BH112" si="49">F78*G78</f>
        <v>0</v>
      </c>
      <c r="BI78" s="70"/>
      <c r="BJ78" s="70"/>
      <c r="BU78" s="70" t="e">
        <f>#REF!</f>
        <v>#REF!</v>
      </c>
    </row>
    <row r="79" spans="1:73" ht="13.5" customHeight="1" x14ac:dyDescent="0.3">
      <c r="A79" s="82" t="s">
        <v>300</v>
      </c>
      <c r="B79" s="60" t="s">
        <v>1098</v>
      </c>
      <c r="C79" s="551" t="s">
        <v>1099</v>
      </c>
      <c r="D79" s="565"/>
      <c r="E79" s="60" t="s">
        <v>365</v>
      </c>
      <c r="F79" s="70">
        <v>2</v>
      </c>
      <c r="G79" s="311">
        <v>0</v>
      </c>
      <c r="H79" s="70">
        <f t="shared" si="24"/>
        <v>0</v>
      </c>
      <c r="I79" s="70">
        <f t="shared" si="25"/>
        <v>0</v>
      </c>
      <c r="J79" s="70">
        <f t="shared" si="26"/>
        <v>0</v>
      </c>
      <c r="K79" s="70">
        <v>1.0800000000000001E-2</v>
      </c>
      <c r="L79" s="70">
        <f t="shared" si="27"/>
        <v>2.1600000000000001E-2</v>
      </c>
      <c r="M79" s="89" t="s">
        <v>472</v>
      </c>
      <c r="X79" s="70">
        <f t="shared" si="28"/>
        <v>0</v>
      </c>
      <c r="Z79" s="70">
        <f t="shared" si="29"/>
        <v>0</v>
      </c>
      <c r="AA79" s="70">
        <f t="shared" si="30"/>
        <v>0</v>
      </c>
      <c r="AB79" s="70">
        <f t="shared" si="31"/>
        <v>0</v>
      </c>
      <c r="AC79" s="70">
        <f t="shared" si="32"/>
        <v>0</v>
      </c>
      <c r="AD79" s="70">
        <f t="shared" si="33"/>
        <v>0</v>
      </c>
      <c r="AE79" s="70">
        <f t="shared" si="34"/>
        <v>0</v>
      </c>
      <c r="AF79" s="70">
        <f t="shared" si="35"/>
        <v>0</v>
      </c>
      <c r="AG79" s="64" t="s">
        <v>154</v>
      </c>
      <c r="AH79" s="70">
        <f t="shared" si="36"/>
        <v>0</v>
      </c>
      <c r="AI79" s="70">
        <f t="shared" si="37"/>
        <v>0</v>
      </c>
      <c r="AJ79" s="70">
        <f t="shared" si="38"/>
        <v>0</v>
      </c>
      <c r="AL79" s="70">
        <v>21</v>
      </c>
      <c r="AM79" s="70">
        <f t="shared" si="39"/>
        <v>0</v>
      </c>
      <c r="AN79" s="70">
        <f t="shared" si="40"/>
        <v>0</v>
      </c>
      <c r="AO79" s="71" t="s">
        <v>453</v>
      </c>
      <c r="AT79" s="70">
        <f t="shared" si="41"/>
        <v>0</v>
      </c>
      <c r="AU79" s="70">
        <f t="shared" si="42"/>
        <v>0</v>
      </c>
      <c r="AV79" s="70">
        <f t="shared" si="43"/>
        <v>0</v>
      </c>
      <c r="AW79" s="71" t="s">
        <v>454</v>
      </c>
      <c r="AX79" s="71" t="s">
        <v>455</v>
      </c>
      <c r="AY79" s="64" t="s">
        <v>164</v>
      </c>
      <c r="BA79" s="70">
        <f t="shared" si="44"/>
        <v>0</v>
      </c>
      <c r="BB79" s="70">
        <f t="shared" si="45"/>
        <v>0</v>
      </c>
      <c r="BC79" s="70">
        <v>0</v>
      </c>
      <c r="BD79" s="70">
        <f t="shared" si="46"/>
        <v>2.1600000000000001E-2</v>
      </c>
      <c r="BF79" s="70">
        <f t="shared" si="47"/>
        <v>0</v>
      </c>
      <c r="BG79" s="70">
        <f t="shared" si="48"/>
        <v>0</v>
      </c>
      <c r="BH79" s="70">
        <f t="shared" si="49"/>
        <v>0</v>
      </c>
      <c r="BI79" s="70"/>
      <c r="BJ79" s="70"/>
      <c r="BU79" s="70" t="e">
        <f>#REF!</f>
        <v>#REF!</v>
      </c>
    </row>
    <row r="80" spans="1:73" ht="13.5" customHeight="1" x14ac:dyDescent="0.3">
      <c r="A80" s="82" t="s">
        <v>307</v>
      </c>
      <c r="B80" s="60" t="s">
        <v>694</v>
      </c>
      <c r="C80" s="551" t="s">
        <v>695</v>
      </c>
      <c r="D80" s="565"/>
      <c r="E80" s="60" t="s">
        <v>471</v>
      </c>
      <c r="F80" s="70">
        <v>1</v>
      </c>
      <c r="G80" s="311">
        <v>0</v>
      </c>
      <c r="H80" s="70">
        <f t="shared" si="24"/>
        <v>0</v>
      </c>
      <c r="I80" s="70">
        <f t="shared" si="25"/>
        <v>0</v>
      </c>
      <c r="J80" s="70">
        <f t="shared" si="26"/>
        <v>0</v>
      </c>
      <c r="K80" s="70">
        <v>0</v>
      </c>
      <c r="L80" s="70">
        <f t="shared" si="27"/>
        <v>0</v>
      </c>
      <c r="M80" s="89" t="s">
        <v>472</v>
      </c>
      <c r="X80" s="70">
        <f t="shared" si="28"/>
        <v>0</v>
      </c>
      <c r="Z80" s="70">
        <f t="shared" si="29"/>
        <v>0</v>
      </c>
      <c r="AA80" s="70">
        <f t="shared" si="30"/>
        <v>0</v>
      </c>
      <c r="AB80" s="70">
        <f t="shared" si="31"/>
        <v>0</v>
      </c>
      <c r="AC80" s="70">
        <f t="shared" si="32"/>
        <v>0</v>
      </c>
      <c r="AD80" s="70">
        <f t="shared" si="33"/>
        <v>0</v>
      </c>
      <c r="AE80" s="70">
        <f t="shared" si="34"/>
        <v>0</v>
      </c>
      <c r="AF80" s="70">
        <f t="shared" si="35"/>
        <v>0</v>
      </c>
      <c r="AG80" s="64" t="s">
        <v>154</v>
      </c>
      <c r="AH80" s="70">
        <f t="shared" si="36"/>
        <v>0</v>
      </c>
      <c r="AI80" s="70">
        <f t="shared" si="37"/>
        <v>0</v>
      </c>
      <c r="AJ80" s="70">
        <f t="shared" si="38"/>
        <v>0</v>
      </c>
      <c r="AL80" s="70">
        <v>21</v>
      </c>
      <c r="AM80" s="70">
        <f t="shared" si="39"/>
        <v>0</v>
      </c>
      <c r="AN80" s="70">
        <f t="shared" si="40"/>
        <v>0</v>
      </c>
      <c r="AO80" s="71" t="s">
        <v>453</v>
      </c>
      <c r="AT80" s="70">
        <f t="shared" si="41"/>
        <v>0</v>
      </c>
      <c r="AU80" s="70">
        <f t="shared" si="42"/>
        <v>0</v>
      </c>
      <c r="AV80" s="70">
        <f t="shared" si="43"/>
        <v>0</v>
      </c>
      <c r="AW80" s="71" t="s">
        <v>454</v>
      </c>
      <c r="AX80" s="71" t="s">
        <v>455</v>
      </c>
      <c r="AY80" s="64" t="s">
        <v>164</v>
      </c>
      <c r="BA80" s="70">
        <f t="shared" si="44"/>
        <v>0</v>
      </c>
      <c r="BB80" s="70">
        <f t="shared" si="45"/>
        <v>0</v>
      </c>
      <c r="BC80" s="70">
        <v>0</v>
      </c>
      <c r="BD80" s="70">
        <f t="shared" si="46"/>
        <v>0</v>
      </c>
      <c r="BF80" s="70">
        <f t="shared" si="47"/>
        <v>0</v>
      </c>
      <c r="BG80" s="70">
        <f t="shared" si="48"/>
        <v>0</v>
      </c>
      <c r="BH80" s="70">
        <f t="shared" si="49"/>
        <v>0</v>
      </c>
      <c r="BI80" s="70"/>
      <c r="BJ80" s="70"/>
      <c r="BU80" s="70" t="e">
        <f>#REF!</f>
        <v>#REF!</v>
      </c>
    </row>
    <row r="81" spans="1:73" ht="13.5" customHeight="1" x14ac:dyDescent="0.3">
      <c r="A81" s="82" t="s">
        <v>312</v>
      </c>
      <c r="B81" s="60" t="s">
        <v>1100</v>
      </c>
      <c r="C81" s="551" t="s">
        <v>1101</v>
      </c>
      <c r="D81" s="565"/>
      <c r="E81" s="60" t="s">
        <v>471</v>
      </c>
      <c r="F81" s="70">
        <v>1</v>
      </c>
      <c r="G81" s="311">
        <v>0</v>
      </c>
      <c r="H81" s="70">
        <f t="shared" si="24"/>
        <v>0</v>
      </c>
      <c r="I81" s="70">
        <f t="shared" si="25"/>
        <v>0</v>
      </c>
      <c r="J81" s="70">
        <f t="shared" si="26"/>
        <v>0</v>
      </c>
      <c r="K81" s="70">
        <v>0</v>
      </c>
      <c r="L81" s="70">
        <f t="shared" si="27"/>
        <v>0</v>
      </c>
      <c r="M81" s="89" t="s">
        <v>154</v>
      </c>
      <c r="X81" s="70">
        <f t="shared" si="28"/>
        <v>0</v>
      </c>
      <c r="Z81" s="70">
        <f t="shared" si="29"/>
        <v>0</v>
      </c>
      <c r="AA81" s="70">
        <f t="shared" si="30"/>
        <v>0</v>
      </c>
      <c r="AB81" s="70">
        <f t="shared" si="31"/>
        <v>0</v>
      </c>
      <c r="AC81" s="70">
        <f t="shared" si="32"/>
        <v>0</v>
      </c>
      <c r="AD81" s="70">
        <f t="shared" si="33"/>
        <v>0</v>
      </c>
      <c r="AE81" s="70">
        <f t="shared" si="34"/>
        <v>0</v>
      </c>
      <c r="AF81" s="70">
        <f t="shared" si="35"/>
        <v>0</v>
      </c>
      <c r="AG81" s="64" t="s">
        <v>154</v>
      </c>
      <c r="AH81" s="70">
        <f t="shared" si="36"/>
        <v>0</v>
      </c>
      <c r="AI81" s="70">
        <f t="shared" si="37"/>
        <v>0</v>
      </c>
      <c r="AJ81" s="70">
        <f t="shared" si="38"/>
        <v>0</v>
      </c>
      <c r="AL81" s="70">
        <v>21</v>
      </c>
      <c r="AM81" s="70">
        <f t="shared" si="39"/>
        <v>0</v>
      </c>
      <c r="AN81" s="70">
        <f t="shared" si="40"/>
        <v>0</v>
      </c>
      <c r="AO81" s="71" t="s">
        <v>453</v>
      </c>
      <c r="AT81" s="70">
        <f t="shared" si="41"/>
        <v>0</v>
      </c>
      <c r="AU81" s="70">
        <f t="shared" si="42"/>
        <v>0</v>
      </c>
      <c r="AV81" s="70">
        <f t="shared" si="43"/>
        <v>0</v>
      </c>
      <c r="AW81" s="71" t="s">
        <v>454</v>
      </c>
      <c r="AX81" s="71" t="s">
        <v>455</v>
      </c>
      <c r="AY81" s="64" t="s">
        <v>164</v>
      </c>
      <c r="BA81" s="70">
        <f t="shared" si="44"/>
        <v>0</v>
      </c>
      <c r="BB81" s="70">
        <f t="shared" si="45"/>
        <v>0</v>
      </c>
      <c r="BC81" s="70">
        <v>0</v>
      </c>
      <c r="BD81" s="70">
        <f t="shared" si="46"/>
        <v>0</v>
      </c>
      <c r="BF81" s="70">
        <f t="shared" si="47"/>
        <v>0</v>
      </c>
      <c r="BG81" s="70">
        <f t="shared" si="48"/>
        <v>0</v>
      </c>
      <c r="BH81" s="70">
        <f t="shared" si="49"/>
        <v>0</v>
      </c>
      <c r="BI81" s="70"/>
      <c r="BJ81" s="70"/>
      <c r="BU81" s="70" t="e">
        <f>#REF!</f>
        <v>#REF!</v>
      </c>
    </row>
    <row r="82" spans="1:73" ht="13.5" customHeight="1" x14ac:dyDescent="0.3">
      <c r="A82" s="82" t="s">
        <v>315</v>
      </c>
      <c r="B82" s="60" t="s">
        <v>1102</v>
      </c>
      <c r="C82" s="551" t="s">
        <v>1103</v>
      </c>
      <c r="D82" s="565"/>
      <c r="E82" s="60" t="s">
        <v>365</v>
      </c>
      <c r="F82" s="70">
        <v>1</v>
      </c>
      <c r="G82" s="311">
        <v>0</v>
      </c>
      <c r="H82" s="70">
        <f t="shared" si="24"/>
        <v>0</v>
      </c>
      <c r="I82" s="70">
        <f t="shared" si="25"/>
        <v>0</v>
      </c>
      <c r="J82" s="70">
        <f t="shared" si="26"/>
        <v>0</v>
      </c>
      <c r="K82" s="70">
        <v>4.3499999999999997E-3</v>
      </c>
      <c r="L82" s="70">
        <f t="shared" si="27"/>
        <v>4.3499999999999997E-3</v>
      </c>
      <c r="M82" s="89" t="s">
        <v>472</v>
      </c>
      <c r="X82" s="70">
        <f t="shared" si="28"/>
        <v>0</v>
      </c>
      <c r="Z82" s="70">
        <f t="shared" si="29"/>
        <v>0</v>
      </c>
      <c r="AA82" s="70">
        <f t="shared" si="30"/>
        <v>0</v>
      </c>
      <c r="AB82" s="70">
        <f t="shared" si="31"/>
        <v>0</v>
      </c>
      <c r="AC82" s="70">
        <f t="shared" si="32"/>
        <v>0</v>
      </c>
      <c r="AD82" s="70">
        <f t="shared" si="33"/>
        <v>0</v>
      </c>
      <c r="AE82" s="70">
        <f t="shared" si="34"/>
        <v>0</v>
      </c>
      <c r="AF82" s="70">
        <f t="shared" si="35"/>
        <v>0</v>
      </c>
      <c r="AG82" s="64" t="s">
        <v>154</v>
      </c>
      <c r="AH82" s="70">
        <f t="shared" si="36"/>
        <v>0</v>
      </c>
      <c r="AI82" s="70">
        <f t="shared" si="37"/>
        <v>0</v>
      </c>
      <c r="AJ82" s="70">
        <f t="shared" si="38"/>
        <v>0</v>
      </c>
      <c r="AL82" s="70">
        <v>21</v>
      </c>
      <c r="AM82" s="70">
        <f t="shared" si="39"/>
        <v>0</v>
      </c>
      <c r="AN82" s="70">
        <f t="shared" si="40"/>
        <v>0</v>
      </c>
      <c r="AO82" s="71" t="s">
        <v>453</v>
      </c>
      <c r="AT82" s="70">
        <f t="shared" si="41"/>
        <v>0</v>
      </c>
      <c r="AU82" s="70">
        <f t="shared" si="42"/>
        <v>0</v>
      </c>
      <c r="AV82" s="70">
        <f t="shared" si="43"/>
        <v>0</v>
      </c>
      <c r="AW82" s="71" t="s">
        <v>454</v>
      </c>
      <c r="AX82" s="71" t="s">
        <v>455</v>
      </c>
      <c r="AY82" s="64" t="s">
        <v>164</v>
      </c>
      <c r="BA82" s="70">
        <f t="shared" si="44"/>
        <v>0</v>
      </c>
      <c r="BB82" s="70">
        <f t="shared" si="45"/>
        <v>0</v>
      </c>
      <c r="BC82" s="70">
        <v>0</v>
      </c>
      <c r="BD82" s="70">
        <f t="shared" si="46"/>
        <v>4.3499999999999997E-3</v>
      </c>
      <c r="BF82" s="70">
        <f t="shared" si="47"/>
        <v>0</v>
      </c>
      <c r="BG82" s="70">
        <f t="shared" si="48"/>
        <v>0</v>
      </c>
      <c r="BH82" s="70">
        <f t="shared" si="49"/>
        <v>0</v>
      </c>
      <c r="BI82" s="70"/>
      <c r="BJ82" s="70"/>
      <c r="BU82" s="70" t="e">
        <f>#REF!</f>
        <v>#REF!</v>
      </c>
    </row>
    <row r="83" spans="1:73" ht="13.5" customHeight="1" x14ac:dyDescent="0.3">
      <c r="A83" s="82" t="s">
        <v>318</v>
      </c>
      <c r="B83" s="60" t="s">
        <v>1104</v>
      </c>
      <c r="C83" s="551" t="s">
        <v>1105</v>
      </c>
      <c r="D83" s="565"/>
      <c r="E83" s="60" t="s">
        <v>365</v>
      </c>
      <c r="F83" s="70">
        <v>2</v>
      </c>
      <c r="G83" s="311">
        <v>0</v>
      </c>
      <c r="H83" s="70">
        <f t="shared" si="24"/>
        <v>0</v>
      </c>
      <c r="I83" s="70">
        <f t="shared" si="25"/>
        <v>0</v>
      </c>
      <c r="J83" s="70">
        <f t="shared" si="26"/>
        <v>0</v>
      </c>
      <c r="K83" s="70">
        <v>9.7000000000000003E-3</v>
      </c>
      <c r="L83" s="70">
        <f t="shared" si="27"/>
        <v>1.9400000000000001E-2</v>
      </c>
      <c r="M83" s="89" t="s">
        <v>472</v>
      </c>
      <c r="X83" s="70">
        <f t="shared" si="28"/>
        <v>0</v>
      </c>
      <c r="Z83" s="70">
        <f t="shared" si="29"/>
        <v>0</v>
      </c>
      <c r="AA83" s="70">
        <f t="shared" si="30"/>
        <v>0</v>
      </c>
      <c r="AB83" s="70">
        <f t="shared" si="31"/>
        <v>0</v>
      </c>
      <c r="AC83" s="70">
        <f t="shared" si="32"/>
        <v>0</v>
      </c>
      <c r="AD83" s="70">
        <f t="shared" si="33"/>
        <v>0</v>
      </c>
      <c r="AE83" s="70">
        <f t="shared" si="34"/>
        <v>0</v>
      </c>
      <c r="AF83" s="70">
        <f t="shared" si="35"/>
        <v>0</v>
      </c>
      <c r="AG83" s="64" t="s">
        <v>154</v>
      </c>
      <c r="AH83" s="70">
        <f t="shared" si="36"/>
        <v>0</v>
      </c>
      <c r="AI83" s="70">
        <f t="shared" si="37"/>
        <v>0</v>
      </c>
      <c r="AJ83" s="70">
        <f t="shared" si="38"/>
        <v>0</v>
      </c>
      <c r="AL83" s="70">
        <v>21</v>
      </c>
      <c r="AM83" s="70">
        <f t="shared" si="39"/>
        <v>0</v>
      </c>
      <c r="AN83" s="70">
        <f t="shared" si="40"/>
        <v>0</v>
      </c>
      <c r="AO83" s="71" t="s">
        <v>453</v>
      </c>
      <c r="AT83" s="70">
        <f t="shared" si="41"/>
        <v>0</v>
      </c>
      <c r="AU83" s="70">
        <f t="shared" si="42"/>
        <v>0</v>
      </c>
      <c r="AV83" s="70">
        <f t="shared" si="43"/>
        <v>0</v>
      </c>
      <c r="AW83" s="71" t="s">
        <v>454</v>
      </c>
      <c r="AX83" s="71" t="s">
        <v>455</v>
      </c>
      <c r="AY83" s="64" t="s">
        <v>164</v>
      </c>
      <c r="BA83" s="70">
        <f t="shared" si="44"/>
        <v>0</v>
      </c>
      <c r="BB83" s="70">
        <f t="shared" si="45"/>
        <v>0</v>
      </c>
      <c r="BC83" s="70">
        <v>0</v>
      </c>
      <c r="BD83" s="70">
        <f t="shared" si="46"/>
        <v>1.9400000000000001E-2</v>
      </c>
      <c r="BF83" s="70">
        <f t="shared" si="47"/>
        <v>0</v>
      </c>
      <c r="BG83" s="70">
        <f t="shared" si="48"/>
        <v>0</v>
      </c>
      <c r="BH83" s="70">
        <f t="shared" si="49"/>
        <v>0</v>
      </c>
      <c r="BI83" s="70"/>
      <c r="BJ83" s="70"/>
      <c r="BU83" s="70" t="e">
        <f>#REF!</f>
        <v>#REF!</v>
      </c>
    </row>
    <row r="84" spans="1:73" ht="13.5" customHeight="1" x14ac:dyDescent="0.3">
      <c r="A84" s="82" t="s">
        <v>319</v>
      </c>
      <c r="B84" s="60" t="s">
        <v>691</v>
      </c>
      <c r="C84" s="551" t="s">
        <v>692</v>
      </c>
      <c r="D84" s="565"/>
      <c r="E84" s="60" t="s">
        <v>471</v>
      </c>
      <c r="F84" s="70">
        <v>19</v>
      </c>
      <c r="G84" s="311">
        <v>0</v>
      </c>
      <c r="H84" s="70">
        <f t="shared" si="24"/>
        <v>0</v>
      </c>
      <c r="I84" s="70">
        <f t="shared" si="25"/>
        <v>0</v>
      </c>
      <c r="J84" s="70">
        <f t="shared" si="26"/>
        <v>0</v>
      </c>
      <c r="K84" s="70">
        <v>0</v>
      </c>
      <c r="L84" s="70">
        <f t="shared" si="27"/>
        <v>0</v>
      </c>
      <c r="M84" s="89" t="s">
        <v>472</v>
      </c>
      <c r="X84" s="70">
        <f t="shared" si="28"/>
        <v>0</v>
      </c>
      <c r="Z84" s="70">
        <f t="shared" si="29"/>
        <v>0</v>
      </c>
      <c r="AA84" s="70">
        <f t="shared" si="30"/>
        <v>0</v>
      </c>
      <c r="AB84" s="70">
        <f t="shared" si="31"/>
        <v>0</v>
      </c>
      <c r="AC84" s="70">
        <f t="shared" si="32"/>
        <v>0</v>
      </c>
      <c r="AD84" s="70">
        <f t="shared" si="33"/>
        <v>0</v>
      </c>
      <c r="AE84" s="70">
        <f t="shared" si="34"/>
        <v>0</v>
      </c>
      <c r="AF84" s="70">
        <f t="shared" si="35"/>
        <v>0</v>
      </c>
      <c r="AG84" s="64" t="s">
        <v>154</v>
      </c>
      <c r="AH84" s="70">
        <f t="shared" si="36"/>
        <v>0</v>
      </c>
      <c r="AI84" s="70">
        <f t="shared" si="37"/>
        <v>0</v>
      </c>
      <c r="AJ84" s="70">
        <f t="shared" si="38"/>
        <v>0</v>
      </c>
      <c r="AL84" s="70">
        <v>21</v>
      </c>
      <c r="AM84" s="70">
        <f t="shared" si="39"/>
        <v>0</v>
      </c>
      <c r="AN84" s="70">
        <f t="shared" si="40"/>
        <v>0</v>
      </c>
      <c r="AO84" s="71" t="s">
        <v>453</v>
      </c>
      <c r="AT84" s="70">
        <f t="shared" si="41"/>
        <v>0</v>
      </c>
      <c r="AU84" s="70">
        <f t="shared" si="42"/>
        <v>0</v>
      </c>
      <c r="AV84" s="70">
        <f t="shared" si="43"/>
        <v>0</v>
      </c>
      <c r="AW84" s="71" t="s">
        <v>454</v>
      </c>
      <c r="AX84" s="71" t="s">
        <v>455</v>
      </c>
      <c r="AY84" s="64" t="s">
        <v>164</v>
      </c>
      <c r="BA84" s="70">
        <f t="shared" si="44"/>
        <v>0</v>
      </c>
      <c r="BB84" s="70">
        <f t="shared" si="45"/>
        <v>0</v>
      </c>
      <c r="BC84" s="70">
        <v>0</v>
      </c>
      <c r="BD84" s="70">
        <f t="shared" si="46"/>
        <v>0</v>
      </c>
      <c r="BF84" s="70">
        <f t="shared" si="47"/>
        <v>0</v>
      </c>
      <c r="BG84" s="70">
        <f t="shared" si="48"/>
        <v>0</v>
      </c>
      <c r="BH84" s="70">
        <f t="shared" si="49"/>
        <v>0</v>
      </c>
      <c r="BI84" s="70"/>
      <c r="BJ84" s="70"/>
      <c r="BU84" s="70" t="e">
        <f>#REF!</f>
        <v>#REF!</v>
      </c>
    </row>
    <row r="85" spans="1:73" ht="13.5" customHeight="1" x14ac:dyDescent="0.3">
      <c r="A85" s="82" t="s">
        <v>322</v>
      </c>
      <c r="B85" s="60" t="s">
        <v>712</v>
      </c>
      <c r="C85" s="551" t="s">
        <v>713</v>
      </c>
      <c r="D85" s="565"/>
      <c r="E85" s="60" t="s">
        <v>471</v>
      </c>
      <c r="F85" s="70">
        <v>8</v>
      </c>
      <c r="G85" s="311">
        <v>0</v>
      </c>
      <c r="H85" s="70">
        <f t="shared" si="24"/>
        <v>0</v>
      </c>
      <c r="I85" s="70">
        <f t="shared" si="25"/>
        <v>0</v>
      </c>
      <c r="J85" s="70">
        <f t="shared" si="26"/>
        <v>0</v>
      </c>
      <c r="K85" s="70">
        <v>0</v>
      </c>
      <c r="L85" s="70">
        <f t="shared" si="27"/>
        <v>0</v>
      </c>
      <c r="M85" s="89" t="s">
        <v>154</v>
      </c>
      <c r="X85" s="70">
        <f t="shared" si="28"/>
        <v>0</v>
      </c>
      <c r="Z85" s="70">
        <f t="shared" si="29"/>
        <v>0</v>
      </c>
      <c r="AA85" s="70">
        <f t="shared" si="30"/>
        <v>0</v>
      </c>
      <c r="AB85" s="70">
        <f t="shared" si="31"/>
        <v>0</v>
      </c>
      <c r="AC85" s="70">
        <f t="shared" si="32"/>
        <v>0</v>
      </c>
      <c r="AD85" s="70">
        <f t="shared" si="33"/>
        <v>0</v>
      </c>
      <c r="AE85" s="70">
        <f t="shared" si="34"/>
        <v>0</v>
      </c>
      <c r="AF85" s="70">
        <f t="shared" si="35"/>
        <v>0</v>
      </c>
      <c r="AG85" s="64" t="s">
        <v>154</v>
      </c>
      <c r="AH85" s="70">
        <f t="shared" si="36"/>
        <v>0</v>
      </c>
      <c r="AI85" s="70">
        <f t="shared" si="37"/>
        <v>0</v>
      </c>
      <c r="AJ85" s="70">
        <f t="shared" si="38"/>
        <v>0</v>
      </c>
      <c r="AL85" s="70">
        <v>21</v>
      </c>
      <c r="AM85" s="70">
        <f t="shared" si="39"/>
        <v>0</v>
      </c>
      <c r="AN85" s="70">
        <f t="shared" si="40"/>
        <v>0</v>
      </c>
      <c r="AO85" s="71" t="s">
        <v>453</v>
      </c>
      <c r="AT85" s="70">
        <f t="shared" si="41"/>
        <v>0</v>
      </c>
      <c r="AU85" s="70">
        <f t="shared" si="42"/>
        <v>0</v>
      </c>
      <c r="AV85" s="70">
        <f t="shared" si="43"/>
        <v>0</v>
      </c>
      <c r="AW85" s="71" t="s">
        <v>454</v>
      </c>
      <c r="AX85" s="71" t="s">
        <v>455</v>
      </c>
      <c r="AY85" s="64" t="s">
        <v>164</v>
      </c>
      <c r="BA85" s="70">
        <f t="shared" si="44"/>
        <v>0</v>
      </c>
      <c r="BB85" s="70">
        <f t="shared" si="45"/>
        <v>0</v>
      </c>
      <c r="BC85" s="70">
        <v>0</v>
      </c>
      <c r="BD85" s="70">
        <f t="shared" si="46"/>
        <v>0</v>
      </c>
      <c r="BF85" s="70">
        <f t="shared" si="47"/>
        <v>0</v>
      </c>
      <c r="BG85" s="70">
        <f t="shared" si="48"/>
        <v>0</v>
      </c>
      <c r="BH85" s="70">
        <f t="shared" si="49"/>
        <v>0</v>
      </c>
      <c r="BI85" s="70"/>
      <c r="BJ85" s="70"/>
      <c r="BU85" s="70" t="e">
        <f>#REF!</f>
        <v>#REF!</v>
      </c>
    </row>
    <row r="86" spans="1:73" ht="13.5" customHeight="1" x14ac:dyDescent="0.3">
      <c r="A86" s="82" t="s">
        <v>298</v>
      </c>
      <c r="B86" s="60" t="s">
        <v>718</v>
      </c>
      <c r="C86" s="551" t="s">
        <v>719</v>
      </c>
      <c r="D86" s="565"/>
      <c r="E86" s="60" t="s">
        <v>471</v>
      </c>
      <c r="F86" s="70">
        <v>8</v>
      </c>
      <c r="G86" s="311">
        <v>0</v>
      </c>
      <c r="H86" s="70">
        <f t="shared" si="24"/>
        <v>0</v>
      </c>
      <c r="I86" s="70">
        <f t="shared" si="25"/>
        <v>0</v>
      </c>
      <c r="J86" s="70">
        <f t="shared" si="26"/>
        <v>0</v>
      </c>
      <c r="K86" s="70">
        <v>0</v>
      </c>
      <c r="L86" s="70">
        <f t="shared" si="27"/>
        <v>0</v>
      </c>
      <c r="M86" s="89" t="s">
        <v>154</v>
      </c>
      <c r="X86" s="70">
        <f t="shared" si="28"/>
        <v>0</v>
      </c>
      <c r="Z86" s="70">
        <f t="shared" si="29"/>
        <v>0</v>
      </c>
      <c r="AA86" s="70">
        <f t="shared" si="30"/>
        <v>0</v>
      </c>
      <c r="AB86" s="70">
        <f t="shared" si="31"/>
        <v>0</v>
      </c>
      <c r="AC86" s="70">
        <f t="shared" si="32"/>
        <v>0</v>
      </c>
      <c r="AD86" s="70">
        <f t="shared" si="33"/>
        <v>0</v>
      </c>
      <c r="AE86" s="70">
        <f t="shared" si="34"/>
        <v>0</v>
      </c>
      <c r="AF86" s="70">
        <f t="shared" si="35"/>
        <v>0</v>
      </c>
      <c r="AG86" s="64" t="s">
        <v>154</v>
      </c>
      <c r="AH86" s="70">
        <f t="shared" si="36"/>
        <v>0</v>
      </c>
      <c r="AI86" s="70">
        <f t="shared" si="37"/>
        <v>0</v>
      </c>
      <c r="AJ86" s="70">
        <f t="shared" si="38"/>
        <v>0</v>
      </c>
      <c r="AL86" s="70">
        <v>21</v>
      </c>
      <c r="AM86" s="70">
        <f t="shared" si="39"/>
        <v>0</v>
      </c>
      <c r="AN86" s="70">
        <f t="shared" si="40"/>
        <v>0</v>
      </c>
      <c r="AO86" s="71" t="s">
        <v>453</v>
      </c>
      <c r="AT86" s="70">
        <f t="shared" si="41"/>
        <v>0</v>
      </c>
      <c r="AU86" s="70">
        <f t="shared" si="42"/>
        <v>0</v>
      </c>
      <c r="AV86" s="70">
        <f t="shared" si="43"/>
        <v>0</v>
      </c>
      <c r="AW86" s="71" t="s">
        <v>454</v>
      </c>
      <c r="AX86" s="71" t="s">
        <v>455</v>
      </c>
      <c r="AY86" s="64" t="s">
        <v>164</v>
      </c>
      <c r="BA86" s="70">
        <f t="shared" si="44"/>
        <v>0</v>
      </c>
      <c r="BB86" s="70">
        <f t="shared" si="45"/>
        <v>0</v>
      </c>
      <c r="BC86" s="70">
        <v>0</v>
      </c>
      <c r="BD86" s="70">
        <f t="shared" si="46"/>
        <v>0</v>
      </c>
      <c r="BF86" s="70">
        <f t="shared" si="47"/>
        <v>0</v>
      </c>
      <c r="BG86" s="70">
        <f t="shared" si="48"/>
        <v>0</v>
      </c>
      <c r="BH86" s="70">
        <f t="shared" si="49"/>
        <v>0</v>
      </c>
      <c r="BI86" s="70"/>
      <c r="BJ86" s="70"/>
      <c r="BU86" s="70" t="e">
        <f>#REF!</f>
        <v>#REF!</v>
      </c>
    </row>
    <row r="87" spans="1:73" ht="13.5" customHeight="1" x14ac:dyDescent="0.3">
      <c r="A87" s="82" t="s">
        <v>327</v>
      </c>
      <c r="B87" s="60" t="s">
        <v>1106</v>
      </c>
      <c r="C87" s="551" t="s">
        <v>1107</v>
      </c>
      <c r="D87" s="565"/>
      <c r="E87" s="60" t="s">
        <v>471</v>
      </c>
      <c r="F87" s="70">
        <v>1</v>
      </c>
      <c r="G87" s="311">
        <v>0</v>
      </c>
      <c r="H87" s="70">
        <f t="shared" si="24"/>
        <v>0</v>
      </c>
      <c r="I87" s="70">
        <f t="shared" si="25"/>
        <v>0</v>
      </c>
      <c r="J87" s="70">
        <f t="shared" si="26"/>
        <v>0</v>
      </c>
      <c r="K87" s="70">
        <v>0</v>
      </c>
      <c r="L87" s="70">
        <f t="shared" si="27"/>
        <v>0</v>
      </c>
      <c r="M87" s="89" t="s">
        <v>154</v>
      </c>
      <c r="X87" s="70">
        <f t="shared" si="28"/>
        <v>0</v>
      </c>
      <c r="Z87" s="70">
        <f t="shared" si="29"/>
        <v>0</v>
      </c>
      <c r="AA87" s="70">
        <f t="shared" si="30"/>
        <v>0</v>
      </c>
      <c r="AB87" s="70">
        <f t="shared" si="31"/>
        <v>0</v>
      </c>
      <c r="AC87" s="70">
        <f t="shared" si="32"/>
        <v>0</v>
      </c>
      <c r="AD87" s="70">
        <f t="shared" si="33"/>
        <v>0</v>
      </c>
      <c r="AE87" s="70">
        <f t="shared" si="34"/>
        <v>0</v>
      </c>
      <c r="AF87" s="70">
        <f t="shared" si="35"/>
        <v>0</v>
      </c>
      <c r="AG87" s="64" t="s">
        <v>154</v>
      </c>
      <c r="AH87" s="70">
        <f t="shared" si="36"/>
        <v>0</v>
      </c>
      <c r="AI87" s="70">
        <f t="shared" si="37"/>
        <v>0</v>
      </c>
      <c r="AJ87" s="70">
        <f t="shared" si="38"/>
        <v>0</v>
      </c>
      <c r="AL87" s="70">
        <v>21</v>
      </c>
      <c r="AM87" s="70">
        <f t="shared" si="39"/>
        <v>0</v>
      </c>
      <c r="AN87" s="70">
        <f t="shared" si="40"/>
        <v>0</v>
      </c>
      <c r="AO87" s="71" t="s">
        <v>453</v>
      </c>
      <c r="AT87" s="70">
        <f t="shared" si="41"/>
        <v>0</v>
      </c>
      <c r="AU87" s="70">
        <f t="shared" si="42"/>
        <v>0</v>
      </c>
      <c r="AV87" s="70">
        <f t="shared" si="43"/>
        <v>0</v>
      </c>
      <c r="AW87" s="71" t="s">
        <v>454</v>
      </c>
      <c r="AX87" s="71" t="s">
        <v>455</v>
      </c>
      <c r="AY87" s="64" t="s">
        <v>164</v>
      </c>
      <c r="BA87" s="70">
        <f t="shared" si="44"/>
        <v>0</v>
      </c>
      <c r="BB87" s="70">
        <f t="shared" si="45"/>
        <v>0</v>
      </c>
      <c r="BC87" s="70">
        <v>0</v>
      </c>
      <c r="BD87" s="70">
        <f t="shared" si="46"/>
        <v>0</v>
      </c>
      <c r="BF87" s="70">
        <f t="shared" si="47"/>
        <v>0</v>
      </c>
      <c r="BG87" s="70">
        <f t="shared" si="48"/>
        <v>0</v>
      </c>
      <c r="BH87" s="70">
        <f t="shared" si="49"/>
        <v>0</v>
      </c>
      <c r="BI87" s="70"/>
      <c r="BJ87" s="70"/>
      <c r="BU87" s="70" t="e">
        <f>#REF!</f>
        <v>#REF!</v>
      </c>
    </row>
    <row r="88" spans="1:73" ht="13.5" customHeight="1" x14ac:dyDescent="0.3">
      <c r="A88" s="82" t="s">
        <v>329</v>
      </c>
      <c r="B88" s="60" t="s">
        <v>1108</v>
      </c>
      <c r="C88" s="551" t="s">
        <v>1109</v>
      </c>
      <c r="D88" s="565"/>
      <c r="E88" s="60" t="s">
        <v>471</v>
      </c>
      <c r="F88" s="70">
        <v>1</v>
      </c>
      <c r="G88" s="311">
        <v>0</v>
      </c>
      <c r="H88" s="70">
        <f t="shared" si="24"/>
        <v>0</v>
      </c>
      <c r="I88" s="70">
        <f t="shared" si="25"/>
        <v>0</v>
      </c>
      <c r="J88" s="70">
        <f t="shared" si="26"/>
        <v>0</v>
      </c>
      <c r="K88" s="70">
        <v>0</v>
      </c>
      <c r="L88" s="70">
        <f t="shared" si="27"/>
        <v>0</v>
      </c>
      <c r="M88" s="89" t="s">
        <v>154</v>
      </c>
      <c r="X88" s="70">
        <f t="shared" si="28"/>
        <v>0</v>
      </c>
      <c r="Z88" s="70">
        <f t="shared" si="29"/>
        <v>0</v>
      </c>
      <c r="AA88" s="70">
        <f t="shared" si="30"/>
        <v>0</v>
      </c>
      <c r="AB88" s="70">
        <f t="shared" si="31"/>
        <v>0</v>
      </c>
      <c r="AC88" s="70">
        <f t="shared" si="32"/>
        <v>0</v>
      </c>
      <c r="AD88" s="70">
        <f t="shared" si="33"/>
        <v>0</v>
      </c>
      <c r="AE88" s="70">
        <f t="shared" si="34"/>
        <v>0</v>
      </c>
      <c r="AF88" s="70">
        <f t="shared" si="35"/>
        <v>0</v>
      </c>
      <c r="AG88" s="64" t="s">
        <v>154</v>
      </c>
      <c r="AH88" s="70">
        <f t="shared" si="36"/>
        <v>0</v>
      </c>
      <c r="AI88" s="70">
        <f t="shared" si="37"/>
        <v>0</v>
      </c>
      <c r="AJ88" s="70">
        <f t="shared" si="38"/>
        <v>0</v>
      </c>
      <c r="AL88" s="70">
        <v>21</v>
      </c>
      <c r="AM88" s="70">
        <f t="shared" si="39"/>
        <v>0</v>
      </c>
      <c r="AN88" s="70">
        <f t="shared" si="40"/>
        <v>0</v>
      </c>
      <c r="AO88" s="71" t="s">
        <v>453</v>
      </c>
      <c r="AT88" s="70">
        <f t="shared" si="41"/>
        <v>0</v>
      </c>
      <c r="AU88" s="70">
        <f t="shared" si="42"/>
        <v>0</v>
      </c>
      <c r="AV88" s="70">
        <f t="shared" si="43"/>
        <v>0</v>
      </c>
      <c r="AW88" s="71" t="s">
        <v>454</v>
      </c>
      <c r="AX88" s="71" t="s">
        <v>455</v>
      </c>
      <c r="AY88" s="64" t="s">
        <v>164</v>
      </c>
      <c r="BA88" s="70">
        <f t="shared" si="44"/>
        <v>0</v>
      </c>
      <c r="BB88" s="70">
        <f t="shared" si="45"/>
        <v>0</v>
      </c>
      <c r="BC88" s="70">
        <v>0</v>
      </c>
      <c r="BD88" s="70">
        <f t="shared" si="46"/>
        <v>0</v>
      </c>
      <c r="BF88" s="70">
        <f t="shared" si="47"/>
        <v>0</v>
      </c>
      <c r="BG88" s="70">
        <f t="shared" si="48"/>
        <v>0</v>
      </c>
      <c r="BH88" s="70">
        <f t="shared" si="49"/>
        <v>0</v>
      </c>
      <c r="BI88" s="70"/>
      <c r="BJ88" s="70"/>
      <c r="BU88" s="70" t="e">
        <f>#REF!</f>
        <v>#REF!</v>
      </c>
    </row>
    <row r="89" spans="1:73" ht="13.5" customHeight="1" x14ac:dyDescent="0.3">
      <c r="A89" s="82" t="s">
        <v>332</v>
      </c>
      <c r="B89" s="60" t="s">
        <v>1110</v>
      </c>
      <c r="C89" s="551" t="s">
        <v>1111</v>
      </c>
      <c r="D89" s="565"/>
      <c r="E89" s="60" t="s">
        <v>471</v>
      </c>
      <c r="F89" s="70">
        <v>3</v>
      </c>
      <c r="G89" s="311">
        <v>0</v>
      </c>
      <c r="H89" s="70">
        <f t="shared" si="24"/>
        <v>0</v>
      </c>
      <c r="I89" s="70">
        <f t="shared" si="25"/>
        <v>0</v>
      </c>
      <c r="J89" s="70">
        <f t="shared" si="26"/>
        <v>0</v>
      </c>
      <c r="K89" s="70">
        <v>0</v>
      </c>
      <c r="L89" s="70">
        <f t="shared" si="27"/>
        <v>0</v>
      </c>
      <c r="M89" s="89" t="s">
        <v>154</v>
      </c>
      <c r="X89" s="70">
        <f t="shared" si="28"/>
        <v>0</v>
      </c>
      <c r="Z89" s="70">
        <f t="shared" si="29"/>
        <v>0</v>
      </c>
      <c r="AA89" s="70">
        <f t="shared" si="30"/>
        <v>0</v>
      </c>
      <c r="AB89" s="70">
        <f t="shared" si="31"/>
        <v>0</v>
      </c>
      <c r="AC89" s="70">
        <f t="shared" si="32"/>
        <v>0</v>
      </c>
      <c r="AD89" s="70">
        <f t="shared" si="33"/>
        <v>0</v>
      </c>
      <c r="AE89" s="70">
        <f t="shared" si="34"/>
        <v>0</v>
      </c>
      <c r="AF89" s="70">
        <f t="shared" si="35"/>
        <v>0</v>
      </c>
      <c r="AG89" s="64" t="s">
        <v>154</v>
      </c>
      <c r="AH89" s="70">
        <f t="shared" si="36"/>
        <v>0</v>
      </c>
      <c r="AI89" s="70">
        <f t="shared" si="37"/>
        <v>0</v>
      </c>
      <c r="AJ89" s="70">
        <f t="shared" si="38"/>
        <v>0</v>
      </c>
      <c r="AL89" s="70">
        <v>21</v>
      </c>
      <c r="AM89" s="70">
        <f t="shared" si="39"/>
        <v>0</v>
      </c>
      <c r="AN89" s="70">
        <f t="shared" si="40"/>
        <v>0</v>
      </c>
      <c r="AO89" s="71" t="s">
        <v>453</v>
      </c>
      <c r="AT89" s="70">
        <f t="shared" si="41"/>
        <v>0</v>
      </c>
      <c r="AU89" s="70">
        <f t="shared" si="42"/>
        <v>0</v>
      </c>
      <c r="AV89" s="70">
        <f t="shared" si="43"/>
        <v>0</v>
      </c>
      <c r="AW89" s="71" t="s">
        <v>454</v>
      </c>
      <c r="AX89" s="71" t="s">
        <v>455</v>
      </c>
      <c r="AY89" s="64" t="s">
        <v>164</v>
      </c>
      <c r="BA89" s="70">
        <f t="shared" si="44"/>
        <v>0</v>
      </c>
      <c r="BB89" s="70">
        <f t="shared" si="45"/>
        <v>0</v>
      </c>
      <c r="BC89" s="70">
        <v>0</v>
      </c>
      <c r="BD89" s="70">
        <f t="shared" si="46"/>
        <v>0</v>
      </c>
      <c r="BF89" s="70">
        <f t="shared" si="47"/>
        <v>0</v>
      </c>
      <c r="BG89" s="70">
        <f t="shared" si="48"/>
        <v>0</v>
      </c>
      <c r="BH89" s="70">
        <f t="shared" si="49"/>
        <v>0</v>
      </c>
      <c r="BI89" s="70"/>
      <c r="BJ89" s="70"/>
      <c r="BU89" s="70" t="e">
        <f>#REF!</f>
        <v>#REF!</v>
      </c>
    </row>
    <row r="90" spans="1:73" ht="13.5" customHeight="1" x14ac:dyDescent="0.3">
      <c r="A90" s="82" t="s">
        <v>337</v>
      </c>
      <c r="B90" s="60" t="s">
        <v>791</v>
      </c>
      <c r="C90" s="551" t="s">
        <v>792</v>
      </c>
      <c r="D90" s="565"/>
      <c r="E90" s="60" t="s">
        <v>471</v>
      </c>
      <c r="F90" s="70">
        <v>1</v>
      </c>
      <c r="G90" s="311">
        <v>0</v>
      </c>
      <c r="H90" s="70">
        <f t="shared" si="24"/>
        <v>0</v>
      </c>
      <c r="I90" s="70">
        <f t="shared" si="25"/>
        <v>0</v>
      </c>
      <c r="J90" s="70">
        <f t="shared" si="26"/>
        <v>0</v>
      </c>
      <c r="K90" s="70">
        <v>2.4500000000000001E-2</v>
      </c>
      <c r="L90" s="70">
        <f t="shared" si="27"/>
        <v>2.4500000000000001E-2</v>
      </c>
      <c r="M90" s="89" t="s">
        <v>472</v>
      </c>
      <c r="X90" s="70">
        <f t="shared" si="28"/>
        <v>0</v>
      </c>
      <c r="Z90" s="70">
        <f t="shared" si="29"/>
        <v>0</v>
      </c>
      <c r="AA90" s="70">
        <f t="shared" si="30"/>
        <v>0</v>
      </c>
      <c r="AB90" s="70">
        <f t="shared" si="31"/>
        <v>0</v>
      </c>
      <c r="AC90" s="70">
        <f t="shared" si="32"/>
        <v>0</v>
      </c>
      <c r="AD90" s="70">
        <f t="shared" si="33"/>
        <v>0</v>
      </c>
      <c r="AE90" s="70">
        <f t="shared" si="34"/>
        <v>0</v>
      </c>
      <c r="AF90" s="70">
        <f t="shared" si="35"/>
        <v>0</v>
      </c>
      <c r="AG90" s="64" t="s">
        <v>154</v>
      </c>
      <c r="AH90" s="70">
        <f t="shared" si="36"/>
        <v>0</v>
      </c>
      <c r="AI90" s="70">
        <f t="shared" si="37"/>
        <v>0</v>
      </c>
      <c r="AJ90" s="70">
        <f t="shared" si="38"/>
        <v>0</v>
      </c>
      <c r="AL90" s="70">
        <v>21</v>
      </c>
      <c r="AM90" s="70">
        <f t="shared" si="39"/>
        <v>0</v>
      </c>
      <c r="AN90" s="70">
        <f t="shared" si="40"/>
        <v>0</v>
      </c>
      <c r="AO90" s="71" t="s">
        <v>453</v>
      </c>
      <c r="AT90" s="70">
        <f t="shared" si="41"/>
        <v>0</v>
      </c>
      <c r="AU90" s="70">
        <f t="shared" si="42"/>
        <v>0</v>
      </c>
      <c r="AV90" s="70">
        <f t="shared" si="43"/>
        <v>0</v>
      </c>
      <c r="AW90" s="71" t="s">
        <v>454</v>
      </c>
      <c r="AX90" s="71" t="s">
        <v>455</v>
      </c>
      <c r="AY90" s="64" t="s">
        <v>164</v>
      </c>
      <c r="BA90" s="70">
        <f t="shared" si="44"/>
        <v>0</v>
      </c>
      <c r="BB90" s="70">
        <f t="shared" si="45"/>
        <v>0</v>
      </c>
      <c r="BC90" s="70">
        <v>0</v>
      </c>
      <c r="BD90" s="70">
        <f t="shared" si="46"/>
        <v>2.4500000000000001E-2</v>
      </c>
      <c r="BF90" s="70">
        <f t="shared" si="47"/>
        <v>0</v>
      </c>
      <c r="BG90" s="70">
        <f t="shared" si="48"/>
        <v>0</v>
      </c>
      <c r="BH90" s="70">
        <f t="shared" si="49"/>
        <v>0</v>
      </c>
      <c r="BI90" s="70"/>
      <c r="BJ90" s="70"/>
      <c r="BU90" s="70" t="e">
        <f>#REF!</f>
        <v>#REF!</v>
      </c>
    </row>
    <row r="91" spans="1:73" ht="13.5" customHeight="1" x14ac:dyDescent="0.3">
      <c r="A91" s="82" t="s">
        <v>341</v>
      </c>
      <c r="B91" s="60" t="s">
        <v>736</v>
      </c>
      <c r="C91" s="551" t="s">
        <v>737</v>
      </c>
      <c r="D91" s="565"/>
      <c r="E91" s="60" t="s">
        <v>471</v>
      </c>
      <c r="F91" s="70">
        <v>3</v>
      </c>
      <c r="G91" s="311">
        <v>0</v>
      </c>
      <c r="H91" s="70">
        <f t="shared" si="24"/>
        <v>0</v>
      </c>
      <c r="I91" s="70">
        <f t="shared" si="25"/>
        <v>0</v>
      </c>
      <c r="J91" s="70">
        <f t="shared" si="26"/>
        <v>0</v>
      </c>
      <c r="K91" s="70">
        <v>0</v>
      </c>
      <c r="L91" s="70">
        <f t="shared" si="27"/>
        <v>0</v>
      </c>
      <c r="M91" s="89" t="s">
        <v>154</v>
      </c>
      <c r="X91" s="70">
        <f t="shared" si="28"/>
        <v>0</v>
      </c>
      <c r="Z91" s="70">
        <f t="shared" si="29"/>
        <v>0</v>
      </c>
      <c r="AA91" s="70">
        <f t="shared" si="30"/>
        <v>0</v>
      </c>
      <c r="AB91" s="70">
        <f t="shared" si="31"/>
        <v>0</v>
      </c>
      <c r="AC91" s="70">
        <f t="shared" si="32"/>
        <v>0</v>
      </c>
      <c r="AD91" s="70">
        <f t="shared" si="33"/>
        <v>0</v>
      </c>
      <c r="AE91" s="70">
        <f t="shared" si="34"/>
        <v>0</v>
      </c>
      <c r="AF91" s="70">
        <f t="shared" si="35"/>
        <v>0</v>
      </c>
      <c r="AG91" s="64" t="s">
        <v>154</v>
      </c>
      <c r="AH91" s="70">
        <f t="shared" si="36"/>
        <v>0</v>
      </c>
      <c r="AI91" s="70">
        <f t="shared" si="37"/>
        <v>0</v>
      </c>
      <c r="AJ91" s="70">
        <f t="shared" si="38"/>
        <v>0</v>
      </c>
      <c r="AL91" s="70">
        <v>21</v>
      </c>
      <c r="AM91" s="70">
        <f t="shared" si="39"/>
        <v>0</v>
      </c>
      <c r="AN91" s="70">
        <f t="shared" si="40"/>
        <v>0</v>
      </c>
      <c r="AO91" s="71" t="s">
        <v>453</v>
      </c>
      <c r="AT91" s="70">
        <f t="shared" si="41"/>
        <v>0</v>
      </c>
      <c r="AU91" s="70">
        <f t="shared" si="42"/>
        <v>0</v>
      </c>
      <c r="AV91" s="70">
        <f t="shared" si="43"/>
        <v>0</v>
      </c>
      <c r="AW91" s="71" t="s">
        <v>454</v>
      </c>
      <c r="AX91" s="71" t="s">
        <v>455</v>
      </c>
      <c r="AY91" s="64" t="s">
        <v>164</v>
      </c>
      <c r="BA91" s="70">
        <f t="shared" si="44"/>
        <v>0</v>
      </c>
      <c r="BB91" s="70">
        <f t="shared" si="45"/>
        <v>0</v>
      </c>
      <c r="BC91" s="70">
        <v>0</v>
      </c>
      <c r="BD91" s="70">
        <f t="shared" si="46"/>
        <v>0</v>
      </c>
      <c r="BF91" s="70">
        <f t="shared" si="47"/>
        <v>0</v>
      </c>
      <c r="BG91" s="70">
        <f t="shared" si="48"/>
        <v>0</v>
      </c>
      <c r="BH91" s="70">
        <f t="shared" si="49"/>
        <v>0</v>
      </c>
      <c r="BI91" s="70"/>
      <c r="BJ91" s="70"/>
      <c r="BU91" s="70" t="e">
        <f>#REF!</f>
        <v>#REF!</v>
      </c>
    </row>
    <row r="92" spans="1:73" ht="13.5" customHeight="1" x14ac:dyDescent="0.3">
      <c r="A92" s="82" t="s">
        <v>346</v>
      </c>
      <c r="B92" s="60" t="s">
        <v>1112</v>
      </c>
      <c r="C92" s="551" t="s">
        <v>1113</v>
      </c>
      <c r="D92" s="565"/>
      <c r="E92" s="60" t="s">
        <v>365</v>
      </c>
      <c r="F92" s="70">
        <v>4</v>
      </c>
      <c r="G92" s="311">
        <v>0</v>
      </c>
      <c r="H92" s="70">
        <f t="shared" si="24"/>
        <v>0</v>
      </c>
      <c r="I92" s="70">
        <f t="shared" si="25"/>
        <v>0</v>
      </c>
      <c r="J92" s="70">
        <f t="shared" si="26"/>
        <v>0</v>
      </c>
      <c r="K92" s="70">
        <v>1.2999999999999999E-3</v>
      </c>
      <c r="L92" s="70">
        <f t="shared" si="27"/>
        <v>5.1999999999999998E-3</v>
      </c>
      <c r="M92" s="89" t="s">
        <v>472</v>
      </c>
      <c r="X92" s="70">
        <f t="shared" si="28"/>
        <v>0</v>
      </c>
      <c r="Z92" s="70">
        <f t="shared" si="29"/>
        <v>0</v>
      </c>
      <c r="AA92" s="70">
        <f t="shared" si="30"/>
        <v>0</v>
      </c>
      <c r="AB92" s="70">
        <f t="shared" si="31"/>
        <v>0</v>
      </c>
      <c r="AC92" s="70">
        <f t="shared" si="32"/>
        <v>0</v>
      </c>
      <c r="AD92" s="70">
        <f t="shared" si="33"/>
        <v>0</v>
      </c>
      <c r="AE92" s="70">
        <f t="shared" si="34"/>
        <v>0</v>
      </c>
      <c r="AF92" s="70">
        <f t="shared" si="35"/>
        <v>0</v>
      </c>
      <c r="AG92" s="64" t="s">
        <v>154</v>
      </c>
      <c r="AH92" s="70">
        <f t="shared" si="36"/>
        <v>0</v>
      </c>
      <c r="AI92" s="70">
        <f t="shared" si="37"/>
        <v>0</v>
      </c>
      <c r="AJ92" s="70">
        <f t="shared" si="38"/>
        <v>0</v>
      </c>
      <c r="AL92" s="70">
        <v>21</v>
      </c>
      <c r="AM92" s="70">
        <f t="shared" si="39"/>
        <v>0</v>
      </c>
      <c r="AN92" s="70">
        <f t="shared" si="40"/>
        <v>0</v>
      </c>
      <c r="AO92" s="71" t="s">
        <v>453</v>
      </c>
      <c r="AT92" s="70">
        <f t="shared" si="41"/>
        <v>0</v>
      </c>
      <c r="AU92" s="70">
        <f t="shared" si="42"/>
        <v>0</v>
      </c>
      <c r="AV92" s="70">
        <f t="shared" si="43"/>
        <v>0</v>
      </c>
      <c r="AW92" s="71" t="s">
        <v>454</v>
      </c>
      <c r="AX92" s="71" t="s">
        <v>455</v>
      </c>
      <c r="AY92" s="64" t="s">
        <v>164</v>
      </c>
      <c r="BA92" s="70">
        <f t="shared" si="44"/>
        <v>0</v>
      </c>
      <c r="BB92" s="70">
        <f t="shared" si="45"/>
        <v>0</v>
      </c>
      <c r="BC92" s="70">
        <v>0</v>
      </c>
      <c r="BD92" s="70">
        <f t="shared" si="46"/>
        <v>5.1999999999999998E-3</v>
      </c>
      <c r="BF92" s="70">
        <f t="shared" si="47"/>
        <v>0</v>
      </c>
      <c r="BG92" s="70">
        <f t="shared" si="48"/>
        <v>0</v>
      </c>
      <c r="BH92" s="70">
        <f t="shared" si="49"/>
        <v>0</v>
      </c>
      <c r="BI92" s="70"/>
      <c r="BJ92" s="70"/>
      <c r="BU92" s="70" t="e">
        <f>#REF!</f>
        <v>#REF!</v>
      </c>
    </row>
    <row r="93" spans="1:73" ht="27" customHeight="1" x14ac:dyDescent="0.3">
      <c r="A93" s="82" t="s">
        <v>352</v>
      </c>
      <c r="B93" s="60" t="s">
        <v>1114</v>
      </c>
      <c r="C93" s="551" t="s">
        <v>1115</v>
      </c>
      <c r="D93" s="565"/>
      <c r="E93" s="60" t="s">
        <v>365</v>
      </c>
      <c r="F93" s="70">
        <v>3</v>
      </c>
      <c r="G93" s="311">
        <v>0</v>
      </c>
      <c r="H93" s="70">
        <f t="shared" si="24"/>
        <v>0</v>
      </c>
      <c r="I93" s="70">
        <f t="shared" si="25"/>
        <v>0</v>
      </c>
      <c r="J93" s="70">
        <f t="shared" si="26"/>
        <v>0</v>
      </c>
      <c r="K93" s="70">
        <v>5.5900000000000004E-3</v>
      </c>
      <c r="L93" s="70">
        <f t="shared" si="27"/>
        <v>1.677E-2</v>
      </c>
      <c r="M93" s="89" t="s">
        <v>472</v>
      </c>
      <c r="X93" s="70">
        <f t="shared" si="28"/>
        <v>0</v>
      </c>
      <c r="Z93" s="70">
        <f t="shared" si="29"/>
        <v>0</v>
      </c>
      <c r="AA93" s="70">
        <f t="shared" si="30"/>
        <v>0</v>
      </c>
      <c r="AB93" s="70">
        <f t="shared" si="31"/>
        <v>0</v>
      </c>
      <c r="AC93" s="70">
        <f t="shared" si="32"/>
        <v>0</v>
      </c>
      <c r="AD93" s="70">
        <f t="shared" si="33"/>
        <v>0</v>
      </c>
      <c r="AE93" s="70">
        <f t="shared" si="34"/>
        <v>0</v>
      </c>
      <c r="AF93" s="70">
        <f t="shared" si="35"/>
        <v>0</v>
      </c>
      <c r="AG93" s="64" t="s">
        <v>154</v>
      </c>
      <c r="AH93" s="70">
        <f t="shared" si="36"/>
        <v>0</v>
      </c>
      <c r="AI93" s="70">
        <f t="shared" si="37"/>
        <v>0</v>
      </c>
      <c r="AJ93" s="70">
        <f t="shared" si="38"/>
        <v>0</v>
      </c>
      <c r="AL93" s="70">
        <v>21</v>
      </c>
      <c r="AM93" s="70">
        <f t="shared" si="39"/>
        <v>0</v>
      </c>
      <c r="AN93" s="70">
        <f t="shared" si="40"/>
        <v>0</v>
      </c>
      <c r="AO93" s="71" t="s">
        <v>453</v>
      </c>
      <c r="AT93" s="70">
        <f t="shared" si="41"/>
        <v>0</v>
      </c>
      <c r="AU93" s="70">
        <f t="shared" si="42"/>
        <v>0</v>
      </c>
      <c r="AV93" s="70">
        <f t="shared" si="43"/>
        <v>0</v>
      </c>
      <c r="AW93" s="71" t="s">
        <v>454</v>
      </c>
      <c r="AX93" s="71" t="s">
        <v>455</v>
      </c>
      <c r="AY93" s="64" t="s">
        <v>164</v>
      </c>
      <c r="BA93" s="70">
        <f t="shared" si="44"/>
        <v>0</v>
      </c>
      <c r="BB93" s="70">
        <f t="shared" si="45"/>
        <v>0</v>
      </c>
      <c r="BC93" s="70">
        <v>0</v>
      </c>
      <c r="BD93" s="70">
        <f t="shared" si="46"/>
        <v>1.677E-2</v>
      </c>
      <c r="BF93" s="70">
        <f t="shared" si="47"/>
        <v>0</v>
      </c>
      <c r="BG93" s="70">
        <f t="shared" si="48"/>
        <v>0</v>
      </c>
      <c r="BH93" s="70">
        <f t="shared" si="49"/>
        <v>0</v>
      </c>
      <c r="BI93" s="70"/>
      <c r="BJ93" s="70"/>
      <c r="BU93" s="70" t="e">
        <f>#REF!</f>
        <v>#REF!</v>
      </c>
    </row>
    <row r="94" spans="1:73" ht="27" customHeight="1" x14ac:dyDescent="0.3">
      <c r="A94" s="82" t="s">
        <v>357</v>
      </c>
      <c r="B94" s="60" t="s">
        <v>739</v>
      </c>
      <c r="C94" s="551" t="s">
        <v>740</v>
      </c>
      <c r="D94" s="565"/>
      <c r="E94" s="60" t="s">
        <v>471</v>
      </c>
      <c r="F94" s="70">
        <v>1</v>
      </c>
      <c r="G94" s="311">
        <v>0</v>
      </c>
      <c r="H94" s="70">
        <f t="shared" si="24"/>
        <v>0</v>
      </c>
      <c r="I94" s="70">
        <f t="shared" si="25"/>
        <v>0</v>
      </c>
      <c r="J94" s="70">
        <f t="shared" si="26"/>
        <v>0</v>
      </c>
      <c r="K94" s="70">
        <v>0</v>
      </c>
      <c r="L94" s="70">
        <f t="shared" si="27"/>
        <v>0</v>
      </c>
      <c r="M94" s="89" t="s">
        <v>154</v>
      </c>
      <c r="X94" s="70">
        <f t="shared" si="28"/>
        <v>0</v>
      </c>
      <c r="Z94" s="70">
        <f t="shared" si="29"/>
        <v>0</v>
      </c>
      <c r="AA94" s="70">
        <f t="shared" si="30"/>
        <v>0</v>
      </c>
      <c r="AB94" s="70">
        <f t="shared" si="31"/>
        <v>0</v>
      </c>
      <c r="AC94" s="70">
        <f t="shared" si="32"/>
        <v>0</v>
      </c>
      <c r="AD94" s="70">
        <f t="shared" si="33"/>
        <v>0</v>
      </c>
      <c r="AE94" s="70">
        <f t="shared" si="34"/>
        <v>0</v>
      </c>
      <c r="AF94" s="70">
        <f t="shared" si="35"/>
        <v>0</v>
      </c>
      <c r="AG94" s="64" t="s">
        <v>154</v>
      </c>
      <c r="AH94" s="70">
        <f t="shared" si="36"/>
        <v>0</v>
      </c>
      <c r="AI94" s="70">
        <f t="shared" si="37"/>
        <v>0</v>
      </c>
      <c r="AJ94" s="70">
        <f t="shared" si="38"/>
        <v>0</v>
      </c>
      <c r="AL94" s="70">
        <v>21</v>
      </c>
      <c r="AM94" s="70">
        <f t="shared" si="39"/>
        <v>0</v>
      </c>
      <c r="AN94" s="70">
        <f t="shared" si="40"/>
        <v>0</v>
      </c>
      <c r="AO94" s="71" t="s">
        <v>453</v>
      </c>
      <c r="AT94" s="70">
        <f t="shared" si="41"/>
        <v>0</v>
      </c>
      <c r="AU94" s="70">
        <f t="shared" si="42"/>
        <v>0</v>
      </c>
      <c r="AV94" s="70">
        <f t="shared" si="43"/>
        <v>0</v>
      </c>
      <c r="AW94" s="71" t="s">
        <v>454</v>
      </c>
      <c r="AX94" s="71" t="s">
        <v>455</v>
      </c>
      <c r="AY94" s="64" t="s">
        <v>164</v>
      </c>
      <c r="BA94" s="70">
        <f t="shared" si="44"/>
        <v>0</v>
      </c>
      <c r="BB94" s="70">
        <f t="shared" si="45"/>
        <v>0</v>
      </c>
      <c r="BC94" s="70">
        <v>0</v>
      </c>
      <c r="BD94" s="70">
        <f t="shared" si="46"/>
        <v>0</v>
      </c>
      <c r="BF94" s="70">
        <f t="shared" si="47"/>
        <v>0</v>
      </c>
      <c r="BG94" s="70">
        <f t="shared" si="48"/>
        <v>0</v>
      </c>
      <c r="BH94" s="70">
        <f t="shared" si="49"/>
        <v>0</v>
      </c>
      <c r="BI94" s="70"/>
      <c r="BJ94" s="70"/>
      <c r="BU94" s="70" t="e">
        <f>#REF!</f>
        <v>#REF!</v>
      </c>
    </row>
    <row r="95" spans="1:73" ht="13.5" customHeight="1" x14ac:dyDescent="0.3">
      <c r="A95" s="83" t="s">
        <v>362</v>
      </c>
      <c r="B95" s="80" t="s">
        <v>742</v>
      </c>
      <c r="C95" s="589" t="s">
        <v>743</v>
      </c>
      <c r="D95" s="590"/>
      <c r="E95" s="80" t="s">
        <v>471</v>
      </c>
      <c r="F95" s="110">
        <v>1</v>
      </c>
      <c r="G95" s="311">
        <v>0</v>
      </c>
      <c r="H95" s="110">
        <f t="shared" si="24"/>
        <v>0</v>
      </c>
      <c r="I95" s="110">
        <f t="shared" si="25"/>
        <v>0</v>
      </c>
      <c r="J95" s="110">
        <f t="shared" si="26"/>
        <v>0</v>
      </c>
      <c r="K95" s="110">
        <v>0</v>
      </c>
      <c r="L95" s="110">
        <f t="shared" si="27"/>
        <v>0</v>
      </c>
      <c r="M95" s="111" t="s">
        <v>154</v>
      </c>
      <c r="X95" s="70">
        <f t="shared" si="28"/>
        <v>0</v>
      </c>
      <c r="Z95" s="70">
        <f t="shared" si="29"/>
        <v>0</v>
      </c>
      <c r="AA95" s="70">
        <f t="shared" si="30"/>
        <v>0</v>
      </c>
      <c r="AB95" s="70">
        <f t="shared" si="31"/>
        <v>0</v>
      </c>
      <c r="AC95" s="70">
        <f t="shared" si="32"/>
        <v>0</v>
      </c>
      <c r="AD95" s="70">
        <f t="shared" si="33"/>
        <v>0</v>
      </c>
      <c r="AE95" s="70">
        <f t="shared" si="34"/>
        <v>0</v>
      </c>
      <c r="AF95" s="70">
        <f t="shared" si="35"/>
        <v>0</v>
      </c>
      <c r="AG95" s="64" t="s">
        <v>154</v>
      </c>
      <c r="AH95" s="70">
        <f t="shared" si="36"/>
        <v>0</v>
      </c>
      <c r="AI95" s="70">
        <f t="shared" si="37"/>
        <v>0</v>
      </c>
      <c r="AJ95" s="70">
        <f t="shared" si="38"/>
        <v>0</v>
      </c>
      <c r="AL95" s="70">
        <v>21</v>
      </c>
      <c r="AM95" s="70">
        <f t="shared" si="39"/>
        <v>0</v>
      </c>
      <c r="AN95" s="70">
        <f t="shared" si="40"/>
        <v>0</v>
      </c>
      <c r="AO95" s="71" t="s">
        <v>453</v>
      </c>
      <c r="AT95" s="70">
        <f t="shared" si="41"/>
        <v>0</v>
      </c>
      <c r="AU95" s="70">
        <f t="shared" si="42"/>
        <v>0</v>
      </c>
      <c r="AV95" s="70">
        <f t="shared" si="43"/>
        <v>0</v>
      </c>
      <c r="AW95" s="71" t="s">
        <v>454</v>
      </c>
      <c r="AX95" s="71" t="s">
        <v>455</v>
      </c>
      <c r="AY95" s="64" t="s">
        <v>164</v>
      </c>
      <c r="BA95" s="70">
        <f t="shared" si="44"/>
        <v>0</v>
      </c>
      <c r="BB95" s="70">
        <f t="shared" si="45"/>
        <v>0</v>
      </c>
      <c r="BC95" s="70">
        <v>0</v>
      </c>
      <c r="BD95" s="70">
        <f t="shared" si="46"/>
        <v>0</v>
      </c>
      <c r="BF95" s="70">
        <f t="shared" si="47"/>
        <v>0</v>
      </c>
      <c r="BG95" s="70">
        <f t="shared" si="48"/>
        <v>0</v>
      </c>
      <c r="BH95" s="70">
        <f t="shared" si="49"/>
        <v>0</v>
      </c>
      <c r="BI95" s="70"/>
      <c r="BJ95" s="70"/>
      <c r="BU95" s="70" t="e">
        <f>#REF!</f>
        <v>#REF!</v>
      </c>
    </row>
    <row r="96" spans="1:73" ht="13.5" customHeight="1" x14ac:dyDescent="0.3">
      <c r="A96" s="112" t="s">
        <v>367</v>
      </c>
      <c r="B96" s="113" t="s">
        <v>1096</v>
      </c>
      <c r="C96" s="652" t="s">
        <v>1097</v>
      </c>
      <c r="D96" s="653"/>
      <c r="E96" s="113" t="s">
        <v>365</v>
      </c>
      <c r="F96" s="114">
        <v>2</v>
      </c>
      <c r="G96" s="311">
        <v>0</v>
      </c>
      <c r="H96" s="114">
        <f t="shared" si="24"/>
        <v>0</v>
      </c>
      <c r="I96" s="114">
        <f t="shared" si="25"/>
        <v>0</v>
      </c>
      <c r="J96" s="114">
        <f t="shared" si="26"/>
        <v>0</v>
      </c>
      <c r="K96" s="114">
        <v>7.1000000000000004E-3</v>
      </c>
      <c r="L96" s="114">
        <f t="shared" si="27"/>
        <v>1.4200000000000001E-2</v>
      </c>
      <c r="M96" s="115" t="s">
        <v>472</v>
      </c>
      <c r="X96" s="70">
        <f t="shared" si="28"/>
        <v>0</v>
      </c>
      <c r="Z96" s="70">
        <f t="shared" si="29"/>
        <v>0</v>
      </c>
      <c r="AA96" s="70">
        <f t="shared" si="30"/>
        <v>0</v>
      </c>
      <c r="AB96" s="70">
        <f t="shared" si="31"/>
        <v>0</v>
      </c>
      <c r="AC96" s="70">
        <f t="shared" si="32"/>
        <v>0</v>
      </c>
      <c r="AD96" s="70">
        <f t="shared" si="33"/>
        <v>0</v>
      </c>
      <c r="AE96" s="70">
        <f t="shared" si="34"/>
        <v>0</v>
      </c>
      <c r="AF96" s="70">
        <f t="shared" si="35"/>
        <v>0</v>
      </c>
      <c r="AG96" s="64" t="s">
        <v>154</v>
      </c>
      <c r="AH96" s="70">
        <f t="shared" si="36"/>
        <v>0</v>
      </c>
      <c r="AI96" s="70">
        <f t="shared" si="37"/>
        <v>0</v>
      </c>
      <c r="AJ96" s="70">
        <f t="shared" si="38"/>
        <v>0</v>
      </c>
      <c r="AL96" s="70">
        <v>21</v>
      </c>
      <c r="AM96" s="70">
        <f t="shared" si="39"/>
        <v>0</v>
      </c>
      <c r="AN96" s="70">
        <f t="shared" si="40"/>
        <v>0</v>
      </c>
      <c r="AO96" s="71" t="s">
        <v>453</v>
      </c>
      <c r="AT96" s="70">
        <f t="shared" si="41"/>
        <v>0</v>
      </c>
      <c r="AU96" s="70">
        <f t="shared" si="42"/>
        <v>0</v>
      </c>
      <c r="AV96" s="70">
        <f t="shared" si="43"/>
        <v>0</v>
      </c>
      <c r="AW96" s="71" t="s">
        <v>454</v>
      </c>
      <c r="AX96" s="71" t="s">
        <v>455</v>
      </c>
      <c r="AY96" s="64" t="s">
        <v>164</v>
      </c>
      <c r="BA96" s="70">
        <f t="shared" si="44"/>
        <v>0</v>
      </c>
      <c r="BB96" s="70">
        <f t="shared" si="45"/>
        <v>0</v>
      </c>
      <c r="BC96" s="70">
        <v>0</v>
      </c>
      <c r="BD96" s="70">
        <f t="shared" si="46"/>
        <v>1.4200000000000001E-2</v>
      </c>
      <c r="BF96" s="70">
        <f t="shared" si="47"/>
        <v>0</v>
      </c>
      <c r="BG96" s="70">
        <f t="shared" si="48"/>
        <v>0</v>
      </c>
      <c r="BH96" s="70">
        <f t="shared" si="49"/>
        <v>0</v>
      </c>
      <c r="BI96" s="70"/>
      <c r="BJ96" s="70"/>
      <c r="BU96" s="70" t="e">
        <f>#REF!</f>
        <v>#REF!</v>
      </c>
    </row>
    <row r="97" spans="1:73" ht="13.5" customHeight="1" x14ac:dyDescent="0.3">
      <c r="A97" s="116" t="s">
        <v>305</v>
      </c>
      <c r="B97" s="75" t="s">
        <v>1098</v>
      </c>
      <c r="C97" s="650" t="s">
        <v>1099</v>
      </c>
      <c r="D97" s="651"/>
      <c r="E97" s="75" t="s">
        <v>365</v>
      </c>
      <c r="F97" s="76">
        <v>2</v>
      </c>
      <c r="G97" s="311">
        <v>0</v>
      </c>
      <c r="H97" s="76">
        <f t="shared" si="24"/>
        <v>0</v>
      </c>
      <c r="I97" s="76">
        <f t="shared" si="25"/>
        <v>0</v>
      </c>
      <c r="J97" s="76">
        <f t="shared" si="26"/>
        <v>0</v>
      </c>
      <c r="K97" s="76">
        <v>1.0800000000000001E-2</v>
      </c>
      <c r="L97" s="76">
        <f t="shared" si="27"/>
        <v>2.1600000000000001E-2</v>
      </c>
      <c r="M97" s="117" t="s">
        <v>472</v>
      </c>
      <c r="X97" s="70">
        <f t="shared" si="28"/>
        <v>0</v>
      </c>
      <c r="Z97" s="70">
        <f t="shared" si="29"/>
        <v>0</v>
      </c>
      <c r="AA97" s="70">
        <f t="shared" si="30"/>
        <v>0</v>
      </c>
      <c r="AB97" s="70">
        <f t="shared" si="31"/>
        <v>0</v>
      </c>
      <c r="AC97" s="70">
        <f t="shared" si="32"/>
        <v>0</v>
      </c>
      <c r="AD97" s="70">
        <f t="shared" si="33"/>
        <v>0</v>
      </c>
      <c r="AE97" s="70">
        <f t="shared" si="34"/>
        <v>0</v>
      </c>
      <c r="AF97" s="70">
        <f t="shared" si="35"/>
        <v>0</v>
      </c>
      <c r="AG97" s="64" t="s">
        <v>154</v>
      </c>
      <c r="AH97" s="70">
        <f t="shared" si="36"/>
        <v>0</v>
      </c>
      <c r="AI97" s="70">
        <f t="shared" si="37"/>
        <v>0</v>
      </c>
      <c r="AJ97" s="70">
        <f t="shared" si="38"/>
        <v>0</v>
      </c>
      <c r="AL97" s="70">
        <v>21</v>
      </c>
      <c r="AM97" s="70">
        <f t="shared" si="39"/>
        <v>0</v>
      </c>
      <c r="AN97" s="70">
        <f t="shared" si="40"/>
        <v>0</v>
      </c>
      <c r="AO97" s="71" t="s">
        <v>453</v>
      </c>
      <c r="AT97" s="70">
        <f t="shared" si="41"/>
        <v>0</v>
      </c>
      <c r="AU97" s="70">
        <f t="shared" si="42"/>
        <v>0</v>
      </c>
      <c r="AV97" s="70">
        <f t="shared" si="43"/>
        <v>0</v>
      </c>
      <c r="AW97" s="71" t="s">
        <v>454</v>
      </c>
      <c r="AX97" s="71" t="s">
        <v>455</v>
      </c>
      <c r="AY97" s="64" t="s">
        <v>164</v>
      </c>
      <c r="BA97" s="70">
        <f t="shared" si="44"/>
        <v>0</v>
      </c>
      <c r="BB97" s="70">
        <f t="shared" si="45"/>
        <v>0</v>
      </c>
      <c r="BC97" s="70">
        <v>0</v>
      </c>
      <c r="BD97" s="70">
        <f t="shared" si="46"/>
        <v>2.1600000000000001E-2</v>
      </c>
      <c r="BF97" s="70">
        <f t="shared" si="47"/>
        <v>0</v>
      </c>
      <c r="BG97" s="70">
        <f t="shared" si="48"/>
        <v>0</v>
      </c>
      <c r="BH97" s="70">
        <f t="shared" si="49"/>
        <v>0</v>
      </c>
      <c r="BI97" s="70"/>
      <c r="BJ97" s="70"/>
      <c r="BU97" s="70" t="e">
        <f>#REF!</f>
        <v>#REF!</v>
      </c>
    </row>
    <row r="98" spans="1:73" ht="13.5" customHeight="1" x14ac:dyDescent="0.3">
      <c r="A98" s="116" t="s">
        <v>335</v>
      </c>
      <c r="B98" s="75" t="s">
        <v>681</v>
      </c>
      <c r="C98" s="650" t="s">
        <v>682</v>
      </c>
      <c r="D98" s="651"/>
      <c r="E98" s="75" t="s">
        <v>471</v>
      </c>
      <c r="F98" s="76">
        <v>10</v>
      </c>
      <c r="G98" s="311">
        <v>0</v>
      </c>
      <c r="H98" s="76">
        <f t="shared" si="24"/>
        <v>0</v>
      </c>
      <c r="I98" s="76">
        <f t="shared" si="25"/>
        <v>0</v>
      </c>
      <c r="J98" s="76">
        <f t="shared" si="26"/>
        <v>0</v>
      </c>
      <c r="K98" s="76">
        <v>0</v>
      </c>
      <c r="L98" s="76">
        <f t="shared" si="27"/>
        <v>0</v>
      </c>
      <c r="M98" s="117" t="s">
        <v>154</v>
      </c>
      <c r="X98" s="70">
        <f t="shared" si="28"/>
        <v>0</v>
      </c>
      <c r="Z98" s="70">
        <f t="shared" si="29"/>
        <v>0</v>
      </c>
      <c r="AA98" s="70">
        <f t="shared" si="30"/>
        <v>0</v>
      </c>
      <c r="AB98" s="70">
        <f t="shared" si="31"/>
        <v>0</v>
      </c>
      <c r="AC98" s="70">
        <f t="shared" si="32"/>
        <v>0</v>
      </c>
      <c r="AD98" s="70">
        <f t="shared" si="33"/>
        <v>0</v>
      </c>
      <c r="AE98" s="70">
        <f t="shared" si="34"/>
        <v>0</v>
      </c>
      <c r="AF98" s="70">
        <f t="shared" si="35"/>
        <v>0</v>
      </c>
      <c r="AG98" s="64" t="s">
        <v>154</v>
      </c>
      <c r="AH98" s="70">
        <f t="shared" si="36"/>
        <v>0</v>
      </c>
      <c r="AI98" s="70">
        <f t="shared" si="37"/>
        <v>0</v>
      </c>
      <c r="AJ98" s="70">
        <f t="shared" si="38"/>
        <v>0</v>
      </c>
      <c r="AL98" s="70">
        <v>21</v>
      </c>
      <c r="AM98" s="70">
        <f t="shared" si="39"/>
        <v>0</v>
      </c>
      <c r="AN98" s="70">
        <f t="shared" si="40"/>
        <v>0</v>
      </c>
      <c r="AO98" s="71" t="s">
        <v>453</v>
      </c>
      <c r="AT98" s="70">
        <f t="shared" si="41"/>
        <v>0</v>
      </c>
      <c r="AU98" s="70">
        <f t="shared" si="42"/>
        <v>0</v>
      </c>
      <c r="AV98" s="70">
        <f t="shared" si="43"/>
        <v>0</v>
      </c>
      <c r="AW98" s="71" t="s">
        <v>454</v>
      </c>
      <c r="AX98" s="71" t="s">
        <v>455</v>
      </c>
      <c r="AY98" s="64" t="s">
        <v>164</v>
      </c>
      <c r="BA98" s="70">
        <f t="shared" si="44"/>
        <v>0</v>
      </c>
      <c r="BB98" s="70">
        <f t="shared" si="45"/>
        <v>0</v>
      </c>
      <c r="BC98" s="70">
        <v>0</v>
      </c>
      <c r="BD98" s="70">
        <f t="shared" si="46"/>
        <v>0</v>
      </c>
      <c r="BF98" s="70">
        <f t="shared" si="47"/>
        <v>0</v>
      </c>
      <c r="BG98" s="70">
        <f t="shared" si="48"/>
        <v>0</v>
      </c>
      <c r="BH98" s="70">
        <f t="shared" si="49"/>
        <v>0</v>
      </c>
      <c r="BI98" s="70"/>
      <c r="BJ98" s="70"/>
      <c r="BU98" s="70" t="e">
        <f>#REF!</f>
        <v>#REF!</v>
      </c>
    </row>
    <row r="99" spans="1:73" ht="13.5" customHeight="1" x14ac:dyDescent="0.3">
      <c r="A99" s="116" t="s">
        <v>384</v>
      </c>
      <c r="B99" s="75" t="s">
        <v>691</v>
      </c>
      <c r="C99" s="650" t="s">
        <v>692</v>
      </c>
      <c r="D99" s="651"/>
      <c r="E99" s="75" t="s">
        <v>471</v>
      </c>
      <c r="F99" s="76">
        <v>10</v>
      </c>
      <c r="G99" s="311">
        <v>0</v>
      </c>
      <c r="H99" s="76">
        <f t="shared" si="24"/>
        <v>0</v>
      </c>
      <c r="I99" s="76">
        <f t="shared" si="25"/>
        <v>0</v>
      </c>
      <c r="J99" s="76">
        <f t="shared" si="26"/>
        <v>0</v>
      </c>
      <c r="K99" s="76">
        <v>0</v>
      </c>
      <c r="L99" s="76">
        <f t="shared" si="27"/>
        <v>0</v>
      </c>
      <c r="M99" s="117" t="s">
        <v>472</v>
      </c>
      <c r="X99" s="70">
        <f t="shared" si="28"/>
        <v>0</v>
      </c>
      <c r="Z99" s="70">
        <f t="shared" si="29"/>
        <v>0</v>
      </c>
      <c r="AA99" s="70">
        <f t="shared" si="30"/>
        <v>0</v>
      </c>
      <c r="AB99" s="70">
        <f t="shared" si="31"/>
        <v>0</v>
      </c>
      <c r="AC99" s="70">
        <f t="shared" si="32"/>
        <v>0</v>
      </c>
      <c r="AD99" s="70">
        <f t="shared" si="33"/>
        <v>0</v>
      </c>
      <c r="AE99" s="70">
        <f t="shared" si="34"/>
        <v>0</v>
      </c>
      <c r="AF99" s="70">
        <f t="shared" si="35"/>
        <v>0</v>
      </c>
      <c r="AG99" s="64" t="s">
        <v>154</v>
      </c>
      <c r="AH99" s="70">
        <f t="shared" si="36"/>
        <v>0</v>
      </c>
      <c r="AI99" s="70">
        <f t="shared" si="37"/>
        <v>0</v>
      </c>
      <c r="AJ99" s="70">
        <f t="shared" si="38"/>
        <v>0</v>
      </c>
      <c r="AL99" s="70">
        <v>21</v>
      </c>
      <c r="AM99" s="70">
        <f t="shared" si="39"/>
        <v>0</v>
      </c>
      <c r="AN99" s="70">
        <f t="shared" si="40"/>
        <v>0</v>
      </c>
      <c r="AO99" s="71" t="s">
        <v>453</v>
      </c>
      <c r="AT99" s="70">
        <f t="shared" si="41"/>
        <v>0</v>
      </c>
      <c r="AU99" s="70">
        <f t="shared" si="42"/>
        <v>0</v>
      </c>
      <c r="AV99" s="70">
        <f t="shared" si="43"/>
        <v>0</v>
      </c>
      <c r="AW99" s="71" t="s">
        <v>454</v>
      </c>
      <c r="AX99" s="71" t="s">
        <v>455</v>
      </c>
      <c r="AY99" s="64" t="s">
        <v>164</v>
      </c>
      <c r="BA99" s="70">
        <f t="shared" si="44"/>
        <v>0</v>
      </c>
      <c r="BB99" s="70">
        <f t="shared" si="45"/>
        <v>0</v>
      </c>
      <c r="BC99" s="70">
        <v>0</v>
      </c>
      <c r="BD99" s="70">
        <f t="shared" si="46"/>
        <v>0</v>
      </c>
      <c r="BF99" s="70">
        <f t="shared" si="47"/>
        <v>0</v>
      </c>
      <c r="BG99" s="70">
        <f t="shared" si="48"/>
        <v>0</v>
      </c>
      <c r="BH99" s="70">
        <f t="shared" si="49"/>
        <v>0</v>
      </c>
      <c r="BI99" s="70"/>
      <c r="BJ99" s="70"/>
      <c r="BU99" s="70" t="e">
        <f>#REF!</f>
        <v>#REF!</v>
      </c>
    </row>
    <row r="100" spans="1:73" ht="13.5" customHeight="1" x14ac:dyDescent="0.3">
      <c r="A100" s="116" t="s">
        <v>344</v>
      </c>
      <c r="B100" s="75" t="s">
        <v>709</v>
      </c>
      <c r="C100" s="650" t="s">
        <v>710</v>
      </c>
      <c r="D100" s="651"/>
      <c r="E100" s="75" t="s">
        <v>471</v>
      </c>
      <c r="F100" s="76">
        <v>10</v>
      </c>
      <c r="G100" s="311">
        <v>0</v>
      </c>
      <c r="H100" s="76">
        <f t="shared" si="24"/>
        <v>0</v>
      </c>
      <c r="I100" s="76">
        <f t="shared" si="25"/>
        <v>0</v>
      </c>
      <c r="J100" s="76">
        <f t="shared" si="26"/>
        <v>0</v>
      </c>
      <c r="K100" s="76">
        <v>0</v>
      </c>
      <c r="L100" s="76">
        <f t="shared" si="27"/>
        <v>0</v>
      </c>
      <c r="M100" s="117" t="s">
        <v>154</v>
      </c>
      <c r="X100" s="70">
        <f t="shared" si="28"/>
        <v>0</v>
      </c>
      <c r="Z100" s="70">
        <f t="shared" si="29"/>
        <v>0</v>
      </c>
      <c r="AA100" s="70">
        <f t="shared" si="30"/>
        <v>0</v>
      </c>
      <c r="AB100" s="70">
        <f t="shared" si="31"/>
        <v>0</v>
      </c>
      <c r="AC100" s="70">
        <f t="shared" si="32"/>
        <v>0</v>
      </c>
      <c r="AD100" s="70">
        <f t="shared" si="33"/>
        <v>0</v>
      </c>
      <c r="AE100" s="70">
        <f t="shared" si="34"/>
        <v>0</v>
      </c>
      <c r="AF100" s="70">
        <f t="shared" si="35"/>
        <v>0</v>
      </c>
      <c r="AG100" s="64" t="s">
        <v>154</v>
      </c>
      <c r="AH100" s="70">
        <f t="shared" si="36"/>
        <v>0</v>
      </c>
      <c r="AI100" s="70">
        <f t="shared" si="37"/>
        <v>0</v>
      </c>
      <c r="AJ100" s="70">
        <f t="shared" si="38"/>
        <v>0</v>
      </c>
      <c r="AL100" s="70">
        <v>21</v>
      </c>
      <c r="AM100" s="70">
        <f t="shared" si="39"/>
        <v>0</v>
      </c>
      <c r="AN100" s="70">
        <f t="shared" si="40"/>
        <v>0</v>
      </c>
      <c r="AO100" s="71" t="s">
        <v>453</v>
      </c>
      <c r="AT100" s="70">
        <f t="shared" si="41"/>
        <v>0</v>
      </c>
      <c r="AU100" s="70">
        <f t="shared" si="42"/>
        <v>0</v>
      </c>
      <c r="AV100" s="70">
        <f t="shared" si="43"/>
        <v>0</v>
      </c>
      <c r="AW100" s="71" t="s">
        <v>454</v>
      </c>
      <c r="AX100" s="71" t="s">
        <v>455</v>
      </c>
      <c r="AY100" s="64" t="s">
        <v>164</v>
      </c>
      <c r="BA100" s="70">
        <f t="shared" si="44"/>
        <v>0</v>
      </c>
      <c r="BB100" s="70">
        <f t="shared" si="45"/>
        <v>0</v>
      </c>
      <c r="BC100" s="70">
        <v>0</v>
      </c>
      <c r="BD100" s="70">
        <f t="shared" si="46"/>
        <v>0</v>
      </c>
      <c r="BF100" s="70">
        <f t="shared" si="47"/>
        <v>0</v>
      </c>
      <c r="BG100" s="70">
        <f t="shared" si="48"/>
        <v>0</v>
      </c>
      <c r="BH100" s="70">
        <f t="shared" si="49"/>
        <v>0</v>
      </c>
      <c r="BI100" s="70"/>
      <c r="BJ100" s="70"/>
      <c r="BU100" s="70" t="e">
        <f>#REF!</f>
        <v>#REF!</v>
      </c>
    </row>
    <row r="101" spans="1:73" ht="13.5" customHeight="1" x14ac:dyDescent="0.3">
      <c r="A101" s="116" t="s">
        <v>390</v>
      </c>
      <c r="B101" s="75" t="s">
        <v>712</v>
      </c>
      <c r="C101" s="650" t="s">
        <v>713</v>
      </c>
      <c r="D101" s="651"/>
      <c r="E101" s="75" t="s">
        <v>471</v>
      </c>
      <c r="F101" s="76">
        <v>10</v>
      </c>
      <c r="G101" s="311">
        <v>0</v>
      </c>
      <c r="H101" s="76">
        <f t="shared" si="24"/>
        <v>0</v>
      </c>
      <c r="I101" s="76">
        <f t="shared" si="25"/>
        <v>0</v>
      </c>
      <c r="J101" s="76">
        <f t="shared" si="26"/>
        <v>0</v>
      </c>
      <c r="K101" s="76">
        <v>0</v>
      </c>
      <c r="L101" s="76">
        <f t="shared" si="27"/>
        <v>0</v>
      </c>
      <c r="M101" s="117" t="s">
        <v>154</v>
      </c>
      <c r="X101" s="70">
        <f t="shared" si="28"/>
        <v>0</v>
      </c>
      <c r="Z101" s="70">
        <f t="shared" si="29"/>
        <v>0</v>
      </c>
      <c r="AA101" s="70">
        <f t="shared" si="30"/>
        <v>0</v>
      </c>
      <c r="AB101" s="70">
        <f t="shared" si="31"/>
        <v>0</v>
      </c>
      <c r="AC101" s="70">
        <f t="shared" si="32"/>
        <v>0</v>
      </c>
      <c r="AD101" s="70">
        <f t="shared" si="33"/>
        <v>0</v>
      </c>
      <c r="AE101" s="70">
        <f t="shared" si="34"/>
        <v>0</v>
      </c>
      <c r="AF101" s="70">
        <f t="shared" si="35"/>
        <v>0</v>
      </c>
      <c r="AG101" s="64" t="s">
        <v>154</v>
      </c>
      <c r="AH101" s="70">
        <f t="shared" si="36"/>
        <v>0</v>
      </c>
      <c r="AI101" s="70">
        <f t="shared" si="37"/>
        <v>0</v>
      </c>
      <c r="AJ101" s="70">
        <f t="shared" si="38"/>
        <v>0</v>
      </c>
      <c r="AL101" s="70">
        <v>21</v>
      </c>
      <c r="AM101" s="70">
        <f t="shared" si="39"/>
        <v>0</v>
      </c>
      <c r="AN101" s="70">
        <f t="shared" si="40"/>
        <v>0</v>
      </c>
      <c r="AO101" s="71" t="s">
        <v>453</v>
      </c>
      <c r="AT101" s="70">
        <f t="shared" si="41"/>
        <v>0</v>
      </c>
      <c r="AU101" s="70">
        <f t="shared" si="42"/>
        <v>0</v>
      </c>
      <c r="AV101" s="70">
        <f t="shared" si="43"/>
        <v>0</v>
      </c>
      <c r="AW101" s="71" t="s">
        <v>454</v>
      </c>
      <c r="AX101" s="71" t="s">
        <v>455</v>
      </c>
      <c r="AY101" s="64" t="s">
        <v>164</v>
      </c>
      <c r="BA101" s="70">
        <f t="shared" si="44"/>
        <v>0</v>
      </c>
      <c r="BB101" s="70">
        <f t="shared" si="45"/>
        <v>0</v>
      </c>
      <c r="BC101" s="70">
        <v>0</v>
      </c>
      <c r="BD101" s="70">
        <f t="shared" si="46"/>
        <v>0</v>
      </c>
      <c r="BF101" s="70">
        <f t="shared" si="47"/>
        <v>0</v>
      </c>
      <c r="BG101" s="70">
        <f t="shared" si="48"/>
        <v>0</v>
      </c>
      <c r="BH101" s="70">
        <f t="shared" si="49"/>
        <v>0</v>
      </c>
      <c r="BI101" s="70"/>
      <c r="BJ101" s="70"/>
      <c r="BU101" s="70" t="e">
        <f>#REF!</f>
        <v>#REF!</v>
      </c>
    </row>
    <row r="102" spans="1:73" ht="13.5" customHeight="1" x14ac:dyDescent="0.3">
      <c r="A102" s="116" t="s">
        <v>393</v>
      </c>
      <c r="B102" s="75" t="s">
        <v>1116</v>
      </c>
      <c r="C102" s="650" t="s">
        <v>1117</v>
      </c>
      <c r="D102" s="651"/>
      <c r="E102" s="75" t="s">
        <v>471</v>
      </c>
      <c r="F102" s="76">
        <v>15</v>
      </c>
      <c r="G102" s="311">
        <v>0</v>
      </c>
      <c r="H102" s="76">
        <f t="shared" si="24"/>
        <v>0</v>
      </c>
      <c r="I102" s="76">
        <f t="shared" si="25"/>
        <v>0</v>
      </c>
      <c r="J102" s="76">
        <f t="shared" si="26"/>
        <v>0</v>
      </c>
      <c r="K102" s="76">
        <v>0</v>
      </c>
      <c r="L102" s="76">
        <f t="shared" si="27"/>
        <v>0</v>
      </c>
      <c r="M102" s="117" t="s">
        <v>154</v>
      </c>
      <c r="X102" s="70">
        <f t="shared" si="28"/>
        <v>0</v>
      </c>
      <c r="Z102" s="70">
        <f t="shared" si="29"/>
        <v>0</v>
      </c>
      <c r="AA102" s="70">
        <f t="shared" si="30"/>
        <v>0</v>
      </c>
      <c r="AB102" s="70">
        <f t="shared" si="31"/>
        <v>0</v>
      </c>
      <c r="AC102" s="70">
        <f t="shared" si="32"/>
        <v>0</v>
      </c>
      <c r="AD102" s="70">
        <f t="shared" si="33"/>
        <v>0</v>
      </c>
      <c r="AE102" s="70">
        <f t="shared" si="34"/>
        <v>0</v>
      </c>
      <c r="AF102" s="70">
        <f t="shared" si="35"/>
        <v>0</v>
      </c>
      <c r="AG102" s="64" t="s">
        <v>154</v>
      </c>
      <c r="AH102" s="70">
        <f t="shared" si="36"/>
        <v>0</v>
      </c>
      <c r="AI102" s="70">
        <f t="shared" si="37"/>
        <v>0</v>
      </c>
      <c r="AJ102" s="70">
        <f t="shared" si="38"/>
        <v>0</v>
      </c>
      <c r="AL102" s="70">
        <v>21</v>
      </c>
      <c r="AM102" s="70">
        <f t="shared" si="39"/>
        <v>0</v>
      </c>
      <c r="AN102" s="70">
        <f t="shared" si="40"/>
        <v>0</v>
      </c>
      <c r="AO102" s="71" t="s">
        <v>453</v>
      </c>
      <c r="AT102" s="70">
        <f t="shared" si="41"/>
        <v>0</v>
      </c>
      <c r="AU102" s="70">
        <f t="shared" si="42"/>
        <v>0</v>
      </c>
      <c r="AV102" s="70">
        <f t="shared" si="43"/>
        <v>0</v>
      </c>
      <c r="AW102" s="71" t="s">
        <v>454</v>
      </c>
      <c r="AX102" s="71" t="s">
        <v>455</v>
      </c>
      <c r="AY102" s="64" t="s">
        <v>164</v>
      </c>
      <c r="BA102" s="70">
        <f t="shared" si="44"/>
        <v>0</v>
      </c>
      <c r="BB102" s="70">
        <f t="shared" si="45"/>
        <v>0</v>
      </c>
      <c r="BC102" s="70">
        <v>0</v>
      </c>
      <c r="BD102" s="70">
        <f t="shared" si="46"/>
        <v>0</v>
      </c>
      <c r="BF102" s="70">
        <f t="shared" si="47"/>
        <v>0</v>
      </c>
      <c r="BG102" s="70">
        <f t="shared" si="48"/>
        <v>0</v>
      </c>
      <c r="BH102" s="70">
        <f t="shared" si="49"/>
        <v>0</v>
      </c>
      <c r="BI102" s="70"/>
      <c r="BJ102" s="70"/>
      <c r="BU102" s="70" t="e">
        <f>#REF!</f>
        <v>#REF!</v>
      </c>
    </row>
    <row r="103" spans="1:73" ht="13.5" customHeight="1" x14ac:dyDescent="0.3">
      <c r="A103" s="116" t="s">
        <v>396</v>
      </c>
      <c r="B103" s="75" t="s">
        <v>1118</v>
      </c>
      <c r="C103" s="650" t="s">
        <v>1119</v>
      </c>
      <c r="D103" s="651"/>
      <c r="E103" s="75" t="s">
        <v>471</v>
      </c>
      <c r="F103" s="76">
        <v>15</v>
      </c>
      <c r="G103" s="311">
        <v>0</v>
      </c>
      <c r="H103" s="76">
        <f t="shared" si="24"/>
        <v>0</v>
      </c>
      <c r="I103" s="76">
        <f t="shared" si="25"/>
        <v>0</v>
      </c>
      <c r="J103" s="76">
        <f t="shared" si="26"/>
        <v>0</v>
      </c>
      <c r="K103" s="76">
        <v>0</v>
      </c>
      <c r="L103" s="76">
        <f t="shared" si="27"/>
        <v>0</v>
      </c>
      <c r="M103" s="117" t="s">
        <v>154</v>
      </c>
      <c r="X103" s="70">
        <f t="shared" si="28"/>
        <v>0</v>
      </c>
      <c r="Z103" s="70">
        <f t="shared" si="29"/>
        <v>0</v>
      </c>
      <c r="AA103" s="70">
        <f t="shared" si="30"/>
        <v>0</v>
      </c>
      <c r="AB103" s="70">
        <f t="shared" si="31"/>
        <v>0</v>
      </c>
      <c r="AC103" s="70">
        <f t="shared" si="32"/>
        <v>0</v>
      </c>
      <c r="AD103" s="70">
        <f t="shared" si="33"/>
        <v>0</v>
      </c>
      <c r="AE103" s="70">
        <f t="shared" si="34"/>
        <v>0</v>
      </c>
      <c r="AF103" s="70">
        <f t="shared" si="35"/>
        <v>0</v>
      </c>
      <c r="AG103" s="64" t="s">
        <v>154</v>
      </c>
      <c r="AH103" s="70">
        <f t="shared" si="36"/>
        <v>0</v>
      </c>
      <c r="AI103" s="70">
        <f t="shared" si="37"/>
        <v>0</v>
      </c>
      <c r="AJ103" s="70">
        <f t="shared" si="38"/>
        <v>0</v>
      </c>
      <c r="AL103" s="70">
        <v>21</v>
      </c>
      <c r="AM103" s="70">
        <f t="shared" si="39"/>
        <v>0</v>
      </c>
      <c r="AN103" s="70">
        <f t="shared" si="40"/>
        <v>0</v>
      </c>
      <c r="AO103" s="71" t="s">
        <v>453</v>
      </c>
      <c r="AT103" s="70">
        <f t="shared" si="41"/>
        <v>0</v>
      </c>
      <c r="AU103" s="70">
        <f t="shared" si="42"/>
        <v>0</v>
      </c>
      <c r="AV103" s="70">
        <f t="shared" si="43"/>
        <v>0</v>
      </c>
      <c r="AW103" s="71" t="s">
        <v>454</v>
      </c>
      <c r="AX103" s="71" t="s">
        <v>455</v>
      </c>
      <c r="AY103" s="64" t="s">
        <v>164</v>
      </c>
      <c r="BA103" s="70">
        <f t="shared" si="44"/>
        <v>0</v>
      </c>
      <c r="BB103" s="70">
        <f t="shared" si="45"/>
        <v>0</v>
      </c>
      <c r="BC103" s="70">
        <v>0</v>
      </c>
      <c r="BD103" s="70">
        <f t="shared" si="46"/>
        <v>0</v>
      </c>
      <c r="BF103" s="70">
        <f t="shared" si="47"/>
        <v>0</v>
      </c>
      <c r="BG103" s="70">
        <f t="shared" si="48"/>
        <v>0</v>
      </c>
      <c r="BH103" s="70">
        <f t="shared" si="49"/>
        <v>0</v>
      </c>
      <c r="BI103" s="70"/>
      <c r="BJ103" s="70"/>
      <c r="BU103" s="70" t="e">
        <f>#REF!</f>
        <v>#REF!</v>
      </c>
    </row>
    <row r="104" spans="1:73" ht="13.5" customHeight="1" x14ac:dyDescent="0.3">
      <c r="A104" s="116" t="s">
        <v>401</v>
      </c>
      <c r="B104" s="75" t="s">
        <v>1120</v>
      </c>
      <c r="C104" s="650" t="s">
        <v>1121</v>
      </c>
      <c r="D104" s="651"/>
      <c r="E104" s="75" t="s">
        <v>471</v>
      </c>
      <c r="F104" s="76">
        <v>15</v>
      </c>
      <c r="G104" s="311">
        <v>0</v>
      </c>
      <c r="H104" s="76">
        <f t="shared" si="24"/>
        <v>0</v>
      </c>
      <c r="I104" s="76">
        <f t="shared" si="25"/>
        <v>0</v>
      </c>
      <c r="J104" s="76">
        <f t="shared" si="26"/>
        <v>0</v>
      </c>
      <c r="K104" s="76">
        <v>0</v>
      </c>
      <c r="L104" s="76">
        <f t="shared" si="27"/>
        <v>0</v>
      </c>
      <c r="M104" s="117" t="s">
        <v>154</v>
      </c>
      <c r="X104" s="70">
        <f t="shared" si="28"/>
        <v>0</v>
      </c>
      <c r="Z104" s="70">
        <f t="shared" si="29"/>
        <v>0</v>
      </c>
      <c r="AA104" s="70">
        <f t="shared" si="30"/>
        <v>0</v>
      </c>
      <c r="AB104" s="70">
        <f t="shared" si="31"/>
        <v>0</v>
      </c>
      <c r="AC104" s="70">
        <f t="shared" si="32"/>
        <v>0</v>
      </c>
      <c r="AD104" s="70">
        <f t="shared" si="33"/>
        <v>0</v>
      </c>
      <c r="AE104" s="70">
        <f t="shared" si="34"/>
        <v>0</v>
      </c>
      <c r="AF104" s="70">
        <f t="shared" si="35"/>
        <v>0</v>
      </c>
      <c r="AG104" s="64" t="s">
        <v>154</v>
      </c>
      <c r="AH104" s="70">
        <f t="shared" si="36"/>
        <v>0</v>
      </c>
      <c r="AI104" s="70">
        <f t="shared" si="37"/>
        <v>0</v>
      </c>
      <c r="AJ104" s="70">
        <f t="shared" si="38"/>
        <v>0</v>
      </c>
      <c r="AL104" s="70">
        <v>21</v>
      </c>
      <c r="AM104" s="70">
        <f t="shared" si="39"/>
        <v>0</v>
      </c>
      <c r="AN104" s="70">
        <f t="shared" si="40"/>
        <v>0</v>
      </c>
      <c r="AO104" s="71" t="s">
        <v>453</v>
      </c>
      <c r="AT104" s="70">
        <f t="shared" si="41"/>
        <v>0</v>
      </c>
      <c r="AU104" s="70">
        <f t="shared" si="42"/>
        <v>0</v>
      </c>
      <c r="AV104" s="70">
        <f t="shared" si="43"/>
        <v>0</v>
      </c>
      <c r="AW104" s="71" t="s">
        <v>454</v>
      </c>
      <c r="AX104" s="71" t="s">
        <v>455</v>
      </c>
      <c r="AY104" s="64" t="s">
        <v>164</v>
      </c>
      <c r="BA104" s="70">
        <f t="shared" si="44"/>
        <v>0</v>
      </c>
      <c r="BB104" s="70">
        <f t="shared" si="45"/>
        <v>0</v>
      </c>
      <c r="BC104" s="70">
        <v>0</v>
      </c>
      <c r="BD104" s="70">
        <f t="shared" si="46"/>
        <v>0</v>
      </c>
      <c r="BF104" s="70">
        <f t="shared" si="47"/>
        <v>0</v>
      </c>
      <c r="BG104" s="70">
        <f t="shared" si="48"/>
        <v>0</v>
      </c>
      <c r="BH104" s="70">
        <f t="shared" si="49"/>
        <v>0</v>
      </c>
      <c r="BI104" s="70"/>
      <c r="BJ104" s="70"/>
      <c r="BU104" s="70" t="e">
        <f>#REF!</f>
        <v>#REF!</v>
      </c>
    </row>
    <row r="105" spans="1:73" ht="13.5" customHeight="1" x14ac:dyDescent="0.3">
      <c r="A105" s="116" t="s">
        <v>405</v>
      </c>
      <c r="B105" s="75" t="s">
        <v>1122</v>
      </c>
      <c r="C105" s="650" t="s">
        <v>1123</v>
      </c>
      <c r="D105" s="651"/>
      <c r="E105" s="75" t="s">
        <v>471</v>
      </c>
      <c r="F105" s="76">
        <v>15</v>
      </c>
      <c r="G105" s="311">
        <v>0</v>
      </c>
      <c r="H105" s="76">
        <f t="shared" si="24"/>
        <v>0</v>
      </c>
      <c r="I105" s="76">
        <f t="shared" si="25"/>
        <v>0</v>
      </c>
      <c r="J105" s="76">
        <f t="shared" si="26"/>
        <v>0</v>
      </c>
      <c r="K105" s="76">
        <v>0</v>
      </c>
      <c r="L105" s="76">
        <f t="shared" si="27"/>
        <v>0</v>
      </c>
      <c r="M105" s="117" t="s">
        <v>154</v>
      </c>
      <c r="X105" s="70">
        <f t="shared" si="28"/>
        <v>0</v>
      </c>
      <c r="Z105" s="70">
        <f t="shared" si="29"/>
        <v>0</v>
      </c>
      <c r="AA105" s="70">
        <f t="shared" si="30"/>
        <v>0</v>
      </c>
      <c r="AB105" s="70">
        <f t="shared" si="31"/>
        <v>0</v>
      </c>
      <c r="AC105" s="70">
        <f t="shared" si="32"/>
        <v>0</v>
      </c>
      <c r="AD105" s="70">
        <f t="shared" si="33"/>
        <v>0</v>
      </c>
      <c r="AE105" s="70">
        <f t="shared" si="34"/>
        <v>0</v>
      </c>
      <c r="AF105" s="70">
        <f t="shared" si="35"/>
        <v>0</v>
      </c>
      <c r="AG105" s="64" t="s">
        <v>154</v>
      </c>
      <c r="AH105" s="70">
        <f t="shared" si="36"/>
        <v>0</v>
      </c>
      <c r="AI105" s="70">
        <f t="shared" si="37"/>
        <v>0</v>
      </c>
      <c r="AJ105" s="70">
        <f t="shared" si="38"/>
        <v>0</v>
      </c>
      <c r="AL105" s="70">
        <v>21</v>
      </c>
      <c r="AM105" s="70">
        <f t="shared" si="39"/>
        <v>0</v>
      </c>
      <c r="AN105" s="70">
        <f t="shared" si="40"/>
        <v>0</v>
      </c>
      <c r="AO105" s="71" t="s">
        <v>453</v>
      </c>
      <c r="AT105" s="70">
        <f t="shared" si="41"/>
        <v>0</v>
      </c>
      <c r="AU105" s="70">
        <f t="shared" si="42"/>
        <v>0</v>
      </c>
      <c r="AV105" s="70">
        <f t="shared" si="43"/>
        <v>0</v>
      </c>
      <c r="AW105" s="71" t="s">
        <v>454</v>
      </c>
      <c r="AX105" s="71" t="s">
        <v>455</v>
      </c>
      <c r="AY105" s="64" t="s">
        <v>164</v>
      </c>
      <c r="BA105" s="70">
        <f t="shared" si="44"/>
        <v>0</v>
      </c>
      <c r="BB105" s="70">
        <f t="shared" si="45"/>
        <v>0</v>
      </c>
      <c r="BC105" s="70">
        <v>0</v>
      </c>
      <c r="BD105" s="70">
        <f t="shared" si="46"/>
        <v>0</v>
      </c>
      <c r="BF105" s="70">
        <f t="shared" si="47"/>
        <v>0</v>
      </c>
      <c r="BG105" s="70">
        <f t="shared" si="48"/>
        <v>0</v>
      </c>
      <c r="BH105" s="70">
        <f t="shared" si="49"/>
        <v>0</v>
      </c>
      <c r="BI105" s="70"/>
      <c r="BJ105" s="70"/>
      <c r="BU105" s="70" t="e">
        <f>#REF!</f>
        <v>#REF!</v>
      </c>
    </row>
    <row r="106" spans="1:73" ht="13.5" customHeight="1" x14ac:dyDescent="0.3">
      <c r="A106" s="116" t="s">
        <v>408</v>
      </c>
      <c r="B106" s="75" t="s">
        <v>877</v>
      </c>
      <c r="C106" s="650" t="s">
        <v>878</v>
      </c>
      <c r="D106" s="651"/>
      <c r="E106" s="75" t="s">
        <v>471</v>
      </c>
      <c r="F106" s="76">
        <v>15</v>
      </c>
      <c r="G106" s="311">
        <v>0</v>
      </c>
      <c r="H106" s="76">
        <f t="shared" si="24"/>
        <v>0</v>
      </c>
      <c r="I106" s="76">
        <f t="shared" si="25"/>
        <v>0</v>
      </c>
      <c r="J106" s="76">
        <f t="shared" si="26"/>
        <v>0</v>
      </c>
      <c r="K106" s="76">
        <v>0</v>
      </c>
      <c r="L106" s="76">
        <f t="shared" si="27"/>
        <v>0</v>
      </c>
      <c r="M106" s="117" t="s">
        <v>154</v>
      </c>
      <c r="X106" s="70">
        <f t="shared" si="28"/>
        <v>0</v>
      </c>
      <c r="Z106" s="70">
        <f t="shared" si="29"/>
        <v>0</v>
      </c>
      <c r="AA106" s="70">
        <f t="shared" si="30"/>
        <v>0</v>
      </c>
      <c r="AB106" s="70">
        <f t="shared" si="31"/>
        <v>0</v>
      </c>
      <c r="AC106" s="70">
        <f t="shared" si="32"/>
        <v>0</v>
      </c>
      <c r="AD106" s="70">
        <f t="shared" si="33"/>
        <v>0</v>
      </c>
      <c r="AE106" s="70">
        <f t="shared" si="34"/>
        <v>0</v>
      </c>
      <c r="AF106" s="70">
        <f t="shared" si="35"/>
        <v>0</v>
      </c>
      <c r="AG106" s="64" t="s">
        <v>154</v>
      </c>
      <c r="AH106" s="70">
        <f t="shared" si="36"/>
        <v>0</v>
      </c>
      <c r="AI106" s="70">
        <f t="shared" si="37"/>
        <v>0</v>
      </c>
      <c r="AJ106" s="70">
        <f t="shared" si="38"/>
        <v>0</v>
      </c>
      <c r="AL106" s="70">
        <v>21</v>
      </c>
      <c r="AM106" s="70">
        <f t="shared" si="39"/>
        <v>0</v>
      </c>
      <c r="AN106" s="70">
        <f t="shared" si="40"/>
        <v>0</v>
      </c>
      <c r="AO106" s="71" t="s">
        <v>453</v>
      </c>
      <c r="AT106" s="70">
        <f t="shared" si="41"/>
        <v>0</v>
      </c>
      <c r="AU106" s="70">
        <f t="shared" si="42"/>
        <v>0</v>
      </c>
      <c r="AV106" s="70">
        <f t="shared" si="43"/>
        <v>0</v>
      </c>
      <c r="AW106" s="71" t="s">
        <v>454</v>
      </c>
      <c r="AX106" s="71" t="s">
        <v>455</v>
      </c>
      <c r="AY106" s="64" t="s">
        <v>164</v>
      </c>
      <c r="BA106" s="70">
        <f t="shared" si="44"/>
        <v>0</v>
      </c>
      <c r="BB106" s="70">
        <f t="shared" si="45"/>
        <v>0</v>
      </c>
      <c r="BC106" s="70">
        <v>0</v>
      </c>
      <c r="BD106" s="70">
        <f t="shared" si="46"/>
        <v>0</v>
      </c>
      <c r="BF106" s="70">
        <f t="shared" si="47"/>
        <v>0</v>
      </c>
      <c r="BG106" s="70">
        <f t="shared" si="48"/>
        <v>0</v>
      </c>
      <c r="BH106" s="70">
        <f t="shared" si="49"/>
        <v>0</v>
      </c>
      <c r="BI106" s="70"/>
      <c r="BJ106" s="70"/>
      <c r="BU106" s="70" t="e">
        <f>#REF!</f>
        <v>#REF!</v>
      </c>
    </row>
    <row r="107" spans="1:73" ht="13.5" customHeight="1" x14ac:dyDescent="0.3">
      <c r="A107" s="116" t="s">
        <v>413</v>
      </c>
      <c r="B107" s="75" t="s">
        <v>1124</v>
      </c>
      <c r="C107" s="650" t="s">
        <v>1125</v>
      </c>
      <c r="D107" s="651"/>
      <c r="E107" s="75" t="s">
        <v>471</v>
      </c>
      <c r="F107" s="76">
        <v>15</v>
      </c>
      <c r="G107" s="311">
        <v>0</v>
      </c>
      <c r="H107" s="76">
        <f t="shared" si="24"/>
        <v>0</v>
      </c>
      <c r="I107" s="76">
        <f t="shared" si="25"/>
        <v>0</v>
      </c>
      <c r="J107" s="76">
        <f t="shared" si="26"/>
        <v>0</v>
      </c>
      <c r="K107" s="76">
        <v>0</v>
      </c>
      <c r="L107" s="76">
        <f t="shared" si="27"/>
        <v>0</v>
      </c>
      <c r="M107" s="117" t="s">
        <v>154</v>
      </c>
      <c r="X107" s="70">
        <f t="shared" si="28"/>
        <v>0</v>
      </c>
      <c r="Z107" s="70">
        <f t="shared" si="29"/>
        <v>0</v>
      </c>
      <c r="AA107" s="70">
        <f t="shared" si="30"/>
        <v>0</v>
      </c>
      <c r="AB107" s="70">
        <f t="shared" si="31"/>
        <v>0</v>
      </c>
      <c r="AC107" s="70">
        <f t="shared" si="32"/>
        <v>0</v>
      </c>
      <c r="AD107" s="70">
        <f t="shared" si="33"/>
        <v>0</v>
      </c>
      <c r="AE107" s="70">
        <f t="shared" si="34"/>
        <v>0</v>
      </c>
      <c r="AF107" s="70">
        <f t="shared" si="35"/>
        <v>0</v>
      </c>
      <c r="AG107" s="64" t="s">
        <v>154</v>
      </c>
      <c r="AH107" s="70">
        <f t="shared" si="36"/>
        <v>0</v>
      </c>
      <c r="AI107" s="70">
        <f t="shared" si="37"/>
        <v>0</v>
      </c>
      <c r="AJ107" s="70">
        <f t="shared" si="38"/>
        <v>0</v>
      </c>
      <c r="AL107" s="70">
        <v>21</v>
      </c>
      <c r="AM107" s="70">
        <f t="shared" si="39"/>
        <v>0</v>
      </c>
      <c r="AN107" s="70">
        <f t="shared" si="40"/>
        <v>0</v>
      </c>
      <c r="AO107" s="71" t="s">
        <v>453</v>
      </c>
      <c r="AT107" s="70">
        <f t="shared" si="41"/>
        <v>0</v>
      </c>
      <c r="AU107" s="70">
        <f t="shared" si="42"/>
        <v>0</v>
      </c>
      <c r="AV107" s="70">
        <f t="shared" si="43"/>
        <v>0</v>
      </c>
      <c r="AW107" s="71" t="s">
        <v>454</v>
      </c>
      <c r="AX107" s="71" t="s">
        <v>455</v>
      </c>
      <c r="AY107" s="64" t="s">
        <v>164</v>
      </c>
      <c r="BA107" s="70">
        <f t="shared" si="44"/>
        <v>0</v>
      </c>
      <c r="BB107" s="70">
        <f t="shared" si="45"/>
        <v>0</v>
      </c>
      <c r="BC107" s="70">
        <v>0</v>
      </c>
      <c r="BD107" s="70">
        <f t="shared" si="46"/>
        <v>0</v>
      </c>
      <c r="BF107" s="70">
        <f t="shared" si="47"/>
        <v>0</v>
      </c>
      <c r="BG107" s="70">
        <f t="shared" si="48"/>
        <v>0</v>
      </c>
      <c r="BH107" s="70">
        <f t="shared" si="49"/>
        <v>0</v>
      </c>
      <c r="BI107" s="70"/>
      <c r="BJ107" s="70"/>
      <c r="BU107" s="70" t="e">
        <f>#REF!</f>
        <v>#REF!</v>
      </c>
    </row>
    <row r="108" spans="1:73" ht="13.5" customHeight="1" x14ac:dyDescent="0.3">
      <c r="A108" s="116" t="s">
        <v>419</v>
      </c>
      <c r="B108" s="75" t="s">
        <v>791</v>
      </c>
      <c r="C108" s="650" t="s">
        <v>792</v>
      </c>
      <c r="D108" s="651"/>
      <c r="E108" s="75" t="s">
        <v>471</v>
      </c>
      <c r="F108" s="76">
        <v>2</v>
      </c>
      <c r="G108" s="311">
        <v>0</v>
      </c>
      <c r="H108" s="76">
        <f t="shared" si="24"/>
        <v>0</v>
      </c>
      <c r="I108" s="76">
        <f t="shared" si="25"/>
        <v>0</v>
      </c>
      <c r="J108" s="76">
        <f t="shared" si="26"/>
        <v>0</v>
      </c>
      <c r="K108" s="76">
        <v>2.4500000000000001E-2</v>
      </c>
      <c r="L108" s="76">
        <f t="shared" si="27"/>
        <v>4.9000000000000002E-2</v>
      </c>
      <c r="M108" s="117" t="s">
        <v>472</v>
      </c>
      <c r="X108" s="70">
        <f t="shared" si="28"/>
        <v>0</v>
      </c>
      <c r="Z108" s="70">
        <f t="shared" si="29"/>
        <v>0</v>
      </c>
      <c r="AA108" s="70">
        <f t="shared" si="30"/>
        <v>0</v>
      </c>
      <c r="AB108" s="70">
        <f t="shared" si="31"/>
        <v>0</v>
      </c>
      <c r="AC108" s="70">
        <f t="shared" si="32"/>
        <v>0</v>
      </c>
      <c r="AD108" s="70">
        <f t="shared" si="33"/>
        <v>0</v>
      </c>
      <c r="AE108" s="70">
        <f t="shared" si="34"/>
        <v>0</v>
      </c>
      <c r="AF108" s="70">
        <f t="shared" si="35"/>
        <v>0</v>
      </c>
      <c r="AG108" s="64" t="s">
        <v>154</v>
      </c>
      <c r="AH108" s="70">
        <f t="shared" si="36"/>
        <v>0</v>
      </c>
      <c r="AI108" s="70">
        <f t="shared" si="37"/>
        <v>0</v>
      </c>
      <c r="AJ108" s="70">
        <f t="shared" si="38"/>
        <v>0</v>
      </c>
      <c r="AL108" s="70">
        <v>21</v>
      </c>
      <c r="AM108" s="70">
        <f t="shared" si="39"/>
        <v>0</v>
      </c>
      <c r="AN108" s="70">
        <f t="shared" si="40"/>
        <v>0</v>
      </c>
      <c r="AO108" s="71" t="s">
        <v>453</v>
      </c>
      <c r="AT108" s="70">
        <f t="shared" si="41"/>
        <v>0</v>
      </c>
      <c r="AU108" s="70">
        <f t="shared" si="42"/>
        <v>0</v>
      </c>
      <c r="AV108" s="70">
        <f t="shared" si="43"/>
        <v>0</v>
      </c>
      <c r="AW108" s="71" t="s">
        <v>454</v>
      </c>
      <c r="AX108" s="71" t="s">
        <v>455</v>
      </c>
      <c r="AY108" s="64" t="s">
        <v>164</v>
      </c>
      <c r="BA108" s="70">
        <f t="shared" si="44"/>
        <v>0</v>
      </c>
      <c r="BB108" s="70">
        <f t="shared" si="45"/>
        <v>0</v>
      </c>
      <c r="BC108" s="70">
        <v>0</v>
      </c>
      <c r="BD108" s="70">
        <f t="shared" si="46"/>
        <v>4.9000000000000002E-2</v>
      </c>
      <c r="BF108" s="70">
        <f t="shared" si="47"/>
        <v>0</v>
      </c>
      <c r="BG108" s="70">
        <f t="shared" si="48"/>
        <v>0</v>
      </c>
      <c r="BH108" s="70">
        <f t="shared" si="49"/>
        <v>0</v>
      </c>
      <c r="BI108" s="70"/>
      <c r="BJ108" s="70"/>
      <c r="BU108" s="70" t="e">
        <f>#REF!</f>
        <v>#REF!</v>
      </c>
    </row>
    <row r="109" spans="1:73" ht="13.5" customHeight="1" x14ac:dyDescent="0.3">
      <c r="A109" s="116" t="s">
        <v>548</v>
      </c>
      <c r="B109" s="75" t="s">
        <v>736</v>
      </c>
      <c r="C109" s="650" t="s">
        <v>737</v>
      </c>
      <c r="D109" s="651"/>
      <c r="E109" s="75" t="s">
        <v>471</v>
      </c>
      <c r="F109" s="76">
        <v>2</v>
      </c>
      <c r="G109" s="311">
        <v>0</v>
      </c>
      <c r="H109" s="76">
        <f t="shared" si="24"/>
        <v>0</v>
      </c>
      <c r="I109" s="76">
        <f t="shared" si="25"/>
        <v>0</v>
      </c>
      <c r="J109" s="76">
        <f t="shared" si="26"/>
        <v>0</v>
      </c>
      <c r="K109" s="76">
        <v>0</v>
      </c>
      <c r="L109" s="76">
        <f t="shared" si="27"/>
        <v>0</v>
      </c>
      <c r="M109" s="117" t="s">
        <v>154</v>
      </c>
      <c r="X109" s="70">
        <f t="shared" si="28"/>
        <v>0</v>
      </c>
      <c r="Z109" s="70">
        <f t="shared" si="29"/>
        <v>0</v>
      </c>
      <c r="AA109" s="70">
        <f t="shared" si="30"/>
        <v>0</v>
      </c>
      <c r="AB109" s="70">
        <f t="shared" si="31"/>
        <v>0</v>
      </c>
      <c r="AC109" s="70">
        <f t="shared" si="32"/>
        <v>0</v>
      </c>
      <c r="AD109" s="70">
        <f t="shared" si="33"/>
        <v>0</v>
      </c>
      <c r="AE109" s="70">
        <f t="shared" si="34"/>
        <v>0</v>
      </c>
      <c r="AF109" s="70">
        <f t="shared" si="35"/>
        <v>0</v>
      </c>
      <c r="AG109" s="64" t="s">
        <v>154</v>
      </c>
      <c r="AH109" s="70">
        <f t="shared" si="36"/>
        <v>0</v>
      </c>
      <c r="AI109" s="70">
        <f t="shared" si="37"/>
        <v>0</v>
      </c>
      <c r="AJ109" s="70">
        <f t="shared" si="38"/>
        <v>0</v>
      </c>
      <c r="AL109" s="70">
        <v>21</v>
      </c>
      <c r="AM109" s="70">
        <f t="shared" si="39"/>
        <v>0</v>
      </c>
      <c r="AN109" s="70">
        <f t="shared" si="40"/>
        <v>0</v>
      </c>
      <c r="AO109" s="71" t="s">
        <v>453</v>
      </c>
      <c r="AT109" s="70">
        <f t="shared" si="41"/>
        <v>0</v>
      </c>
      <c r="AU109" s="70">
        <f t="shared" si="42"/>
        <v>0</v>
      </c>
      <c r="AV109" s="70">
        <f t="shared" si="43"/>
        <v>0</v>
      </c>
      <c r="AW109" s="71" t="s">
        <v>454</v>
      </c>
      <c r="AX109" s="71" t="s">
        <v>455</v>
      </c>
      <c r="AY109" s="64" t="s">
        <v>164</v>
      </c>
      <c r="BA109" s="70">
        <f t="shared" si="44"/>
        <v>0</v>
      </c>
      <c r="BB109" s="70">
        <f t="shared" si="45"/>
        <v>0</v>
      </c>
      <c r="BC109" s="70">
        <v>0</v>
      </c>
      <c r="BD109" s="70">
        <f t="shared" si="46"/>
        <v>0</v>
      </c>
      <c r="BF109" s="70">
        <f t="shared" si="47"/>
        <v>0</v>
      </c>
      <c r="BG109" s="70">
        <f t="shared" si="48"/>
        <v>0</v>
      </c>
      <c r="BH109" s="70">
        <f t="shared" si="49"/>
        <v>0</v>
      </c>
      <c r="BI109" s="70"/>
      <c r="BJ109" s="70"/>
      <c r="BU109" s="70" t="e">
        <f>#REF!</f>
        <v>#REF!</v>
      </c>
    </row>
    <row r="110" spans="1:73" ht="13.5" customHeight="1" x14ac:dyDescent="0.3">
      <c r="A110" s="116" t="s">
        <v>551</v>
      </c>
      <c r="B110" s="75" t="s">
        <v>1112</v>
      </c>
      <c r="C110" s="650" t="s">
        <v>1113</v>
      </c>
      <c r="D110" s="651"/>
      <c r="E110" s="75" t="s">
        <v>365</v>
      </c>
      <c r="F110" s="76">
        <v>4</v>
      </c>
      <c r="G110" s="311">
        <v>0</v>
      </c>
      <c r="H110" s="76">
        <f t="shared" si="24"/>
        <v>0</v>
      </c>
      <c r="I110" s="76">
        <f t="shared" si="25"/>
        <v>0</v>
      </c>
      <c r="J110" s="76">
        <f t="shared" si="26"/>
        <v>0</v>
      </c>
      <c r="K110" s="76">
        <v>1.2999999999999999E-3</v>
      </c>
      <c r="L110" s="76">
        <f t="shared" si="27"/>
        <v>5.1999999999999998E-3</v>
      </c>
      <c r="M110" s="117" t="s">
        <v>472</v>
      </c>
      <c r="X110" s="70">
        <f t="shared" si="28"/>
        <v>0</v>
      </c>
      <c r="Z110" s="70">
        <f t="shared" si="29"/>
        <v>0</v>
      </c>
      <c r="AA110" s="70">
        <f t="shared" si="30"/>
        <v>0</v>
      </c>
      <c r="AB110" s="70">
        <f t="shared" si="31"/>
        <v>0</v>
      </c>
      <c r="AC110" s="70">
        <f t="shared" si="32"/>
        <v>0</v>
      </c>
      <c r="AD110" s="70">
        <f t="shared" si="33"/>
        <v>0</v>
      </c>
      <c r="AE110" s="70">
        <f t="shared" si="34"/>
        <v>0</v>
      </c>
      <c r="AF110" s="70">
        <f t="shared" si="35"/>
        <v>0</v>
      </c>
      <c r="AG110" s="64" t="s">
        <v>154</v>
      </c>
      <c r="AH110" s="70">
        <f t="shared" si="36"/>
        <v>0</v>
      </c>
      <c r="AI110" s="70">
        <f t="shared" si="37"/>
        <v>0</v>
      </c>
      <c r="AJ110" s="70">
        <f t="shared" si="38"/>
        <v>0</v>
      </c>
      <c r="AL110" s="70">
        <v>21</v>
      </c>
      <c r="AM110" s="70">
        <f t="shared" si="39"/>
        <v>0</v>
      </c>
      <c r="AN110" s="70">
        <f t="shared" si="40"/>
        <v>0</v>
      </c>
      <c r="AO110" s="71" t="s">
        <v>453</v>
      </c>
      <c r="AT110" s="70">
        <f t="shared" si="41"/>
        <v>0</v>
      </c>
      <c r="AU110" s="70">
        <f t="shared" si="42"/>
        <v>0</v>
      </c>
      <c r="AV110" s="70">
        <f t="shared" si="43"/>
        <v>0</v>
      </c>
      <c r="AW110" s="71" t="s">
        <v>454</v>
      </c>
      <c r="AX110" s="71" t="s">
        <v>455</v>
      </c>
      <c r="AY110" s="64" t="s">
        <v>164</v>
      </c>
      <c r="BA110" s="70">
        <f t="shared" si="44"/>
        <v>0</v>
      </c>
      <c r="BB110" s="70">
        <f t="shared" si="45"/>
        <v>0</v>
      </c>
      <c r="BC110" s="70">
        <v>0</v>
      </c>
      <c r="BD110" s="70">
        <f t="shared" si="46"/>
        <v>5.1999999999999998E-3</v>
      </c>
      <c r="BF110" s="70">
        <f t="shared" si="47"/>
        <v>0</v>
      </c>
      <c r="BG110" s="70">
        <f t="shared" si="48"/>
        <v>0</v>
      </c>
      <c r="BH110" s="70">
        <f t="shared" si="49"/>
        <v>0</v>
      </c>
      <c r="BI110" s="70"/>
      <c r="BJ110" s="70"/>
      <c r="BU110" s="70" t="e">
        <f>#REF!</f>
        <v>#REF!</v>
      </c>
    </row>
    <row r="111" spans="1:73" ht="27" customHeight="1" x14ac:dyDescent="0.3">
      <c r="A111" s="116" t="s">
        <v>555</v>
      </c>
      <c r="B111" s="75" t="s">
        <v>1114</v>
      </c>
      <c r="C111" s="650" t="s">
        <v>1115</v>
      </c>
      <c r="D111" s="651"/>
      <c r="E111" s="75" t="s">
        <v>365</v>
      </c>
      <c r="F111" s="76">
        <v>3</v>
      </c>
      <c r="G111" s="311">
        <v>0</v>
      </c>
      <c r="H111" s="76">
        <f t="shared" si="24"/>
        <v>0</v>
      </c>
      <c r="I111" s="76">
        <f t="shared" si="25"/>
        <v>0</v>
      </c>
      <c r="J111" s="76">
        <f t="shared" si="26"/>
        <v>0</v>
      </c>
      <c r="K111" s="76">
        <v>5.5900000000000004E-3</v>
      </c>
      <c r="L111" s="76">
        <f t="shared" si="27"/>
        <v>1.677E-2</v>
      </c>
      <c r="M111" s="117" t="s">
        <v>472</v>
      </c>
      <c r="X111" s="70">
        <f t="shared" si="28"/>
        <v>0</v>
      </c>
      <c r="Z111" s="70">
        <f t="shared" si="29"/>
        <v>0</v>
      </c>
      <c r="AA111" s="70">
        <f t="shared" si="30"/>
        <v>0</v>
      </c>
      <c r="AB111" s="70">
        <f t="shared" si="31"/>
        <v>0</v>
      </c>
      <c r="AC111" s="70">
        <f t="shared" si="32"/>
        <v>0</v>
      </c>
      <c r="AD111" s="70">
        <f t="shared" si="33"/>
        <v>0</v>
      </c>
      <c r="AE111" s="70">
        <f t="shared" si="34"/>
        <v>0</v>
      </c>
      <c r="AF111" s="70">
        <f t="shared" si="35"/>
        <v>0</v>
      </c>
      <c r="AG111" s="64" t="s">
        <v>154</v>
      </c>
      <c r="AH111" s="70">
        <f t="shared" si="36"/>
        <v>0</v>
      </c>
      <c r="AI111" s="70">
        <f t="shared" si="37"/>
        <v>0</v>
      </c>
      <c r="AJ111" s="70">
        <f t="shared" si="38"/>
        <v>0</v>
      </c>
      <c r="AL111" s="70">
        <v>21</v>
      </c>
      <c r="AM111" s="70">
        <f t="shared" si="39"/>
        <v>0</v>
      </c>
      <c r="AN111" s="70">
        <f t="shared" si="40"/>
        <v>0</v>
      </c>
      <c r="AO111" s="71" t="s">
        <v>453</v>
      </c>
      <c r="AT111" s="70">
        <f t="shared" si="41"/>
        <v>0</v>
      </c>
      <c r="AU111" s="70">
        <f t="shared" si="42"/>
        <v>0</v>
      </c>
      <c r="AV111" s="70">
        <f t="shared" si="43"/>
        <v>0</v>
      </c>
      <c r="AW111" s="71" t="s">
        <v>454</v>
      </c>
      <c r="AX111" s="71" t="s">
        <v>455</v>
      </c>
      <c r="AY111" s="64" t="s">
        <v>164</v>
      </c>
      <c r="BA111" s="70">
        <f t="shared" si="44"/>
        <v>0</v>
      </c>
      <c r="BB111" s="70">
        <f t="shared" si="45"/>
        <v>0</v>
      </c>
      <c r="BC111" s="70">
        <v>0</v>
      </c>
      <c r="BD111" s="70">
        <f t="shared" si="46"/>
        <v>1.677E-2</v>
      </c>
      <c r="BF111" s="70">
        <f t="shared" si="47"/>
        <v>0</v>
      </c>
      <c r="BG111" s="70">
        <f t="shared" si="48"/>
        <v>0</v>
      </c>
      <c r="BH111" s="70">
        <f t="shared" si="49"/>
        <v>0</v>
      </c>
      <c r="BI111" s="70"/>
      <c r="BJ111" s="70"/>
      <c r="BU111" s="70" t="e">
        <f>#REF!</f>
        <v>#REF!</v>
      </c>
    </row>
    <row r="112" spans="1:73" ht="27" customHeight="1" x14ac:dyDescent="0.3">
      <c r="A112" s="118" t="s">
        <v>559</v>
      </c>
      <c r="B112" s="119" t="s">
        <v>1126</v>
      </c>
      <c r="C112" s="654" t="s">
        <v>1127</v>
      </c>
      <c r="D112" s="655"/>
      <c r="E112" s="119" t="s">
        <v>365</v>
      </c>
      <c r="F112" s="120">
        <v>3</v>
      </c>
      <c r="G112" s="375">
        <v>0</v>
      </c>
      <c r="H112" s="120">
        <f t="shared" si="24"/>
        <v>0</v>
      </c>
      <c r="I112" s="120">
        <f t="shared" si="25"/>
        <v>0</v>
      </c>
      <c r="J112" s="120">
        <f t="shared" si="26"/>
        <v>0</v>
      </c>
      <c r="K112" s="120">
        <v>5.5900000000000004E-3</v>
      </c>
      <c r="L112" s="120">
        <f t="shared" si="27"/>
        <v>1.677E-2</v>
      </c>
      <c r="M112" s="121" t="s">
        <v>472</v>
      </c>
      <c r="X112" s="70">
        <f t="shared" si="28"/>
        <v>0</v>
      </c>
      <c r="Z112" s="70">
        <f t="shared" si="29"/>
        <v>0</v>
      </c>
      <c r="AA112" s="70">
        <f t="shared" si="30"/>
        <v>0</v>
      </c>
      <c r="AB112" s="70">
        <f t="shared" si="31"/>
        <v>0</v>
      </c>
      <c r="AC112" s="70">
        <f t="shared" si="32"/>
        <v>0</v>
      </c>
      <c r="AD112" s="70">
        <f t="shared" si="33"/>
        <v>0</v>
      </c>
      <c r="AE112" s="70">
        <f t="shared" si="34"/>
        <v>0</v>
      </c>
      <c r="AF112" s="70">
        <f t="shared" si="35"/>
        <v>0</v>
      </c>
      <c r="AG112" s="64" t="s">
        <v>154</v>
      </c>
      <c r="AH112" s="70">
        <f t="shared" si="36"/>
        <v>0</v>
      </c>
      <c r="AI112" s="70">
        <f t="shared" si="37"/>
        <v>0</v>
      </c>
      <c r="AJ112" s="70">
        <f t="shared" si="38"/>
        <v>0</v>
      </c>
      <c r="AL112" s="70">
        <v>21</v>
      </c>
      <c r="AM112" s="70">
        <f t="shared" si="39"/>
        <v>0</v>
      </c>
      <c r="AN112" s="70">
        <f t="shared" si="40"/>
        <v>0</v>
      </c>
      <c r="AO112" s="71" t="s">
        <v>453</v>
      </c>
      <c r="AT112" s="70">
        <f t="shared" si="41"/>
        <v>0</v>
      </c>
      <c r="AU112" s="70">
        <f t="shared" si="42"/>
        <v>0</v>
      </c>
      <c r="AV112" s="70">
        <f t="shared" si="43"/>
        <v>0</v>
      </c>
      <c r="AW112" s="71" t="s">
        <v>454</v>
      </c>
      <c r="AX112" s="71" t="s">
        <v>455</v>
      </c>
      <c r="AY112" s="64" t="s">
        <v>164</v>
      </c>
      <c r="BA112" s="70">
        <f t="shared" si="44"/>
        <v>0</v>
      </c>
      <c r="BB112" s="70">
        <f t="shared" si="45"/>
        <v>0</v>
      </c>
      <c r="BC112" s="70">
        <v>0</v>
      </c>
      <c r="BD112" s="70">
        <f t="shared" si="46"/>
        <v>1.677E-2</v>
      </c>
      <c r="BF112" s="70">
        <f t="shared" si="47"/>
        <v>0</v>
      </c>
      <c r="BG112" s="70">
        <f t="shared" si="48"/>
        <v>0</v>
      </c>
      <c r="BH112" s="70">
        <f t="shared" si="49"/>
        <v>0</v>
      </c>
      <c r="BI112" s="70"/>
      <c r="BJ112" s="70"/>
      <c r="BU112" s="70" t="e">
        <f>#REF!</f>
        <v>#REF!</v>
      </c>
    </row>
    <row r="113" spans="1:13" ht="15" customHeight="1" x14ac:dyDescent="0.3">
      <c r="H113" s="571" t="s">
        <v>423</v>
      </c>
      <c r="I113" s="571"/>
      <c r="J113" s="73">
        <f>J12+J17+J20+J29+J34+J42+J55+J73+J75</f>
        <v>0</v>
      </c>
    </row>
    <row r="114" spans="1:13" ht="15" customHeight="1" x14ac:dyDescent="0.3">
      <c r="A114" s="74" t="s">
        <v>165</v>
      </c>
    </row>
    <row r="115" spans="1:13" ht="27" customHeight="1" x14ac:dyDescent="0.3">
      <c r="A115" s="656" t="s">
        <v>1170</v>
      </c>
      <c r="B115" s="650"/>
      <c r="C115" s="650"/>
      <c r="D115" s="650"/>
      <c r="E115" s="650"/>
      <c r="F115" s="650"/>
      <c r="G115" s="650"/>
      <c r="H115" s="650"/>
      <c r="I115" s="650"/>
      <c r="J115" s="650"/>
      <c r="K115" s="650"/>
      <c r="L115" s="79"/>
      <c r="M115" s="79"/>
    </row>
    <row r="116" spans="1:13" ht="15" customHeight="1" x14ac:dyDescent="0.3">
      <c r="A116" s="549" t="s">
        <v>1164</v>
      </c>
      <c r="B116" s="550"/>
      <c r="C116" s="550"/>
      <c r="D116" s="550"/>
      <c r="E116" s="550"/>
      <c r="F116" s="550"/>
      <c r="G116" s="550"/>
      <c r="H116" s="550"/>
      <c r="I116" s="550"/>
      <c r="J116" s="550"/>
      <c r="K116" s="550"/>
    </row>
  </sheetData>
  <sheetProtection algorithmName="SHA-512" hashValue="k58wYKJ2uWyt3sNRgJOANJthpQPgD7tVunlzpz2AzNbeii/shxIqOGsafy/yT8Ue5ksqh7sl6/S37dcRXlGAzQ==" saltValue="YT1c7GjW9eNPRTXpGp/L1w==" spinCount="100000" sheet="1" objects="1" scenarios="1" formatCells="0" formatColumns="0" formatRows="0" insertColumns="0" insertRows="0" insertHyperlinks="0"/>
  <mergeCells count="133">
    <mergeCell ref="A116:K116"/>
    <mergeCell ref="C110:D110"/>
    <mergeCell ref="C111:D111"/>
    <mergeCell ref="C112:D112"/>
    <mergeCell ref="H113:I113"/>
    <mergeCell ref="A115:K115"/>
    <mergeCell ref="C104:D104"/>
    <mergeCell ref="C105:D105"/>
    <mergeCell ref="C106:D106"/>
    <mergeCell ref="C107:D107"/>
    <mergeCell ref="C108:D108"/>
    <mergeCell ref="C109:D109"/>
    <mergeCell ref="C98:D98"/>
    <mergeCell ref="C99:D99"/>
    <mergeCell ref="C100:D100"/>
    <mergeCell ref="C101:D101"/>
    <mergeCell ref="C102:D102"/>
    <mergeCell ref="C103:D103"/>
    <mergeCell ref="C92:D92"/>
    <mergeCell ref="C93:D93"/>
    <mergeCell ref="C94:D94"/>
    <mergeCell ref="C95:D95"/>
    <mergeCell ref="C96:D96"/>
    <mergeCell ref="C97:D97"/>
    <mergeCell ref="C86:D86"/>
    <mergeCell ref="C87:D87"/>
    <mergeCell ref="C88:D88"/>
    <mergeCell ref="C89:D89"/>
    <mergeCell ref="C90:D90"/>
    <mergeCell ref="C91:D91"/>
    <mergeCell ref="C80:D80"/>
    <mergeCell ref="C81:D81"/>
    <mergeCell ref="C82:D82"/>
    <mergeCell ref="C83:D83"/>
    <mergeCell ref="C84:D84"/>
    <mergeCell ref="C85:D85"/>
    <mergeCell ref="C74:D74"/>
    <mergeCell ref="C75:D75"/>
    <mergeCell ref="C76:D76"/>
    <mergeCell ref="C77:M77"/>
    <mergeCell ref="C78:D78"/>
    <mergeCell ref="C79:D79"/>
    <mergeCell ref="C68:D68"/>
    <mergeCell ref="C69:D69"/>
    <mergeCell ref="C70:D70"/>
    <mergeCell ref="C71:D71"/>
    <mergeCell ref="C72:D72"/>
    <mergeCell ref="C73:D73"/>
    <mergeCell ref="C62:D62"/>
    <mergeCell ref="C63:D63"/>
    <mergeCell ref="C64:M64"/>
    <mergeCell ref="C65:D65"/>
    <mergeCell ref="C66:D66"/>
    <mergeCell ref="C67:D67"/>
    <mergeCell ref="C56:D56"/>
    <mergeCell ref="C57:M57"/>
    <mergeCell ref="C58:D58"/>
    <mergeCell ref="C59:M59"/>
    <mergeCell ref="C60:D60"/>
    <mergeCell ref="C61:D61"/>
    <mergeCell ref="C50:D50"/>
    <mergeCell ref="C51:M51"/>
    <mergeCell ref="C52:D52"/>
    <mergeCell ref="C53:M53"/>
    <mergeCell ref="C54:D54"/>
    <mergeCell ref="C55:D55"/>
    <mergeCell ref="C44:M44"/>
    <mergeCell ref="C45:D45"/>
    <mergeCell ref="C46:M46"/>
    <mergeCell ref="C47:D47"/>
    <mergeCell ref="C48:M48"/>
    <mergeCell ref="C49:D49"/>
    <mergeCell ref="C38:M38"/>
    <mergeCell ref="C39:D39"/>
    <mergeCell ref="C40:D40"/>
    <mergeCell ref="C41:M41"/>
    <mergeCell ref="C42:D42"/>
    <mergeCell ref="C43:D43"/>
    <mergeCell ref="C32:D32"/>
    <mergeCell ref="C33:M33"/>
    <mergeCell ref="C34:D34"/>
    <mergeCell ref="C35:D35"/>
    <mergeCell ref="C36:M36"/>
    <mergeCell ref="C37:D37"/>
    <mergeCell ref="C26:M26"/>
    <mergeCell ref="C27:D27"/>
    <mergeCell ref="C28:M28"/>
    <mergeCell ref="C29:D29"/>
    <mergeCell ref="C30:D30"/>
    <mergeCell ref="C31:M31"/>
    <mergeCell ref="C20:D20"/>
    <mergeCell ref="C21:D21"/>
    <mergeCell ref="C22:M22"/>
    <mergeCell ref="C23:D23"/>
    <mergeCell ref="C24:M24"/>
    <mergeCell ref="C25:D25"/>
    <mergeCell ref="C14:M14"/>
    <mergeCell ref="C15:D15"/>
    <mergeCell ref="C16:M16"/>
    <mergeCell ref="C17:D17"/>
    <mergeCell ref="C18:D18"/>
    <mergeCell ref="C19:M19"/>
    <mergeCell ref="C10:D10"/>
    <mergeCell ref="H10:J10"/>
    <mergeCell ref="K10:L10"/>
    <mergeCell ref="C11:D11"/>
    <mergeCell ref="C12:D12"/>
    <mergeCell ref="C13:D13"/>
    <mergeCell ref="A8:B9"/>
    <mergeCell ref="C8:F9"/>
    <mergeCell ref="G8:G9"/>
    <mergeCell ref="H8:H9"/>
    <mergeCell ref="I8:I9"/>
    <mergeCell ref="J8:M9"/>
    <mergeCell ref="A6:B7"/>
    <mergeCell ref="C6:F7"/>
    <mergeCell ref="G6:G7"/>
    <mergeCell ref="H6:H7"/>
    <mergeCell ref="I6:I7"/>
    <mergeCell ref="J6:M7"/>
    <mergeCell ref="A4:B5"/>
    <mergeCell ref="C4:F5"/>
    <mergeCell ref="G4:G5"/>
    <mergeCell ref="H4:H5"/>
    <mergeCell ref="I4:I5"/>
    <mergeCell ref="J4:M5"/>
    <mergeCell ref="A1:M1"/>
    <mergeCell ref="A2:B3"/>
    <mergeCell ref="C2:F3"/>
    <mergeCell ref="G2:G3"/>
    <mergeCell ref="H2:H3"/>
    <mergeCell ref="I2:I3"/>
    <mergeCell ref="J2:M3"/>
  </mergeCells>
  <pageMargins left="0.78740157480314965" right="0.39370078740157483" top="0.39370078740157483" bottom="0.39370078740157483" header="0.39370078740157483" footer="0.59055118110236227"/>
  <pageSetup paperSize="9" scale="57" firstPageNumber="0" fitToHeight="0" orientation="landscape" r:id="rId1"/>
  <headerFooter>
    <oddFooter>&amp;L&amp;A&amp;C&amp;F&amp;Rstran &amp;N / strana &amp;P</oddFooter>
  </headerFooter>
  <rowBreaks count="3" manualBreakCount="3">
    <brk id="31" max="12" man="1"/>
    <brk id="59" max="12" man="1"/>
    <brk id="95" max="12" man="1"/>
  </rowBreak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A5E08-874E-415A-B8E2-8ED52775B97A}">
  <sheetPr>
    <pageSetUpPr fitToPage="1"/>
  </sheetPr>
  <dimension ref="A1:BV68"/>
  <sheetViews>
    <sheetView view="pageBreakPreview" zoomScaleNormal="70" zoomScaleSheetLayoutView="100" workbookViewId="0">
      <pane ySplit="11" topLeftCell="A39" activePane="bottomLeft" state="frozen"/>
      <selection pane="bottomLeft" activeCell="C50" sqref="C50:D50"/>
    </sheetView>
  </sheetViews>
  <sheetFormatPr defaultColWidth="12.109375" defaultRowHeight="15" customHeight="1" x14ac:dyDescent="0.3"/>
  <cols>
    <col min="1" max="1" width="5.6640625" style="221" customWidth="1"/>
    <col min="2" max="2" width="16.6640625" style="221" customWidth="1"/>
    <col min="3" max="3" width="81.33203125" style="221" customWidth="1"/>
    <col min="4" max="4" width="12.6640625" style="221" customWidth="1"/>
    <col min="5" max="6" width="8.6640625" style="221" customWidth="1"/>
    <col min="7" max="7" width="17.109375" style="221" customWidth="1"/>
    <col min="8" max="13" width="14.6640625" style="221" customWidth="1"/>
    <col min="14" max="73" width="12.109375" style="221"/>
    <col min="74" max="74" width="64.33203125" style="221" hidden="1" customWidth="1"/>
    <col min="75" max="16384" width="12.109375" style="221"/>
  </cols>
  <sheetData>
    <row r="1" spans="1:74" ht="54.75" customHeight="1" thickBot="1" x14ac:dyDescent="0.35">
      <c r="A1" s="645" t="s">
        <v>2303</v>
      </c>
      <c r="B1" s="646"/>
      <c r="C1" s="646"/>
      <c r="D1" s="646"/>
      <c r="E1" s="646"/>
      <c r="F1" s="646"/>
      <c r="G1" s="646"/>
      <c r="H1" s="646"/>
      <c r="I1" s="646"/>
      <c r="J1" s="646"/>
      <c r="K1" s="646"/>
      <c r="L1" s="646"/>
      <c r="M1" s="647"/>
      <c r="AQ1" s="222">
        <f>SUM(AH1:AH2)</f>
        <v>0</v>
      </c>
      <c r="AR1" s="222">
        <f>SUM(AI1:AI2)</f>
        <v>0</v>
      </c>
      <c r="AS1" s="222">
        <f>SUM(AJ1:AJ2)</f>
        <v>0</v>
      </c>
    </row>
    <row r="2" spans="1:74" ht="15" customHeight="1" x14ac:dyDescent="0.3">
      <c r="A2" s="563" t="s">
        <v>112</v>
      </c>
      <c r="B2" s="565"/>
      <c r="C2" s="564" t="s">
        <v>68</v>
      </c>
      <c r="D2" s="571"/>
      <c r="E2" s="571"/>
      <c r="F2" s="571"/>
      <c r="G2" s="565" t="s">
        <v>113</v>
      </c>
      <c r="H2" s="522" t="s">
        <v>1156</v>
      </c>
      <c r="I2" s="551" t="s">
        <v>457</v>
      </c>
      <c r="J2" s="551" t="s">
        <v>69</v>
      </c>
      <c r="K2" s="551"/>
      <c r="L2" s="551"/>
      <c r="M2" s="552"/>
    </row>
    <row r="3" spans="1:74" ht="14.4" x14ac:dyDescent="0.3">
      <c r="A3" s="591"/>
      <c r="B3" s="565"/>
      <c r="C3" s="571"/>
      <c r="D3" s="571"/>
      <c r="E3" s="571"/>
      <c r="F3" s="571"/>
      <c r="G3" s="565"/>
      <c r="H3" s="522"/>
      <c r="I3" s="551"/>
      <c r="J3" s="551"/>
      <c r="K3" s="551"/>
      <c r="L3" s="551"/>
      <c r="M3" s="552"/>
    </row>
    <row r="4" spans="1:74" ht="15" customHeight="1" x14ac:dyDescent="0.3">
      <c r="A4" s="563" t="s">
        <v>115</v>
      </c>
      <c r="B4" s="565"/>
      <c r="C4" s="551" t="s">
        <v>110</v>
      </c>
      <c r="D4" s="565"/>
      <c r="E4" s="565"/>
      <c r="F4" s="565"/>
      <c r="G4" s="565" t="s">
        <v>116</v>
      </c>
      <c r="H4" s="522" t="s">
        <v>1156</v>
      </c>
      <c r="I4" s="551" t="s">
        <v>458</v>
      </c>
      <c r="J4" s="551" t="s">
        <v>1157</v>
      </c>
      <c r="K4" s="551"/>
      <c r="L4" s="551"/>
      <c r="M4" s="552"/>
    </row>
    <row r="5" spans="1:74" ht="14.4" x14ac:dyDescent="0.3">
      <c r="A5" s="591"/>
      <c r="B5" s="565"/>
      <c r="C5" s="565"/>
      <c r="D5" s="565"/>
      <c r="E5" s="565"/>
      <c r="F5" s="565"/>
      <c r="G5" s="565"/>
      <c r="H5" s="522"/>
      <c r="I5" s="551"/>
      <c r="J5" s="551"/>
      <c r="K5" s="551"/>
      <c r="L5" s="551"/>
      <c r="M5" s="552"/>
    </row>
    <row r="6" spans="1:74" ht="15" customHeight="1" x14ac:dyDescent="0.3">
      <c r="A6" s="563" t="s">
        <v>117</v>
      </c>
      <c r="B6" s="565"/>
      <c r="C6" s="551" t="s">
        <v>459</v>
      </c>
      <c r="D6" s="565"/>
      <c r="E6" s="565"/>
      <c r="F6" s="565"/>
      <c r="G6" s="565" t="s">
        <v>119</v>
      </c>
      <c r="H6" s="522" t="s">
        <v>1156</v>
      </c>
      <c r="I6" s="551" t="s">
        <v>460</v>
      </c>
      <c r="J6" s="551" t="s">
        <v>461</v>
      </c>
      <c r="K6" s="551"/>
      <c r="L6" s="551"/>
      <c r="M6" s="552"/>
    </row>
    <row r="7" spans="1:74" ht="14.4" x14ac:dyDescent="0.3">
      <c r="A7" s="591"/>
      <c r="B7" s="565"/>
      <c r="C7" s="565"/>
      <c r="D7" s="565"/>
      <c r="E7" s="565"/>
      <c r="F7" s="565"/>
      <c r="G7" s="565"/>
      <c r="H7" s="522"/>
      <c r="I7" s="551"/>
      <c r="J7" s="551"/>
      <c r="K7" s="551"/>
      <c r="L7" s="551"/>
      <c r="M7" s="552"/>
    </row>
    <row r="8" spans="1:74" ht="15" customHeight="1" x14ac:dyDescent="0.3">
      <c r="A8" s="563" t="s">
        <v>120</v>
      </c>
      <c r="B8" s="565"/>
      <c r="C8" s="551" t="s">
        <v>1175</v>
      </c>
      <c r="D8" s="565"/>
      <c r="E8" s="565"/>
      <c r="F8" s="565"/>
      <c r="G8" s="565" t="s">
        <v>122</v>
      </c>
      <c r="H8" s="657" t="s">
        <v>2446</v>
      </c>
      <c r="I8" s="551" t="s">
        <v>462</v>
      </c>
      <c r="J8" s="577" t="s">
        <v>1882</v>
      </c>
      <c r="K8" s="577"/>
      <c r="L8" s="577"/>
      <c r="M8" s="578"/>
    </row>
    <row r="9" spans="1:74" ht="33.6" customHeight="1" thickBot="1" x14ac:dyDescent="0.35">
      <c r="A9" s="598"/>
      <c r="B9" s="576"/>
      <c r="C9" s="576"/>
      <c r="D9" s="576"/>
      <c r="E9" s="576"/>
      <c r="F9" s="576"/>
      <c r="G9" s="576"/>
      <c r="H9" s="534"/>
      <c r="I9" s="553"/>
      <c r="J9" s="579"/>
      <c r="K9" s="579"/>
      <c r="L9" s="579"/>
      <c r="M9" s="580"/>
    </row>
    <row r="10" spans="1:74" ht="14.4" x14ac:dyDescent="0.3">
      <c r="A10" s="246" t="s">
        <v>123</v>
      </c>
      <c r="B10" s="247" t="s">
        <v>124</v>
      </c>
      <c r="C10" s="555" t="s">
        <v>125</v>
      </c>
      <c r="D10" s="556"/>
      <c r="E10" s="247" t="s">
        <v>126</v>
      </c>
      <c r="F10" s="248" t="s">
        <v>127</v>
      </c>
      <c r="G10" s="249" t="s">
        <v>128</v>
      </c>
      <c r="H10" s="557" t="s">
        <v>129</v>
      </c>
      <c r="I10" s="558"/>
      <c r="J10" s="559"/>
      <c r="K10" s="558" t="s">
        <v>130</v>
      </c>
      <c r="L10" s="558"/>
      <c r="M10" s="250" t="s">
        <v>131</v>
      </c>
      <c r="BI10" s="229" t="s">
        <v>132</v>
      </c>
      <c r="BJ10" s="230" t="s">
        <v>133</v>
      </c>
      <c r="BU10" s="230" t="s">
        <v>134</v>
      </c>
    </row>
    <row r="11" spans="1:74" thickBot="1" x14ac:dyDescent="0.35">
      <c r="A11" s="251" t="s">
        <v>114</v>
      </c>
      <c r="B11" s="252" t="s">
        <v>114</v>
      </c>
      <c r="C11" s="528" t="s">
        <v>135</v>
      </c>
      <c r="D11" s="529"/>
      <c r="E11" s="252" t="s">
        <v>114</v>
      </c>
      <c r="F11" s="252" t="s">
        <v>114</v>
      </c>
      <c r="G11" s="253" t="s">
        <v>136</v>
      </c>
      <c r="H11" s="254" t="s">
        <v>137</v>
      </c>
      <c r="I11" s="255" t="s">
        <v>138</v>
      </c>
      <c r="J11" s="256" t="s">
        <v>139</v>
      </c>
      <c r="K11" s="255" t="s">
        <v>140</v>
      </c>
      <c r="L11" s="253" t="s">
        <v>139</v>
      </c>
      <c r="M11" s="257" t="s">
        <v>141</v>
      </c>
      <c r="X11" s="229" t="s">
        <v>142</v>
      </c>
      <c r="Y11" s="229" t="s">
        <v>143</v>
      </c>
      <c r="Z11" s="229" t="s">
        <v>144</v>
      </c>
      <c r="AA11" s="229" t="s">
        <v>145</v>
      </c>
      <c r="AB11" s="229" t="s">
        <v>146</v>
      </c>
      <c r="AC11" s="229" t="s">
        <v>147</v>
      </c>
      <c r="AD11" s="229" t="s">
        <v>148</v>
      </c>
      <c r="AE11" s="229" t="s">
        <v>149</v>
      </c>
      <c r="AF11" s="229" t="s">
        <v>150</v>
      </c>
      <c r="BF11" s="229" t="s">
        <v>151</v>
      </c>
      <c r="BG11" s="229" t="s">
        <v>152</v>
      </c>
      <c r="BH11" s="229" t="s">
        <v>153</v>
      </c>
    </row>
    <row r="12" spans="1:74" ht="14.4" x14ac:dyDescent="0.3">
      <c r="A12" s="239" t="s">
        <v>154</v>
      </c>
      <c r="B12" s="224" t="s">
        <v>155</v>
      </c>
      <c r="C12" s="526" t="s">
        <v>156</v>
      </c>
      <c r="D12" s="527"/>
      <c r="E12" s="223" t="s">
        <v>114</v>
      </c>
      <c r="F12" s="223" t="s">
        <v>114</v>
      </c>
      <c r="G12" s="223" t="s">
        <v>114</v>
      </c>
      <c r="H12" s="235">
        <f>SUM(H13:H13)</f>
        <v>0</v>
      </c>
      <c r="I12" s="235">
        <f>SUM(I13:I13)</f>
        <v>0</v>
      </c>
      <c r="J12" s="235">
        <f>SUM(J13:J13)</f>
        <v>0</v>
      </c>
      <c r="K12" s="230" t="s">
        <v>154</v>
      </c>
      <c r="L12" s="235">
        <f>SUM(L13:L13)</f>
        <v>2.04</v>
      </c>
      <c r="M12" s="243" t="s">
        <v>154</v>
      </c>
      <c r="AG12" s="229" t="s">
        <v>154</v>
      </c>
      <c r="AQ12" s="222">
        <f>SUM(AH13:AH13)</f>
        <v>0</v>
      </c>
      <c r="AR12" s="222">
        <f>SUM(AI13:AI13)</f>
        <v>0</v>
      </c>
      <c r="AS12" s="222">
        <f>SUM(AJ13:AJ13)</f>
        <v>0</v>
      </c>
    </row>
    <row r="13" spans="1:74" ht="14.4" x14ac:dyDescent="0.3">
      <c r="A13" s="239" t="s">
        <v>157</v>
      </c>
      <c r="B13" s="223" t="s">
        <v>1176</v>
      </c>
      <c r="C13" s="521" t="s">
        <v>1177</v>
      </c>
      <c r="D13" s="519"/>
      <c r="E13" s="223" t="s">
        <v>160</v>
      </c>
      <c r="F13" s="233">
        <v>5</v>
      </c>
      <c r="G13" s="311">
        <v>0</v>
      </c>
      <c r="H13" s="233">
        <f>F13*AM13</f>
        <v>0</v>
      </c>
      <c r="I13" s="233">
        <f>F13*AN13</f>
        <v>0</v>
      </c>
      <c r="J13" s="233">
        <f>F13*G13</f>
        <v>0</v>
      </c>
      <c r="K13" s="233">
        <v>0.40799999999999997</v>
      </c>
      <c r="L13" s="233">
        <f>F13*K13</f>
        <v>2.04</v>
      </c>
      <c r="M13" s="240" t="s">
        <v>472</v>
      </c>
      <c r="X13" s="233">
        <f>IF(AO13="5",BH13,0)</f>
        <v>0</v>
      </c>
      <c r="Z13" s="233">
        <f>IF(AO13="1",BF13,0)</f>
        <v>0</v>
      </c>
      <c r="AA13" s="233">
        <f>IF(AO13="1",BG13,0)</f>
        <v>0</v>
      </c>
      <c r="AB13" s="233">
        <f>IF(AO13="7",BF13,0)</f>
        <v>0</v>
      </c>
      <c r="AC13" s="233">
        <f>IF(AO13="7",BG13,0)</f>
        <v>0</v>
      </c>
      <c r="AD13" s="233">
        <f>IF(AO13="2",BF13,0)</f>
        <v>0</v>
      </c>
      <c r="AE13" s="233">
        <f>IF(AO13="2",BG13,0)</f>
        <v>0</v>
      </c>
      <c r="AF13" s="233">
        <f>IF(AO13="0",BH13,0)</f>
        <v>0</v>
      </c>
      <c r="AG13" s="229" t="s">
        <v>154</v>
      </c>
      <c r="AH13" s="233">
        <f>IF(AL13=0,J13,0)</f>
        <v>0</v>
      </c>
      <c r="AI13" s="233">
        <f>IF(AL13=12,J13,0)</f>
        <v>0</v>
      </c>
      <c r="AJ13" s="233">
        <f>IF(AL13=21,J13,0)</f>
        <v>0</v>
      </c>
      <c r="AL13" s="233">
        <v>21</v>
      </c>
      <c r="AM13" s="233">
        <f>G13*0</f>
        <v>0</v>
      </c>
      <c r="AN13" s="233">
        <f>G13*(1-0)</f>
        <v>0</v>
      </c>
      <c r="AO13" s="234" t="s">
        <v>157</v>
      </c>
      <c r="AT13" s="233">
        <f>AU13+AV13</f>
        <v>0</v>
      </c>
      <c r="AU13" s="233">
        <f>F13*AM13</f>
        <v>0</v>
      </c>
      <c r="AV13" s="233">
        <f>F13*AN13</f>
        <v>0</v>
      </c>
      <c r="AW13" s="234" t="s">
        <v>162</v>
      </c>
      <c r="AX13" s="234" t="s">
        <v>163</v>
      </c>
      <c r="AY13" s="229" t="s">
        <v>164</v>
      </c>
      <c r="BA13" s="233">
        <f>AU13+AV13</f>
        <v>0</v>
      </c>
      <c r="BB13" s="233">
        <f>G13/(100-BC13)*100</f>
        <v>0</v>
      </c>
      <c r="BC13" s="233">
        <v>0</v>
      </c>
      <c r="BD13" s="233">
        <f>L13</f>
        <v>2.04</v>
      </c>
      <c r="BF13" s="233">
        <f>F13*AM13</f>
        <v>0</v>
      </c>
      <c r="BG13" s="233">
        <f>F13*AN13</f>
        <v>0</v>
      </c>
      <c r="BH13" s="233">
        <f>F13*G13</f>
        <v>0</v>
      </c>
      <c r="BI13" s="233"/>
      <c r="BJ13" s="233">
        <v>11</v>
      </c>
      <c r="BU13" s="233" t="e">
        <f>#REF!</f>
        <v>#REF!</v>
      </c>
      <c r="BV13" s="225" t="s">
        <v>1177</v>
      </c>
    </row>
    <row r="14" spans="1:74" ht="54" customHeight="1" x14ac:dyDescent="0.3">
      <c r="A14" s="241"/>
      <c r="B14" s="242" t="s">
        <v>165</v>
      </c>
      <c r="C14" s="530" t="s">
        <v>2399</v>
      </c>
      <c r="D14" s="531"/>
      <c r="E14" s="531"/>
      <c r="F14" s="531"/>
      <c r="G14" s="531"/>
      <c r="H14" s="531"/>
      <c r="I14" s="531"/>
      <c r="J14" s="531"/>
      <c r="K14" s="531"/>
      <c r="L14" s="531"/>
      <c r="M14" s="532"/>
    </row>
    <row r="15" spans="1:74" ht="14.4" x14ac:dyDescent="0.3">
      <c r="A15" s="239" t="s">
        <v>154</v>
      </c>
      <c r="B15" s="224" t="s">
        <v>1038</v>
      </c>
      <c r="C15" s="526" t="s">
        <v>1039</v>
      </c>
      <c r="D15" s="527"/>
      <c r="E15" s="223" t="s">
        <v>114</v>
      </c>
      <c r="F15" s="223" t="s">
        <v>114</v>
      </c>
      <c r="G15" s="223" t="s">
        <v>114</v>
      </c>
      <c r="H15" s="235">
        <f>SUM(H16:H18)</f>
        <v>0</v>
      </c>
      <c r="I15" s="235">
        <f>SUM(I16:I18)</f>
        <v>0</v>
      </c>
      <c r="J15" s="235">
        <f>SUM(J16:J18)</f>
        <v>0</v>
      </c>
      <c r="K15" s="230" t="s">
        <v>154</v>
      </c>
      <c r="L15" s="235">
        <f>SUM(L16:L18)</f>
        <v>5.5428599999999992</v>
      </c>
      <c r="M15" s="243" t="s">
        <v>154</v>
      </c>
      <c r="AG15" s="229" t="s">
        <v>154</v>
      </c>
      <c r="AQ15" s="222">
        <f>SUM(AH16:AH18)</f>
        <v>0</v>
      </c>
      <c r="AR15" s="222">
        <f>SUM(AI16:AI18)</f>
        <v>0</v>
      </c>
      <c r="AS15" s="222">
        <f>SUM(AJ16:AJ18)</f>
        <v>0</v>
      </c>
    </row>
    <row r="16" spans="1:74" ht="14.4" x14ac:dyDescent="0.3">
      <c r="A16" s="239" t="s">
        <v>166</v>
      </c>
      <c r="B16" s="223" t="s">
        <v>1178</v>
      </c>
      <c r="C16" s="521" t="s">
        <v>1179</v>
      </c>
      <c r="D16" s="519"/>
      <c r="E16" s="223" t="s">
        <v>160</v>
      </c>
      <c r="F16" s="233">
        <v>325.5</v>
      </c>
      <c r="G16" s="311">
        <v>0</v>
      </c>
      <c r="H16" s="233">
        <f>F16*AM16</f>
        <v>0</v>
      </c>
      <c r="I16" s="233">
        <f>F16*AN16</f>
        <v>0</v>
      </c>
      <c r="J16" s="233">
        <f>F16*G16</f>
        <v>0</v>
      </c>
      <c r="K16" s="233">
        <v>1.4919999999999999E-2</v>
      </c>
      <c r="L16" s="233">
        <f>F16*K16</f>
        <v>4.8564599999999993</v>
      </c>
      <c r="M16" s="240" t="s">
        <v>472</v>
      </c>
      <c r="X16" s="233">
        <f>IF(AO16="5",BH16,0)</f>
        <v>0</v>
      </c>
      <c r="Z16" s="233">
        <f>IF(AO16="1",BF16,0)</f>
        <v>0</v>
      </c>
      <c r="AA16" s="233">
        <f>IF(AO16="1",BG16,0)</f>
        <v>0</v>
      </c>
      <c r="AB16" s="233">
        <f>IF(AO16="7",BF16,0)</f>
        <v>0</v>
      </c>
      <c r="AC16" s="233">
        <f>IF(AO16="7",BG16,0)</f>
        <v>0</v>
      </c>
      <c r="AD16" s="233">
        <f>IF(AO16="2",BF16,0)</f>
        <v>0</v>
      </c>
      <c r="AE16" s="233">
        <f>IF(AO16="2",BG16,0)</f>
        <v>0</v>
      </c>
      <c r="AF16" s="233">
        <f>IF(AO16="0",BH16,0)</f>
        <v>0</v>
      </c>
      <c r="AG16" s="229" t="s">
        <v>154</v>
      </c>
      <c r="AH16" s="233">
        <f>IF(AL16=0,J16,0)</f>
        <v>0</v>
      </c>
      <c r="AI16" s="233">
        <f>IF(AL16=12,J16,0)</f>
        <v>0</v>
      </c>
      <c r="AJ16" s="233">
        <f>IF(AL16=21,J16,0)</f>
        <v>0</v>
      </c>
      <c r="AL16" s="233">
        <v>21</v>
      </c>
      <c r="AM16" s="233">
        <f>G16*0</f>
        <v>0</v>
      </c>
      <c r="AN16" s="233">
        <f>G16*(1-0)</f>
        <v>0</v>
      </c>
      <c r="AO16" s="234" t="s">
        <v>184</v>
      </c>
      <c r="AT16" s="233">
        <f>AU16+AV16</f>
        <v>0</v>
      </c>
      <c r="AU16" s="233">
        <f>F16*AM16</f>
        <v>0</v>
      </c>
      <c r="AV16" s="233">
        <f>F16*AN16</f>
        <v>0</v>
      </c>
      <c r="AW16" s="234" t="s">
        <v>1042</v>
      </c>
      <c r="AX16" s="234" t="s">
        <v>433</v>
      </c>
      <c r="AY16" s="229" t="s">
        <v>164</v>
      </c>
      <c r="BA16" s="233">
        <f>AU16+AV16</f>
        <v>0</v>
      </c>
      <c r="BB16" s="233">
        <f>G16/(100-BC16)*100</f>
        <v>0</v>
      </c>
      <c r="BC16" s="233">
        <v>0</v>
      </c>
      <c r="BD16" s="233">
        <f>L16</f>
        <v>4.8564599999999993</v>
      </c>
      <c r="BF16" s="233">
        <f>F16*AM16</f>
        <v>0</v>
      </c>
      <c r="BG16" s="233">
        <f>F16*AN16</f>
        <v>0</v>
      </c>
      <c r="BH16" s="233">
        <f>F16*G16</f>
        <v>0</v>
      </c>
      <c r="BI16" s="233"/>
      <c r="BJ16" s="233">
        <v>721</v>
      </c>
      <c r="BU16" s="233" t="e">
        <f>#REF!</f>
        <v>#REF!</v>
      </c>
      <c r="BV16" s="225" t="s">
        <v>1179</v>
      </c>
    </row>
    <row r="17" spans="1:74" ht="94.5" customHeight="1" x14ac:dyDescent="0.3">
      <c r="A17" s="241"/>
      <c r="B17" s="242" t="s">
        <v>165</v>
      </c>
      <c r="C17" s="530" t="s">
        <v>2400</v>
      </c>
      <c r="D17" s="531"/>
      <c r="E17" s="531"/>
      <c r="F17" s="531"/>
      <c r="G17" s="531"/>
      <c r="H17" s="531"/>
      <c r="I17" s="531"/>
      <c r="J17" s="531"/>
      <c r="K17" s="531"/>
      <c r="L17" s="531"/>
      <c r="M17" s="532"/>
    </row>
    <row r="18" spans="1:74" ht="14.4" x14ac:dyDescent="0.3">
      <c r="A18" s="239" t="s">
        <v>169</v>
      </c>
      <c r="B18" s="223" t="s">
        <v>1180</v>
      </c>
      <c r="C18" s="521" t="s">
        <v>1181</v>
      </c>
      <c r="D18" s="519"/>
      <c r="E18" s="223" t="s">
        <v>365</v>
      </c>
      <c r="F18" s="233">
        <v>20</v>
      </c>
      <c r="G18" s="311">
        <v>0</v>
      </c>
      <c r="H18" s="233">
        <f>F18*AM18</f>
        <v>0</v>
      </c>
      <c r="I18" s="233">
        <f>F18*AN18</f>
        <v>0</v>
      </c>
      <c r="J18" s="233">
        <f>F18*G18</f>
        <v>0</v>
      </c>
      <c r="K18" s="233">
        <v>3.4320000000000003E-2</v>
      </c>
      <c r="L18" s="233">
        <f>F18*K18</f>
        <v>0.68640000000000012</v>
      </c>
      <c r="M18" s="240" t="s">
        <v>472</v>
      </c>
      <c r="X18" s="233">
        <f>IF(AO18="5",BH18,0)</f>
        <v>0</v>
      </c>
      <c r="Z18" s="233">
        <f>IF(AO18="1",BF18,0)</f>
        <v>0</v>
      </c>
      <c r="AA18" s="233">
        <f>IF(AO18="1",BG18,0)</f>
        <v>0</v>
      </c>
      <c r="AB18" s="233">
        <f>IF(AO18="7",BF18,0)</f>
        <v>0</v>
      </c>
      <c r="AC18" s="233">
        <f>IF(AO18="7",BG18,0)</f>
        <v>0</v>
      </c>
      <c r="AD18" s="233">
        <f>IF(AO18="2",BF18,0)</f>
        <v>0</v>
      </c>
      <c r="AE18" s="233">
        <f>IF(AO18="2",BG18,0)</f>
        <v>0</v>
      </c>
      <c r="AF18" s="233">
        <f>IF(AO18="0",BH18,0)</f>
        <v>0</v>
      </c>
      <c r="AG18" s="229" t="s">
        <v>154</v>
      </c>
      <c r="AH18" s="233">
        <f>IF(AL18=0,J18,0)</f>
        <v>0</v>
      </c>
      <c r="AI18" s="233">
        <f>IF(AL18=12,J18,0)</f>
        <v>0</v>
      </c>
      <c r="AJ18" s="233">
        <f>IF(AL18=21,J18,0)</f>
        <v>0</v>
      </c>
      <c r="AL18" s="233">
        <v>21</v>
      </c>
      <c r="AM18" s="233">
        <f>G18*0</f>
        <v>0</v>
      </c>
      <c r="AN18" s="233">
        <f>G18*(1-0)</f>
        <v>0</v>
      </c>
      <c r="AO18" s="234" t="s">
        <v>184</v>
      </c>
      <c r="AT18" s="233">
        <f>AU18+AV18</f>
        <v>0</v>
      </c>
      <c r="AU18" s="233">
        <f>F18*AM18</f>
        <v>0</v>
      </c>
      <c r="AV18" s="233">
        <f>F18*AN18</f>
        <v>0</v>
      </c>
      <c r="AW18" s="234" t="s">
        <v>1042</v>
      </c>
      <c r="AX18" s="234" t="s">
        <v>433</v>
      </c>
      <c r="AY18" s="229" t="s">
        <v>164</v>
      </c>
      <c r="BA18" s="233">
        <f>AU18+AV18</f>
        <v>0</v>
      </c>
      <c r="BB18" s="233">
        <f>G18/(100-BC18)*100</f>
        <v>0</v>
      </c>
      <c r="BC18" s="233">
        <v>0</v>
      </c>
      <c r="BD18" s="233">
        <f>L18</f>
        <v>0.68640000000000012</v>
      </c>
      <c r="BF18" s="233">
        <f>F18*AM18</f>
        <v>0</v>
      </c>
      <c r="BG18" s="233">
        <f>F18*AN18</f>
        <v>0</v>
      </c>
      <c r="BH18" s="233">
        <f>F18*G18</f>
        <v>0</v>
      </c>
      <c r="BI18" s="233"/>
      <c r="BJ18" s="233">
        <v>721</v>
      </c>
      <c r="BU18" s="233" t="e">
        <f>#REF!</f>
        <v>#REF!</v>
      </c>
      <c r="BV18" s="225" t="s">
        <v>1181</v>
      </c>
    </row>
    <row r="19" spans="1:74" ht="40.5" customHeight="1" x14ac:dyDescent="0.3">
      <c r="A19" s="241"/>
      <c r="B19" s="242" t="s">
        <v>165</v>
      </c>
      <c r="C19" s="530" t="s">
        <v>2401</v>
      </c>
      <c r="D19" s="531"/>
      <c r="E19" s="531"/>
      <c r="F19" s="531"/>
      <c r="G19" s="531"/>
      <c r="H19" s="531"/>
      <c r="I19" s="531"/>
      <c r="J19" s="531"/>
      <c r="K19" s="531"/>
      <c r="L19" s="531"/>
      <c r="M19" s="532"/>
    </row>
    <row r="20" spans="1:74" ht="14.4" x14ac:dyDescent="0.3">
      <c r="A20" s="239" t="s">
        <v>154</v>
      </c>
      <c r="B20" s="224" t="s">
        <v>1182</v>
      </c>
      <c r="C20" s="526" t="s">
        <v>1183</v>
      </c>
      <c r="D20" s="527"/>
      <c r="E20" s="223" t="s">
        <v>114</v>
      </c>
      <c r="F20" s="223" t="s">
        <v>114</v>
      </c>
      <c r="G20" s="223" t="s">
        <v>114</v>
      </c>
      <c r="H20" s="235">
        <f>SUM(H21:H25)</f>
        <v>0</v>
      </c>
      <c r="I20" s="235">
        <f>SUM(I21:I25)</f>
        <v>0</v>
      </c>
      <c r="J20" s="235">
        <f>SUM(J21:J25)</f>
        <v>0</v>
      </c>
      <c r="K20" s="230" t="s">
        <v>154</v>
      </c>
      <c r="L20" s="235">
        <f>SUM(L21:L25)</f>
        <v>0.58401999999999998</v>
      </c>
      <c r="M20" s="243" t="s">
        <v>154</v>
      </c>
      <c r="AG20" s="229" t="s">
        <v>154</v>
      </c>
      <c r="AQ20" s="222">
        <f>SUM(AH21:AH25)</f>
        <v>0</v>
      </c>
      <c r="AR20" s="222">
        <f>SUM(AI21:AI25)</f>
        <v>0</v>
      </c>
      <c r="AS20" s="222">
        <f>SUM(AJ21:AJ25)</f>
        <v>0</v>
      </c>
    </row>
    <row r="21" spans="1:74" ht="14.4" x14ac:dyDescent="0.3">
      <c r="A21" s="239" t="s">
        <v>173</v>
      </c>
      <c r="B21" s="223" t="s">
        <v>1184</v>
      </c>
      <c r="C21" s="521" t="s">
        <v>1185</v>
      </c>
      <c r="D21" s="519"/>
      <c r="E21" s="223" t="s">
        <v>365</v>
      </c>
      <c r="F21" s="233">
        <v>8</v>
      </c>
      <c r="G21" s="311">
        <v>0</v>
      </c>
      <c r="H21" s="233">
        <f>F21*AM21</f>
        <v>0</v>
      </c>
      <c r="I21" s="233">
        <f>F21*AN21</f>
        <v>0</v>
      </c>
      <c r="J21" s="233">
        <f>F21*G21</f>
        <v>0</v>
      </c>
      <c r="K21" s="233">
        <v>2.2000000000000001E-4</v>
      </c>
      <c r="L21" s="233">
        <f>F21*K21</f>
        <v>1.7600000000000001E-3</v>
      </c>
      <c r="M21" s="240" t="s">
        <v>472</v>
      </c>
      <c r="X21" s="233">
        <f>IF(AO21="5",BH21,0)</f>
        <v>0</v>
      </c>
      <c r="Z21" s="233">
        <f>IF(AO21="1",BF21,0)</f>
        <v>0</v>
      </c>
      <c r="AA21" s="233">
        <f>IF(AO21="1",BG21,0)</f>
        <v>0</v>
      </c>
      <c r="AB21" s="233">
        <f>IF(AO21="7",BF21,0)</f>
        <v>0</v>
      </c>
      <c r="AC21" s="233">
        <f>IF(AO21="7",BG21,0)</f>
        <v>0</v>
      </c>
      <c r="AD21" s="233">
        <f>IF(AO21="2",BF21,0)</f>
        <v>0</v>
      </c>
      <c r="AE21" s="233">
        <f>IF(AO21="2",BG21,0)</f>
        <v>0</v>
      </c>
      <c r="AF21" s="233">
        <f>IF(AO21="0",BH21,0)</f>
        <v>0</v>
      </c>
      <c r="AG21" s="229" t="s">
        <v>154</v>
      </c>
      <c r="AH21" s="233">
        <f>IF(AL21=0,J21,0)</f>
        <v>0</v>
      </c>
      <c r="AI21" s="233">
        <f>IF(AL21=12,J21,0)</f>
        <v>0</v>
      </c>
      <c r="AJ21" s="233">
        <f>IF(AL21=21,J21,0)</f>
        <v>0</v>
      </c>
      <c r="AL21" s="233">
        <v>21</v>
      </c>
      <c r="AM21" s="233">
        <f>G21*0.520051948</f>
        <v>0</v>
      </c>
      <c r="AN21" s="233">
        <f>G21*(1-0.520051948)</f>
        <v>0</v>
      </c>
      <c r="AO21" s="234" t="s">
        <v>184</v>
      </c>
      <c r="AT21" s="233">
        <f>AU21+AV21</f>
        <v>0</v>
      </c>
      <c r="AU21" s="233">
        <f>F21*AM21</f>
        <v>0</v>
      </c>
      <c r="AV21" s="233">
        <f>F21*AN21</f>
        <v>0</v>
      </c>
      <c r="AW21" s="234" t="s">
        <v>1186</v>
      </c>
      <c r="AX21" s="234" t="s">
        <v>522</v>
      </c>
      <c r="AY21" s="229" t="s">
        <v>164</v>
      </c>
      <c r="BA21" s="233">
        <f>AU21+AV21</f>
        <v>0</v>
      </c>
      <c r="BB21" s="233">
        <f>G21/(100-BC21)*100</f>
        <v>0</v>
      </c>
      <c r="BC21" s="233">
        <v>0</v>
      </c>
      <c r="BD21" s="233">
        <f>L21</f>
        <v>1.7600000000000001E-3</v>
      </c>
      <c r="BF21" s="233">
        <f>F21*AM21</f>
        <v>0</v>
      </c>
      <c r="BG21" s="233">
        <f>F21*AN21</f>
        <v>0</v>
      </c>
      <c r="BH21" s="233">
        <f>F21*G21</f>
        <v>0</v>
      </c>
      <c r="BI21" s="233"/>
      <c r="BJ21" s="233">
        <v>734</v>
      </c>
      <c r="BU21" s="233" t="e">
        <f>#REF!</f>
        <v>#REF!</v>
      </c>
      <c r="BV21" s="225" t="s">
        <v>1185</v>
      </c>
    </row>
    <row r="22" spans="1:74" ht="40.5" customHeight="1" x14ac:dyDescent="0.3">
      <c r="A22" s="241"/>
      <c r="B22" s="242" t="s">
        <v>165</v>
      </c>
      <c r="C22" s="530" t="s">
        <v>2402</v>
      </c>
      <c r="D22" s="531"/>
      <c r="E22" s="531"/>
      <c r="F22" s="531"/>
      <c r="G22" s="531"/>
      <c r="H22" s="531"/>
      <c r="I22" s="531"/>
      <c r="J22" s="531"/>
      <c r="K22" s="531"/>
      <c r="L22" s="531"/>
      <c r="M22" s="532"/>
    </row>
    <row r="23" spans="1:74" ht="14.4" x14ac:dyDescent="0.3">
      <c r="A23" s="239" t="s">
        <v>177</v>
      </c>
      <c r="B23" s="223" t="s">
        <v>1187</v>
      </c>
      <c r="C23" s="521" t="s">
        <v>1188</v>
      </c>
      <c r="D23" s="519"/>
      <c r="E23" s="223" t="s">
        <v>365</v>
      </c>
      <c r="F23" s="233">
        <v>5</v>
      </c>
      <c r="G23" s="311">
        <v>0</v>
      </c>
      <c r="H23" s="233">
        <f>F23*AM23</f>
        <v>0</v>
      </c>
      <c r="I23" s="233">
        <f>F23*AN23</f>
        <v>0</v>
      </c>
      <c r="J23" s="233">
        <f>F23*G23</f>
        <v>0</v>
      </c>
      <c r="K23" s="233">
        <v>5.4019999999999999E-2</v>
      </c>
      <c r="L23" s="233">
        <f>F23*K23</f>
        <v>0.27010000000000001</v>
      </c>
      <c r="M23" s="240" t="s">
        <v>472</v>
      </c>
      <c r="X23" s="233">
        <f>IF(AO23="5",BH23,0)</f>
        <v>0</v>
      </c>
      <c r="Z23" s="233">
        <f>IF(AO23="1",BF23,0)</f>
        <v>0</v>
      </c>
      <c r="AA23" s="233">
        <f>IF(AO23="1",BG23,0)</f>
        <v>0</v>
      </c>
      <c r="AB23" s="233">
        <f>IF(AO23="7",BF23,0)</f>
        <v>0</v>
      </c>
      <c r="AC23" s="233">
        <f>IF(AO23="7",BG23,0)</f>
        <v>0</v>
      </c>
      <c r="AD23" s="233">
        <f>IF(AO23="2",BF23,0)</f>
        <v>0</v>
      </c>
      <c r="AE23" s="233">
        <f>IF(AO23="2",BG23,0)</f>
        <v>0</v>
      </c>
      <c r="AF23" s="233">
        <f>IF(AO23="0",BH23,0)</f>
        <v>0</v>
      </c>
      <c r="AG23" s="229" t="s">
        <v>154</v>
      </c>
      <c r="AH23" s="233">
        <f>IF(AL23=0,J23,0)</f>
        <v>0</v>
      </c>
      <c r="AI23" s="233">
        <f>IF(AL23=12,J23,0)</f>
        <v>0</v>
      </c>
      <c r="AJ23" s="233">
        <f>IF(AL23=21,J23,0)</f>
        <v>0</v>
      </c>
      <c r="AL23" s="233">
        <v>21</v>
      </c>
      <c r="AM23" s="233">
        <f>G23*0.00393693</f>
        <v>0</v>
      </c>
      <c r="AN23" s="233">
        <f>G23*(1-0.00393693)</f>
        <v>0</v>
      </c>
      <c r="AO23" s="234" t="s">
        <v>184</v>
      </c>
      <c r="AT23" s="233">
        <f>AU23+AV23</f>
        <v>0</v>
      </c>
      <c r="AU23" s="233">
        <f>F23*AM23</f>
        <v>0</v>
      </c>
      <c r="AV23" s="233">
        <f>F23*AN23</f>
        <v>0</v>
      </c>
      <c r="AW23" s="234" t="s">
        <v>1186</v>
      </c>
      <c r="AX23" s="234" t="s">
        <v>522</v>
      </c>
      <c r="AY23" s="229" t="s">
        <v>164</v>
      </c>
      <c r="BA23" s="233">
        <f>AU23+AV23</f>
        <v>0</v>
      </c>
      <c r="BB23" s="233">
        <f>G23/(100-BC23)*100</f>
        <v>0</v>
      </c>
      <c r="BC23" s="233">
        <v>0</v>
      </c>
      <c r="BD23" s="233">
        <f>L23</f>
        <v>0.27010000000000001</v>
      </c>
      <c r="BF23" s="233">
        <f>F23*AM23</f>
        <v>0</v>
      </c>
      <c r="BG23" s="233">
        <f>F23*AN23</f>
        <v>0</v>
      </c>
      <c r="BH23" s="233">
        <f>F23*G23</f>
        <v>0</v>
      </c>
      <c r="BI23" s="233"/>
      <c r="BJ23" s="233">
        <v>734</v>
      </c>
      <c r="BU23" s="233" t="e">
        <f>#REF!</f>
        <v>#REF!</v>
      </c>
      <c r="BV23" s="225" t="s">
        <v>1188</v>
      </c>
    </row>
    <row r="24" spans="1:74" ht="40.5" customHeight="1" x14ac:dyDescent="0.3">
      <c r="A24" s="241"/>
      <c r="B24" s="242" t="s">
        <v>165</v>
      </c>
      <c r="C24" s="530" t="s">
        <v>2403</v>
      </c>
      <c r="D24" s="531"/>
      <c r="E24" s="531"/>
      <c r="F24" s="531"/>
      <c r="G24" s="531"/>
      <c r="H24" s="531"/>
      <c r="I24" s="531"/>
      <c r="J24" s="531"/>
      <c r="K24" s="531"/>
      <c r="L24" s="531"/>
      <c r="M24" s="532"/>
    </row>
    <row r="25" spans="1:74" ht="14.4" x14ac:dyDescent="0.3">
      <c r="A25" s="239" t="s">
        <v>181</v>
      </c>
      <c r="B25" s="223" t="s">
        <v>1189</v>
      </c>
      <c r="C25" s="521" t="s">
        <v>1190</v>
      </c>
      <c r="D25" s="519"/>
      <c r="E25" s="223" t="s">
        <v>365</v>
      </c>
      <c r="F25" s="233">
        <v>8</v>
      </c>
      <c r="G25" s="311">
        <v>0</v>
      </c>
      <c r="H25" s="233">
        <f>F25*AM25</f>
        <v>0</v>
      </c>
      <c r="I25" s="233">
        <f>F25*AN25</f>
        <v>0</v>
      </c>
      <c r="J25" s="233">
        <f>F25*G25</f>
        <v>0</v>
      </c>
      <c r="K25" s="233">
        <v>3.9019999999999999E-2</v>
      </c>
      <c r="L25" s="233">
        <f>F25*K25</f>
        <v>0.31215999999999999</v>
      </c>
      <c r="M25" s="240" t="s">
        <v>472</v>
      </c>
      <c r="X25" s="233">
        <f>IF(AO25="5",BH25,0)</f>
        <v>0</v>
      </c>
      <c r="Z25" s="233">
        <f>IF(AO25="1",BF25,0)</f>
        <v>0</v>
      </c>
      <c r="AA25" s="233">
        <f>IF(AO25="1",BG25,0)</f>
        <v>0</v>
      </c>
      <c r="AB25" s="233">
        <f>IF(AO25="7",BF25,0)</f>
        <v>0</v>
      </c>
      <c r="AC25" s="233">
        <f>IF(AO25="7",BG25,0)</f>
        <v>0</v>
      </c>
      <c r="AD25" s="233">
        <f>IF(AO25="2",BF25,0)</f>
        <v>0</v>
      </c>
      <c r="AE25" s="233">
        <f>IF(AO25="2",BG25,0)</f>
        <v>0</v>
      </c>
      <c r="AF25" s="233">
        <f>IF(AO25="0",BH25,0)</f>
        <v>0</v>
      </c>
      <c r="AG25" s="229" t="s">
        <v>154</v>
      </c>
      <c r="AH25" s="233">
        <f>IF(AL25=0,J25,0)</f>
        <v>0</v>
      </c>
      <c r="AI25" s="233">
        <f>IF(AL25=12,J25,0)</f>
        <v>0</v>
      </c>
      <c r="AJ25" s="233">
        <f>IF(AL25=21,J25,0)</f>
        <v>0</v>
      </c>
      <c r="AL25" s="233">
        <v>21</v>
      </c>
      <c r="AM25" s="233">
        <f>G25*0.005442177</f>
        <v>0</v>
      </c>
      <c r="AN25" s="233">
        <f>G25*(1-0.005442177)</f>
        <v>0</v>
      </c>
      <c r="AO25" s="234" t="s">
        <v>184</v>
      </c>
      <c r="AT25" s="233">
        <f>AU25+AV25</f>
        <v>0</v>
      </c>
      <c r="AU25" s="233">
        <f>F25*AM25</f>
        <v>0</v>
      </c>
      <c r="AV25" s="233">
        <f>F25*AN25</f>
        <v>0</v>
      </c>
      <c r="AW25" s="234" t="s">
        <v>1186</v>
      </c>
      <c r="AX25" s="234" t="s">
        <v>522</v>
      </c>
      <c r="AY25" s="229" t="s">
        <v>164</v>
      </c>
      <c r="BA25" s="233">
        <f>AU25+AV25</f>
        <v>0</v>
      </c>
      <c r="BB25" s="233">
        <f>G25/(100-BC25)*100</f>
        <v>0</v>
      </c>
      <c r="BC25" s="233">
        <v>0</v>
      </c>
      <c r="BD25" s="233">
        <f>L25</f>
        <v>0.31215999999999999</v>
      </c>
      <c r="BF25" s="233">
        <f>F25*AM25</f>
        <v>0</v>
      </c>
      <c r="BG25" s="233">
        <f>F25*AN25</f>
        <v>0</v>
      </c>
      <c r="BH25" s="233">
        <f>F25*G25</f>
        <v>0</v>
      </c>
      <c r="BI25" s="233"/>
      <c r="BJ25" s="233">
        <v>734</v>
      </c>
      <c r="BU25" s="233" t="e">
        <f>#REF!</f>
        <v>#REF!</v>
      </c>
      <c r="BV25" s="225" t="s">
        <v>1190</v>
      </c>
    </row>
    <row r="26" spans="1:74" ht="40.5" customHeight="1" x14ac:dyDescent="0.3">
      <c r="A26" s="241"/>
      <c r="B26" s="242" t="s">
        <v>165</v>
      </c>
      <c r="C26" s="530" t="s">
        <v>2404</v>
      </c>
      <c r="D26" s="531"/>
      <c r="E26" s="531"/>
      <c r="F26" s="531"/>
      <c r="G26" s="531"/>
      <c r="H26" s="531"/>
      <c r="I26" s="531"/>
      <c r="J26" s="531"/>
      <c r="K26" s="531"/>
      <c r="L26" s="531"/>
      <c r="M26" s="532"/>
    </row>
    <row r="27" spans="1:74" ht="14.4" x14ac:dyDescent="0.3">
      <c r="A27" s="239" t="s">
        <v>154</v>
      </c>
      <c r="B27" s="224" t="s">
        <v>360</v>
      </c>
      <c r="C27" s="526" t="s">
        <v>361</v>
      </c>
      <c r="D27" s="527"/>
      <c r="E27" s="223" t="s">
        <v>114</v>
      </c>
      <c r="F27" s="223" t="s">
        <v>114</v>
      </c>
      <c r="G27" s="223" t="s">
        <v>114</v>
      </c>
      <c r="H27" s="235">
        <f>SUM(H28:H30)</f>
        <v>0</v>
      </c>
      <c r="I27" s="235">
        <f>SUM(I28:I30)</f>
        <v>0</v>
      </c>
      <c r="J27" s="235">
        <f>SUM(J28:J30)</f>
        <v>0</v>
      </c>
      <c r="K27" s="230" t="s">
        <v>154</v>
      </c>
      <c r="L27" s="235">
        <f>SUM(L28:L30)</f>
        <v>0.13200000000000001</v>
      </c>
      <c r="M27" s="243" t="s">
        <v>154</v>
      </c>
      <c r="AG27" s="229" t="s">
        <v>154</v>
      </c>
      <c r="AQ27" s="222">
        <f>SUM(AH28:AH30)</f>
        <v>0</v>
      </c>
      <c r="AR27" s="222">
        <f>SUM(AI28:AI30)</f>
        <v>0</v>
      </c>
      <c r="AS27" s="222">
        <f>SUM(AJ28:AJ30)</f>
        <v>0</v>
      </c>
    </row>
    <row r="28" spans="1:74" ht="14.4" x14ac:dyDescent="0.3">
      <c r="A28" s="239" t="s">
        <v>184</v>
      </c>
      <c r="B28" s="223" t="s">
        <v>1191</v>
      </c>
      <c r="C28" s="521" t="s">
        <v>1192</v>
      </c>
      <c r="D28" s="519"/>
      <c r="E28" s="223" t="s">
        <v>365</v>
      </c>
      <c r="F28" s="233">
        <v>4</v>
      </c>
      <c r="G28" s="311">
        <v>0</v>
      </c>
      <c r="H28" s="233">
        <f>F28*AM28</f>
        <v>0</v>
      </c>
      <c r="I28" s="233">
        <f>F28*AN28</f>
        <v>0</v>
      </c>
      <c r="J28" s="233">
        <f>F28*G28</f>
        <v>0</v>
      </c>
      <c r="K28" s="233">
        <v>3.3000000000000002E-2</v>
      </c>
      <c r="L28" s="233">
        <f>F28*K28</f>
        <v>0.13200000000000001</v>
      </c>
      <c r="M28" s="240" t="s">
        <v>472</v>
      </c>
      <c r="X28" s="233">
        <f>IF(AO28="5",BH28,0)</f>
        <v>0</v>
      </c>
      <c r="Z28" s="233">
        <f>IF(AO28="1",BF28,0)</f>
        <v>0</v>
      </c>
      <c r="AA28" s="233">
        <f>IF(AO28="1",BG28,0)</f>
        <v>0</v>
      </c>
      <c r="AB28" s="233">
        <f>IF(AO28="7",BF28,0)</f>
        <v>0</v>
      </c>
      <c r="AC28" s="233">
        <f>IF(AO28="7",BG28,0)</f>
        <v>0</v>
      </c>
      <c r="AD28" s="233">
        <f>IF(AO28="2",BF28,0)</f>
        <v>0</v>
      </c>
      <c r="AE28" s="233">
        <f>IF(AO28="2",BG28,0)</f>
        <v>0</v>
      </c>
      <c r="AF28" s="233">
        <f>IF(AO28="0",BH28,0)</f>
        <v>0</v>
      </c>
      <c r="AG28" s="229" t="s">
        <v>154</v>
      </c>
      <c r="AH28" s="233">
        <f>IF(AL28=0,J28,0)</f>
        <v>0</v>
      </c>
      <c r="AI28" s="233">
        <f>IF(AL28=12,J28,0)</f>
        <v>0</v>
      </c>
      <c r="AJ28" s="233">
        <f>IF(AL28=21,J28,0)</f>
        <v>0</v>
      </c>
      <c r="AL28" s="233">
        <v>21</v>
      </c>
      <c r="AM28" s="233">
        <f>G28*0.09539663</f>
        <v>0</v>
      </c>
      <c r="AN28" s="233">
        <f>G28*(1-0.09539663)</f>
        <v>0</v>
      </c>
      <c r="AO28" s="234" t="s">
        <v>157</v>
      </c>
      <c r="AT28" s="233">
        <f>AU28+AV28</f>
        <v>0</v>
      </c>
      <c r="AU28" s="233">
        <f>F28*AM28</f>
        <v>0</v>
      </c>
      <c r="AV28" s="233">
        <f>F28*AN28</f>
        <v>0</v>
      </c>
      <c r="AW28" s="234" t="s">
        <v>366</v>
      </c>
      <c r="AX28" s="234" t="s">
        <v>356</v>
      </c>
      <c r="AY28" s="229" t="s">
        <v>164</v>
      </c>
      <c r="BA28" s="233">
        <f>AU28+AV28</f>
        <v>0</v>
      </c>
      <c r="BB28" s="233">
        <f>G28/(100-BC28)*100</f>
        <v>0</v>
      </c>
      <c r="BC28" s="233">
        <v>0</v>
      </c>
      <c r="BD28" s="233">
        <f>L28</f>
        <v>0.13200000000000001</v>
      </c>
      <c r="BF28" s="233">
        <f>F28*AM28</f>
        <v>0</v>
      </c>
      <c r="BG28" s="233">
        <f>F28*AN28</f>
        <v>0</v>
      </c>
      <c r="BH28" s="233">
        <f>F28*G28</f>
        <v>0</v>
      </c>
      <c r="BI28" s="233"/>
      <c r="BJ28" s="233">
        <v>89</v>
      </c>
      <c r="BU28" s="233" t="e">
        <f>#REF!</f>
        <v>#REF!</v>
      </c>
      <c r="BV28" s="225" t="s">
        <v>1192</v>
      </c>
    </row>
    <row r="29" spans="1:74" ht="40.5" customHeight="1" x14ac:dyDescent="0.3">
      <c r="A29" s="241"/>
      <c r="B29" s="242" t="s">
        <v>165</v>
      </c>
      <c r="C29" s="530" t="s">
        <v>2405</v>
      </c>
      <c r="D29" s="531"/>
      <c r="E29" s="531"/>
      <c r="F29" s="531"/>
      <c r="G29" s="531"/>
      <c r="H29" s="531"/>
      <c r="I29" s="531"/>
      <c r="J29" s="531"/>
      <c r="K29" s="531"/>
      <c r="L29" s="531"/>
      <c r="M29" s="532"/>
    </row>
    <row r="30" spans="1:74" ht="14.4" x14ac:dyDescent="0.3">
      <c r="A30" s="239" t="s">
        <v>187</v>
      </c>
      <c r="B30" s="223" t="s">
        <v>1193</v>
      </c>
      <c r="C30" s="521" t="s">
        <v>1194</v>
      </c>
      <c r="D30" s="519"/>
      <c r="E30" s="223" t="s">
        <v>160</v>
      </c>
      <c r="F30" s="233">
        <v>186</v>
      </c>
      <c r="G30" s="311">
        <v>0</v>
      </c>
      <c r="H30" s="233">
        <f>F30*AM30</f>
        <v>0</v>
      </c>
      <c r="I30" s="233">
        <f>F30*AN30</f>
        <v>0</v>
      </c>
      <c r="J30" s="233">
        <f>F30*G30</f>
        <v>0</v>
      </c>
      <c r="K30" s="233">
        <v>0</v>
      </c>
      <c r="L30" s="233">
        <f>F30*K30</f>
        <v>0</v>
      </c>
      <c r="M30" s="240" t="s">
        <v>472</v>
      </c>
      <c r="X30" s="233">
        <f>IF(AO30="5",BH30,0)</f>
        <v>0</v>
      </c>
      <c r="Z30" s="233">
        <f>IF(AO30="1",BF30,0)</f>
        <v>0</v>
      </c>
      <c r="AA30" s="233">
        <f>IF(AO30="1",BG30,0)</f>
        <v>0</v>
      </c>
      <c r="AB30" s="233">
        <f>IF(AO30="7",BF30,0)</f>
        <v>0</v>
      </c>
      <c r="AC30" s="233">
        <f>IF(AO30="7",BG30,0)</f>
        <v>0</v>
      </c>
      <c r="AD30" s="233">
        <f>IF(AO30="2",BF30,0)</f>
        <v>0</v>
      </c>
      <c r="AE30" s="233">
        <f>IF(AO30="2",BG30,0)</f>
        <v>0</v>
      </c>
      <c r="AF30" s="233">
        <f>IF(AO30="0",BH30,0)</f>
        <v>0</v>
      </c>
      <c r="AG30" s="229" t="s">
        <v>154</v>
      </c>
      <c r="AH30" s="233">
        <f>IF(AL30=0,J30,0)</f>
        <v>0</v>
      </c>
      <c r="AI30" s="233">
        <f>IF(AL30=12,J30,0)</f>
        <v>0</v>
      </c>
      <c r="AJ30" s="233">
        <f>IF(AL30=21,J30,0)</f>
        <v>0</v>
      </c>
      <c r="AL30" s="233">
        <v>21</v>
      </c>
      <c r="AM30" s="233">
        <f>G30*0</f>
        <v>0</v>
      </c>
      <c r="AN30" s="233">
        <f>G30*(1-0)</f>
        <v>0</v>
      </c>
      <c r="AO30" s="234" t="s">
        <v>157</v>
      </c>
      <c r="AT30" s="233">
        <f>AU30+AV30</f>
        <v>0</v>
      </c>
      <c r="AU30" s="233">
        <f>F30*AM30</f>
        <v>0</v>
      </c>
      <c r="AV30" s="233">
        <f>F30*AN30</f>
        <v>0</v>
      </c>
      <c r="AW30" s="234" t="s">
        <v>366</v>
      </c>
      <c r="AX30" s="234" t="s">
        <v>356</v>
      </c>
      <c r="AY30" s="229" t="s">
        <v>164</v>
      </c>
      <c r="BA30" s="233">
        <f>AU30+AV30</f>
        <v>0</v>
      </c>
      <c r="BB30" s="233">
        <f>G30/(100-BC30)*100</f>
        <v>0</v>
      </c>
      <c r="BC30" s="233">
        <v>0</v>
      </c>
      <c r="BD30" s="233">
        <f>L30</f>
        <v>0</v>
      </c>
      <c r="BF30" s="233">
        <f>F30*AM30</f>
        <v>0</v>
      </c>
      <c r="BG30" s="233">
        <f>F30*AN30</f>
        <v>0</v>
      </c>
      <c r="BH30" s="233">
        <f>F30*G30</f>
        <v>0</v>
      </c>
      <c r="BI30" s="233"/>
      <c r="BJ30" s="233">
        <v>89</v>
      </c>
      <c r="BU30" s="233" t="e">
        <f>#REF!</f>
        <v>#REF!</v>
      </c>
      <c r="BV30" s="225" t="s">
        <v>1194</v>
      </c>
    </row>
    <row r="31" spans="1:74" ht="67.5" customHeight="1" x14ac:dyDescent="0.3">
      <c r="A31" s="241"/>
      <c r="B31" s="242" t="s">
        <v>165</v>
      </c>
      <c r="C31" s="530" t="s">
        <v>2406</v>
      </c>
      <c r="D31" s="531"/>
      <c r="E31" s="531"/>
      <c r="F31" s="531"/>
      <c r="G31" s="531"/>
      <c r="H31" s="531"/>
      <c r="I31" s="531"/>
      <c r="J31" s="531"/>
      <c r="K31" s="531"/>
      <c r="L31" s="531"/>
      <c r="M31" s="532"/>
    </row>
    <row r="32" spans="1:74" ht="14.4" x14ac:dyDescent="0.3">
      <c r="A32" s="239" t="s">
        <v>154</v>
      </c>
      <c r="B32" s="224" t="s">
        <v>370</v>
      </c>
      <c r="C32" s="526" t="s">
        <v>371</v>
      </c>
      <c r="D32" s="527"/>
      <c r="E32" s="223" t="s">
        <v>114</v>
      </c>
      <c r="F32" s="223" t="s">
        <v>114</v>
      </c>
      <c r="G32" s="223" t="s">
        <v>114</v>
      </c>
      <c r="H32" s="235">
        <f>SUM(H33:H35)</f>
        <v>0</v>
      </c>
      <c r="I32" s="235">
        <f>SUM(I33:I35)</f>
        <v>0</v>
      </c>
      <c r="J32" s="235">
        <f>SUM(J33:J35)</f>
        <v>0</v>
      </c>
      <c r="K32" s="230" t="s">
        <v>154</v>
      </c>
      <c r="L32" s="235">
        <f>SUM(L33:L35)</f>
        <v>38.478372399999998</v>
      </c>
      <c r="M32" s="243" t="s">
        <v>154</v>
      </c>
      <c r="AG32" s="229" t="s">
        <v>154</v>
      </c>
      <c r="AQ32" s="222">
        <f>SUM(AH33:AH35)</f>
        <v>0</v>
      </c>
      <c r="AR32" s="222">
        <f>SUM(AI33:AI35)</f>
        <v>0</v>
      </c>
      <c r="AS32" s="222">
        <f>SUM(AJ33:AJ35)</f>
        <v>0</v>
      </c>
    </row>
    <row r="33" spans="1:74" ht="14.4" x14ac:dyDescent="0.3">
      <c r="A33" s="239" t="s">
        <v>193</v>
      </c>
      <c r="B33" s="223" t="s">
        <v>1195</v>
      </c>
      <c r="C33" s="521" t="s">
        <v>1196</v>
      </c>
      <c r="D33" s="519"/>
      <c r="E33" s="223" t="s">
        <v>160</v>
      </c>
      <c r="F33" s="233">
        <v>75.599999999999994</v>
      </c>
      <c r="G33" s="311">
        <v>0</v>
      </c>
      <c r="H33" s="233">
        <f>F33*AM33</f>
        <v>0</v>
      </c>
      <c r="I33" s="233">
        <f>F33*AN33</f>
        <v>0</v>
      </c>
      <c r="J33" s="233">
        <f>F33*G33</f>
        <v>0</v>
      </c>
      <c r="K33" s="233">
        <v>0.12751000000000001</v>
      </c>
      <c r="L33" s="233">
        <f>F33*K33</f>
        <v>9.6397560000000002</v>
      </c>
      <c r="M33" s="240" t="s">
        <v>472</v>
      </c>
      <c r="X33" s="233">
        <f>IF(AO33="5",BH33,0)</f>
        <v>0</v>
      </c>
      <c r="Z33" s="233">
        <f>IF(AO33="1",BF33,0)</f>
        <v>0</v>
      </c>
      <c r="AA33" s="233">
        <f>IF(AO33="1",BG33,0)</f>
        <v>0</v>
      </c>
      <c r="AB33" s="233">
        <f>IF(AO33="7",BF33,0)</f>
        <v>0</v>
      </c>
      <c r="AC33" s="233">
        <f>IF(AO33="7",BG33,0)</f>
        <v>0</v>
      </c>
      <c r="AD33" s="233">
        <f>IF(AO33="2",BF33,0)</f>
        <v>0</v>
      </c>
      <c r="AE33" s="233">
        <f>IF(AO33="2",BG33,0)</f>
        <v>0</v>
      </c>
      <c r="AF33" s="233">
        <f>IF(AO33="0",BH33,0)</f>
        <v>0</v>
      </c>
      <c r="AG33" s="229" t="s">
        <v>154</v>
      </c>
      <c r="AH33" s="233">
        <f>IF(AL33=0,J33,0)</f>
        <v>0</v>
      </c>
      <c r="AI33" s="233">
        <f>IF(AL33=12,J33,0)</f>
        <v>0</v>
      </c>
      <c r="AJ33" s="233">
        <f>IF(AL33=21,J33,0)</f>
        <v>0</v>
      </c>
      <c r="AL33" s="233">
        <v>21</v>
      </c>
      <c r="AM33" s="233">
        <f>G33*0.482635659</f>
        <v>0</v>
      </c>
      <c r="AN33" s="233">
        <f>G33*(1-0.482635659)</f>
        <v>0</v>
      </c>
      <c r="AO33" s="234" t="s">
        <v>157</v>
      </c>
      <c r="AT33" s="233">
        <f>AU33+AV33</f>
        <v>0</v>
      </c>
      <c r="AU33" s="233">
        <f>F33*AM33</f>
        <v>0</v>
      </c>
      <c r="AV33" s="233">
        <f>F33*AN33</f>
        <v>0</v>
      </c>
      <c r="AW33" s="234" t="s">
        <v>374</v>
      </c>
      <c r="AX33" s="234" t="s">
        <v>375</v>
      </c>
      <c r="AY33" s="229" t="s">
        <v>164</v>
      </c>
      <c r="BA33" s="233">
        <f>AU33+AV33</f>
        <v>0</v>
      </c>
      <c r="BB33" s="233">
        <f>G33/(100-BC33)*100</f>
        <v>0</v>
      </c>
      <c r="BC33" s="233">
        <v>0</v>
      </c>
      <c r="BD33" s="233">
        <f>L33</f>
        <v>9.6397560000000002</v>
      </c>
      <c r="BF33" s="233">
        <f>F33*AM33</f>
        <v>0</v>
      </c>
      <c r="BG33" s="233">
        <f>F33*AN33</f>
        <v>0</v>
      </c>
      <c r="BH33" s="233">
        <f>F33*G33</f>
        <v>0</v>
      </c>
      <c r="BI33" s="233"/>
      <c r="BJ33" s="233">
        <v>93</v>
      </c>
      <c r="BU33" s="233" t="e">
        <f>#REF!</f>
        <v>#REF!</v>
      </c>
      <c r="BV33" s="225" t="s">
        <v>1196</v>
      </c>
    </row>
    <row r="34" spans="1:74" ht="54" customHeight="1" x14ac:dyDescent="0.3">
      <c r="A34" s="244"/>
      <c r="B34" s="245" t="s">
        <v>165</v>
      </c>
      <c r="C34" s="540" t="s">
        <v>2407</v>
      </c>
      <c r="D34" s="541"/>
      <c r="E34" s="541"/>
      <c r="F34" s="541"/>
      <c r="G34" s="541"/>
      <c r="H34" s="541"/>
      <c r="I34" s="541"/>
      <c r="J34" s="541"/>
      <c r="K34" s="541"/>
      <c r="L34" s="541"/>
      <c r="M34" s="542"/>
    </row>
    <row r="35" spans="1:74" ht="14.4" x14ac:dyDescent="0.3">
      <c r="A35" s="237" t="s">
        <v>198</v>
      </c>
      <c r="B35" s="238" t="s">
        <v>1197</v>
      </c>
      <c r="C35" s="543" t="s">
        <v>1198</v>
      </c>
      <c r="D35" s="544"/>
      <c r="E35" s="238" t="s">
        <v>160</v>
      </c>
      <c r="F35" s="258">
        <v>127.16</v>
      </c>
      <c r="G35" s="311">
        <v>0</v>
      </c>
      <c r="H35" s="258">
        <f>F35*AM35</f>
        <v>0</v>
      </c>
      <c r="I35" s="258">
        <f>F35*AN35</f>
        <v>0</v>
      </c>
      <c r="J35" s="258">
        <f>F35*G35</f>
        <v>0</v>
      </c>
      <c r="K35" s="258">
        <v>0.22678999999999999</v>
      </c>
      <c r="L35" s="258">
        <f>F35*K35</f>
        <v>28.838616399999999</v>
      </c>
      <c r="M35" s="259" t="s">
        <v>472</v>
      </c>
      <c r="X35" s="233">
        <f>IF(AO35="5",BH35,0)</f>
        <v>0</v>
      </c>
      <c r="Z35" s="233">
        <f>IF(AO35="1",BF35,0)</f>
        <v>0</v>
      </c>
      <c r="AA35" s="233">
        <f>IF(AO35="1",BG35,0)</f>
        <v>0</v>
      </c>
      <c r="AB35" s="233">
        <f>IF(AO35="7",BF35,0)</f>
        <v>0</v>
      </c>
      <c r="AC35" s="233">
        <f>IF(AO35="7",BG35,0)</f>
        <v>0</v>
      </c>
      <c r="AD35" s="233">
        <f>IF(AO35="2",BF35,0)</f>
        <v>0</v>
      </c>
      <c r="AE35" s="233">
        <f>IF(AO35="2",BG35,0)</f>
        <v>0</v>
      </c>
      <c r="AF35" s="233">
        <f>IF(AO35="0",BH35,0)</f>
        <v>0</v>
      </c>
      <c r="AG35" s="229" t="s">
        <v>154</v>
      </c>
      <c r="AH35" s="233">
        <f>IF(AL35=0,J35,0)</f>
        <v>0</v>
      </c>
      <c r="AI35" s="233">
        <f>IF(AL35=12,J35,0)</f>
        <v>0</v>
      </c>
      <c r="AJ35" s="233">
        <f>IF(AL35=21,J35,0)</f>
        <v>0</v>
      </c>
      <c r="AL35" s="233">
        <v>21</v>
      </c>
      <c r="AM35" s="233">
        <f>G35*0.54771156</f>
        <v>0</v>
      </c>
      <c r="AN35" s="233">
        <f>G35*(1-0.54771156)</f>
        <v>0</v>
      </c>
      <c r="AO35" s="234" t="s">
        <v>157</v>
      </c>
      <c r="AT35" s="233">
        <f>AU35+AV35</f>
        <v>0</v>
      </c>
      <c r="AU35" s="233">
        <f>F35*AM35</f>
        <v>0</v>
      </c>
      <c r="AV35" s="233">
        <f>F35*AN35</f>
        <v>0</v>
      </c>
      <c r="AW35" s="234" t="s">
        <v>374</v>
      </c>
      <c r="AX35" s="234" t="s">
        <v>375</v>
      </c>
      <c r="AY35" s="229" t="s">
        <v>164</v>
      </c>
      <c r="BA35" s="233">
        <f>AU35+AV35</f>
        <v>0</v>
      </c>
      <c r="BB35" s="233">
        <f>G35/(100-BC35)*100</f>
        <v>0</v>
      </c>
      <c r="BC35" s="233">
        <v>0</v>
      </c>
      <c r="BD35" s="233">
        <f>L35</f>
        <v>28.838616399999999</v>
      </c>
      <c r="BF35" s="233">
        <f>F35*AM35</f>
        <v>0</v>
      </c>
      <c r="BG35" s="233">
        <f>F35*AN35</f>
        <v>0</v>
      </c>
      <c r="BH35" s="233">
        <f>F35*G35</f>
        <v>0</v>
      </c>
      <c r="BI35" s="233"/>
      <c r="BJ35" s="233">
        <v>93</v>
      </c>
      <c r="BU35" s="233" t="e">
        <f>#REF!</f>
        <v>#REF!</v>
      </c>
      <c r="BV35" s="225" t="s">
        <v>1198</v>
      </c>
    </row>
    <row r="36" spans="1:74" ht="67.5" customHeight="1" x14ac:dyDescent="0.3">
      <c r="A36" s="241"/>
      <c r="B36" s="242" t="s">
        <v>165</v>
      </c>
      <c r="C36" s="530" t="s">
        <v>2408</v>
      </c>
      <c r="D36" s="531"/>
      <c r="E36" s="531"/>
      <c r="F36" s="531"/>
      <c r="G36" s="531"/>
      <c r="H36" s="531"/>
      <c r="I36" s="531"/>
      <c r="J36" s="531"/>
      <c r="K36" s="531"/>
      <c r="L36" s="531"/>
      <c r="M36" s="532"/>
    </row>
    <row r="37" spans="1:74" ht="14.4" x14ac:dyDescent="0.3">
      <c r="A37" s="239" t="s">
        <v>154</v>
      </c>
      <c r="B37" s="224" t="s">
        <v>399</v>
      </c>
      <c r="C37" s="526" t="s">
        <v>400</v>
      </c>
      <c r="D37" s="527"/>
      <c r="E37" s="223" t="s">
        <v>114</v>
      </c>
      <c r="F37" s="223" t="s">
        <v>114</v>
      </c>
      <c r="G37" s="223" t="s">
        <v>114</v>
      </c>
      <c r="H37" s="235">
        <f>SUM(H38:H50)</f>
        <v>0</v>
      </c>
      <c r="I37" s="235">
        <f>SUM(I38:I50)</f>
        <v>0</v>
      </c>
      <c r="J37" s="235">
        <f>SUM(J38:J50)</f>
        <v>0</v>
      </c>
      <c r="K37" s="230" t="s">
        <v>154</v>
      </c>
      <c r="L37" s="235">
        <f>SUM(L38:L50)</f>
        <v>0</v>
      </c>
      <c r="M37" s="243" t="s">
        <v>154</v>
      </c>
      <c r="AG37" s="229" t="s">
        <v>154</v>
      </c>
      <c r="AQ37" s="222">
        <f>SUM(AH38:AH50)</f>
        <v>0</v>
      </c>
      <c r="AR37" s="222">
        <f>SUM(AI38:AI50)</f>
        <v>0</v>
      </c>
      <c r="AS37" s="222">
        <f>SUM(AJ38:AJ50)</f>
        <v>0</v>
      </c>
    </row>
    <row r="38" spans="1:74" ht="14.4" x14ac:dyDescent="0.3">
      <c r="A38" s="239" t="s">
        <v>155</v>
      </c>
      <c r="B38" s="223" t="s">
        <v>2409</v>
      </c>
      <c r="C38" s="521" t="s">
        <v>2410</v>
      </c>
      <c r="D38" s="519"/>
      <c r="E38" s="223" t="s">
        <v>380</v>
      </c>
      <c r="F38" s="233">
        <v>5.34</v>
      </c>
      <c r="G38" s="311">
        <v>0</v>
      </c>
      <c r="H38" s="233">
        <f>F38*AM38</f>
        <v>0</v>
      </c>
      <c r="I38" s="233">
        <f>F38*AN38</f>
        <v>0</v>
      </c>
      <c r="J38" s="233">
        <f>F38*G38</f>
        <v>0</v>
      </c>
      <c r="K38" s="233">
        <v>0</v>
      </c>
      <c r="L38" s="233">
        <f>F38*K38</f>
        <v>0</v>
      </c>
      <c r="M38" s="240" t="s">
        <v>472</v>
      </c>
      <c r="X38" s="233">
        <f>IF(AO38="5",BH38,0)</f>
        <v>0</v>
      </c>
      <c r="Z38" s="233">
        <f>IF(AO38="1",BF38,0)</f>
        <v>0</v>
      </c>
      <c r="AA38" s="233">
        <f>IF(AO38="1",BG38,0)</f>
        <v>0</v>
      </c>
      <c r="AB38" s="233">
        <f>IF(AO38="7",BF38,0)</f>
        <v>0</v>
      </c>
      <c r="AC38" s="233">
        <f>IF(AO38="7",BG38,0)</f>
        <v>0</v>
      </c>
      <c r="AD38" s="233">
        <f>IF(AO38="2",BF38,0)</f>
        <v>0</v>
      </c>
      <c r="AE38" s="233">
        <f>IF(AO38="2",BG38,0)</f>
        <v>0</v>
      </c>
      <c r="AF38" s="233">
        <f>IF(AO38="0",BH38,0)</f>
        <v>0</v>
      </c>
      <c r="AG38" s="229" t="s">
        <v>154</v>
      </c>
      <c r="AH38" s="233">
        <f>IF(AL38=0,J38,0)</f>
        <v>0</v>
      </c>
      <c r="AI38" s="233">
        <f>IF(AL38=12,J38,0)</f>
        <v>0</v>
      </c>
      <c r="AJ38" s="233">
        <f>IF(AL38=21,J38,0)</f>
        <v>0</v>
      </c>
      <c r="AL38" s="233">
        <v>21</v>
      </c>
      <c r="AM38" s="233">
        <f>G38*0</f>
        <v>0</v>
      </c>
      <c r="AN38" s="233">
        <f>G38*(1-0)</f>
        <v>0</v>
      </c>
      <c r="AO38" s="234" t="s">
        <v>177</v>
      </c>
      <c r="AT38" s="233">
        <f>AU38+AV38</f>
        <v>0</v>
      </c>
      <c r="AU38" s="233">
        <f>F38*AM38</f>
        <v>0</v>
      </c>
      <c r="AV38" s="233">
        <f>F38*AN38</f>
        <v>0</v>
      </c>
      <c r="AW38" s="234" t="s">
        <v>404</v>
      </c>
      <c r="AX38" s="234" t="s">
        <v>375</v>
      </c>
      <c r="AY38" s="229" t="s">
        <v>164</v>
      </c>
      <c r="BA38" s="233">
        <f>AU38+AV38</f>
        <v>0</v>
      </c>
      <c r="BB38" s="233">
        <f>G38/(100-BC38)*100</f>
        <v>0</v>
      </c>
      <c r="BC38" s="233">
        <v>0</v>
      </c>
      <c r="BD38" s="233">
        <f>L38</f>
        <v>0</v>
      </c>
      <c r="BF38" s="233">
        <f>F38*AM38</f>
        <v>0</v>
      </c>
      <c r="BG38" s="233">
        <f>F38*AN38</f>
        <v>0</v>
      </c>
      <c r="BH38" s="233">
        <f>F38*G38</f>
        <v>0</v>
      </c>
      <c r="BI38" s="233"/>
      <c r="BJ38" s="233"/>
      <c r="BU38" s="233" t="e">
        <f>#REF!</f>
        <v>#REF!</v>
      </c>
      <c r="BV38" s="225" t="s">
        <v>2410</v>
      </c>
    </row>
    <row r="39" spans="1:74" ht="13.5" customHeight="1" x14ac:dyDescent="0.3">
      <c r="A39" s="241"/>
      <c r="B39" s="242" t="s">
        <v>165</v>
      </c>
      <c r="C39" s="530" t="s">
        <v>2411</v>
      </c>
      <c r="D39" s="531"/>
      <c r="E39" s="531"/>
      <c r="F39" s="531"/>
      <c r="G39" s="531"/>
      <c r="H39" s="531"/>
      <c r="I39" s="531"/>
      <c r="J39" s="531"/>
      <c r="K39" s="531"/>
      <c r="L39" s="531"/>
      <c r="M39" s="532"/>
    </row>
    <row r="40" spans="1:74" ht="14.4" x14ac:dyDescent="0.3">
      <c r="A40" s="239" t="s">
        <v>191</v>
      </c>
      <c r="B40" s="223" t="s">
        <v>2412</v>
      </c>
      <c r="C40" s="521" t="s">
        <v>2413</v>
      </c>
      <c r="D40" s="519"/>
      <c r="E40" s="223" t="s">
        <v>380</v>
      </c>
      <c r="F40" s="233">
        <v>5.34</v>
      </c>
      <c r="G40" s="311">
        <v>0</v>
      </c>
      <c r="H40" s="233">
        <f>F40*AM40</f>
        <v>0</v>
      </c>
      <c r="I40" s="233">
        <f>F40*AN40</f>
        <v>0</v>
      </c>
      <c r="J40" s="233">
        <f>F40*G40</f>
        <v>0</v>
      </c>
      <c r="K40" s="233">
        <v>0</v>
      </c>
      <c r="L40" s="233">
        <f>F40*K40</f>
        <v>0</v>
      </c>
      <c r="M40" s="240" t="s">
        <v>472</v>
      </c>
      <c r="X40" s="233">
        <f>IF(AO40="5",BH40,0)</f>
        <v>0</v>
      </c>
      <c r="Z40" s="233">
        <f>IF(AO40="1",BF40,0)</f>
        <v>0</v>
      </c>
      <c r="AA40" s="233">
        <f>IF(AO40="1",BG40,0)</f>
        <v>0</v>
      </c>
      <c r="AB40" s="233">
        <f>IF(AO40="7",BF40,0)</f>
        <v>0</v>
      </c>
      <c r="AC40" s="233">
        <f>IF(AO40="7",BG40,0)</f>
        <v>0</v>
      </c>
      <c r="AD40" s="233">
        <f>IF(AO40="2",BF40,0)</f>
        <v>0</v>
      </c>
      <c r="AE40" s="233">
        <f>IF(AO40="2",BG40,0)</f>
        <v>0</v>
      </c>
      <c r="AF40" s="233">
        <f>IF(AO40="0",BH40,0)</f>
        <v>0</v>
      </c>
      <c r="AG40" s="229" t="s">
        <v>154</v>
      </c>
      <c r="AH40" s="233">
        <f>IF(AL40=0,J40,0)</f>
        <v>0</v>
      </c>
      <c r="AI40" s="233">
        <f>IF(AL40=12,J40,0)</f>
        <v>0</v>
      </c>
      <c r="AJ40" s="233">
        <f>IF(AL40=21,J40,0)</f>
        <v>0</v>
      </c>
      <c r="AL40" s="233">
        <v>21</v>
      </c>
      <c r="AM40" s="233">
        <f>G40*0.01079557</f>
        <v>0</v>
      </c>
      <c r="AN40" s="233">
        <f>G40*(1-0.01079557)</f>
        <v>0</v>
      </c>
      <c r="AO40" s="234" t="s">
        <v>177</v>
      </c>
      <c r="AT40" s="233">
        <f>AU40+AV40</f>
        <v>0</v>
      </c>
      <c r="AU40" s="233">
        <f>F40*AM40</f>
        <v>0</v>
      </c>
      <c r="AV40" s="233">
        <f>F40*AN40</f>
        <v>0</v>
      </c>
      <c r="AW40" s="234" t="s">
        <v>404</v>
      </c>
      <c r="AX40" s="234" t="s">
        <v>375</v>
      </c>
      <c r="AY40" s="229" t="s">
        <v>164</v>
      </c>
      <c r="BA40" s="233">
        <f>AU40+AV40</f>
        <v>0</v>
      </c>
      <c r="BB40" s="233">
        <f>G40/(100-BC40)*100</f>
        <v>0</v>
      </c>
      <c r="BC40" s="233">
        <v>0</v>
      </c>
      <c r="BD40" s="233">
        <f>L40</f>
        <v>0</v>
      </c>
      <c r="BF40" s="233">
        <f>F40*AM40</f>
        <v>0</v>
      </c>
      <c r="BG40" s="233">
        <f>F40*AN40</f>
        <v>0</v>
      </c>
      <c r="BH40" s="233">
        <f>F40*G40</f>
        <v>0</v>
      </c>
      <c r="BI40" s="233"/>
      <c r="BJ40" s="233"/>
      <c r="BU40" s="233" t="e">
        <f>#REF!</f>
        <v>#REF!</v>
      </c>
      <c r="BV40" s="225" t="s">
        <v>2413</v>
      </c>
    </row>
    <row r="41" spans="1:74" ht="40.5" customHeight="1" x14ac:dyDescent="0.3">
      <c r="A41" s="241"/>
      <c r="B41" s="242" t="s">
        <v>165</v>
      </c>
      <c r="C41" s="530" t="s">
        <v>2414</v>
      </c>
      <c r="D41" s="531"/>
      <c r="E41" s="531"/>
      <c r="F41" s="531"/>
      <c r="G41" s="531"/>
      <c r="H41" s="531"/>
      <c r="I41" s="531"/>
      <c r="J41" s="531"/>
      <c r="K41" s="531"/>
      <c r="L41" s="531"/>
      <c r="M41" s="532"/>
    </row>
    <row r="42" spans="1:74" ht="14.4" x14ac:dyDescent="0.3">
      <c r="A42" s="239" t="s">
        <v>201</v>
      </c>
      <c r="B42" s="223" t="s">
        <v>2415</v>
      </c>
      <c r="C42" s="521" t="s">
        <v>2416</v>
      </c>
      <c r="D42" s="519"/>
      <c r="E42" s="223" t="s">
        <v>380</v>
      </c>
      <c r="F42" s="233">
        <v>96.12</v>
      </c>
      <c r="G42" s="311">
        <v>0</v>
      </c>
      <c r="H42" s="233">
        <f>F42*AM42</f>
        <v>0</v>
      </c>
      <c r="I42" s="233">
        <f>F42*AN42</f>
        <v>0</v>
      </c>
      <c r="J42" s="233">
        <f>F42*G42</f>
        <v>0</v>
      </c>
      <c r="K42" s="233">
        <v>0</v>
      </c>
      <c r="L42" s="233">
        <f>F42*K42</f>
        <v>0</v>
      </c>
      <c r="M42" s="240" t="s">
        <v>472</v>
      </c>
      <c r="X42" s="233">
        <f>IF(AO42="5",BH42,0)</f>
        <v>0</v>
      </c>
      <c r="Z42" s="233">
        <f>IF(AO42="1",BF42,0)</f>
        <v>0</v>
      </c>
      <c r="AA42" s="233">
        <f>IF(AO42="1",BG42,0)</f>
        <v>0</v>
      </c>
      <c r="AB42" s="233">
        <f>IF(AO42="7",BF42,0)</f>
        <v>0</v>
      </c>
      <c r="AC42" s="233">
        <f>IF(AO42="7",BG42,0)</f>
        <v>0</v>
      </c>
      <c r="AD42" s="233">
        <f>IF(AO42="2",BF42,0)</f>
        <v>0</v>
      </c>
      <c r="AE42" s="233">
        <f>IF(AO42="2",BG42,0)</f>
        <v>0</v>
      </c>
      <c r="AF42" s="233">
        <f>IF(AO42="0",BH42,0)</f>
        <v>0</v>
      </c>
      <c r="AG42" s="229" t="s">
        <v>154</v>
      </c>
      <c r="AH42" s="233">
        <f>IF(AL42=0,J42,0)</f>
        <v>0</v>
      </c>
      <c r="AI42" s="233">
        <f>IF(AL42=12,J42,0)</f>
        <v>0</v>
      </c>
      <c r="AJ42" s="233">
        <f>IF(AL42=21,J42,0)</f>
        <v>0</v>
      </c>
      <c r="AL42" s="233">
        <v>21</v>
      </c>
      <c r="AM42" s="233">
        <f>G42*0</f>
        <v>0</v>
      </c>
      <c r="AN42" s="233">
        <f>G42*(1-0)</f>
        <v>0</v>
      </c>
      <c r="AO42" s="234" t="s">
        <v>177</v>
      </c>
      <c r="AT42" s="233">
        <f>AU42+AV42</f>
        <v>0</v>
      </c>
      <c r="AU42" s="233">
        <f>F42*AM42</f>
        <v>0</v>
      </c>
      <c r="AV42" s="233">
        <f>F42*AN42</f>
        <v>0</v>
      </c>
      <c r="AW42" s="234" t="s">
        <v>404</v>
      </c>
      <c r="AX42" s="234" t="s">
        <v>375</v>
      </c>
      <c r="AY42" s="229" t="s">
        <v>164</v>
      </c>
      <c r="BA42" s="233">
        <f>AU42+AV42</f>
        <v>0</v>
      </c>
      <c r="BB42" s="233">
        <f>G42/(100-BC42)*100</f>
        <v>0</v>
      </c>
      <c r="BC42" s="233">
        <v>0</v>
      </c>
      <c r="BD42" s="233">
        <f>L42</f>
        <v>0</v>
      </c>
      <c r="BF42" s="233">
        <f>F42*AM42</f>
        <v>0</v>
      </c>
      <c r="BG42" s="233">
        <f>F42*AN42</f>
        <v>0</v>
      </c>
      <c r="BH42" s="233">
        <f>F42*G42</f>
        <v>0</v>
      </c>
      <c r="BI42" s="233"/>
      <c r="BJ42" s="233"/>
      <c r="BU42" s="233" t="e">
        <f>#REF!</f>
        <v>#REF!</v>
      </c>
      <c r="BV42" s="225" t="s">
        <v>2416</v>
      </c>
    </row>
    <row r="43" spans="1:74" ht="40.5" customHeight="1" x14ac:dyDescent="0.3">
      <c r="A43" s="241"/>
      <c r="B43" s="242" t="s">
        <v>165</v>
      </c>
      <c r="C43" s="530" t="s">
        <v>2417</v>
      </c>
      <c r="D43" s="531"/>
      <c r="E43" s="531"/>
      <c r="F43" s="531"/>
      <c r="G43" s="531"/>
      <c r="H43" s="531"/>
      <c r="I43" s="531"/>
      <c r="J43" s="531"/>
      <c r="K43" s="531"/>
      <c r="L43" s="531"/>
      <c r="M43" s="532"/>
    </row>
    <row r="44" spans="1:74" ht="14.4" x14ac:dyDescent="0.3">
      <c r="A44" s="239" t="s">
        <v>210</v>
      </c>
      <c r="B44" s="223" t="s">
        <v>2418</v>
      </c>
      <c r="C44" s="521" t="s">
        <v>2419</v>
      </c>
      <c r="D44" s="519"/>
      <c r="E44" s="223" t="s">
        <v>380</v>
      </c>
      <c r="F44" s="233">
        <v>6.26</v>
      </c>
      <c r="G44" s="311">
        <v>0</v>
      </c>
      <c r="H44" s="233">
        <f>F44*AM44</f>
        <v>0</v>
      </c>
      <c r="I44" s="233">
        <f>F44*AN44</f>
        <v>0</v>
      </c>
      <c r="J44" s="233">
        <f>F44*G44</f>
        <v>0</v>
      </c>
      <c r="K44" s="233">
        <v>0</v>
      </c>
      <c r="L44" s="233">
        <f>F44*K44</f>
        <v>0</v>
      </c>
      <c r="M44" s="240" t="s">
        <v>472</v>
      </c>
      <c r="X44" s="233">
        <f>IF(AO44="5",BH44,0)</f>
        <v>0</v>
      </c>
      <c r="Z44" s="233">
        <f>IF(AO44="1",BF44,0)</f>
        <v>0</v>
      </c>
      <c r="AA44" s="233">
        <f>IF(AO44="1",BG44,0)</f>
        <v>0</v>
      </c>
      <c r="AB44" s="233">
        <f>IF(AO44="7",BF44,0)</f>
        <v>0</v>
      </c>
      <c r="AC44" s="233">
        <f>IF(AO44="7",BG44,0)</f>
        <v>0</v>
      </c>
      <c r="AD44" s="233">
        <f>IF(AO44="2",BF44,0)</f>
        <v>0</v>
      </c>
      <c r="AE44" s="233">
        <f>IF(AO44="2",BG44,0)</f>
        <v>0</v>
      </c>
      <c r="AF44" s="233">
        <f>IF(AO44="0",BH44,0)</f>
        <v>0</v>
      </c>
      <c r="AG44" s="229" t="s">
        <v>154</v>
      </c>
      <c r="AH44" s="233">
        <f>IF(AL44=0,J44,0)</f>
        <v>0</v>
      </c>
      <c r="AI44" s="233">
        <f>IF(AL44=12,J44,0)</f>
        <v>0</v>
      </c>
      <c r="AJ44" s="233">
        <f>IF(AL44=21,J44,0)</f>
        <v>0</v>
      </c>
      <c r="AL44" s="233">
        <v>21</v>
      </c>
      <c r="AM44" s="233">
        <f>G44*0</f>
        <v>0</v>
      </c>
      <c r="AN44" s="233">
        <f>G44*(1-0)</f>
        <v>0</v>
      </c>
      <c r="AO44" s="234" t="s">
        <v>177</v>
      </c>
      <c r="AT44" s="233">
        <f>AU44+AV44</f>
        <v>0</v>
      </c>
      <c r="AU44" s="233">
        <f>F44*AM44</f>
        <v>0</v>
      </c>
      <c r="AV44" s="233">
        <f>F44*AN44</f>
        <v>0</v>
      </c>
      <c r="AW44" s="234" t="s">
        <v>404</v>
      </c>
      <c r="AX44" s="234" t="s">
        <v>375</v>
      </c>
      <c r="AY44" s="229" t="s">
        <v>164</v>
      </c>
      <c r="BA44" s="233">
        <f>AU44+AV44</f>
        <v>0</v>
      </c>
      <c r="BB44" s="233">
        <f>G44/(100-BC44)*100</f>
        <v>0</v>
      </c>
      <c r="BC44" s="233">
        <v>0</v>
      </c>
      <c r="BD44" s="233">
        <f>L44</f>
        <v>0</v>
      </c>
      <c r="BF44" s="233">
        <f>F44*AM44</f>
        <v>0</v>
      </c>
      <c r="BG44" s="233">
        <f>F44*AN44</f>
        <v>0</v>
      </c>
      <c r="BH44" s="233">
        <f>F44*G44</f>
        <v>0</v>
      </c>
      <c r="BI44" s="233"/>
      <c r="BJ44" s="233"/>
      <c r="BU44" s="233" t="e">
        <f>#REF!</f>
        <v>#REF!</v>
      </c>
      <c r="BV44" s="225" t="s">
        <v>2419</v>
      </c>
    </row>
    <row r="45" spans="1:74" ht="13.5" customHeight="1" x14ac:dyDescent="0.3">
      <c r="A45" s="241"/>
      <c r="B45" s="242" t="s">
        <v>165</v>
      </c>
      <c r="C45" s="530" t="s">
        <v>2411</v>
      </c>
      <c r="D45" s="531"/>
      <c r="E45" s="531"/>
      <c r="F45" s="531"/>
      <c r="G45" s="531"/>
      <c r="H45" s="531"/>
      <c r="I45" s="531"/>
      <c r="J45" s="531"/>
      <c r="K45" s="531"/>
      <c r="L45" s="531"/>
      <c r="M45" s="532"/>
    </row>
    <row r="46" spans="1:74" ht="14.4" x14ac:dyDescent="0.3">
      <c r="A46" s="239" t="s">
        <v>161</v>
      </c>
      <c r="B46" s="223" t="s">
        <v>2420</v>
      </c>
      <c r="C46" s="521" t="s">
        <v>2421</v>
      </c>
      <c r="D46" s="519"/>
      <c r="E46" s="223" t="s">
        <v>380</v>
      </c>
      <c r="F46" s="233">
        <v>6.26</v>
      </c>
      <c r="G46" s="311">
        <v>0</v>
      </c>
      <c r="H46" s="233">
        <f>F46*AM46</f>
        <v>0</v>
      </c>
      <c r="I46" s="233">
        <f>F46*AN46</f>
        <v>0</v>
      </c>
      <c r="J46" s="233">
        <f>F46*G46</f>
        <v>0</v>
      </c>
      <c r="K46" s="233">
        <v>0</v>
      </c>
      <c r="L46" s="233">
        <f>F46*K46</f>
        <v>0</v>
      </c>
      <c r="M46" s="240" t="s">
        <v>472</v>
      </c>
      <c r="X46" s="233">
        <f>IF(AO46="5",BH46,0)</f>
        <v>0</v>
      </c>
      <c r="Z46" s="233">
        <f>IF(AO46="1",BF46,0)</f>
        <v>0</v>
      </c>
      <c r="AA46" s="233">
        <f>IF(AO46="1",BG46,0)</f>
        <v>0</v>
      </c>
      <c r="AB46" s="233">
        <f>IF(AO46="7",BF46,0)</f>
        <v>0</v>
      </c>
      <c r="AC46" s="233">
        <f>IF(AO46="7",BG46,0)</f>
        <v>0</v>
      </c>
      <c r="AD46" s="233">
        <f>IF(AO46="2",BF46,0)</f>
        <v>0</v>
      </c>
      <c r="AE46" s="233">
        <f>IF(AO46="2",BG46,0)</f>
        <v>0</v>
      </c>
      <c r="AF46" s="233">
        <f>IF(AO46="0",BH46,0)</f>
        <v>0</v>
      </c>
      <c r="AG46" s="229" t="s">
        <v>154</v>
      </c>
      <c r="AH46" s="233">
        <f>IF(AL46=0,J46,0)</f>
        <v>0</v>
      </c>
      <c r="AI46" s="233">
        <f>IF(AL46=12,J46,0)</f>
        <v>0</v>
      </c>
      <c r="AJ46" s="233">
        <f>IF(AL46=21,J46,0)</f>
        <v>0</v>
      </c>
      <c r="AL46" s="233">
        <v>21</v>
      </c>
      <c r="AM46" s="233">
        <f>G46*0</f>
        <v>0</v>
      </c>
      <c r="AN46" s="233">
        <f>G46*(1-0)</f>
        <v>0</v>
      </c>
      <c r="AO46" s="234" t="s">
        <v>177</v>
      </c>
      <c r="AT46" s="233">
        <f>AU46+AV46</f>
        <v>0</v>
      </c>
      <c r="AU46" s="233">
        <f>F46*AM46</f>
        <v>0</v>
      </c>
      <c r="AV46" s="233">
        <f>F46*AN46</f>
        <v>0</v>
      </c>
      <c r="AW46" s="234" t="s">
        <v>404</v>
      </c>
      <c r="AX46" s="234" t="s">
        <v>375</v>
      </c>
      <c r="AY46" s="229" t="s">
        <v>164</v>
      </c>
      <c r="BA46" s="233">
        <f>AU46+AV46</f>
        <v>0</v>
      </c>
      <c r="BB46" s="233">
        <f>G46/(100-BC46)*100</f>
        <v>0</v>
      </c>
      <c r="BC46" s="233">
        <v>0</v>
      </c>
      <c r="BD46" s="233">
        <f>L46</f>
        <v>0</v>
      </c>
      <c r="BF46" s="233">
        <f>F46*AM46</f>
        <v>0</v>
      </c>
      <c r="BG46" s="233">
        <f>F46*AN46</f>
        <v>0</v>
      </c>
      <c r="BH46" s="233">
        <f>F46*G46</f>
        <v>0</v>
      </c>
      <c r="BI46" s="233"/>
      <c r="BJ46" s="233"/>
      <c r="BU46" s="233" t="e">
        <f>#REF!</f>
        <v>#REF!</v>
      </c>
      <c r="BV46" s="225" t="s">
        <v>2421</v>
      </c>
    </row>
    <row r="47" spans="1:74" ht="40.5" customHeight="1" x14ac:dyDescent="0.3">
      <c r="A47" s="241"/>
      <c r="B47" s="242" t="s">
        <v>165</v>
      </c>
      <c r="C47" s="530" t="s">
        <v>2422</v>
      </c>
      <c r="D47" s="531"/>
      <c r="E47" s="531"/>
      <c r="F47" s="531"/>
      <c r="G47" s="531"/>
      <c r="H47" s="531"/>
      <c r="I47" s="531"/>
      <c r="J47" s="531"/>
      <c r="K47" s="531"/>
      <c r="L47" s="531"/>
      <c r="M47" s="532"/>
    </row>
    <row r="48" spans="1:74" ht="14.4" x14ac:dyDescent="0.3">
      <c r="A48" s="239" t="s">
        <v>215</v>
      </c>
      <c r="B48" s="223" t="s">
        <v>2415</v>
      </c>
      <c r="C48" s="521" t="s">
        <v>2423</v>
      </c>
      <c r="D48" s="519"/>
      <c r="E48" s="223" t="s">
        <v>380</v>
      </c>
      <c r="F48" s="233">
        <v>112.68</v>
      </c>
      <c r="G48" s="311">
        <v>0</v>
      </c>
      <c r="H48" s="233">
        <f>F48*AM48</f>
        <v>0</v>
      </c>
      <c r="I48" s="233">
        <f>F48*AN48</f>
        <v>0</v>
      </c>
      <c r="J48" s="233">
        <f>F48*G48</f>
        <v>0</v>
      </c>
      <c r="K48" s="233">
        <v>0</v>
      </c>
      <c r="L48" s="233">
        <f>F48*K48</f>
        <v>0</v>
      </c>
      <c r="M48" s="240" t="s">
        <v>472</v>
      </c>
      <c r="X48" s="233">
        <f>IF(AO48="5",BH48,0)</f>
        <v>0</v>
      </c>
      <c r="Z48" s="233">
        <f>IF(AO48="1",BF48,0)</f>
        <v>0</v>
      </c>
      <c r="AA48" s="233">
        <f>IF(AO48="1",BG48,0)</f>
        <v>0</v>
      </c>
      <c r="AB48" s="233">
        <f>IF(AO48="7",BF48,0)</f>
        <v>0</v>
      </c>
      <c r="AC48" s="233">
        <f>IF(AO48="7",BG48,0)</f>
        <v>0</v>
      </c>
      <c r="AD48" s="233">
        <f>IF(AO48="2",BF48,0)</f>
        <v>0</v>
      </c>
      <c r="AE48" s="233">
        <f>IF(AO48="2",BG48,0)</f>
        <v>0</v>
      </c>
      <c r="AF48" s="233">
        <f>IF(AO48="0",BH48,0)</f>
        <v>0</v>
      </c>
      <c r="AG48" s="229" t="s">
        <v>154</v>
      </c>
      <c r="AH48" s="233">
        <f>IF(AL48=0,J48,0)</f>
        <v>0</v>
      </c>
      <c r="AI48" s="233">
        <f>IF(AL48=12,J48,0)</f>
        <v>0</v>
      </c>
      <c r="AJ48" s="233">
        <f>IF(AL48=21,J48,0)</f>
        <v>0</v>
      </c>
      <c r="AL48" s="233">
        <v>21</v>
      </c>
      <c r="AM48" s="233">
        <f>G48*0</f>
        <v>0</v>
      </c>
      <c r="AN48" s="233">
        <f>G48*(1-0)</f>
        <v>0</v>
      </c>
      <c r="AO48" s="234" t="s">
        <v>177</v>
      </c>
      <c r="AT48" s="233">
        <f>AU48+AV48</f>
        <v>0</v>
      </c>
      <c r="AU48" s="233">
        <f>F48*AM48</f>
        <v>0</v>
      </c>
      <c r="AV48" s="233">
        <f>F48*AN48</f>
        <v>0</v>
      </c>
      <c r="AW48" s="234" t="s">
        <v>404</v>
      </c>
      <c r="AX48" s="234" t="s">
        <v>375</v>
      </c>
      <c r="AY48" s="229" t="s">
        <v>164</v>
      </c>
      <c r="BA48" s="233">
        <f>AU48+AV48</f>
        <v>0</v>
      </c>
      <c r="BB48" s="233">
        <f>G48/(100-BC48)*100</f>
        <v>0</v>
      </c>
      <c r="BC48" s="233">
        <v>0</v>
      </c>
      <c r="BD48" s="233">
        <f>L48</f>
        <v>0</v>
      </c>
      <c r="BF48" s="233">
        <f>F48*AM48</f>
        <v>0</v>
      </c>
      <c r="BG48" s="233">
        <f>F48*AN48</f>
        <v>0</v>
      </c>
      <c r="BH48" s="233">
        <f>F48*G48</f>
        <v>0</v>
      </c>
      <c r="BI48" s="233"/>
      <c r="BJ48" s="233"/>
      <c r="BU48" s="233" t="e">
        <f>#REF!</f>
        <v>#REF!</v>
      </c>
      <c r="BV48" s="225" t="s">
        <v>2423</v>
      </c>
    </row>
    <row r="49" spans="1:74" ht="40.5" customHeight="1" x14ac:dyDescent="0.3">
      <c r="A49" s="241"/>
      <c r="B49" s="242" t="s">
        <v>165</v>
      </c>
      <c r="C49" s="530" t="s">
        <v>2424</v>
      </c>
      <c r="D49" s="531"/>
      <c r="E49" s="531"/>
      <c r="F49" s="531"/>
      <c r="G49" s="531"/>
      <c r="H49" s="531"/>
      <c r="I49" s="531"/>
      <c r="J49" s="531"/>
      <c r="K49" s="531"/>
      <c r="L49" s="531"/>
      <c r="M49" s="532"/>
    </row>
    <row r="50" spans="1:74" ht="26.4" x14ac:dyDescent="0.3">
      <c r="A50" s="239" t="s">
        <v>220</v>
      </c>
      <c r="B50" s="223" t="s">
        <v>409</v>
      </c>
      <c r="C50" s="521" t="s">
        <v>2425</v>
      </c>
      <c r="D50" s="519"/>
      <c r="E50" s="223" t="s">
        <v>380</v>
      </c>
      <c r="F50" s="233">
        <v>38.479999999999997</v>
      </c>
      <c r="G50" s="311">
        <v>0</v>
      </c>
      <c r="H50" s="233">
        <f>F50*AM50</f>
        <v>0</v>
      </c>
      <c r="I50" s="233">
        <f>F50*AN50</f>
        <v>0</v>
      </c>
      <c r="J50" s="233">
        <f>F50*G50</f>
        <v>0</v>
      </c>
      <c r="K50" s="233">
        <v>0</v>
      </c>
      <c r="L50" s="233">
        <f>F50*K50</f>
        <v>0</v>
      </c>
      <c r="M50" s="240" t="s">
        <v>472</v>
      </c>
      <c r="X50" s="233">
        <f>IF(AO50="5",BH50,0)</f>
        <v>0</v>
      </c>
      <c r="Z50" s="233">
        <f>IF(AO50="1",BF50,0)</f>
        <v>0</v>
      </c>
      <c r="AA50" s="233">
        <f>IF(AO50="1",BG50,0)</f>
        <v>0</v>
      </c>
      <c r="AB50" s="233">
        <f>IF(AO50="7",BF50,0)</f>
        <v>0</v>
      </c>
      <c r="AC50" s="233">
        <f>IF(AO50="7",BG50,0)</f>
        <v>0</v>
      </c>
      <c r="AD50" s="233">
        <f>IF(AO50="2",BF50,0)</f>
        <v>0</v>
      </c>
      <c r="AE50" s="233">
        <f>IF(AO50="2",BG50,0)</f>
        <v>0</v>
      </c>
      <c r="AF50" s="233">
        <f>IF(AO50="0",BH50,0)</f>
        <v>0</v>
      </c>
      <c r="AG50" s="229" t="s">
        <v>154</v>
      </c>
      <c r="AH50" s="233">
        <f>IF(AL50=0,J50,0)</f>
        <v>0</v>
      </c>
      <c r="AI50" s="233">
        <f>IF(AL50=12,J50,0)</f>
        <v>0</v>
      </c>
      <c r="AJ50" s="233">
        <f>IF(AL50=21,J50,0)</f>
        <v>0</v>
      </c>
      <c r="AL50" s="233">
        <v>21</v>
      </c>
      <c r="AM50" s="233">
        <f>G50*0</f>
        <v>0</v>
      </c>
      <c r="AN50" s="233">
        <f>G50*(1-0)</f>
        <v>0</v>
      </c>
      <c r="AO50" s="234" t="s">
        <v>177</v>
      </c>
      <c r="AT50" s="233">
        <f>AU50+AV50</f>
        <v>0</v>
      </c>
      <c r="AU50" s="233">
        <f>F50*AM50</f>
        <v>0</v>
      </c>
      <c r="AV50" s="233">
        <f>F50*AN50</f>
        <v>0</v>
      </c>
      <c r="AW50" s="234" t="s">
        <v>404</v>
      </c>
      <c r="AX50" s="234" t="s">
        <v>375</v>
      </c>
      <c r="AY50" s="229" t="s">
        <v>164</v>
      </c>
      <c r="BA50" s="233">
        <f>AU50+AV50</f>
        <v>0</v>
      </c>
      <c r="BB50" s="233">
        <f>G50/(100-BC50)*100</f>
        <v>0</v>
      </c>
      <c r="BC50" s="233">
        <v>0</v>
      </c>
      <c r="BD50" s="233">
        <f>L50</f>
        <v>0</v>
      </c>
      <c r="BF50" s="233">
        <f>F50*AM50</f>
        <v>0</v>
      </c>
      <c r="BG50" s="233">
        <f>F50*AN50</f>
        <v>0</v>
      </c>
      <c r="BH50" s="233">
        <f>F50*G50</f>
        <v>0</v>
      </c>
      <c r="BI50" s="233"/>
      <c r="BJ50" s="233"/>
      <c r="BU50" s="233" t="e">
        <f>#REF!</f>
        <v>#REF!</v>
      </c>
      <c r="BV50" s="225" t="s">
        <v>2425</v>
      </c>
    </row>
    <row r="51" spans="1:74" ht="13.5" customHeight="1" x14ac:dyDescent="0.3">
      <c r="A51" s="241"/>
      <c r="B51" s="242" t="s">
        <v>165</v>
      </c>
      <c r="C51" s="530" t="s">
        <v>2426</v>
      </c>
      <c r="D51" s="531"/>
      <c r="E51" s="531"/>
      <c r="F51" s="531"/>
      <c r="G51" s="531"/>
      <c r="H51" s="531"/>
      <c r="I51" s="531"/>
      <c r="J51" s="531"/>
      <c r="K51" s="531"/>
      <c r="L51" s="531"/>
      <c r="M51" s="532"/>
    </row>
    <row r="52" spans="1:74" ht="14.4" x14ac:dyDescent="0.3">
      <c r="A52" s="239" t="s">
        <v>154</v>
      </c>
      <c r="B52" s="224" t="s">
        <v>1200</v>
      </c>
      <c r="C52" s="526" t="s">
        <v>1201</v>
      </c>
      <c r="D52" s="527"/>
      <c r="E52" s="223" t="s">
        <v>114</v>
      </c>
      <c r="F52" s="223" t="s">
        <v>114</v>
      </c>
      <c r="G52" s="223" t="s">
        <v>114</v>
      </c>
      <c r="H52" s="235">
        <f>SUM(H53:H53)</f>
        <v>0</v>
      </c>
      <c r="I52" s="235">
        <f>SUM(I53:I53)</f>
        <v>0</v>
      </c>
      <c r="J52" s="235">
        <f>SUM(J53:J53)</f>
        <v>0</v>
      </c>
      <c r="K52" s="230" t="s">
        <v>154</v>
      </c>
      <c r="L52" s="235">
        <f>SUM(L53:L53)</f>
        <v>3.3000000000000003</v>
      </c>
      <c r="M52" s="243" t="s">
        <v>154</v>
      </c>
      <c r="AG52" s="229" t="s">
        <v>154</v>
      </c>
      <c r="AQ52" s="222">
        <f>SUM(AH53:AH53)</f>
        <v>0</v>
      </c>
      <c r="AR52" s="222">
        <f>SUM(AI53:AI53)</f>
        <v>0</v>
      </c>
      <c r="AS52" s="222">
        <f>SUM(AJ53:AJ53)</f>
        <v>0</v>
      </c>
    </row>
    <row r="53" spans="1:74" ht="14.4" x14ac:dyDescent="0.3">
      <c r="A53" s="239" t="s">
        <v>224</v>
      </c>
      <c r="B53" s="223" t="s">
        <v>1202</v>
      </c>
      <c r="C53" s="521" t="s">
        <v>1203</v>
      </c>
      <c r="D53" s="519"/>
      <c r="E53" s="223" t="s">
        <v>190</v>
      </c>
      <c r="F53" s="233">
        <v>3</v>
      </c>
      <c r="G53" s="311">
        <v>0</v>
      </c>
      <c r="H53" s="233">
        <f>F53*AM53</f>
        <v>0</v>
      </c>
      <c r="I53" s="233">
        <f>F53*AN53</f>
        <v>0</v>
      </c>
      <c r="J53" s="233">
        <f>F53*G53</f>
        <v>0</v>
      </c>
      <c r="K53" s="233">
        <v>1.1000000000000001</v>
      </c>
      <c r="L53" s="233">
        <f>F53*K53</f>
        <v>3.3000000000000003</v>
      </c>
      <c r="M53" s="240" t="s">
        <v>1204</v>
      </c>
      <c r="X53" s="233">
        <f>IF(AO53="5",BH53,0)</f>
        <v>0</v>
      </c>
      <c r="Z53" s="233">
        <f>IF(AO53="1",BF53,0)</f>
        <v>0</v>
      </c>
      <c r="AA53" s="233">
        <f>IF(AO53="1",BG53,0)</f>
        <v>0</v>
      </c>
      <c r="AB53" s="233">
        <f>IF(AO53="7",BF53,0)</f>
        <v>0</v>
      </c>
      <c r="AC53" s="233">
        <f>IF(AO53="7",BG53,0)</f>
        <v>0</v>
      </c>
      <c r="AD53" s="233">
        <f>IF(AO53="2",BF53,0)</f>
        <v>0</v>
      </c>
      <c r="AE53" s="233">
        <f>IF(AO53="2",BG53,0)</f>
        <v>0</v>
      </c>
      <c r="AF53" s="233">
        <f>IF(AO53="0",BH53,0)</f>
        <v>0</v>
      </c>
      <c r="AG53" s="229" t="s">
        <v>154</v>
      </c>
      <c r="AH53" s="233">
        <f>IF(AL53=0,J53,0)</f>
        <v>0</v>
      </c>
      <c r="AI53" s="233">
        <f>IF(AL53=12,J53,0)</f>
        <v>0</v>
      </c>
      <c r="AJ53" s="233">
        <f>IF(AL53=21,J53,0)</f>
        <v>0</v>
      </c>
      <c r="AL53" s="233">
        <v>21</v>
      </c>
      <c r="AM53" s="233">
        <f>G53*0.036918138</f>
        <v>0</v>
      </c>
      <c r="AN53" s="233">
        <f>G53*(1-0.036918138)</f>
        <v>0</v>
      </c>
      <c r="AO53" s="234" t="s">
        <v>166</v>
      </c>
      <c r="AT53" s="233">
        <f>AU53+AV53</f>
        <v>0</v>
      </c>
      <c r="AU53" s="233">
        <f>F53*AM53</f>
        <v>0</v>
      </c>
      <c r="AV53" s="233">
        <f>F53*AN53</f>
        <v>0</v>
      </c>
      <c r="AW53" s="234" t="s">
        <v>1205</v>
      </c>
      <c r="AX53" s="234" t="s">
        <v>375</v>
      </c>
      <c r="AY53" s="229" t="s">
        <v>164</v>
      </c>
      <c r="BA53" s="233">
        <f>AU53+AV53</f>
        <v>0</v>
      </c>
      <c r="BB53" s="233">
        <f>G53/(100-BC53)*100</f>
        <v>0</v>
      </c>
      <c r="BC53" s="233">
        <v>0</v>
      </c>
      <c r="BD53" s="233">
        <f>L53</f>
        <v>3.3000000000000003</v>
      </c>
      <c r="BF53" s="233">
        <f>F53*AM53</f>
        <v>0</v>
      </c>
      <c r="BG53" s="233">
        <f>F53*AN53</f>
        <v>0</v>
      </c>
      <c r="BH53" s="233">
        <f>F53*G53</f>
        <v>0</v>
      </c>
      <c r="BI53" s="233"/>
      <c r="BJ53" s="233"/>
      <c r="BU53" s="233" t="e">
        <f>#REF!</f>
        <v>#REF!</v>
      </c>
      <c r="BV53" s="225" t="s">
        <v>1203</v>
      </c>
    </row>
    <row r="54" spans="1:74" ht="40.5" customHeight="1" x14ac:dyDescent="0.3">
      <c r="A54" s="241"/>
      <c r="B54" s="242" t="s">
        <v>165</v>
      </c>
      <c r="C54" s="530" t="s">
        <v>2427</v>
      </c>
      <c r="D54" s="531"/>
      <c r="E54" s="531"/>
      <c r="F54" s="531"/>
      <c r="G54" s="531"/>
      <c r="H54" s="531"/>
      <c r="I54" s="531"/>
      <c r="J54" s="531"/>
      <c r="K54" s="531"/>
      <c r="L54" s="531"/>
      <c r="M54" s="532"/>
    </row>
    <row r="55" spans="1:74" ht="14.4" x14ac:dyDescent="0.3">
      <c r="A55" s="239" t="s">
        <v>154</v>
      </c>
      <c r="B55" s="224" t="s">
        <v>627</v>
      </c>
      <c r="C55" s="526" t="s">
        <v>628</v>
      </c>
      <c r="D55" s="527"/>
      <c r="E55" s="223" t="s">
        <v>114</v>
      </c>
      <c r="F55" s="223" t="s">
        <v>114</v>
      </c>
      <c r="G55" s="223" t="s">
        <v>114</v>
      </c>
      <c r="H55" s="235">
        <f>SUM(H56:H58)</f>
        <v>0</v>
      </c>
      <c r="I55" s="235">
        <f>SUM(I56:I58)</f>
        <v>0</v>
      </c>
      <c r="J55" s="235">
        <f>SUM(J56:J58)</f>
        <v>0</v>
      </c>
      <c r="K55" s="230" t="s">
        <v>154</v>
      </c>
      <c r="L55" s="235">
        <f>SUM(L56:L58)</f>
        <v>0</v>
      </c>
      <c r="M55" s="243" t="s">
        <v>154</v>
      </c>
      <c r="AG55" s="229" t="s">
        <v>154</v>
      </c>
      <c r="AQ55" s="222">
        <f>SUM(AH56:AH58)</f>
        <v>0</v>
      </c>
      <c r="AR55" s="222">
        <f>SUM(AI56:AI58)</f>
        <v>0</v>
      </c>
      <c r="AS55" s="222">
        <f>SUM(AJ56:AJ58)</f>
        <v>0</v>
      </c>
    </row>
    <row r="56" spans="1:74" ht="14.4" x14ac:dyDescent="0.3">
      <c r="A56" s="239" t="s">
        <v>228</v>
      </c>
      <c r="B56" s="223" t="s">
        <v>1206</v>
      </c>
      <c r="C56" s="521" t="s">
        <v>1207</v>
      </c>
      <c r="D56" s="519"/>
      <c r="E56" s="223" t="s">
        <v>160</v>
      </c>
      <c r="F56" s="233">
        <v>114</v>
      </c>
      <c r="G56" s="311">
        <v>0</v>
      </c>
      <c r="H56" s="233">
        <f>F56*AM56</f>
        <v>0</v>
      </c>
      <c r="I56" s="233">
        <f>F56*AN56</f>
        <v>0</v>
      </c>
      <c r="J56" s="233">
        <f>F56*G56</f>
        <v>0</v>
      </c>
      <c r="K56" s="233">
        <v>0</v>
      </c>
      <c r="L56" s="233">
        <f>F56*K56</f>
        <v>0</v>
      </c>
      <c r="M56" s="240" t="s">
        <v>472</v>
      </c>
      <c r="X56" s="233">
        <f>IF(AO56="5",BH56,0)</f>
        <v>0</v>
      </c>
      <c r="Z56" s="233">
        <f>IF(AO56="1",BF56,0)</f>
        <v>0</v>
      </c>
      <c r="AA56" s="233">
        <f>IF(AO56="1",BG56,0)</f>
        <v>0</v>
      </c>
      <c r="AB56" s="233">
        <f>IF(AO56="7",BF56,0)</f>
        <v>0</v>
      </c>
      <c r="AC56" s="233">
        <f>IF(AO56="7",BG56,0)</f>
        <v>0</v>
      </c>
      <c r="AD56" s="233">
        <f>IF(AO56="2",BF56,0)</f>
        <v>0</v>
      </c>
      <c r="AE56" s="233">
        <f>IF(AO56="2",BG56,0)</f>
        <v>0</v>
      </c>
      <c r="AF56" s="233">
        <f>IF(AO56="0",BH56,0)</f>
        <v>0</v>
      </c>
      <c r="AG56" s="229" t="s">
        <v>154</v>
      </c>
      <c r="AH56" s="233">
        <f>IF(AL56=0,J56,0)</f>
        <v>0</v>
      </c>
      <c r="AI56" s="233">
        <f>IF(AL56=12,J56,0)</f>
        <v>0</v>
      </c>
      <c r="AJ56" s="233">
        <f>IF(AL56=21,J56,0)</f>
        <v>0</v>
      </c>
      <c r="AL56" s="233">
        <v>21</v>
      </c>
      <c r="AM56" s="233">
        <f>G56*0</f>
        <v>0</v>
      </c>
      <c r="AN56" s="233">
        <f>G56*(1-0)</f>
        <v>0</v>
      </c>
      <c r="AO56" s="234" t="s">
        <v>166</v>
      </c>
      <c r="AT56" s="233">
        <f>AU56+AV56</f>
        <v>0</v>
      </c>
      <c r="AU56" s="233">
        <f>F56*AM56</f>
        <v>0</v>
      </c>
      <c r="AV56" s="233">
        <f>F56*AN56</f>
        <v>0</v>
      </c>
      <c r="AW56" s="234" t="s">
        <v>632</v>
      </c>
      <c r="AX56" s="234" t="s">
        <v>375</v>
      </c>
      <c r="AY56" s="229" t="s">
        <v>164</v>
      </c>
      <c r="BA56" s="233">
        <f>AU56+AV56</f>
        <v>0</v>
      </c>
      <c r="BB56" s="233">
        <f>G56/(100-BC56)*100</f>
        <v>0</v>
      </c>
      <c r="BC56" s="233">
        <v>0</v>
      </c>
      <c r="BD56" s="233">
        <f>L56</f>
        <v>0</v>
      </c>
      <c r="BF56" s="233">
        <f>F56*AM56</f>
        <v>0</v>
      </c>
      <c r="BG56" s="233">
        <f>F56*AN56</f>
        <v>0</v>
      </c>
      <c r="BH56" s="233">
        <f>F56*G56</f>
        <v>0</v>
      </c>
      <c r="BI56" s="233"/>
      <c r="BJ56" s="233"/>
      <c r="BU56" s="233" t="e">
        <f>#REF!</f>
        <v>#REF!</v>
      </c>
      <c r="BV56" s="225" t="s">
        <v>1207</v>
      </c>
    </row>
    <row r="57" spans="1:74" ht="40.5" customHeight="1" x14ac:dyDescent="0.3">
      <c r="A57" s="241"/>
      <c r="B57" s="242" t="s">
        <v>165</v>
      </c>
      <c r="C57" s="530" t="s">
        <v>2428</v>
      </c>
      <c r="D57" s="531"/>
      <c r="E57" s="531"/>
      <c r="F57" s="531"/>
      <c r="G57" s="531"/>
      <c r="H57" s="531"/>
      <c r="I57" s="531"/>
      <c r="J57" s="531"/>
      <c r="K57" s="531"/>
      <c r="L57" s="531"/>
      <c r="M57" s="532"/>
    </row>
    <row r="58" spans="1:74" ht="14.4" x14ac:dyDescent="0.3">
      <c r="A58" s="239" t="s">
        <v>232</v>
      </c>
      <c r="B58" s="223" t="s">
        <v>1208</v>
      </c>
      <c r="C58" s="521" t="s">
        <v>1209</v>
      </c>
      <c r="D58" s="519"/>
      <c r="E58" s="223" t="s">
        <v>160</v>
      </c>
      <c r="F58" s="233">
        <v>72</v>
      </c>
      <c r="G58" s="311">
        <v>0</v>
      </c>
      <c r="H58" s="233">
        <f>F58*AM58</f>
        <v>0</v>
      </c>
      <c r="I58" s="233">
        <f>F58*AN58</f>
        <v>0</v>
      </c>
      <c r="J58" s="233">
        <f>F58*G58</f>
        <v>0</v>
      </c>
      <c r="K58" s="233">
        <v>0</v>
      </c>
      <c r="L58" s="233">
        <f>F58*K58</f>
        <v>0</v>
      </c>
      <c r="M58" s="240" t="s">
        <v>472</v>
      </c>
      <c r="X58" s="233">
        <f>IF(AO58="5",BH58,0)</f>
        <v>0</v>
      </c>
      <c r="Z58" s="233">
        <f>IF(AO58="1",BF58,0)</f>
        <v>0</v>
      </c>
      <c r="AA58" s="233">
        <f>IF(AO58="1",BG58,0)</f>
        <v>0</v>
      </c>
      <c r="AB58" s="233">
        <f>IF(AO58="7",BF58,0)</f>
        <v>0</v>
      </c>
      <c r="AC58" s="233">
        <f>IF(AO58="7",BG58,0)</f>
        <v>0</v>
      </c>
      <c r="AD58" s="233">
        <f>IF(AO58="2",BF58,0)</f>
        <v>0</v>
      </c>
      <c r="AE58" s="233">
        <f>IF(AO58="2",BG58,0)</f>
        <v>0</v>
      </c>
      <c r="AF58" s="233">
        <f>IF(AO58="0",BH58,0)</f>
        <v>0</v>
      </c>
      <c r="AG58" s="229" t="s">
        <v>154</v>
      </c>
      <c r="AH58" s="233">
        <f>IF(AL58=0,J58,0)</f>
        <v>0</v>
      </c>
      <c r="AI58" s="233">
        <f>IF(AL58=12,J58,0)</f>
        <v>0</v>
      </c>
      <c r="AJ58" s="233">
        <f>IF(AL58=21,J58,0)</f>
        <v>0</v>
      </c>
      <c r="AL58" s="233">
        <v>21</v>
      </c>
      <c r="AM58" s="233">
        <f>G58*0</f>
        <v>0</v>
      </c>
      <c r="AN58" s="233">
        <f>G58*(1-0)</f>
        <v>0</v>
      </c>
      <c r="AO58" s="234" t="s">
        <v>166</v>
      </c>
      <c r="AT58" s="233">
        <f>AU58+AV58</f>
        <v>0</v>
      </c>
      <c r="AU58" s="233">
        <f>F58*AM58</f>
        <v>0</v>
      </c>
      <c r="AV58" s="233">
        <f>F58*AN58</f>
        <v>0</v>
      </c>
      <c r="AW58" s="234" t="s">
        <v>632</v>
      </c>
      <c r="AX58" s="234" t="s">
        <v>375</v>
      </c>
      <c r="AY58" s="229" t="s">
        <v>164</v>
      </c>
      <c r="BA58" s="233">
        <f>AU58+AV58</f>
        <v>0</v>
      </c>
      <c r="BB58" s="233">
        <f>G58/(100-BC58)*100</f>
        <v>0</v>
      </c>
      <c r="BC58" s="233">
        <v>0</v>
      </c>
      <c r="BD58" s="233">
        <f>L58</f>
        <v>0</v>
      </c>
      <c r="BF58" s="233">
        <f>F58*AM58</f>
        <v>0</v>
      </c>
      <c r="BG58" s="233">
        <f>F58*AN58</f>
        <v>0</v>
      </c>
      <c r="BH58" s="233">
        <f>F58*G58</f>
        <v>0</v>
      </c>
      <c r="BI58" s="233"/>
      <c r="BJ58" s="233"/>
      <c r="BU58" s="233" t="e">
        <f>#REF!</f>
        <v>#REF!</v>
      </c>
      <c r="BV58" s="225" t="s">
        <v>1209</v>
      </c>
    </row>
    <row r="59" spans="1:74" ht="40.5" customHeight="1" x14ac:dyDescent="0.3">
      <c r="A59" s="241"/>
      <c r="B59" s="242" t="s">
        <v>165</v>
      </c>
      <c r="C59" s="530" t="s">
        <v>2429</v>
      </c>
      <c r="D59" s="531"/>
      <c r="E59" s="531"/>
      <c r="F59" s="531"/>
      <c r="G59" s="531"/>
      <c r="H59" s="531"/>
      <c r="I59" s="531"/>
      <c r="J59" s="531"/>
      <c r="K59" s="531"/>
      <c r="L59" s="531"/>
      <c r="M59" s="532"/>
    </row>
    <row r="60" spans="1:74" ht="14.4" x14ac:dyDescent="0.3">
      <c r="A60" s="239" t="s">
        <v>154</v>
      </c>
      <c r="B60" s="224" t="s">
        <v>2430</v>
      </c>
      <c r="C60" s="526" t="s">
        <v>2431</v>
      </c>
      <c r="D60" s="527"/>
      <c r="E60" s="223" t="s">
        <v>114</v>
      </c>
      <c r="F60" s="223" t="s">
        <v>114</v>
      </c>
      <c r="G60" s="223" t="s">
        <v>114</v>
      </c>
      <c r="H60" s="235">
        <f>SUM(H61:H61)</f>
        <v>0</v>
      </c>
      <c r="I60" s="235">
        <f>SUM(I61:I61)</f>
        <v>0</v>
      </c>
      <c r="J60" s="235">
        <f>SUM(J61:J61)</f>
        <v>0</v>
      </c>
      <c r="K60" s="230" t="s">
        <v>154</v>
      </c>
      <c r="L60" s="235">
        <f>SUM(L61:L61)</f>
        <v>0</v>
      </c>
      <c r="M60" s="243" t="s">
        <v>154</v>
      </c>
      <c r="AG60" s="229" t="s">
        <v>154</v>
      </c>
      <c r="AQ60" s="222">
        <f>SUM(AH61:AH61)</f>
        <v>0</v>
      </c>
      <c r="AR60" s="222">
        <f>SUM(AI61:AI61)</f>
        <v>0</v>
      </c>
      <c r="AS60" s="222">
        <f>SUM(AJ61:AJ61)</f>
        <v>0</v>
      </c>
    </row>
    <row r="61" spans="1:74" ht="14.4" x14ac:dyDescent="0.3">
      <c r="A61" s="239" t="s">
        <v>235</v>
      </c>
      <c r="B61" s="223" t="s">
        <v>2432</v>
      </c>
      <c r="C61" s="521" t="s">
        <v>2433</v>
      </c>
      <c r="D61" s="519"/>
      <c r="E61" s="223" t="s">
        <v>380</v>
      </c>
      <c r="F61" s="233">
        <v>5.34</v>
      </c>
      <c r="G61" s="311">
        <v>0</v>
      </c>
      <c r="H61" s="233">
        <f>F61*AM61</f>
        <v>0</v>
      </c>
      <c r="I61" s="233">
        <f>F61*AN61</f>
        <v>0</v>
      </c>
      <c r="J61" s="233">
        <f>F61*G61</f>
        <v>0</v>
      </c>
      <c r="K61" s="233">
        <v>0</v>
      </c>
      <c r="L61" s="233">
        <f>F61*K61</f>
        <v>0</v>
      </c>
      <c r="M61" s="240" t="s">
        <v>472</v>
      </c>
      <c r="X61" s="233">
        <f>IF(AO61="5",BH61,0)</f>
        <v>0</v>
      </c>
      <c r="Z61" s="233">
        <f>IF(AO61="1",BF61,0)</f>
        <v>0</v>
      </c>
      <c r="AA61" s="233">
        <f>IF(AO61="1",BG61,0)</f>
        <v>0</v>
      </c>
      <c r="AB61" s="233">
        <f>IF(AO61="7",BF61,0)</f>
        <v>0</v>
      </c>
      <c r="AC61" s="233">
        <f>IF(AO61="7",BG61,0)</f>
        <v>0</v>
      </c>
      <c r="AD61" s="233">
        <f>IF(AO61="2",BF61,0)</f>
        <v>0</v>
      </c>
      <c r="AE61" s="233">
        <f>IF(AO61="2",BG61,0)</f>
        <v>0</v>
      </c>
      <c r="AF61" s="233">
        <f>IF(AO61="0",BH61,0)</f>
        <v>0</v>
      </c>
      <c r="AG61" s="229" t="s">
        <v>154</v>
      </c>
      <c r="AH61" s="233">
        <f>IF(AL61=0,J61,0)</f>
        <v>0</v>
      </c>
      <c r="AI61" s="233">
        <f>IF(AL61=12,J61,0)</f>
        <v>0</v>
      </c>
      <c r="AJ61" s="233">
        <f>IF(AL61=21,J61,0)</f>
        <v>0</v>
      </c>
      <c r="AL61" s="233">
        <v>21</v>
      </c>
      <c r="AM61" s="233">
        <f>G61*0</f>
        <v>0</v>
      </c>
      <c r="AN61" s="233">
        <f>G61*(1-0)</f>
        <v>0</v>
      </c>
      <c r="AO61" s="234" t="s">
        <v>177</v>
      </c>
      <c r="AT61" s="233">
        <f>AU61+AV61</f>
        <v>0</v>
      </c>
      <c r="AU61" s="233">
        <f>F61*AM61</f>
        <v>0</v>
      </c>
      <c r="AV61" s="233">
        <f>F61*AN61</f>
        <v>0</v>
      </c>
      <c r="AW61" s="234" t="s">
        <v>2434</v>
      </c>
      <c r="AX61" s="234" t="s">
        <v>375</v>
      </c>
      <c r="AY61" s="229" t="s">
        <v>164</v>
      </c>
      <c r="BA61" s="233">
        <f>AU61+AV61</f>
        <v>0</v>
      </c>
      <c r="BB61" s="233">
        <f>G61/(100-BC61)*100</f>
        <v>0</v>
      </c>
      <c r="BC61" s="233">
        <v>0</v>
      </c>
      <c r="BD61" s="233">
        <f>L61</f>
        <v>0</v>
      </c>
      <c r="BF61" s="233">
        <f>F61*AM61</f>
        <v>0</v>
      </c>
      <c r="BG61" s="233">
        <f>F61*AN61</f>
        <v>0</v>
      </c>
      <c r="BH61" s="233">
        <f>F61*G61</f>
        <v>0</v>
      </c>
      <c r="BI61" s="233"/>
      <c r="BJ61" s="233"/>
      <c r="BU61" s="233" t="e">
        <f>#REF!</f>
        <v>#REF!</v>
      </c>
      <c r="BV61" s="225" t="s">
        <v>2433</v>
      </c>
    </row>
    <row r="62" spans="1:74" ht="14.4" x14ac:dyDescent="0.3">
      <c r="A62" s="239" t="s">
        <v>154</v>
      </c>
      <c r="B62" s="224" t="s">
        <v>1383</v>
      </c>
      <c r="C62" s="526" t="s">
        <v>449</v>
      </c>
      <c r="D62" s="527"/>
      <c r="E62" s="223" t="s">
        <v>114</v>
      </c>
      <c r="F62" s="223" t="s">
        <v>114</v>
      </c>
      <c r="G62" s="223" t="s">
        <v>114</v>
      </c>
      <c r="H62" s="235">
        <f>SUM(H63:H63)</f>
        <v>0</v>
      </c>
      <c r="I62" s="235">
        <f>SUM(I63:I63)</f>
        <v>0</v>
      </c>
      <c r="J62" s="235">
        <f>SUM(J63:J63)</f>
        <v>0</v>
      </c>
      <c r="K62" s="230" t="s">
        <v>154</v>
      </c>
      <c r="L62" s="235">
        <f>SUM(L63:L63)</f>
        <v>2.8799999999999999E-2</v>
      </c>
      <c r="M62" s="243" t="s">
        <v>154</v>
      </c>
      <c r="AG62" s="229" t="s">
        <v>154</v>
      </c>
      <c r="AQ62" s="222">
        <f>SUM(AH63:AH63)</f>
        <v>0</v>
      </c>
      <c r="AR62" s="222">
        <f>SUM(AI63:AI63)</f>
        <v>0</v>
      </c>
      <c r="AS62" s="222">
        <f>SUM(AJ63:AJ63)</f>
        <v>0</v>
      </c>
    </row>
    <row r="63" spans="1:74" ht="14.4" x14ac:dyDescent="0.3">
      <c r="A63" s="239" t="s">
        <v>238</v>
      </c>
      <c r="B63" s="223" t="s">
        <v>1210</v>
      </c>
      <c r="C63" s="521" t="s">
        <v>1211</v>
      </c>
      <c r="D63" s="519"/>
      <c r="E63" s="223" t="s">
        <v>365</v>
      </c>
      <c r="F63" s="233">
        <v>8</v>
      </c>
      <c r="G63" s="311">
        <v>0</v>
      </c>
      <c r="H63" s="233">
        <f>F63*AM63</f>
        <v>0</v>
      </c>
      <c r="I63" s="233">
        <f>F63*AN63</f>
        <v>0</v>
      </c>
      <c r="J63" s="233">
        <f>F63*G63</f>
        <v>0</v>
      </c>
      <c r="K63" s="233">
        <v>3.5999999999999999E-3</v>
      </c>
      <c r="L63" s="233">
        <f>F63*K63</f>
        <v>2.8799999999999999E-2</v>
      </c>
      <c r="M63" s="240" t="s">
        <v>472</v>
      </c>
      <c r="X63" s="233">
        <f>IF(AO63="5",BH63,0)</f>
        <v>0</v>
      </c>
      <c r="Z63" s="233">
        <f>IF(AO63="1",BF63,0)</f>
        <v>0</v>
      </c>
      <c r="AA63" s="233">
        <f>IF(AO63="1",BG63,0)</f>
        <v>0</v>
      </c>
      <c r="AB63" s="233">
        <f>IF(AO63="7",BF63,0)</f>
        <v>0</v>
      </c>
      <c r="AC63" s="233">
        <f>IF(AO63="7",BG63,0)</f>
        <v>0</v>
      </c>
      <c r="AD63" s="233">
        <f>IF(AO63="2",BF63,0)</f>
        <v>0</v>
      </c>
      <c r="AE63" s="233">
        <f>IF(AO63="2",BG63,0)</f>
        <v>0</v>
      </c>
      <c r="AF63" s="233">
        <f>IF(AO63="0",BH63,0)</f>
        <v>0</v>
      </c>
      <c r="AG63" s="229" t="s">
        <v>154</v>
      </c>
      <c r="AH63" s="233">
        <f>IF(AL63=0,J63,0)</f>
        <v>0</v>
      </c>
      <c r="AI63" s="233">
        <f>IF(AL63=12,J63,0)</f>
        <v>0</v>
      </c>
      <c r="AJ63" s="233">
        <f>IF(AL63=21,J63,0)</f>
        <v>0</v>
      </c>
      <c r="AL63" s="233">
        <v>21</v>
      </c>
      <c r="AM63" s="233">
        <f>G63*1</f>
        <v>0</v>
      </c>
      <c r="AN63" s="233">
        <f>G63*(1-1)</f>
        <v>0</v>
      </c>
      <c r="AO63" s="234" t="s">
        <v>453</v>
      </c>
      <c r="AT63" s="233">
        <f>AU63+AV63</f>
        <v>0</v>
      </c>
      <c r="AU63" s="233">
        <f>F63*AM63</f>
        <v>0</v>
      </c>
      <c r="AV63" s="233">
        <f>F63*AN63</f>
        <v>0</v>
      </c>
      <c r="AW63" s="234" t="s">
        <v>454</v>
      </c>
      <c r="AX63" s="234" t="s">
        <v>455</v>
      </c>
      <c r="AY63" s="229" t="s">
        <v>164</v>
      </c>
      <c r="BA63" s="233">
        <f>AU63+AV63</f>
        <v>0</v>
      </c>
      <c r="BB63" s="233">
        <f>G63/(100-BC63)*100</f>
        <v>0</v>
      </c>
      <c r="BC63" s="233">
        <v>0</v>
      </c>
      <c r="BD63" s="233">
        <f>L63</f>
        <v>2.8799999999999999E-2</v>
      </c>
      <c r="BF63" s="233">
        <f>F63*AM63</f>
        <v>0</v>
      </c>
      <c r="BG63" s="233">
        <f>F63*AN63</f>
        <v>0</v>
      </c>
      <c r="BH63" s="233">
        <f>F63*G63</f>
        <v>0</v>
      </c>
      <c r="BI63" s="233"/>
      <c r="BJ63" s="233"/>
      <c r="BU63" s="233" t="e">
        <f>#REF!</f>
        <v>#REF!</v>
      </c>
      <c r="BV63" s="225" t="s">
        <v>1211</v>
      </c>
    </row>
    <row r="64" spans="1:74" ht="40.5" customHeight="1" x14ac:dyDescent="0.3">
      <c r="A64" s="244"/>
      <c r="B64" s="245" t="s">
        <v>165</v>
      </c>
      <c r="C64" s="540" t="s">
        <v>2435</v>
      </c>
      <c r="D64" s="541"/>
      <c r="E64" s="541"/>
      <c r="F64" s="541"/>
      <c r="G64" s="541"/>
      <c r="H64" s="541"/>
      <c r="I64" s="541"/>
      <c r="J64" s="541"/>
      <c r="K64" s="541"/>
      <c r="L64" s="541"/>
      <c r="M64" s="542"/>
    </row>
    <row r="65" spans="1:13" ht="14.4" x14ac:dyDescent="0.3">
      <c r="H65" s="527" t="s">
        <v>423</v>
      </c>
      <c r="I65" s="527"/>
      <c r="J65" s="235">
        <f>J12+J15+J20+J27+J32+J37+J52+J55+J60+J62</f>
        <v>0</v>
      </c>
    </row>
    <row r="66" spans="1:13" ht="14.4" x14ac:dyDescent="0.3">
      <c r="A66" s="236" t="s">
        <v>165</v>
      </c>
    </row>
    <row r="67" spans="1:13" ht="12.75" customHeight="1" x14ac:dyDescent="0.3">
      <c r="A67" s="551" t="s">
        <v>1166</v>
      </c>
      <c r="B67" s="565"/>
      <c r="C67" s="565"/>
      <c r="D67" s="565"/>
      <c r="E67" s="565"/>
      <c r="F67" s="565"/>
      <c r="G67" s="565"/>
      <c r="H67" s="565"/>
      <c r="I67" s="565"/>
      <c r="J67" s="565"/>
      <c r="K67" s="565"/>
      <c r="L67" s="565"/>
      <c r="M67" s="565"/>
    </row>
    <row r="68" spans="1:13" ht="15" customHeight="1" x14ac:dyDescent="0.3">
      <c r="A68" s="549" t="s">
        <v>1212</v>
      </c>
      <c r="B68" s="550"/>
      <c r="C68" s="550"/>
      <c r="D68" s="550"/>
      <c r="E68" s="550"/>
      <c r="F68" s="550"/>
      <c r="G68" s="550"/>
      <c r="H68" s="550"/>
      <c r="I68" s="550"/>
      <c r="J68" s="550"/>
      <c r="K68" s="550"/>
      <c r="L68" s="58"/>
      <c r="M68" s="58"/>
    </row>
  </sheetData>
  <sheetProtection algorithmName="SHA-512" hashValue="T2VstZ0ok6xbtHePOhPLPURm3gwEHw3Y2awYM797odicKRi28On0eiNLDM9iZJ0I8emG8bOVuYNT3iMJRDvqtQ==" saltValue="qEKwQ2l4VrO4eeyoPmFc5g==" spinCount="100000" sheet="1" objects="1" scenarios="1" formatCells="0" formatColumns="0" formatRows="0" insertColumns="0" insertRows="0" insertHyperlinks="0"/>
  <mergeCells count="85">
    <mergeCell ref="A68:K68"/>
    <mergeCell ref="C56:D56"/>
    <mergeCell ref="C57:M57"/>
    <mergeCell ref="C58:D58"/>
    <mergeCell ref="C59:M59"/>
    <mergeCell ref="C60:D60"/>
    <mergeCell ref="C61:D61"/>
    <mergeCell ref="C62:D62"/>
    <mergeCell ref="C63:D63"/>
    <mergeCell ref="C64:M64"/>
    <mergeCell ref="H65:I65"/>
    <mergeCell ref="A67:M67"/>
    <mergeCell ref="C55:D55"/>
    <mergeCell ref="C44:D44"/>
    <mergeCell ref="C45:M45"/>
    <mergeCell ref="C46:D46"/>
    <mergeCell ref="C47:M47"/>
    <mergeCell ref="C48:D48"/>
    <mergeCell ref="C49:M49"/>
    <mergeCell ref="C50:D50"/>
    <mergeCell ref="C51:M51"/>
    <mergeCell ref="C52:D52"/>
    <mergeCell ref="C53:D53"/>
    <mergeCell ref="C54:M54"/>
    <mergeCell ref="C43:M43"/>
    <mergeCell ref="C32:D32"/>
    <mergeCell ref="C33:D33"/>
    <mergeCell ref="C34:M34"/>
    <mergeCell ref="C35:D35"/>
    <mergeCell ref="C36:M36"/>
    <mergeCell ref="C37:D37"/>
    <mergeCell ref="C38:D38"/>
    <mergeCell ref="C39:M39"/>
    <mergeCell ref="C40:D40"/>
    <mergeCell ref="C41:M41"/>
    <mergeCell ref="C42:D42"/>
    <mergeCell ref="C31:M31"/>
    <mergeCell ref="C20:D20"/>
    <mergeCell ref="C21:D21"/>
    <mergeCell ref="C22:M22"/>
    <mergeCell ref="C23:D23"/>
    <mergeCell ref="C24:M24"/>
    <mergeCell ref="C25:D25"/>
    <mergeCell ref="C26:M26"/>
    <mergeCell ref="C27:D27"/>
    <mergeCell ref="C28:D28"/>
    <mergeCell ref="C29:M29"/>
    <mergeCell ref="C30:D30"/>
    <mergeCell ref="C19:M19"/>
    <mergeCell ref="C10:D10"/>
    <mergeCell ref="H10:J10"/>
    <mergeCell ref="K10:L10"/>
    <mergeCell ref="C11:D11"/>
    <mergeCell ref="C12:D12"/>
    <mergeCell ref="C13:D13"/>
    <mergeCell ref="C14:M14"/>
    <mergeCell ref="C15:D15"/>
    <mergeCell ref="C16:D16"/>
    <mergeCell ref="C17:M17"/>
    <mergeCell ref="C18:D18"/>
    <mergeCell ref="J8:M9"/>
    <mergeCell ref="A6:B7"/>
    <mergeCell ref="C6:F7"/>
    <mergeCell ref="G6:G7"/>
    <mergeCell ref="H6:H7"/>
    <mergeCell ref="I6:I7"/>
    <mergeCell ref="J6:M7"/>
    <mergeCell ref="A8:B9"/>
    <mergeCell ref="C8:F9"/>
    <mergeCell ref="G8:G9"/>
    <mergeCell ref="H8:H9"/>
    <mergeCell ref="I8:I9"/>
    <mergeCell ref="J4:M5"/>
    <mergeCell ref="A1:M1"/>
    <mergeCell ref="A2:B3"/>
    <mergeCell ref="C2:F3"/>
    <mergeCell ref="G2:G3"/>
    <mergeCell ref="H2:H3"/>
    <mergeCell ref="I2:I3"/>
    <mergeCell ref="J2:M3"/>
    <mergeCell ref="A4:B5"/>
    <mergeCell ref="C4:F5"/>
    <mergeCell ref="G4:G5"/>
    <mergeCell ref="H4:H5"/>
    <mergeCell ref="I4:I5"/>
  </mergeCells>
  <pageMargins left="0.78740157480314965" right="0.39370078740157483" top="0.39370078740157483" bottom="0.39370078740157483" header="0.39370078740157483" footer="0.59055118110236227"/>
  <pageSetup paperSize="9" scale="57" fitToHeight="0" orientation="landscape" r:id="rId1"/>
  <headerFooter>
    <oddFooter>&amp;L&amp;A&amp;C&amp;F&amp;Rstran &amp;N / strana &amp;P</oddFooter>
  </headerFooter>
  <rowBreaks count="1" manualBreakCount="1">
    <brk id="34" max="12"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BEDB1-3F97-4D2B-A13F-00F462D4551E}">
  <sheetPr>
    <pageSetUpPr fitToPage="1"/>
  </sheetPr>
  <dimension ref="A1:BV189"/>
  <sheetViews>
    <sheetView view="pageBreakPreview" zoomScale="55" zoomScaleNormal="70" zoomScaleSheetLayoutView="55" workbookViewId="0">
      <pane ySplit="11" topLeftCell="A60" activePane="bottomLeft" state="frozen"/>
      <selection pane="bottomLeft" activeCell="G13" sqref="G13"/>
    </sheetView>
  </sheetViews>
  <sheetFormatPr defaultColWidth="12.109375" defaultRowHeight="15" customHeight="1" x14ac:dyDescent="0.3"/>
  <cols>
    <col min="1" max="1" width="4" style="221" customWidth="1"/>
    <col min="2" max="2" width="17.88671875" style="221" customWidth="1"/>
    <col min="3" max="3" width="42.88671875" style="221" customWidth="1"/>
    <col min="4" max="4" width="35.6640625" style="221" customWidth="1"/>
    <col min="5" max="5" width="4.88671875" style="221" customWidth="1"/>
    <col min="6" max="6" width="12.88671875" style="221" customWidth="1"/>
    <col min="7" max="7" width="12" style="221" customWidth="1"/>
    <col min="8" max="10" width="15.6640625" style="221" customWidth="1"/>
    <col min="11" max="12" width="11.6640625" style="221" customWidth="1"/>
    <col min="13" max="13" width="13.44140625" style="221" customWidth="1"/>
    <col min="14" max="73" width="12.109375" style="221"/>
    <col min="74" max="74" width="78.5546875" style="221" hidden="1" customWidth="1"/>
    <col min="75" max="16384" width="12.109375" style="221"/>
  </cols>
  <sheetData>
    <row r="1" spans="1:74" ht="54.75" customHeight="1" thickBot="1" x14ac:dyDescent="0.35">
      <c r="A1" s="523" t="s">
        <v>2303</v>
      </c>
      <c r="B1" s="524"/>
      <c r="C1" s="524"/>
      <c r="D1" s="524"/>
      <c r="E1" s="524"/>
      <c r="F1" s="524"/>
      <c r="G1" s="524"/>
      <c r="H1" s="524"/>
      <c r="I1" s="524"/>
      <c r="J1" s="524"/>
      <c r="K1" s="524"/>
      <c r="L1" s="524"/>
      <c r="M1" s="525"/>
      <c r="AQ1" s="235">
        <f>SUM(AH1:AH2)</f>
        <v>0</v>
      </c>
      <c r="AR1" s="235">
        <f>SUM(AI1:AI2)</f>
        <v>0</v>
      </c>
      <c r="AS1" s="235">
        <f>SUM(AJ1:AJ2)</f>
        <v>0</v>
      </c>
    </row>
    <row r="2" spans="1:74" ht="15" customHeight="1" x14ac:dyDescent="0.3">
      <c r="A2" s="601" t="s">
        <v>112</v>
      </c>
      <c r="B2" s="602"/>
      <c r="C2" s="603" t="s">
        <v>2304</v>
      </c>
      <c r="D2" s="555"/>
      <c r="E2" s="602" t="s">
        <v>113</v>
      </c>
      <c r="F2" s="602"/>
      <c r="G2" s="604" t="s">
        <v>1156</v>
      </c>
      <c r="H2" s="605" t="s">
        <v>457</v>
      </c>
      <c r="I2" s="605" t="s">
        <v>69</v>
      </c>
      <c r="J2" s="605"/>
      <c r="K2" s="605"/>
      <c r="L2" s="605"/>
      <c r="M2" s="606"/>
    </row>
    <row r="3" spans="1:74" ht="14.4" x14ac:dyDescent="0.3">
      <c r="A3" s="520"/>
      <c r="B3" s="519"/>
      <c r="C3" s="527"/>
      <c r="D3" s="527"/>
      <c r="E3" s="519"/>
      <c r="F3" s="519"/>
      <c r="G3" s="522"/>
      <c r="H3" s="551"/>
      <c r="I3" s="551"/>
      <c r="J3" s="551"/>
      <c r="K3" s="551"/>
      <c r="L3" s="551"/>
      <c r="M3" s="552"/>
    </row>
    <row r="4" spans="1:74" ht="15" customHeight="1" x14ac:dyDescent="0.3">
      <c r="A4" s="518" t="s">
        <v>115</v>
      </c>
      <c r="B4" s="519"/>
      <c r="C4" s="521" t="s">
        <v>2305</v>
      </c>
      <c r="D4" s="519"/>
      <c r="E4" s="519" t="s">
        <v>116</v>
      </c>
      <c r="F4" s="519"/>
      <c r="G4" s="522" t="s">
        <v>1156</v>
      </c>
      <c r="H4" s="551" t="s">
        <v>458</v>
      </c>
      <c r="I4" s="551" t="s">
        <v>1157</v>
      </c>
      <c r="J4" s="551"/>
      <c r="K4" s="551"/>
      <c r="L4" s="551"/>
      <c r="M4" s="552"/>
    </row>
    <row r="5" spans="1:74" ht="14.4" x14ac:dyDescent="0.3">
      <c r="A5" s="520"/>
      <c r="B5" s="519"/>
      <c r="C5" s="519"/>
      <c r="D5" s="519"/>
      <c r="E5" s="519"/>
      <c r="F5" s="519"/>
      <c r="G5" s="522"/>
      <c r="H5" s="551"/>
      <c r="I5" s="551"/>
      <c r="J5" s="551"/>
      <c r="K5" s="551"/>
      <c r="L5" s="551"/>
      <c r="M5" s="552"/>
    </row>
    <row r="6" spans="1:74" ht="15" customHeight="1" x14ac:dyDescent="0.3">
      <c r="A6" s="518" t="s">
        <v>117</v>
      </c>
      <c r="B6" s="519"/>
      <c r="C6" s="521" t="s">
        <v>459</v>
      </c>
      <c r="D6" s="519"/>
      <c r="E6" s="519" t="s">
        <v>119</v>
      </c>
      <c r="F6" s="519"/>
      <c r="G6" s="522" t="s">
        <v>1156</v>
      </c>
      <c r="H6" s="551" t="s">
        <v>460</v>
      </c>
      <c r="I6" s="551" t="s">
        <v>461</v>
      </c>
      <c r="J6" s="551"/>
      <c r="K6" s="551"/>
      <c r="L6" s="551"/>
      <c r="M6" s="552"/>
    </row>
    <row r="7" spans="1:74" ht="14.4" x14ac:dyDescent="0.3">
      <c r="A7" s="520"/>
      <c r="B7" s="519"/>
      <c r="C7" s="519"/>
      <c r="D7" s="519"/>
      <c r="E7" s="519"/>
      <c r="F7" s="519"/>
      <c r="G7" s="522"/>
      <c r="H7" s="551"/>
      <c r="I7" s="551"/>
      <c r="J7" s="551"/>
      <c r="K7" s="551"/>
      <c r="L7" s="551"/>
      <c r="M7" s="552"/>
    </row>
    <row r="8" spans="1:74" ht="14.4" x14ac:dyDescent="0.3">
      <c r="A8" s="518" t="s">
        <v>120</v>
      </c>
      <c r="B8" s="519"/>
      <c r="C8" s="521" t="s">
        <v>996</v>
      </c>
      <c r="D8" s="519"/>
      <c r="E8" s="519" t="s">
        <v>122</v>
      </c>
      <c r="F8" s="519"/>
      <c r="G8" s="658">
        <v>45505</v>
      </c>
      <c r="H8" s="551" t="s">
        <v>462</v>
      </c>
      <c r="I8" s="551" t="s">
        <v>1158</v>
      </c>
      <c r="J8" s="551"/>
      <c r="K8" s="551"/>
      <c r="L8" s="551"/>
      <c r="M8" s="552"/>
    </row>
    <row r="9" spans="1:74" thickBot="1" x14ac:dyDescent="0.35">
      <c r="A9" s="607"/>
      <c r="B9" s="533"/>
      <c r="C9" s="533"/>
      <c r="D9" s="533"/>
      <c r="E9" s="533"/>
      <c r="F9" s="533"/>
      <c r="G9" s="534"/>
      <c r="H9" s="553"/>
      <c r="I9" s="553"/>
      <c r="J9" s="553"/>
      <c r="K9" s="553"/>
      <c r="L9" s="553"/>
      <c r="M9" s="554"/>
    </row>
    <row r="10" spans="1:74" ht="14.4" x14ac:dyDescent="0.3">
      <c r="A10" s="246" t="s">
        <v>123</v>
      </c>
      <c r="B10" s="247" t="s">
        <v>124</v>
      </c>
      <c r="C10" s="555" t="s">
        <v>125</v>
      </c>
      <c r="D10" s="556"/>
      <c r="E10" s="247" t="s">
        <v>126</v>
      </c>
      <c r="F10" s="248" t="s">
        <v>127</v>
      </c>
      <c r="G10" s="249" t="s">
        <v>128</v>
      </c>
      <c r="H10" s="557" t="s">
        <v>129</v>
      </c>
      <c r="I10" s="558"/>
      <c r="J10" s="559"/>
      <c r="K10" s="558" t="s">
        <v>130</v>
      </c>
      <c r="L10" s="558"/>
      <c r="M10" s="250" t="s">
        <v>131</v>
      </c>
      <c r="BI10" s="230" t="s">
        <v>132</v>
      </c>
      <c r="BJ10" s="230" t="s">
        <v>133</v>
      </c>
      <c r="BU10" s="230" t="s">
        <v>134</v>
      </c>
    </row>
    <row r="11" spans="1:74" thickBot="1" x14ac:dyDescent="0.35">
      <c r="A11" s="251" t="s">
        <v>114</v>
      </c>
      <c r="B11" s="252" t="s">
        <v>114</v>
      </c>
      <c r="C11" s="528" t="s">
        <v>135</v>
      </c>
      <c r="D11" s="529"/>
      <c r="E11" s="252" t="s">
        <v>114</v>
      </c>
      <c r="F11" s="252" t="s">
        <v>114</v>
      </c>
      <c r="G11" s="253" t="s">
        <v>136</v>
      </c>
      <c r="H11" s="254" t="s">
        <v>137</v>
      </c>
      <c r="I11" s="255" t="s">
        <v>138</v>
      </c>
      <c r="J11" s="256" t="s">
        <v>139</v>
      </c>
      <c r="K11" s="255" t="s">
        <v>140</v>
      </c>
      <c r="L11" s="253" t="s">
        <v>139</v>
      </c>
      <c r="M11" s="257" t="s">
        <v>141</v>
      </c>
      <c r="X11" s="230" t="s">
        <v>142</v>
      </c>
      <c r="Y11" s="230" t="s">
        <v>143</v>
      </c>
      <c r="Z11" s="230" t="s">
        <v>144</v>
      </c>
      <c r="AA11" s="230" t="s">
        <v>145</v>
      </c>
      <c r="AB11" s="230" t="s">
        <v>146</v>
      </c>
      <c r="AC11" s="230" t="s">
        <v>147</v>
      </c>
      <c r="AD11" s="230" t="s">
        <v>148</v>
      </c>
      <c r="AE11" s="230" t="s">
        <v>149</v>
      </c>
      <c r="AF11" s="230" t="s">
        <v>150</v>
      </c>
      <c r="BF11" s="230" t="s">
        <v>151</v>
      </c>
      <c r="BG11" s="230" t="s">
        <v>152</v>
      </c>
      <c r="BH11" s="230" t="s">
        <v>153</v>
      </c>
    </row>
    <row r="12" spans="1:74" ht="14.4" x14ac:dyDescent="0.3">
      <c r="A12" s="239" t="s">
        <v>154</v>
      </c>
      <c r="B12" s="224" t="s">
        <v>155</v>
      </c>
      <c r="C12" s="526" t="s">
        <v>156</v>
      </c>
      <c r="D12" s="527"/>
      <c r="E12" s="223" t="s">
        <v>114</v>
      </c>
      <c r="F12" s="223" t="s">
        <v>114</v>
      </c>
      <c r="G12" s="223" t="s">
        <v>114</v>
      </c>
      <c r="H12" s="235">
        <f>SUM(H13:H21)</f>
        <v>0</v>
      </c>
      <c r="I12" s="235">
        <f>SUM(I13:I21)</f>
        <v>0</v>
      </c>
      <c r="J12" s="235">
        <f>SUM(J13:J21)</f>
        <v>0</v>
      </c>
      <c r="K12" s="230" t="s">
        <v>154</v>
      </c>
      <c r="L12" s="235">
        <f>SUM(L13:L21)</f>
        <v>14.358740000000001</v>
      </c>
      <c r="M12" s="243" t="s">
        <v>154</v>
      </c>
      <c r="AG12" s="230" t="s">
        <v>154</v>
      </c>
      <c r="AQ12" s="235">
        <f>SUM(AH13:AH21)</f>
        <v>0</v>
      </c>
      <c r="AR12" s="235">
        <f>SUM(AI13:AI21)</f>
        <v>0</v>
      </c>
      <c r="AS12" s="235">
        <f>SUM(AJ13:AJ21)</f>
        <v>0</v>
      </c>
    </row>
    <row r="13" spans="1:74" ht="14.4" x14ac:dyDescent="0.3">
      <c r="A13" s="239" t="s">
        <v>157</v>
      </c>
      <c r="B13" s="223" t="s">
        <v>170</v>
      </c>
      <c r="C13" s="521" t="s">
        <v>171</v>
      </c>
      <c r="D13" s="519"/>
      <c r="E13" s="223" t="s">
        <v>172</v>
      </c>
      <c r="F13" s="233">
        <v>16</v>
      </c>
      <c r="G13" s="311">
        <v>0</v>
      </c>
      <c r="H13" s="233">
        <f>F13*AM13</f>
        <v>0</v>
      </c>
      <c r="I13" s="233">
        <f>F13*AN13</f>
        <v>0</v>
      </c>
      <c r="J13" s="233">
        <f>F13*G13</f>
        <v>0</v>
      </c>
      <c r="K13" s="233">
        <v>0</v>
      </c>
      <c r="L13" s="233">
        <f>F13*K13</f>
        <v>0</v>
      </c>
      <c r="M13" s="240" t="s">
        <v>472</v>
      </c>
      <c r="X13" s="233">
        <f>IF(AO13="5",BH13,0)</f>
        <v>0</v>
      </c>
      <c r="Z13" s="233">
        <f>IF(AO13="1",BF13,0)</f>
        <v>0</v>
      </c>
      <c r="AA13" s="233">
        <f>IF(AO13="1",BG13,0)</f>
        <v>0</v>
      </c>
      <c r="AB13" s="233">
        <f>IF(AO13="7",BF13,0)</f>
        <v>0</v>
      </c>
      <c r="AC13" s="233">
        <f>IF(AO13="7",BG13,0)</f>
        <v>0</v>
      </c>
      <c r="AD13" s="233">
        <f>IF(AO13="2",BF13,0)</f>
        <v>0</v>
      </c>
      <c r="AE13" s="233">
        <f>IF(AO13="2",BG13,0)</f>
        <v>0</v>
      </c>
      <c r="AF13" s="233">
        <f>IF(AO13="0",BH13,0)</f>
        <v>0</v>
      </c>
      <c r="AG13" s="230" t="s">
        <v>154</v>
      </c>
      <c r="AH13" s="233">
        <f>IF(AL13=0,J13,0)</f>
        <v>0</v>
      </c>
      <c r="AI13" s="233">
        <f>IF(AL13=12,J13,0)</f>
        <v>0</v>
      </c>
      <c r="AJ13" s="233">
        <f>IF(AL13=21,J13,0)</f>
        <v>0</v>
      </c>
      <c r="AL13" s="233">
        <v>12</v>
      </c>
      <c r="AM13" s="233">
        <f>G13*0</f>
        <v>0</v>
      </c>
      <c r="AN13" s="233">
        <f>G13*(1-0)</f>
        <v>0</v>
      </c>
      <c r="AO13" s="234" t="s">
        <v>157</v>
      </c>
      <c r="AT13" s="233">
        <f>AU13+AV13</f>
        <v>0</v>
      </c>
      <c r="AU13" s="233">
        <f>F13*AM13</f>
        <v>0</v>
      </c>
      <c r="AV13" s="233">
        <f>F13*AN13</f>
        <v>0</v>
      </c>
      <c r="AW13" s="234" t="s">
        <v>162</v>
      </c>
      <c r="AX13" s="234" t="s">
        <v>163</v>
      </c>
      <c r="AY13" s="230" t="s">
        <v>164</v>
      </c>
      <c r="BA13" s="233">
        <f>AU13+AV13</f>
        <v>0</v>
      </c>
      <c r="BB13" s="233">
        <f>G13/(100-BC13)*100</f>
        <v>0</v>
      </c>
      <c r="BC13" s="233">
        <v>0</v>
      </c>
      <c r="BD13" s="233">
        <f>L13</f>
        <v>0</v>
      </c>
      <c r="BF13" s="233">
        <f>F13*AM13</f>
        <v>0</v>
      </c>
      <c r="BG13" s="233">
        <f>F13*AN13</f>
        <v>0</v>
      </c>
      <c r="BH13" s="233">
        <f>F13*G13</f>
        <v>0</v>
      </c>
      <c r="BI13" s="233"/>
      <c r="BJ13" s="233">
        <v>11</v>
      </c>
      <c r="BU13" s="233" t="e">
        <f>#REF!</f>
        <v>#REF!</v>
      </c>
      <c r="BV13" s="225" t="s">
        <v>171</v>
      </c>
    </row>
    <row r="14" spans="1:74" ht="40.5" customHeight="1" x14ac:dyDescent="0.3">
      <c r="A14" s="241"/>
      <c r="B14" s="242" t="s">
        <v>165</v>
      </c>
      <c r="C14" s="530" t="s">
        <v>2306</v>
      </c>
      <c r="D14" s="531"/>
      <c r="E14" s="531"/>
      <c r="F14" s="531"/>
      <c r="G14" s="531"/>
      <c r="H14" s="531"/>
      <c r="I14" s="531"/>
      <c r="J14" s="531"/>
      <c r="K14" s="531"/>
      <c r="L14" s="531"/>
      <c r="M14" s="532"/>
    </row>
    <row r="15" spans="1:74" ht="14.4" x14ac:dyDescent="0.3">
      <c r="A15" s="239" t="s">
        <v>166</v>
      </c>
      <c r="B15" s="223" t="s">
        <v>174</v>
      </c>
      <c r="C15" s="521" t="s">
        <v>175</v>
      </c>
      <c r="D15" s="519"/>
      <c r="E15" s="223" t="s">
        <v>176</v>
      </c>
      <c r="F15" s="233">
        <v>2</v>
      </c>
      <c r="G15" s="311">
        <v>0</v>
      </c>
      <c r="H15" s="233">
        <f>F15*AM15</f>
        <v>0</v>
      </c>
      <c r="I15" s="233">
        <f>F15*AN15</f>
        <v>0</v>
      </c>
      <c r="J15" s="233">
        <f>F15*G15</f>
        <v>0</v>
      </c>
      <c r="K15" s="233">
        <v>0</v>
      </c>
      <c r="L15" s="233">
        <f>F15*K15</f>
        <v>0</v>
      </c>
      <c r="M15" s="240" t="s">
        <v>472</v>
      </c>
      <c r="X15" s="233">
        <f>IF(AO15="5",BH15,0)</f>
        <v>0</v>
      </c>
      <c r="Z15" s="233">
        <f>IF(AO15="1",BF15,0)</f>
        <v>0</v>
      </c>
      <c r="AA15" s="233">
        <f>IF(AO15="1",BG15,0)</f>
        <v>0</v>
      </c>
      <c r="AB15" s="233">
        <f>IF(AO15="7",BF15,0)</f>
        <v>0</v>
      </c>
      <c r="AC15" s="233">
        <f>IF(AO15="7",BG15,0)</f>
        <v>0</v>
      </c>
      <c r="AD15" s="233">
        <f>IF(AO15="2",BF15,0)</f>
        <v>0</v>
      </c>
      <c r="AE15" s="233">
        <f>IF(AO15="2",BG15,0)</f>
        <v>0</v>
      </c>
      <c r="AF15" s="233">
        <f>IF(AO15="0",BH15,0)</f>
        <v>0</v>
      </c>
      <c r="AG15" s="230" t="s">
        <v>154</v>
      </c>
      <c r="AH15" s="233">
        <f>IF(AL15=0,J15,0)</f>
        <v>0</v>
      </c>
      <c r="AI15" s="233">
        <f>IF(AL15=12,J15,0)</f>
        <v>0</v>
      </c>
      <c r="AJ15" s="233">
        <f>IF(AL15=21,J15,0)</f>
        <v>0</v>
      </c>
      <c r="AL15" s="233">
        <v>12</v>
      </c>
      <c r="AM15" s="233">
        <f>G15*0</f>
        <v>0</v>
      </c>
      <c r="AN15" s="233">
        <f>G15*(1-0)</f>
        <v>0</v>
      </c>
      <c r="AO15" s="234" t="s">
        <v>157</v>
      </c>
      <c r="AT15" s="233">
        <f>AU15+AV15</f>
        <v>0</v>
      </c>
      <c r="AU15" s="233">
        <f>F15*AM15</f>
        <v>0</v>
      </c>
      <c r="AV15" s="233">
        <f>F15*AN15</f>
        <v>0</v>
      </c>
      <c r="AW15" s="234" t="s">
        <v>162</v>
      </c>
      <c r="AX15" s="234" t="s">
        <v>163</v>
      </c>
      <c r="AY15" s="230" t="s">
        <v>164</v>
      </c>
      <c r="BA15" s="233">
        <f>AU15+AV15</f>
        <v>0</v>
      </c>
      <c r="BB15" s="233">
        <f>G15/(100-BC15)*100</f>
        <v>0</v>
      </c>
      <c r="BC15" s="233">
        <v>0</v>
      </c>
      <c r="BD15" s="233">
        <f>L15</f>
        <v>0</v>
      </c>
      <c r="BF15" s="233">
        <f>F15*AM15</f>
        <v>0</v>
      </c>
      <c r="BG15" s="233">
        <f>F15*AN15</f>
        <v>0</v>
      </c>
      <c r="BH15" s="233">
        <f>F15*G15</f>
        <v>0</v>
      </c>
      <c r="BI15" s="233"/>
      <c r="BJ15" s="233">
        <v>11</v>
      </c>
      <c r="BU15" s="233" t="e">
        <f>#REF!</f>
        <v>#REF!</v>
      </c>
      <c r="BV15" s="225" t="s">
        <v>175</v>
      </c>
    </row>
    <row r="16" spans="1:74" ht="40.5" customHeight="1" x14ac:dyDescent="0.3">
      <c r="A16" s="241"/>
      <c r="B16" s="242" t="s">
        <v>165</v>
      </c>
      <c r="C16" s="530" t="s">
        <v>2307</v>
      </c>
      <c r="D16" s="531"/>
      <c r="E16" s="531"/>
      <c r="F16" s="531"/>
      <c r="G16" s="531"/>
      <c r="H16" s="531"/>
      <c r="I16" s="531"/>
      <c r="J16" s="531"/>
      <c r="K16" s="531"/>
      <c r="L16" s="531"/>
      <c r="M16" s="532"/>
    </row>
    <row r="17" spans="1:74" ht="14.4" x14ac:dyDescent="0.3">
      <c r="A17" s="239" t="s">
        <v>169</v>
      </c>
      <c r="B17" s="223" t="s">
        <v>182</v>
      </c>
      <c r="C17" s="521" t="s">
        <v>976</v>
      </c>
      <c r="D17" s="519"/>
      <c r="E17" s="223" t="s">
        <v>180</v>
      </c>
      <c r="F17" s="233">
        <v>7.4</v>
      </c>
      <c r="G17" s="311">
        <v>0</v>
      </c>
      <c r="H17" s="233">
        <f>F17*AM17</f>
        <v>0</v>
      </c>
      <c r="I17" s="233">
        <f>F17*AN17</f>
        <v>0</v>
      </c>
      <c r="J17" s="233">
        <f>F17*G17</f>
        <v>0</v>
      </c>
      <c r="K17" s="233">
        <v>0.90010000000000001</v>
      </c>
      <c r="L17" s="233">
        <f>F17*K17</f>
        <v>6.6607400000000005</v>
      </c>
      <c r="M17" s="240" t="s">
        <v>472</v>
      </c>
      <c r="X17" s="233">
        <f>IF(AO17="5",BH17,0)</f>
        <v>0</v>
      </c>
      <c r="Z17" s="233">
        <f>IF(AO17="1",BF17,0)</f>
        <v>0</v>
      </c>
      <c r="AA17" s="233">
        <f>IF(AO17="1",BG17,0)</f>
        <v>0</v>
      </c>
      <c r="AB17" s="233">
        <f>IF(AO17="7",BF17,0)</f>
        <v>0</v>
      </c>
      <c r="AC17" s="233">
        <f>IF(AO17="7",BG17,0)</f>
        <v>0</v>
      </c>
      <c r="AD17" s="233">
        <f>IF(AO17="2",BF17,0)</f>
        <v>0</v>
      </c>
      <c r="AE17" s="233">
        <f>IF(AO17="2",BG17,0)</f>
        <v>0</v>
      </c>
      <c r="AF17" s="233">
        <f>IF(AO17="0",BH17,0)</f>
        <v>0</v>
      </c>
      <c r="AG17" s="230" t="s">
        <v>154</v>
      </c>
      <c r="AH17" s="233">
        <f>IF(AL17=0,J17,0)</f>
        <v>0</v>
      </c>
      <c r="AI17" s="233">
        <f>IF(AL17=12,J17,0)</f>
        <v>0</v>
      </c>
      <c r="AJ17" s="233">
        <f>IF(AL17=21,J17,0)</f>
        <v>0</v>
      </c>
      <c r="AL17" s="233">
        <v>12</v>
      </c>
      <c r="AM17" s="233">
        <f>G17*0.006693262</f>
        <v>0</v>
      </c>
      <c r="AN17" s="233">
        <f>G17*(1-0.006693262)</f>
        <v>0</v>
      </c>
      <c r="AO17" s="234" t="s">
        <v>157</v>
      </c>
      <c r="AT17" s="233">
        <f>AU17+AV17</f>
        <v>0</v>
      </c>
      <c r="AU17" s="233">
        <f>F17*AM17</f>
        <v>0</v>
      </c>
      <c r="AV17" s="233">
        <f>F17*AN17</f>
        <v>0</v>
      </c>
      <c r="AW17" s="234" t="s">
        <v>162</v>
      </c>
      <c r="AX17" s="234" t="s">
        <v>163</v>
      </c>
      <c r="AY17" s="230" t="s">
        <v>164</v>
      </c>
      <c r="BA17" s="233">
        <f>AU17+AV17</f>
        <v>0</v>
      </c>
      <c r="BB17" s="233">
        <f>G17/(100-BC17)*100</f>
        <v>0</v>
      </c>
      <c r="BC17" s="233">
        <v>0</v>
      </c>
      <c r="BD17" s="233">
        <f>L17</f>
        <v>6.6607400000000005</v>
      </c>
      <c r="BF17" s="233">
        <f>F17*AM17</f>
        <v>0</v>
      </c>
      <c r="BG17" s="233">
        <f>F17*AN17</f>
        <v>0</v>
      </c>
      <c r="BH17" s="233">
        <f>F17*G17</f>
        <v>0</v>
      </c>
      <c r="BI17" s="233"/>
      <c r="BJ17" s="233">
        <v>11</v>
      </c>
      <c r="BU17" s="233" t="e">
        <f>#REF!</f>
        <v>#REF!</v>
      </c>
      <c r="BV17" s="225" t="s">
        <v>976</v>
      </c>
    </row>
    <row r="18" spans="1:74" ht="162" customHeight="1" x14ac:dyDescent="0.3">
      <c r="A18" s="241"/>
      <c r="B18" s="242" t="s">
        <v>165</v>
      </c>
      <c r="C18" s="530" t="s">
        <v>2308</v>
      </c>
      <c r="D18" s="531"/>
      <c r="E18" s="531"/>
      <c r="F18" s="531"/>
      <c r="G18" s="531"/>
      <c r="H18" s="531"/>
      <c r="I18" s="531"/>
      <c r="J18" s="531"/>
      <c r="K18" s="531"/>
      <c r="L18" s="531"/>
      <c r="M18" s="532"/>
    </row>
    <row r="19" spans="1:74" ht="14.4" x14ac:dyDescent="0.3">
      <c r="A19" s="239" t="s">
        <v>173</v>
      </c>
      <c r="B19" s="223" t="s">
        <v>977</v>
      </c>
      <c r="C19" s="521" t="s">
        <v>978</v>
      </c>
      <c r="D19" s="519"/>
      <c r="E19" s="223" t="s">
        <v>180</v>
      </c>
      <c r="F19" s="233">
        <v>7.05</v>
      </c>
      <c r="G19" s="311">
        <v>0</v>
      </c>
      <c r="H19" s="233">
        <f>F19*AM19</f>
        <v>0</v>
      </c>
      <c r="I19" s="233">
        <f>F19*AN19</f>
        <v>0</v>
      </c>
      <c r="J19" s="233">
        <f>F19*G19</f>
        <v>0</v>
      </c>
      <c r="K19" s="233">
        <v>0.39600000000000002</v>
      </c>
      <c r="L19" s="233">
        <f>F19*K19</f>
        <v>2.7918000000000003</v>
      </c>
      <c r="M19" s="240" t="s">
        <v>472</v>
      </c>
      <c r="X19" s="233">
        <f>IF(AO19="5",BH19,0)</f>
        <v>0</v>
      </c>
      <c r="Z19" s="233">
        <f>IF(AO19="1",BF19,0)</f>
        <v>0</v>
      </c>
      <c r="AA19" s="233">
        <f>IF(AO19="1",BG19,0)</f>
        <v>0</v>
      </c>
      <c r="AB19" s="233">
        <f>IF(AO19="7",BF19,0)</f>
        <v>0</v>
      </c>
      <c r="AC19" s="233">
        <f>IF(AO19="7",BG19,0)</f>
        <v>0</v>
      </c>
      <c r="AD19" s="233">
        <f>IF(AO19="2",BF19,0)</f>
        <v>0</v>
      </c>
      <c r="AE19" s="233">
        <f>IF(AO19="2",BG19,0)</f>
        <v>0</v>
      </c>
      <c r="AF19" s="233">
        <f>IF(AO19="0",BH19,0)</f>
        <v>0</v>
      </c>
      <c r="AG19" s="230" t="s">
        <v>154</v>
      </c>
      <c r="AH19" s="233">
        <f>IF(AL19=0,J19,0)</f>
        <v>0</v>
      </c>
      <c r="AI19" s="233">
        <f>IF(AL19=12,J19,0)</f>
        <v>0</v>
      </c>
      <c r="AJ19" s="233">
        <f>IF(AL19=21,J19,0)</f>
        <v>0</v>
      </c>
      <c r="AL19" s="233">
        <v>12</v>
      </c>
      <c r="AM19" s="233">
        <f>G19*0</f>
        <v>0</v>
      </c>
      <c r="AN19" s="233">
        <f>G19*(1-0)</f>
        <v>0</v>
      </c>
      <c r="AO19" s="234" t="s">
        <v>157</v>
      </c>
      <c r="AT19" s="233">
        <f>AU19+AV19</f>
        <v>0</v>
      </c>
      <c r="AU19" s="233">
        <f>F19*AM19</f>
        <v>0</v>
      </c>
      <c r="AV19" s="233">
        <f>F19*AN19</f>
        <v>0</v>
      </c>
      <c r="AW19" s="234" t="s">
        <v>162</v>
      </c>
      <c r="AX19" s="234" t="s">
        <v>163</v>
      </c>
      <c r="AY19" s="230" t="s">
        <v>164</v>
      </c>
      <c r="BA19" s="233">
        <f>AU19+AV19</f>
        <v>0</v>
      </c>
      <c r="BB19" s="233">
        <f>G19/(100-BC19)*100</f>
        <v>0</v>
      </c>
      <c r="BC19" s="233">
        <v>0</v>
      </c>
      <c r="BD19" s="233">
        <f>L19</f>
        <v>2.7918000000000003</v>
      </c>
      <c r="BF19" s="233">
        <f>F19*AM19</f>
        <v>0</v>
      </c>
      <c r="BG19" s="233">
        <f>F19*AN19</f>
        <v>0</v>
      </c>
      <c r="BH19" s="233">
        <f>F19*G19</f>
        <v>0</v>
      </c>
      <c r="BI19" s="233"/>
      <c r="BJ19" s="233">
        <v>11</v>
      </c>
      <c r="BU19" s="233" t="e">
        <f>#REF!</f>
        <v>#REF!</v>
      </c>
      <c r="BV19" s="225" t="s">
        <v>978</v>
      </c>
    </row>
    <row r="20" spans="1:74" ht="67.5" customHeight="1" x14ac:dyDescent="0.3">
      <c r="A20" s="241"/>
      <c r="B20" s="242" t="s">
        <v>165</v>
      </c>
      <c r="C20" s="530" t="s">
        <v>2309</v>
      </c>
      <c r="D20" s="531"/>
      <c r="E20" s="531"/>
      <c r="F20" s="531"/>
      <c r="G20" s="531"/>
      <c r="H20" s="531"/>
      <c r="I20" s="531"/>
      <c r="J20" s="531"/>
      <c r="K20" s="531"/>
      <c r="L20" s="531"/>
      <c r="M20" s="532"/>
    </row>
    <row r="21" spans="1:74" ht="14.4" x14ac:dyDescent="0.3">
      <c r="A21" s="239" t="s">
        <v>177</v>
      </c>
      <c r="B21" s="223" t="s">
        <v>185</v>
      </c>
      <c r="C21" s="521" t="s">
        <v>979</v>
      </c>
      <c r="D21" s="519"/>
      <c r="E21" s="223" t="s">
        <v>180</v>
      </c>
      <c r="F21" s="233">
        <v>4.4400000000000004</v>
      </c>
      <c r="G21" s="311">
        <v>0</v>
      </c>
      <c r="H21" s="233">
        <f>F21*AM21</f>
        <v>0</v>
      </c>
      <c r="I21" s="233">
        <f>F21*AN21</f>
        <v>0</v>
      </c>
      <c r="J21" s="233">
        <f>F21*G21</f>
        <v>0</v>
      </c>
      <c r="K21" s="233">
        <v>1.105</v>
      </c>
      <c r="L21" s="233">
        <f>F21*K21</f>
        <v>4.9062000000000001</v>
      </c>
      <c r="M21" s="240" t="s">
        <v>472</v>
      </c>
      <c r="X21" s="233">
        <f>IF(AO21="5",BH21,0)</f>
        <v>0</v>
      </c>
      <c r="Z21" s="233">
        <f>IF(AO21="1",BF21,0)</f>
        <v>0</v>
      </c>
      <c r="AA21" s="233">
        <f>IF(AO21="1",BG21,0)</f>
        <v>0</v>
      </c>
      <c r="AB21" s="233">
        <f>IF(AO21="7",BF21,0)</f>
        <v>0</v>
      </c>
      <c r="AC21" s="233">
        <f>IF(AO21="7",BG21,0)</f>
        <v>0</v>
      </c>
      <c r="AD21" s="233">
        <f>IF(AO21="2",BF21,0)</f>
        <v>0</v>
      </c>
      <c r="AE21" s="233">
        <f>IF(AO21="2",BG21,0)</f>
        <v>0</v>
      </c>
      <c r="AF21" s="233">
        <f>IF(AO21="0",BH21,0)</f>
        <v>0</v>
      </c>
      <c r="AG21" s="230" t="s">
        <v>154</v>
      </c>
      <c r="AH21" s="233">
        <f>IF(AL21=0,J21,0)</f>
        <v>0</v>
      </c>
      <c r="AI21" s="233">
        <f>IF(AL21=12,J21,0)</f>
        <v>0</v>
      </c>
      <c r="AJ21" s="233">
        <f>IF(AL21=21,J21,0)</f>
        <v>0</v>
      </c>
      <c r="AL21" s="233">
        <v>12</v>
      </c>
      <c r="AM21" s="233">
        <f>G21*0</f>
        <v>0</v>
      </c>
      <c r="AN21" s="233">
        <f>G21*(1-0)</f>
        <v>0</v>
      </c>
      <c r="AO21" s="234" t="s">
        <v>157</v>
      </c>
      <c r="AT21" s="233">
        <f>AU21+AV21</f>
        <v>0</v>
      </c>
      <c r="AU21" s="233">
        <f>F21*AM21</f>
        <v>0</v>
      </c>
      <c r="AV21" s="233">
        <f>F21*AN21</f>
        <v>0</v>
      </c>
      <c r="AW21" s="234" t="s">
        <v>162</v>
      </c>
      <c r="AX21" s="234" t="s">
        <v>163</v>
      </c>
      <c r="AY21" s="230" t="s">
        <v>164</v>
      </c>
      <c r="BA21" s="233">
        <f>AU21+AV21</f>
        <v>0</v>
      </c>
      <c r="BB21" s="233">
        <f>G21/(100-BC21)*100</f>
        <v>0</v>
      </c>
      <c r="BC21" s="233">
        <v>0</v>
      </c>
      <c r="BD21" s="233">
        <f>L21</f>
        <v>4.9062000000000001</v>
      </c>
      <c r="BF21" s="233">
        <f>F21*AM21</f>
        <v>0</v>
      </c>
      <c r="BG21" s="233">
        <f>F21*AN21</f>
        <v>0</v>
      </c>
      <c r="BH21" s="233">
        <f>F21*G21</f>
        <v>0</v>
      </c>
      <c r="BI21" s="233"/>
      <c r="BJ21" s="233">
        <v>11</v>
      </c>
      <c r="BU21" s="233" t="e">
        <f>#REF!</f>
        <v>#REF!</v>
      </c>
      <c r="BV21" s="225" t="s">
        <v>979</v>
      </c>
    </row>
    <row r="22" spans="1:74" ht="121.5" customHeight="1" x14ac:dyDescent="0.3">
      <c r="A22" s="241"/>
      <c r="B22" s="242" t="s">
        <v>165</v>
      </c>
      <c r="C22" s="530" t="s">
        <v>2310</v>
      </c>
      <c r="D22" s="531"/>
      <c r="E22" s="531"/>
      <c r="F22" s="531"/>
      <c r="G22" s="531"/>
      <c r="H22" s="531"/>
      <c r="I22" s="531"/>
      <c r="J22" s="531"/>
      <c r="K22" s="531"/>
      <c r="L22" s="531"/>
      <c r="M22" s="532"/>
    </row>
    <row r="23" spans="1:74" ht="14.4" x14ac:dyDescent="0.3">
      <c r="A23" s="239" t="s">
        <v>154</v>
      </c>
      <c r="B23" s="224" t="s">
        <v>191</v>
      </c>
      <c r="C23" s="526" t="s">
        <v>192</v>
      </c>
      <c r="D23" s="527"/>
      <c r="E23" s="223" t="s">
        <v>114</v>
      </c>
      <c r="F23" s="223" t="s">
        <v>114</v>
      </c>
      <c r="G23" s="223" t="s">
        <v>114</v>
      </c>
      <c r="H23" s="235">
        <f>SUM(H24:H24)</f>
        <v>0</v>
      </c>
      <c r="I23" s="235">
        <f>SUM(I24:I24)</f>
        <v>0</v>
      </c>
      <c r="J23" s="235">
        <f>SUM(J24:J24)</f>
        <v>0</v>
      </c>
      <c r="K23" s="230" t="s">
        <v>154</v>
      </c>
      <c r="L23" s="235">
        <f>SUM(L24:L24)</f>
        <v>0</v>
      </c>
      <c r="M23" s="243" t="s">
        <v>154</v>
      </c>
      <c r="AG23" s="230" t="s">
        <v>154</v>
      </c>
      <c r="AQ23" s="235">
        <f>SUM(AH24:AH24)</f>
        <v>0</v>
      </c>
      <c r="AR23" s="235">
        <f>SUM(AI24:AI24)</f>
        <v>0</v>
      </c>
      <c r="AS23" s="235">
        <f>SUM(AJ24:AJ24)</f>
        <v>0</v>
      </c>
    </row>
    <row r="24" spans="1:74" ht="14.4" x14ac:dyDescent="0.3">
      <c r="A24" s="239" t="s">
        <v>181</v>
      </c>
      <c r="B24" s="223" t="s">
        <v>194</v>
      </c>
      <c r="C24" s="521" t="s">
        <v>195</v>
      </c>
      <c r="D24" s="519"/>
      <c r="E24" s="223" t="s">
        <v>196</v>
      </c>
      <c r="F24" s="233">
        <v>1.48</v>
      </c>
      <c r="G24" s="311">
        <v>0</v>
      </c>
      <c r="H24" s="233">
        <f>F24*AM24</f>
        <v>0</v>
      </c>
      <c r="I24" s="233">
        <f>F24*AN24</f>
        <v>0</v>
      </c>
      <c r="J24" s="233">
        <f>F24*G24</f>
        <v>0</v>
      </c>
      <c r="K24" s="233">
        <v>0</v>
      </c>
      <c r="L24" s="233">
        <f>F24*K24</f>
        <v>0</v>
      </c>
      <c r="M24" s="240" t="s">
        <v>472</v>
      </c>
      <c r="X24" s="233">
        <f>IF(AO24="5",BH24,0)</f>
        <v>0</v>
      </c>
      <c r="Z24" s="233">
        <f>IF(AO24="1",BF24,0)</f>
        <v>0</v>
      </c>
      <c r="AA24" s="233">
        <f>IF(AO24="1",BG24,0)</f>
        <v>0</v>
      </c>
      <c r="AB24" s="233">
        <f>IF(AO24="7",BF24,0)</f>
        <v>0</v>
      </c>
      <c r="AC24" s="233">
        <f>IF(AO24="7",BG24,0)</f>
        <v>0</v>
      </c>
      <c r="AD24" s="233">
        <f>IF(AO24="2",BF24,0)</f>
        <v>0</v>
      </c>
      <c r="AE24" s="233">
        <f>IF(AO24="2",BG24,0)</f>
        <v>0</v>
      </c>
      <c r="AF24" s="233">
        <f>IF(AO24="0",BH24,0)</f>
        <v>0</v>
      </c>
      <c r="AG24" s="230" t="s">
        <v>154</v>
      </c>
      <c r="AH24" s="233">
        <f>IF(AL24=0,J24,0)</f>
        <v>0</v>
      </c>
      <c r="AI24" s="233">
        <f>IF(AL24=12,J24,0)</f>
        <v>0</v>
      </c>
      <c r="AJ24" s="233">
        <f>IF(AL24=21,J24,0)</f>
        <v>0</v>
      </c>
      <c r="AL24" s="233">
        <v>12</v>
      </c>
      <c r="AM24" s="233">
        <f>G24*0</f>
        <v>0</v>
      </c>
      <c r="AN24" s="233">
        <f>G24*(1-0)</f>
        <v>0</v>
      </c>
      <c r="AO24" s="234" t="s">
        <v>157</v>
      </c>
      <c r="AT24" s="233">
        <f>AU24+AV24</f>
        <v>0</v>
      </c>
      <c r="AU24" s="233">
        <f>F24*AM24</f>
        <v>0</v>
      </c>
      <c r="AV24" s="233">
        <f>F24*AN24</f>
        <v>0</v>
      </c>
      <c r="AW24" s="234" t="s">
        <v>197</v>
      </c>
      <c r="AX24" s="234" t="s">
        <v>163</v>
      </c>
      <c r="AY24" s="230" t="s">
        <v>164</v>
      </c>
      <c r="BA24" s="233">
        <f>AU24+AV24</f>
        <v>0</v>
      </c>
      <c r="BB24" s="233">
        <f>G24/(100-BC24)*100</f>
        <v>0</v>
      </c>
      <c r="BC24" s="233">
        <v>0</v>
      </c>
      <c r="BD24" s="233">
        <f>L24</f>
        <v>0</v>
      </c>
      <c r="BF24" s="233">
        <f>F24*AM24</f>
        <v>0</v>
      </c>
      <c r="BG24" s="233">
        <f>F24*AN24</f>
        <v>0</v>
      </c>
      <c r="BH24" s="233">
        <f>F24*G24</f>
        <v>0</v>
      </c>
      <c r="BI24" s="233"/>
      <c r="BJ24" s="233">
        <v>12</v>
      </c>
      <c r="BU24" s="233" t="e">
        <f>#REF!</f>
        <v>#REF!</v>
      </c>
      <c r="BV24" s="225" t="s">
        <v>195</v>
      </c>
    </row>
    <row r="25" spans="1:74" ht="40.5" customHeight="1" x14ac:dyDescent="0.3">
      <c r="A25" s="244"/>
      <c r="B25" s="245" t="s">
        <v>165</v>
      </c>
      <c r="C25" s="540" t="s">
        <v>2311</v>
      </c>
      <c r="D25" s="541"/>
      <c r="E25" s="541"/>
      <c r="F25" s="541"/>
      <c r="G25" s="541"/>
      <c r="H25" s="541"/>
      <c r="I25" s="541"/>
      <c r="J25" s="541"/>
      <c r="K25" s="541"/>
      <c r="L25" s="541"/>
      <c r="M25" s="542"/>
    </row>
    <row r="26" spans="1:74" ht="14.4" x14ac:dyDescent="0.3">
      <c r="A26" s="237" t="s">
        <v>154</v>
      </c>
      <c r="B26" s="260" t="s">
        <v>201</v>
      </c>
      <c r="C26" s="545" t="s">
        <v>202</v>
      </c>
      <c r="D26" s="546"/>
      <c r="E26" s="238" t="s">
        <v>114</v>
      </c>
      <c r="F26" s="238" t="s">
        <v>114</v>
      </c>
      <c r="G26" s="238" t="s">
        <v>114</v>
      </c>
      <c r="H26" s="261">
        <f>SUM(H27:H37)</f>
        <v>0</v>
      </c>
      <c r="I26" s="261">
        <f>SUM(I27:I37)</f>
        <v>0</v>
      </c>
      <c r="J26" s="261">
        <f>SUM(J27:J37)</f>
        <v>0</v>
      </c>
      <c r="K26" s="262" t="s">
        <v>154</v>
      </c>
      <c r="L26" s="261">
        <f>SUM(L27:L37)</f>
        <v>0</v>
      </c>
      <c r="M26" s="263" t="s">
        <v>154</v>
      </c>
      <c r="AG26" s="230" t="s">
        <v>154</v>
      </c>
      <c r="AQ26" s="235">
        <f>SUM(AH27:AH37)</f>
        <v>0</v>
      </c>
      <c r="AR26" s="235">
        <f>SUM(AI27:AI37)</f>
        <v>0</v>
      </c>
      <c r="AS26" s="235">
        <f>SUM(AJ27:AJ37)</f>
        <v>0</v>
      </c>
    </row>
    <row r="27" spans="1:74" ht="14.4" x14ac:dyDescent="0.3">
      <c r="A27" s="239" t="s">
        <v>184</v>
      </c>
      <c r="B27" s="223" t="s">
        <v>203</v>
      </c>
      <c r="C27" s="521" t="s">
        <v>204</v>
      </c>
      <c r="D27" s="519"/>
      <c r="E27" s="223" t="s">
        <v>196</v>
      </c>
      <c r="F27" s="233">
        <v>22.18</v>
      </c>
      <c r="G27" s="311">
        <v>0</v>
      </c>
      <c r="H27" s="233">
        <f>F27*AM27</f>
        <v>0</v>
      </c>
      <c r="I27" s="233">
        <f>F27*AN27</f>
        <v>0</v>
      </c>
      <c r="J27" s="233">
        <f>F27*G27</f>
        <v>0</v>
      </c>
      <c r="K27" s="233">
        <v>0</v>
      </c>
      <c r="L27" s="233">
        <f>F27*K27</f>
        <v>0</v>
      </c>
      <c r="M27" s="240" t="s">
        <v>472</v>
      </c>
      <c r="X27" s="233">
        <f>IF(AO27="5",BH27,0)</f>
        <v>0</v>
      </c>
      <c r="Z27" s="233">
        <f>IF(AO27="1",BF27,0)</f>
        <v>0</v>
      </c>
      <c r="AA27" s="233">
        <f>IF(AO27="1",BG27,0)</f>
        <v>0</v>
      </c>
      <c r="AB27" s="233">
        <f>IF(AO27="7",BF27,0)</f>
        <v>0</v>
      </c>
      <c r="AC27" s="233">
        <f>IF(AO27="7",BG27,0)</f>
        <v>0</v>
      </c>
      <c r="AD27" s="233">
        <f>IF(AO27="2",BF27,0)</f>
        <v>0</v>
      </c>
      <c r="AE27" s="233">
        <f>IF(AO27="2",BG27,0)</f>
        <v>0</v>
      </c>
      <c r="AF27" s="233">
        <f>IF(AO27="0",BH27,0)</f>
        <v>0</v>
      </c>
      <c r="AG27" s="230" t="s">
        <v>154</v>
      </c>
      <c r="AH27" s="233">
        <f>IF(AL27=0,J27,0)</f>
        <v>0</v>
      </c>
      <c r="AI27" s="233">
        <f>IF(AL27=12,J27,0)</f>
        <v>0</v>
      </c>
      <c r="AJ27" s="233">
        <f>IF(AL27=21,J27,0)</f>
        <v>0</v>
      </c>
      <c r="AL27" s="233">
        <v>12</v>
      </c>
      <c r="AM27" s="233">
        <f>G27*0</f>
        <v>0</v>
      </c>
      <c r="AN27" s="233">
        <f>G27*(1-0)</f>
        <v>0</v>
      </c>
      <c r="AO27" s="234" t="s">
        <v>157</v>
      </c>
      <c r="AT27" s="233">
        <f>AU27+AV27</f>
        <v>0</v>
      </c>
      <c r="AU27" s="233">
        <f>F27*AM27</f>
        <v>0</v>
      </c>
      <c r="AV27" s="233">
        <f>F27*AN27</f>
        <v>0</v>
      </c>
      <c r="AW27" s="234" t="s">
        <v>205</v>
      </c>
      <c r="AX27" s="234" t="s">
        <v>163</v>
      </c>
      <c r="AY27" s="230" t="s">
        <v>164</v>
      </c>
      <c r="BA27" s="233">
        <f>AU27+AV27</f>
        <v>0</v>
      </c>
      <c r="BB27" s="233">
        <f>G27/(100-BC27)*100</f>
        <v>0</v>
      </c>
      <c r="BC27" s="233">
        <v>0</v>
      </c>
      <c r="BD27" s="233">
        <f>L27</f>
        <v>0</v>
      </c>
      <c r="BF27" s="233">
        <f>F27*AM27</f>
        <v>0</v>
      </c>
      <c r="BG27" s="233">
        <f>F27*AN27</f>
        <v>0</v>
      </c>
      <c r="BH27" s="233">
        <f>F27*G27</f>
        <v>0</v>
      </c>
      <c r="BI27" s="233"/>
      <c r="BJ27" s="233">
        <v>13</v>
      </c>
      <c r="BU27" s="233" t="e">
        <f>#REF!</f>
        <v>#REF!</v>
      </c>
      <c r="BV27" s="225" t="s">
        <v>204</v>
      </c>
    </row>
    <row r="28" spans="1:74" ht="94.5" customHeight="1" x14ac:dyDescent="0.3">
      <c r="A28" s="241"/>
      <c r="B28" s="242" t="s">
        <v>165</v>
      </c>
      <c r="C28" s="530" t="s">
        <v>2312</v>
      </c>
      <c r="D28" s="531"/>
      <c r="E28" s="531"/>
      <c r="F28" s="531"/>
      <c r="G28" s="531"/>
      <c r="H28" s="531"/>
      <c r="I28" s="531"/>
      <c r="J28" s="531"/>
      <c r="K28" s="531"/>
      <c r="L28" s="531"/>
      <c r="M28" s="532"/>
    </row>
    <row r="29" spans="1:74" ht="14.4" x14ac:dyDescent="0.3">
      <c r="A29" s="239" t="s">
        <v>187</v>
      </c>
      <c r="B29" s="223" t="s">
        <v>206</v>
      </c>
      <c r="C29" s="521" t="s">
        <v>481</v>
      </c>
      <c r="D29" s="519"/>
      <c r="E29" s="223" t="s">
        <v>196</v>
      </c>
      <c r="F29" s="233">
        <v>11.09</v>
      </c>
      <c r="G29" s="311">
        <v>0</v>
      </c>
      <c r="H29" s="233">
        <f>F29*AM29</f>
        <v>0</v>
      </c>
      <c r="I29" s="233">
        <f>F29*AN29</f>
        <v>0</v>
      </c>
      <c r="J29" s="233">
        <f>F29*G29</f>
        <v>0</v>
      </c>
      <c r="K29" s="233">
        <v>0</v>
      </c>
      <c r="L29" s="233">
        <f>F29*K29</f>
        <v>0</v>
      </c>
      <c r="M29" s="240" t="s">
        <v>472</v>
      </c>
      <c r="X29" s="233">
        <f>IF(AO29="5",BH29,0)</f>
        <v>0</v>
      </c>
      <c r="Z29" s="233">
        <f>IF(AO29="1",BF29,0)</f>
        <v>0</v>
      </c>
      <c r="AA29" s="233">
        <f>IF(AO29="1",BG29,0)</f>
        <v>0</v>
      </c>
      <c r="AB29" s="233">
        <f>IF(AO29="7",BF29,0)</f>
        <v>0</v>
      </c>
      <c r="AC29" s="233">
        <f>IF(AO29="7",BG29,0)</f>
        <v>0</v>
      </c>
      <c r="AD29" s="233">
        <f>IF(AO29="2",BF29,0)</f>
        <v>0</v>
      </c>
      <c r="AE29" s="233">
        <f>IF(AO29="2",BG29,0)</f>
        <v>0</v>
      </c>
      <c r="AF29" s="233">
        <f>IF(AO29="0",BH29,0)</f>
        <v>0</v>
      </c>
      <c r="AG29" s="230" t="s">
        <v>154</v>
      </c>
      <c r="AH29" s="233">
        <f>IF(AL29=0,J29,0)</f>
        <v>0</v>
      </c>
      <c r="AI29" s="233">
        <f>IF(AL29=12,J29,0)</f>
        <v>0</v>
      </c>
      <c r="AJ29" s="233">
        <f>IF(AL29=21,J29,0)</f>
        <v>0</v>
      </c>
      <c r="AL29" s="233">
        <v>12</v>
      </c>
      <c r="AM29" s="233">
        <f>G29*0</f>
        <v>0</v>
      </c>
      <c r="AN29" s="233">
        <f>G29*(1-0)</f>
        <v>0</v>
      </c>
      <c r="AO29" s="234" t="s">
        <v>157</v>
      </c>
      <c r="AT29" s="233">
        <f>AU29+AV29</f>
        <v>0</v>
      </c>
      <c r="AU29" s="233">
        <f>F29*AM29</f>
        <v>0</v>
      </c>
      <c r="AV29" s="233">
        <f>F29*AN29</f>
        <v>0</v>
      </c>
      <c r="AW29" s="234" t="s">
        <v>205</v>
      </c>
      <c r="AX29" s="234" t="s">
        <v>163</v>
      </c>
      <c r="AY29" s="230" t="s">
        <v>164</v>
      </c>
      <c r="BA29" s="233">
        <f>AU29+AV29</f>
        <v>0</v>
      </c>
      <c r="BB29" s="233">
        <f>G29/(100-BC29)*100</f>
        <v>0</v>
      </c>
      <c r="BC29" s="233">
        <v>0</v>
      </c>
      <c r="BD29" s="233">
        <f>L29</f>
        <v>0</v>
      </c>
      <c r="BF29" s="233">
        <f>F29*AM29</f>
        <v>0</v>
      </c>
      <c r="BG29" s="233">
        <f>F29*AN29</f>
        <v>0</v>
      </c>
      <c r="BH29" s="233">
        <f>F29*G29</f>
        <v>0</v>
      </c>
      <c r="BI29" s="233"/>
      <c r="BJ29" s="233">
        <v>13</v>
      </c>
      <c r="BU29" s="233" t="e">
        <f>#REF!</f>
        <v>#REF!</v>
      </c>
      <c r="BV29" s="225" t="s">
        <v>481</v>
      </c>
    </row>
    <row r="30" spans="1:74" ht="40.5" customHeight="1" x14ac:dyDescent="0.3">
      <c r="A30" s="241"/>
      <c r="B30" s="242" t="s">
        <v>165</v>
      </c>
      <c r="C30" s="530" t="s">
        <v>2313</v>
      </c>
      <c r="D30" s="531"/>
      <c r="E30" s="531"/>
      <c r="F30" s="531"/>
      <c r="G30" s="531"/>
      <c r="H30" s="531"/>
      <c r="I30" s="531"/>
      <c r="J30" s="531"/>
      <c r="K30" s="531"/>
      <c r="L30" s="531"/>
      <c r="M30" s="532"/>
    </row>
    <row r="31" spans="1:74" ht="14.4" x14ac:dyDescent="0.3">
      <c r="A31" s="239" t="s">
        <v>193</v>
      </c>
      <c r="B31" s="223" t="s">
        <v>208</v>
      </c>
      <c r="C31" s="521" t="s">
        <v>209</v>
      </c>
      <c r="D31" s="519"/>
      <c r="E31" s="223" t="s">
        <v>196</v>
      </c>
      <c r="F31" s="233">
        <v>14.79</v>
      </c>
      <c r="G31" s="311">
        <v>0</v>
      </c>
      <c r="H31" s="233">
        <f>F31*AM31</f>
        <v>0</v>
      </c>
      <c r="I31" s="233">
        <f>F31*AN31</f>
        <v>0</v>
      </c>
      <c r="J31" s="233">
        <f>F31*G31</f>
        <v>0</v>
      </c>
      <c r="K31" s="233">
        <v>0</v>
      </c>
      <c r="L31" s="233">
        <f>F31*K31</f>
        <v>0</v>
      </c>
      <c r="M31" s="240" t="s">
        <v>472</v>
      </c>
      <c r="X31" s="233">
        <f>IF(AO31="5",BH31,0)</f>
        <v>0</v>
      </c>
      <c r="Z31" s="233">
        <f>IF(AO31="1",BF31,0)</f>
        <v>0</v>
      </c>
      <c r="AA31" s="233">
        <f>IF(AO31="1",BG31,0)</f>
        <v>0</v>
      </c>
      <c r="AB31" s="233">
        <f>IF(AO31="7",BF31,0)</f>
        <v>0</v>
      </c>
      <c r="AC31" s="233">
        <f>IF(AO31="7",BG31,0)</f>
        <v>0</v>
      </c>
      <c r="AD31" s="233">
        <f>IF(AO31="2",BF31,0)</f>
        <v>0</v>
      </c>
      <c r="AE31" s="233">
        <f>IF(AO31="2",BG31,0)</f>
        <v>0</v>
      </c>
      <c r="AF31" s="233">
        <f>IF(AO31="0",BH31,0)</f>
        <v>0</v>
      </c>
      <c r="AG31" s="230" t="s">
        <v>154</v>
      </c>
      <c r="AH31" s="233">
        <f>IF(AL31=0,J31,0)</f>
        <v>0</v>
      </c>
      <c r="AI31" s="233">
        <f>IF(AL31=12,J31,0)</f>
        <v>0</v>
      </c>
      <c r="AJ31" s="233">
        <f>IF(AL31=21,J31,0)</f>
        <v>0</v>
      </c>
      <c r="AL31" s="233">
        <v>12</v>
      </c>
      <c r="AM31" s="233">
        <f>G31*0</f>
        <v>0</v>
      </c>
      <c r="AN31" s="233">
        <f>G31*(1-0)</f>
        <v>0</v>
      </c>
      <c r="AO31" s="234" t="s">
        <v>157</v>
      </c>
      <c r="AT31" s="233">
        <f>AU31+AV31</f>
        <v>0</v>
      </c>
      <c r="AU31" s="233">
        <f>F31*AM31</f>
        <v>0</v>
      </c>
      <c r="AV31" s="233">
        <f>F31*AN31</f>
        <v>0</v>
      </c>
      <c r="AW31" s="234" t="s">
        <v>205</v>
      </c>
      <c r="AX31" s="234" t="s">
        <v>163</v>
      </c>
      <c r="AY31" s="230" t="s">
        <v>164</v>
      </c>
      <c r="BA31" s="233">
        <f>AU31+AV31</f>
        <v>0</v>
      </c>
      <c r="BB31" s="233">
        <f>G31/(100-BC31)*100</f>
        <v>0</v>
      </c>
      <c r="BC31" s="233">
        <v>0</v>
      </c>
      <c r="BD31" s="233">
        <f>L31</f>
        <v>0</v>
      </c>
      <c r="BF31" s="233">
        <f>F31*AM31</f>
        <v>0</v>
      </c>
      <c r="BG31" s="233">
        <f>F31*AN31</f>
        <v>0</v>
      </c>
      <c r="BH31" s="233">
        <f>F31*G31</f>
        <v>0</v>
      </c>
      <c r="BI31" s="233"/>
      <c r="BJ31" s="233">
        <v>13</v>
      </c>
      <c r="BU31" s="233" t="e">
        <f>#REF!</f>
        <v>#REF!</v>
      </c>
      <c r="BV31" s="225" t="s">
        <v>209</v>
      </c>
    </row>
    <row r="32" spans="1:74" ht="94.5" customHeight="1" x14ac:dyDescent="0.3">
      <c r="A32" s="241"/>
      <c r="B32" s="242" t="s">
        <v>165</v>
      </c>
      <c r="C32" s="530" t="s">
        <v>2314</v>
      </c>
      <c r="D32" s="531"/>
      <c r="E32" s="531"/>
      <c r="F32" s="531"/>
      <c r="G32" s="531"/>
      <c r="H32" s="531"/>
      <c r="I32" s="531"/>
      <c r="J32" s="531"/>
      <c r="K32" s="531"/>
      <c r="L32" s="531"/>
      <c r="M32" s="532"/>
    </row>
    <row r="33" spans="1:74" ht="14.4" x14ac:dyDescent="0.3">
      <c r="A33" s="239" t="s">
        <v>198</v>
      </c>
      <c r="B33" s="223" t="s">
        <v>211</v>
      </c>
      <c r="C33" s="521" t="s">
        <v>482</v>
      </c>
      <c r="D33" s="519"/>
      <c r="E33" s="223" t="s">
        <v>196</v>
      </c>
      <c r="F33" s="233">
        <v>3.7</v>
      </c>
      <c r="G33" s="311">
        <v>0</v>
      </c>
      <c r="H33" s="233">
        <f>F33*AM33</f>
        <v>0</v>
      </c>
      <c r="I33" s="233">
        <f>F33*AN33</f>
        <v>0</v>
      </c>
      <c r="J33" s="233">
        <f>F33*G33</f>
        <v>0</v>
      </c>
      <c r="K33" s="233">
        <v>0</v>
      </c>
      <c r="L33" s="233">
        <f>F33*K33</f>
        <v>0</v>
      </c>
      <c r="M33" s="240" t="s">
        <v>472</v>
      </c>
      <c r="X33" s="233">
        <f>IF(AO33="5",BH33,0)</f>
        <v>0</v>
      </c>
      <c r="Z33" s="233">
        <f>IF(AO33="1",BF33,0)</f>
        <v>0</v>
      </c>
      <c r="AA33" s="233">
        <f>IF(AO33="1",BG33,0)</f>
        <v>0</v>
      </c>
      <c r="AB33" s="233">
        <f>IF(AO33="7",BF33,0)</f>
        <v>0</v>
      </c>
      <c r="AC33" s="233">
        <f>IF(AO33="7",BG33,0)</f>
        <v>0</v>
      </c>
      <c r="AD33" s="233">
        <f>IF(AO33="2",BF33,0)</f>
        <v>0</v>
      </c>
      <c r="AE33" s="233">
        <f>IF(AO33="2",BG33,0)</f>
        <v>0</v>
      </c>
      <c r="AF33" s="233">
        <f>IF(AO33="0",BH33,0)</f>
        <v>0</v>
      </c>
      <c r="AG33" s="230" t="s">
        <v>154</v>
      </c>
      <c r="AH33" s="233">
        <f>IF(AL33=0,J33,0)</f>
        <v>0</v>
      </c>
      <c r="AI33" s="233">
        <f>IF(AL33=12,J33,0)</f>
        <v>0</v>
      </c>
      <c r="AJ33" s="233">
        <f>IF(AL33=21,J33,0)</f>
        <v>0</v>
      </c>
      <c r="AL33" s="233">
        <v>12</v>
      </c>
      <c r="AM33" s="233">
        <f>G33*0</f>
        <v>0</v>
      </c>
      <c r="AN33" s="233">
        <f>G33*(1-0)</f>
        <v>0</v>
      </c>
      <c r="AO33" s="234" t="s">
        <v>157</v>
      </c>
      <c r="AT33" s="233">
        <f>AU33+AV33</f>
        <v>0</v>
      </c>
      <c r="AU33" s="233">
        <f>F33*AM33</f>
        <v>0</v>
      </c>
      <c r="AV33" s="233">
        <f>F33*AN33</f>
        <v>0</v>
      </c>
      <c r="AW33" s="234" t="s">
        <v>205</v>
      </c>
      <c r="AX33" s="234" t="s">
        <v>163</v>
      </c>
      <c r="AY33" s="230" t="s">
        <v>164</v>
      </c>
      <c r="BA33" s="233">
        <f>AU33+AV33</f>
        <v>0</v>
      </c>
      <c r="BB33" s="233">
        <f>G33/(100-BC33)*100</f>
        <v>0</v>
      </c>
      <c r="BC33" s="233">
        <v>0</v>
      </c>
      <c r="BD33" s="233">
        <f>L33</f>
        <v>0</v>
      </c>
      <c r="BF33" s="233">
        <f>F33*AM33</f>
        <v>0</v>
      </c>
      <c r="BG33" s="233">
        <f>F33*AN33</f>
        <v>0</v>
      </c>
      <c r="BH33" s="233">
        <f>F33*G33</f>
        <v>0</v>
      </c>
      <c r="BI33" s="233"/>
      <c r="BJ33" s="233">
        <v>13</v>
      </c>
      <c r="BU33" s="233" t="e">
        <f>#REF!</f>
        <v>#REF!</v>
      </c>
      <c r="BV33" s="225" t="s">
        <v>482</v>
      </c>
    </row>
    <row r="34" spans="1:74" ht="40.5" customHeight="1" x14ac:dyDescent="0.3">
      <c r="A34" s="241"/>
      <c r="B34" s="242" t="s">
        <v>165</v>
      </c>
      <c r="C34" s="530" t="s">
        <v>2315</v>
      </c>
      <c r="D34" s="531"/>
      <c r="E34" s="531"/>
      <c r="F34" s="531"/>
      <c r="G34" s="531"/>
      <c r="H34" s="531"/>
      <c r="I34" s="531"/>
      <c r="J34" s="531"/>
      <c r="K34" s="531"/>
      <c r="L34" s="531"/>
      <c r="M34" s="532"/>
    </row>
    <row r="35" spans="1:74" ht="14.4" x14ac:dyDescent="0.3">
      <c r="A35" s="239" t="s">
        <v>155</v>
      </c>
      <c r="B35" s="223" t="s">
        <v>213</v>
      </c>
      <c r="C35" s="521" t="s">
        <v>214</v>
      </c>
      <c r="D35" s="519"/>
      <c r="E35" s="223" t="s">
        <v>196</v>
      </c>
      <c r="F35" s="233">
        <v>1</v>
      </c>
      <c r="G35" s="311">
        <v>0</v>
      </c>
      <c r="H35" s="233">
        <f>F35*AM35</f>
        <v>0</v>
      </c>
      <c r="I35" s="233">
        <f>F35*AN35</f>
        <v>0</v>
      </c>
      <c r="J35" s="233">
        <f>F35*G35</f>
        <v>0</v>
      </c>
      <c r="K35" s="233">
        <v>0</v>
      </c>
      <c r="L35" s="233">
        <f>F35*K35</f>
        <v>0</v>
      </c>
      <c r="M35" s="240" t="s">
        <v>472</v>
      </c>
      <c r="X35" s="233">
        <f>IF(AO35="5",BH35,0)</f>
        <v>0</v>
      </c>
      <c r="Z35" s="233">
        <f>IF(AO35="1",BF35,0)</f>
        <v>0</v>
      </c>
      <c r="AA35" s="233">
        <f>IF(AO35="1",BG35,0)</f>
        <v>0</v>
      </c>
      <c r="AB35" s="233">
        <f>IF(AO35="7",BF35,0)</f>
        <v>0</v>
      </c>
      <c r="AC35" s="233">
        <f>IF(AO35="7",BG35,0)</f>
        <v>0</v>
      </c>
      <c r="AD35" s="233">
        <f>IF(AO35="2",BF35,0)</f>
        <v>0</v>
      </c>
      <c r="AE35" s="233">
        <f>IF(AO35="2",BG35,0)</f>
        <v>0</v>
      </c>
      <c r="AF35" s="233">
        <f>IF(AO35="0",BH35,0)</f>
        <v>0</v>
      </c>
      <c r="AG35" s="230" t="s">
        <v>154</v>
      </c>
      <c r="AH35" s="233">
        <f>IF(AL35=0,J35,0)</f>
        <v>0</v>
      </c>
      <c r="AI35" s="233">
        <f>IF(AL35=12,J35,0)</f>
        <v>0</v>
      </c>
      <c r="AJ35" s="233">
        <f>IF(AL35=21,J35,0)</f>
        <v>0</v>
      </c>
      <c r="AL35" s="233">
        <v>12</v>
      </c>
      <c r="AM35" s="233">
        <f>G35*0</f>
        <v>0</v>
      </c>
      <c r="AN35" s="233">
        <f>G35*(1-0)</f>
        <v>0</v>
      </c>
      <c r="AO35" s="234" t="s">
        <v>157</v>
      </c>
      <c r="AT35" s="233">
        <f>AU35+AV35</f>
        <v>0</v>
      </c>
      <c r="AU35" s="233">
        <f>F35*AM35</f>
        <v>0</v>
      </c>
      <c r="AV35" s="233">
        <f>F35*AN35</f>
        <v>0</v>
      </c>
      <c r="AW35" s="234" t="s">
        <v>205</v>
      </c>
      <c r="AX35" s="234" t="s">
        <v>163</v>
      </c>
      <c r="AY35" s="230" t="s">
        <v>164</v>
      </c>
      <c r="BA35" s="233">
        <f>AU35+AV35</f>
        <v>0</v>
      </c>
      <c r="BB35" s="233">
        <f>G35/(100-BC35)*100</f>
        <v>0</v>
      </c>
      <c r="BC35" s="233">
        <v>0</v>
      </c>
      <c r="BD35" s="233">
        <f>L35</f>
        <v>0</v>
      </c>
      <c r="BF35" s="233">
        <f>F35*AM35</f>
        <v>0</v>
      </c>
      <c r="BG35" s="233">
        <f>F35*AN35</f>
        <v>0</v>
      </c>
      <c r="BH35" s="233">
        <f>F35*G35</f>
        <v>0</v>
      </c>
      <c r="BI35" s="233"/>
      <c r="BJ35" s="233">
        <v>13</v>
      </c>
      <c r="BU35" s="233" t="e">
        <f>#REF!</f>
        <v>#REF!</v>
      </c>
      <c r="BV35" s="225" t="s">
        <v>214</v>
      </c>
    </row>
    <row r="36" spans="1:74" ht="81" customHeight="1" x14ac:dyDescent="0.3">
      <c r="A36" s="241"/>
      <c r="B36" s="242" t="s">
        <v>165</v>
      </c>
      <c r="C36" s="530" t="s">
        <v>2316</v>
      </c>
      <c r="D36" s="531"/>
      <c r="E36" s="531"/>
      <c r="F36" s="531"/>
      <c r="G36" s="531"/>
      <c r="H36" s="531"/>
      <c r="I36" s="531"/>
      <c r="J36" s="531"/>
      <c r="K36" s="531"/>
      <c r="L36" s="531"/>
      <c r="M36" s="532"/>
    </row>
    <row r="37" spans="1:74" ht="14.4" x14ac:dyDescent="0.3">
      <c r="A37" s="239" t="s">
        <v>191</v>
      </c>
      <c r="B37" s="223" t="s">
        <v>216</v>
      </c>
      <c r="C37" s="521" t="s">
        <v>217</v>
      </c>
      <c r="D37" s="519"/>
      <c r="E37" s="223" t="s">
        <v>196</v>
      </c>
      <c r="F37" s="233">
        <v>0.5</v>
      </c>
      <c r="G37" s="311">
        <v>0</v>
      </c>
      <c r="H37" s="233">
        <f>F37*AM37</f>
        <v>0</v>
      </c>
      <c r="I37" s="233">
        <f>F37*AN37</f>
        <v>0</v>
      </c>
      <c r="J37" s="233">
        <f>F37*G37</f>
        <v>0</v>
      </c>
      <c r="K37" s="233">
        <v>0</v>
      </c>
      <c r="L37" s="233">
        <f>F37*K37</f>
        <v>0</v>
      </c>
      <c r="M37" s="240" t="s">
        <v>472</v>
      </c>
      <c r="X37" s="233">
        <f>IF(AO37="5",BH37,0)</f>
        <v>0</v>
      </c>
      <c r="Z37" s="233">
        <f>IF(AO37="1",BF37,0)</f>
        <v>0</v>
      </c>
      <c r="AA37" s="233">
        <f>IF(AO37="1",BG37,0)</f>
        <v>0</v>
      </c>
      <c r="AB37" s="233">
        <f>IF(AO37="7",BF37,0)</f>
        <v>0</v>
      </c>
      <c r="AC37" s="233">
        <f>IF(AO37="7",BG37,0)</f>
        <v>0</v>
      </c>
      <c r="AD37" s="233">
        <f>IF(AO37="2",BF37,0)</f>
        <v>0</v>
      </c>
      <c r="AE37" s="233">
        <f>IF(AO37="2",BG37,0)</f>
        <v>0</v>
      </c>
      <c r="AF37" s="233">
        <f>IF(AO37="0",BH37,0)</f>
        <v>0</v>
      </c>
      <c r="AG37" s="230" t="s">
        <v>154</v>
      </c>
      <c r="AH37" s="233">
        <f>IF(AL37=0,J37,0)</f>
        <v>0</v>
      </c>
      <c r="AI37" s="233">
        <f>IF(AL37=12,J37,0)</f>
        <v>0</v>
      </c>
      <c r="AJ37" s="233">
        <f>IF(AL37=21,J37,0)</f>
        <v>0</v>
      </c>
      <c r="AL37" s="233">
        <v>12</v>
      </c>
      <c r="AM37" s="233">
        <f>G37*0</f>
        <v>0</v>
      </c>
      <c r="AN37" s="233">
        <f>G37*(1-0)</f>
        <v>0</v>
      </c>
      <c r="AO37" s="234" t="s">
        <v>157</v>
      </c>
      <c r="AT37" s="233">
        <f>AU37+AV37</f>
        <v>0</v>
      </c>
      <c r="AU37" s="233">
        <f>F37*AM37</f>
        <v>0</v>
      </c>
      <c r="AV37" s="233">
        <f>F37*AN37</f>
        <v>0</v>
      </c>
      <c r="AW37" s="234" t="s">
        <v>205</v>
      </c>
      <c r="AX37" s="234" t="s">
        <v>163</v>
      </c>
      <c r="AY37" s="230" t="s">
        <v>164</v>
      </c>
      <c r="BA37" s="233">
        <f>AU37+AV37</f>
        <v>0</v>
      </c>
      <c r="BB37" s="233">
        <f>G37/(100-BC37)*100</f>
        <v>0</v>
      </c>
      <c r="BC37" s="233">
        <v>0</v>
      </c>
      <c r="BD37" s="233">
        <f>L37</f>
        <v>0</v>
      </c>
      <c r="BF37" s="233">
        <f>F37*AM37</f>
        <v>0</v>
      </c>
      <c r="BG37" s="233">
        <f>F37*AN37</f>
        <v>0</v>
      </c>
      <c r="BH37" s="233">
        <f>F37*G37</f>
        <v>0</v>
      </c>
      <c r="BI37" s="233"/>
      <c r="BJ37" s="233">
        <v>13</v>
      </c>
      <c r="BU37" s="233" t="e">
        <f>#REF!</f>
        <v>#REF!</v>
      </c>
      <c r="BV37" s="225" t="s">
        <v>217</v>
      </c>
    </row>
    <row r="38" spans="1:74" ht="13.5" customHeight="1" x14ac:dyDescent="0.3">
      <c r="A38" s="241"/>
      <c r="B38" s="242" t="s">
        <v>165</v>
      </c>
      <c r="C38" s="530" t="s">
        <v>218</v>
      </c>
      <c r="D38" s="531"/>
      <c r="E38" s="531"/>
      <c r="F38" s="531"/>
      <c r="G38" s="531"/>
      <c r="H38" s="531"/>
      <c r="I38" s="531"/>
      <c r="J38" s="531"/>
      <c r="K38" s="531"/>
      <c r="L38" s="531"/>
      <c r="M38" s="532"/>
    </row>
    <row r="39" spans="1:74" ht="14.4" x14ac:dyDescent="0.3">
      <c r="A39" s="239" t="s">
        <v>154</v>
      </c>
      <c r="B39" s="224" t="s">
        <v>161</v>
      </c>
      <c r="C39" s="526" t="s">
        <v>219</v>
      </c>
      <c r="D39" s="527"/>
      <c r="E39" s="223" t="s">
        <v>114</v>
      </c>
      <c r="F39" s="223" t="s">
        <v>114</v>
      </c>
      <c r="G39" s="223" t="s">
        <v>114</v>
      </c>
      <c r="H39" s="235">
        <f>SUM(H40:H42)</f>
        <v>0</v>
      </c>
      <c r="I39" s="235">
        <f>SUM(I40:I42)</f>
        <v>0</v>
      </c>
      <c r="J39" s="235">
        <f>SUM(J40:J42)</f>
        <v>0</v>
      </c>
      <c r="K39" s="230" t="s">
        <v>154</v>
      </c>
      <c r="L39" s="235">
        <f>SUM(L40:L42)</f>
        <v>3.1691000000000004E-2</v>
      </c>
      <c r="M39" s="243" t="s">
        <v>154</v>
      </c>
      <c r="AG39" s="230" t="s">
        <v>154</v>
      </c>
      <c r="AQ39" s="235">
        <f>SUM(AH40:AH42)</f>
        <v>0</v>
      </c>
      <c r="AR39" s="235">
        <f>SUM(AI40:AI42)</f>
        <v>0</v>
      </c>
      <c r="AS39" s="235">
        <f>SUM(AJ40:AJ42)</f>
        <v>0</v>
      </c>
    </row>
    <row r="40" spans="1:74" ht="14.4" x14ac:dyDescent="0.3">
      <c r="A40" s="239" t="s">
        <v>201</v>
      </c>
      <c r="B40" s="223" t="s">
        <v>221</v>
      </c>
      <c r="C40" s="521" t="s">
        <v>222</v>
      </c>
      <c r="D40" s="519"/>
      <c r="E40" s="223" t="s">
        <v>180</v>
      </c>
      <c r="F40" s="233">
        <v>36.85</v>
      </c>
      <c r="G40" s="311">
        <v>0</v>
      </c>
      <c r="H40" s="233">
        <f>F40*AM40</f>
        <v>0</v>
      </c>
      <c r="I40" s="233">
        <f>F40*AN40</f>
        <v>0</v>
      </c>
      <c r="J40" s="233">
        <f>F40*G40</f>
        <v>0</v>
      </c>
      <c r="K40" s="233">
        <v>8.5999999999999998E-4</v>
      </c>
      <c r="L40" s="233">
        <f>F40*K40</f>
        <v>3.1691000000000004E-2</v>
      </c>
      <c r="M40" s="240" t="s">
        <v>472</v>
      </c>
      <c r="X40" s="233">
        <f>IF(AO40="5",BH40,0)</f>
        <v>0</v>
      </c>
      <c r="Z40" s="233">
        <f>IF(AO40="1",BF40,0)</f>
        <v>0</v>
      </c>
      <c r="AA40" s="233">
        <f>IF(AO40="1",BG40,0)</f>
        <v>0</v>
      </c>
      <c r="AB40" s="233">
        <f>IF(AO40="7",BF40,0)</f>
        <v>0</v>
      </c>
      <c r="AC40" s="233">
        <f>IF(AO40="7",BG40,0)</f>
        <v>0</v>
      </c>
      <c r="AD40" s="233">
        <f>IF(AO40="2",BF40,0)</f>
        <v>0</v>
      </c>
      <c r="AE40" s="233">
        <f>IF(AO40="2",BG40,0)</f>
        <v>0</v>
      </c>
      <c r="AF40" s="233">
        <f>IF(AO40="0",BH40,0)</f>
        <v>0</v>
      </c>
      <c r="AG40" s="230" t="s">
        <v>154</v>
      </c>
      <c r="AH40" s="233">
        <f>IF(AL40=0,J40,0)</f>
        <v>0</v>
      </c>
      <c r="AI40" s="233">
        <f>IF(AL40=12,J40,0)</f>
        <v>0</v>
      </c>
      <c r="AJ40" s="233">
        <f>IF(AL40=21,J40,0)</f>
        <v>0</v>
      </c>
      <c r="AL40" s="233">
        <v>12</v>
      </c>
      <c r="AM40" s="233">
        <f>G40*0.083527397</f>
        <v>0</v>
      </c>
      <c r="AN40" s="233">
        <f>G40*(1-0.083527397)</f>
        <v>0</v>
      </c>
      <c r="AO40" s="234" t="s">
        <v>157</v>
      </c>
      <c r="AT40" s="233">
        <f>AU40+AV40</f>
        <v>0</v>
      </c>
      <c r="AU40" s="233">
        <f>F40*AM40</f>
        <v>0</v>
      </c>
      <c r="AV40" s="233">
        <f>F40*AN40</f>
        <v>0</v>
      </c>
      <c r="AW40" s="234" t="s">
        <v>223</v>
      </c>
      <c r="AX40" s="234" t="s">
        <v>163</v>
      </c>
      <c r="AY40" s="230" t="s">
        <v>164</v>
      </c>
      <c r="BA40" s="233">
        <f>AU40+AV40</f>
        <v>0</v>
      </c>
      <c r="BB40" s="233">
        <f>G40/(100-BC40)*100</f>
        <v>0</v>
      </c>
      <c r="BC40" s="233">
        <v>0</v>
      </c>
      <c r="BD40" s="233">
        <f>L40</f>
        <v>3.1691000000000004E-2</v>
      </c>
      <c r="BF40" s="233">
        <f>F40*AM40</f>
        <v>0</v>
      </c>
      <c r="BG40" s="233">
        <f>F40*AN40</f>
        <v>0</v>
      </c>
      <c r="BH40" s="233">
        <f>F40*G40</f>
        <v>0</v>
      </c>
      <c r="BI40" s="233"/>
      <c r="BJ40" s="233">
        <v>15</v>
      </c>
      <c r="BU40" s="233" t="e">
        <f>#REF!</f>
        <v>#REF!</v>
      </c>
      <c r="BV40" s="225" t="s">
        <v>222</v>
      </c>
    </row>
    <row r="41" spans="1:74" ht="40.5" customHeight="1" x14ac:dyDescent="0.3">
      <c r="A41" s="241"/>
      <c r="B41" s="242" t="s">
        <v>165</v>
      </c>
      <c r="C41" s="530" t="s">
        <v>2317</v>
      </c>
      <c r="D41" s="531"/>
      <c r="E41" s="531"/>
      <c r="F41" s="531"/>
      <c r="G41" s="531"/>
      <c r="H41" s="531"/>
      <c r="I41" s="531"/>
      <c r="J41" s="531"/>
      <c r="K41" s="531"/>
      <c r="L41" s="531"/>
      <c r="M41" s="532"/>
    </row>
    <row r="42" spans="1:74" ht="14.4" x14ac:dyDescent="0.3">
      <c r="A42" s="239" t="s">
        <v>210</v>
      </c>
      <c r="B42" s="223" t="s">
        <v>225</v>
      </c>
      <c r="C42" s="521" t="s">
        <v>226</v>
      </c>
      <c r="D42" s="519"/>
      <c r="E42" s="223" t="s">
        <v>180</v>
      </c>
      <c r="F42" s="233">
        <v>36.85</v>
      </c>
      <c r="G42" s="311">
        <v>0</v>
      </c>
      <c r="H42" s="233">
        <f>F42*AM42</f>
        <v>0</v>
      </c>
      <c r="I42" s="233">
        <f>F42*AN42</f>
        <v>0</v>
      </c>
      <c r="J42" s="233">
        <f>F42*G42</f>
        <v>0</v>
      </c>
      <c r="K42" s="233">
        <v>0</v>
      </c>
      <c r="L42" s="233">
        <f>F42*K42</f>
        <v>0</v>
      </c>
      <c r="M42" s="240" t="s">
        <v>472</v>
      </c>
      <c r="X42" s="233">
        <f>IF(AO42="5",BH42,0)</f>
        <v>0</v>
      </c>
      <c r="Z42" s="233">
        <f>IF(AO42="1",BF42,0)</f>
        <v>0</v>
      </c>
      <c r="AA42" s="233">
        <f>IF(AO42="1",BG42,0)</f>
        <v>0</v>
      </c>
      <c r="AB42" s="233">
        <f>IF(AO42="7",BF42,0)</f>
        <v>0</v>
      </c>
      <c r="AC42" s="233">
        <f>IF(AO42="7",BG42,0)</f>
        <v>0</v>
      </c>
      <c r="AD42" s="233">
        <f>IF(AO42="2",BF42,0)</f>
        <v>0</v>
      </c>
      <c r="AE42" s="233">
        <f>IF(AO42="2",BG42,0)</f>
        <v>0</v>
      </c>
      <c r="AF42" s="233">
        <f>IF(AO42="0",BH42,0)</f>
        <v>0</v>
      </c>
      <c r="AG42" s="230" t="s">
        <v>154</v>
      </c>
      <c r="AH42" s="233">
        <f>IF(AL42=0,J42,0)</f>
        <v>0</v>
      </c>
      <c r="AI42" s="233">
        <f>IF(AL42=12,J42,0)</f>
        <v>0</v>
      </c>
      <c r="AJ42" s="233">
        <f>IF(AL42=21,J42,0)</f>
        <v>0</v>
      </c>
      <c r="AL42" s="233">
        <v>12</v>
      </c>
      <c r="AM42" s="233">
        <f>G42*0</f>
        <v>0</v>
      </c>
      <c r="AN42" s="233">
        <f>G42*(1-0)</f>
        <v>0</v>
      </c>
      <c r="AO42" s="234" t="s">
        <v>157</v>
      </c>
      <c r="AT42" s="233">
        <f>AU42+AV42</f>
        <v>0</v>
      </c>
      <c r="AU42" s="233">
        <f>F42*AM42</f>
        <v>0</v>
      </c>
      <c r="AV42" s="233">
        <f>F42*AN42</f>
        <v>0</v>
      </c>
      <c r="AW42" s="234" t="s">
        <v>223</v>
      </c>
      <c r="AX42" s="234" t="s">
        <v>163</v>
      </c>
      <c r="AY42" s="230" t="s">
        <v>164</v>
      </c>
      <c r="BA42" s="233">
        <f>AU42+AV42</f>
        <v>0</v>
      </c>
      <c r="BB42" s="233">
        <f>G42/(100-BC42)*100</f>
        <v>0</v>
      </c>
      <c r="BC42" s="233">
        <v>0</v>
      </c>
      <c r="BD42" s="233">
        <f>L42</f>
        <v>0</v>
      </c>
      <c r="BF42" s="233">
        <f>F42*AM42</f>
        <v>0</v>
      </c>
      <c r="BG42" s="233">
        <f>F42*AN42</f>
        <v>0</v>
      </c>
      <c r="BH42" s="233">
        <f>F42*G42</f>
        <v>0</v>
      </c>
      <c r="BI42" s="233"/>
      <c r="BJ42" s="233">
        <v>15</v>
      </c>
      <c r="BU42" s="233" t="e">
        <f>#REF!</f>
        <v>#REF!</v>
      </c>
      <c r="BV42" s="225" t="s">
        <v>226</v>
      </c>
    </row>
    <row r="43" spans="1:74" ht="40.5" customHeight="1" x14ac:dyDescent="0.3">
      <c r="A43" s="241"/>
      <c r="B43" s="242" t="s">
        <v>165</v>
      </c>
      <c r="C43" s="530" t="s">
        <v>2318</v>
      </c>
      <c r="D43" s="531"/>
      <c r="E43" s="531"/>
      <c r="F43" s="531"/>
      <c r="G43" s="531"/>
      <c r="H43" s="531"/>
      <c r="I43" s="531"/>
      <c r="J43" s="531"/>
      <c r="K43" s="531"/>
      <c r="L43" s="531"/>
      <c r="M43" s="532"/>
    </row>
    <row r="44" spans="1:74" ht="14.4" x14ac:dyDescent="0.3">
      <c r="A44" s="239" t="s">
        <v>154</v>
      </c>
      <c r="B44" s="224" t="s">
        <v>215</v>
      </c>
      <c r="C44" s="526" t="s">
        <v>227</v>
      </c>
      <c r="D44" s="527"/>
      <c r="E44" s="223" t="s">
        <v>114</v>
      </c>
      <c r="F44" s="223" t="s">
        <v>114</v>
      </c>
      <c r="G44" s="223" t="s">
        <v>114</v>
      </c>
      <c r="H44" s="235">
        <f>SUM(H45:H63)</f>
        <v>0</v>
      </c>
      <c r="I44" s="235">
        <f>SUM(I45:I63)</f>
        <v>0</v>
      </c>
      <c r="J44" s="235">
        <f>SUM(J45:J63)</f>
        <v>0</v>
      </c>
      <c r="K44" s="230" t="s">
        <v>154</v>
      </c>
      <c r="L44" s="235">
        <f>SUM(L45:L63)</f>
        <v>0</v>
      </c>
      <c r="M44" s="243" t="s">
        <v>154</v>
      </c>
      <c r="AG44" s="230" t="s">
        <v>154</v>
      </c>
      <c r="AQ44" s="235">
        <f>SUM(AH45:AH63)</f>
        <v>0</v>
      </c>
      <c r="AR44" s="235">
        <f>SUM(AI45:AI63)</f>
        <v>0</v>
      </c>
      <c r="AS44" s="235">
        <f>SUM(AJ45:AJ63)</f>
        <v>0</v>
      </c>
    </row>
    <row r="45" spans="1:74" ht="14.4" x14ac:dyDescent="0.3">
      <c r="A45" s="239" t="s">
        <v>161</v>
      </c>
      <c r="B45" s="223" t="s">
        <v>229</v>
      </c>
      <c r="C45" s="521" t="s">
        <v>230</v>
      </c>
      <c r="D45" s="519"/>
      <c r="E45" s="223" t="s">
        <v>196</v>
      </c>
      <c r="F45" s="233">
        <v>1.1100000000000001</v>
      </c>
      <c r="G45" s="311">
        <v>0</v>
      </c>
      <c r="H45" s="233">
        <f>F45*AM45</f>
        <v>0</v>
      </c>
      <c r="I45" s="233">
        <f>F45*AN45</f>
        <v>0</v>
      </c>
      <c r="J45" s="233">
        <f>F45*G45</f>
        <v>0</v>
      </c>
      <c r="K45" s="233">
        <v>0</v>
      </c>
      <c r="L45" s="233">
        <f>F45*K45</f>
        <v>0</v>
      </c>
      <c r="M45" s="240" t="s">
        <v>472</v>
      </c>
      <c r="X45" s="233">
        <f>IF(AO45="5",BH45,0)</f>
        <v>0</v>
      </c>
      <c r="Z45" s="233">
        <f>IF(AO45="1",BF45,0)</f>
        <v>0</v>
      </c>
      <c r="AA45" s="233">
        <f>IF(AO45="1",BG45,0)</f>
        <v>0</v>
      </c>
      <c r="AB45" s="233">
        <f>IF(AO45="7",BF45,0)</f>
        <v>0</v>
      </c>
      <c r="AC45" s="233">
        <f>IF(AO45="7",BG45,0)</f>
        <v>0</v>
      </c>
      <c r="AD45" s="233">
        <f>IF(AO45="2",BF45,0)</f>
        <v>0</v>
      </c>
      <c r="AE45" s="233">
        <f>IF(AO45="2",BG45,0)</f>
        <v>0</v>
      </c>
      <c r="AF45" s="233">
        <f>IF(AO45="0",BH45,0)</f>
        <v>0</v>
      </c>
      <c r="AG45" s="230" t="s">
        <v>154</v>
      </c>
      <c r="AH45" s="233">
        <f>IF(AL45=0,J45,0)</f>
        <v>0</v>
      </c>
      <c r="AI45" s="233">
        <f>IF(AL45=12,J45,0)</f>
        <v>0</v>
      </c>
      <c r="AJ45" s="233">
        <f>IF(AL45=21,J45,0)</f>
        <v>0</v>
      </c>
      <c r="AL45" s="233">
        <v>12</v>
      </c>
      <c r="AM45" s="233">
        <f>G45*0</f>
        <v>0</v>
      </c>
      <c r="AN45" s="233">
        <f>G45*(1-0)</f>
        <v>0</v>
      </c>
      <c r="AO45" s="234" t="s">
        <v>157</v>
      </c>
      <c r="AT45" s="233">
        <f>AU45+AV45</f>
        <v>0</v>
      </c>
      <c r="AU45" s="233">
        <f>F45*AM45</f>
        <v>0</v>
      </c>
      <c r="AV45" s="233">
        <f>F45*AN45</f>
        <v>0</v>
      </c>
      <c r="AW45" s="234" t="s">
        <v>231</v>
      </c>
      <c r="AX45" s="234" t="s">
        <v>163</v>
      </c>
      <c r="AY45" s="230" t="s">
        <v>164</v>
      </c>
      <c r="BA45" s="233">
        <f>AU45+AV45</f>
        <v>0</v>
      </c>
      <c r="BB45" s="233">
        <f>G45/(100-BC45)*100</f>
        <v>0</v>
      </c>
      <c r="BC45" s="233">
        <v>0</v>
      </c>
      <c r="BD45" s="233">
        <f>L45</f>
        <v>0</v>
      </c>
      <c r="BF45" s="233">
        <f>F45*AM45</f>
        <v>0</v>
      </c>
      <c r="BG45" s="233">
        <f>F45*AN45</f>
        <v>0</v>
      </c>
      <c r="BH45" s="233">
        <f>F45*G45</f>
        <v>0</v>
      </c>
      <c r="BI45" s="233"/>
      <c r="BJ45" s="233">
        <v>16</v>
      </c>
      <c r="BU45" s="233" t="e">
        <f>#REF!</f>
        <v>#REF!</v>
      </c>
      <c r="BV45" s="225" t="s">
        <v>230</v>
      </c>
    </row>
    <row r="46" spans="1:74" ht="54" customHeight="1" x14ac:dyDescent="0.3">
      <c r="A46" s="241"/>
      <c r="B46" s="242" t="s">
        <v>165</v>
      </c>
      <c r="C46" s="530" t="s">
        <v>2319</v>
      </c>
      <c r="D46" s="531"/>
      <c r="E46" s="531"/>
      <c r="F46" s="531"/>
      <c r="G46" s="531"/>
      <c r="H46" s="531"/>
      <c r="I46" s="531"/>
      <c r="J46" s="531"/>
      <c r="K46" s="531"/>
      <c r="L46" s="531"/>
      <c r="M46" s="532"/>
    </row>
    <row r="47" spans="1:74" ht="14.4" x14ac:dyDescent="0.3">
      <c r="A47" s="239" t="s">
        <v>215</v>
      </c>
      <c r="B47" s="223" t="s">
        <v>233</v>
      </c>
      <c r="C47" s="521" t="s">
        <v>234</v>
      </c>
      <c r="D47" s="519"/>
      <c r="E47" s="223" t="s">
        <v>196</v>
      </c>
      <c r="F47" s="233">
        <v>0.04</v>
      </c>
      <c r="G47" s="311">
        <v>0</v>
      </c>
      <c r="H47" s="233">
        <f>F47*AM47</f>
        <v>0</v>
      </c>
      <c r="I47" s="233">
        <f>F47*AN47</f>
        <v>0</v>
      </c>
      <c r="J47" s="233">
        <f>F47*G47</f>
        <v>0</v>
      </c>
      <c r="K47" s="233">
        <v>0</v>
      </c>
      <c r="L47" s="233">
        <f>F47*K47</f>
        <v>0</v>
      </c>
      <c r="M47" s="240" t="s">
        <v>472</v>
      </c>
      <c r="X47" s="233">
        <f>IF(AO47="5",BH47,0)</f>
        <v>0</v>
      </c>
      <c r="Z47" s="233">
        <f>IF(AO47="1",BF47,0)</f>
        <v>0</v>
      </c>
      <c r="AA47" s="233">
        <f>IF(AO47="1",BG47,0)</f>
        <v>0</v>
      </c>
      <c r="AB47" s="233">
        <f>IF(AO47="7",BF47,0)</f>
        <v>0</v>
      </c>
      <c r="AC47" s="233">
        <f>IF(AO47="7",BG47,0)</f>
        <v>0</v>
      </c>
      <c r="AD47" s="233">
        <f>IF(AO47="2",BF47,0)</f>
        <v>0</v>
      </c>
      <c r="AE47" s="233">
        <f>IF(AO47="2",BG47,0)</f>
        <v>0</v>
      </c>
      <c r="AF47" s="233">
        <f>IF(AO47="0",BH47,0)</f>
        <v>0</v>
      </c>
      <c r="AG47" s="230" t="s">
        <v>154</v>
      </c>
      <c r="AH47" s="233">
        <f>IF(AL47=0,J47,0)</f>
        <v>0</v>
      </c>
      <c r="AI47" s="233">
        <f>IF(AL47=12,J47,0)</f>
        <v>0</v>
      </c>
      <c r="AJ47" s="233">
        <f>IF(AL47=21,J47,0)</f>
        <v>0</v>
      </c>
      <c r="AL47" s="233">
        <v>12</v>
      </c>
      <c r="AM47" s="233">
        <f>G47*0</f>
        <v>0</v>
      </c>
      <c r="AN47" s="233">
        <f>G47*(1-0)</f>
        <v>0</v>
      </c>
      <c r="AO47" s="234" t="s">
        <v>157</v>
      </c>
      <c r="AT47" s="233">
        <f>AU47+AV47</f>
        <v>0</v>
      </c>
      <c r="AU47" s="233">
        <f>F47*AM47</f>
        <v>0</v>
      </c>
      <c r="AV47" s="233">
        <f>F47*AN47</f>
        <v>0</v>
      </c>
      <c r="AW47" s="234" t="s">
        <v>231</v>
      </c>
      <c r="AX47" s="234" t="s">
        <v>163</v>
      </c>
      <c r="AY47" s="230" t="s">
        <v>164</v>
      </c>
      <c r="BA47" s="233">
        <f>AU47+AV47</f>
        <v>0</v>
      </c>
      <c r="BB47" s="233">
        <f>G47/(100-BC47)*100</f>
        <v>0</v>
      </c>
      <c r="BC47" s="233">
        <v>0</v>
      </c>
      <c r="BD47" s="233">
        <f>L47</f>
        <v>0</v>
      </c>
      <c r="BF47" s="233">
        <f>F47*AM47</f>
        <v>0</v>
      </c>
      <c r="BG47" s="233">
        <f>F47*AN47</f>
        <v>0</v>
      </c>
      <c r="BH47" s="233">
        <f>F47*G47</f>
        <v>0</v>
      </c>
      <c r="BI47" s="233"/>
      <c r="BJ47" s="233">
        <v>16</v>
      </c>
      <c r="BU47" s="233" t="e">
        <f>#REF!</f>
        <v>#REF!</v>
      </c>
      <c r="BV47" s="225" t="s">
        <v>234</v>
      </c>
    </row>
    <row r="48" spans="1:74" ht="67.5" customHeight="1" x14ac:dyDescent="0.3">
      <c r="A48" s="241"/>
      <c r="B48" s="242" t="s">
        <v>165</v>
      </c>
      <c r="C48" s="530" t="s">
        <v>2320</v>
      </c>
      <c r="D48" s="531"/>
      <c r="E48" s="531"/>
      <c r="F48" s="531"/>
      <c r="G48" s="531"/>
      <c r="H48" s="531"/>
      <c r="I48" s="531"/>
      <c r="J48" s="531"/>
      <c r="K48" s="531"/>
      <c r="L48" s="531"/>
      <c r="M48" s="532"/>
    </row>
    <row r="49" spans="1:74" ht="14.4" x14ac:dyDescent="0.3">
      <c r="A49" s="239" t="s">
        <v>220</v>
      </c>
      <c r="B49" s="223" t="s">
        <v>503</v>
      </c>
      <c r="C49" s="521" t="s">
        <v>237</v>
      </c>
      <c r="D49" s="519"/>
      <c r="E49" s="223" t="s">
        <v>196</v>
      </c>
      <c r="F49" s="233">
        <v>14.46</v>
      </c>
      <c r="G49" s="311">
        <v>0</v>
      </c>
      <c r="H49" s="233">
        <f>F49*AM49</f>
        <v>0</v>
      </c>
      <c r="I49" s="233">
        <f>F49*AN49</f>
        <v>0</v>
      </c>
      <c r="J49" s="233">
        <f>F49*G49</f>
        <v>0</v>
      </c>
      <c r="K49" s="233">
        <v>0</v>
      </c>
      <c r="L49" s="233">
        <f>F49*K49</f>
        <v>0</v>
      </c>
      <c r="M49" s="240" t="s">
        <v>472</v>
      </c>
      <c r="X49" s="233">
        <f>IF(AO49="5",BH49,0)</f>
        <v>0</v>
      </c>
      <c r="Z49" s="233">
        <f>IF(AO49="1",BF49,0)</f>
        <v>0</v>
      </c>
      <c r="AA49" s="233">
        <f>IF(AO49="1",BG49,0)</f>
        <v>0</v>
      </c>
      <c r="AB49" s="233">
        <f>IF(AO49="7",BF49,0)</f>
        <v>0</v>
      </c>
      <c r="AC49" s="233">
        <f>IF(AO49="7",BG49,0)</f>
        <v>0</v>
      </c>
      <c r="AD49" s="233">
        <f>IF(AO49="2",BF49,0)</f>
        <v>0</v>
      </c>
      <c r="AE49" s="233">
        <f>IF(AO49="2",BG49,0)</f>
        <v>0</v>
      </c>
      <c r="AF49" s="233">
        <f>IF(AO49="0",BH49,0)</f>
        <v>0</v>
      </c>
      <c r="AG49" s="230" t="s">
        <v>154</v>
      </c>
      <c r="AH49" s="233">
        <f>IF(AL49=0,J49,0)</f>
        <v>0</v>
      </c>
      <c r="AI49" s="233">
        <f>IF(AL49=12,J49,0)</f>
        <v>0</v>
      </c>
      <c r="AJ49" s="233">
        <f>IF(AL49=21,J49,0)</f>
        <v>0</v>
      </c>
      <c r="AL49" s="233">
        <v>12</v>
      </c>
      <c r="AM49" s="233">
        <f>G49*0</f>
        <v>0</v>
      </c>
      <c r="AN49" s="233">
        <f>G49*(1-0)</f>
        <v>0</v>
      </c>
      <c r="AO49" s="234" t="s">
        <v>157</v>
      </c>
      <c r="AT49" s="233">
        <f>AU49+AV49</f>
        <v>0</v>
      </c>
      <c r="AU49" s="233">
        <f>F49*AM49</f>
        <v>0</v>
      </c>
      <c r="AV49" s="233">
        <f>F49*AN49</f>
        <v>0</v>
      </c>
      <c r="AW49" s="234" t="s">
        <v>231</v>
      </c>
      <c r="AX49" s="234" t="s">
        <v>163</v>
      </c>
      <c r="AY49" s="230" t="s">
        <v>164</v>
      </c>
      <c r="BA49" s="233">
        <f>AU49+AV49</f>
        <v>0</v>
      </c>
      <c r="BB49" s="233">
        <f>G49/(100-BC49)*100</f>
        <v>0</v>
      </c>
      <c r="BC49" s="233">
        <v>0</v>
      </c>
      <c r="BD49" s="233">
        <f>L49</f>
        <v>0</v>
      </c>
      <c r="BF49" s="233">
        <f>F49*AM49</f>
        <v>0</v>
      </c>
      <c r="BG49" s="233">
        <f>F49*AN49</f>
        <v>0</v>
      </c>
      <c r="BH49" s="233">
        <f>F49*G49</f>
        <v>0</v>
      </c>
      <c r="BI49" s="233"/>
      <c r="BJ49" s="233">
        <v>16</v>
      </c>
      <c r="BU49" s="233" t="e">
        <f>#REF!</f>
        <v>#REF!</v>
      </c>
      <c r="BV49" s="225" t="s">
        <v>237</v>
      </c>
    </row>
    <row r="50" spans="1:74" ht="67.5" customHeight="1" x14ac:dyDescent="0.3">
      <c r="A50" s="244"/>
      <c r="B50" s="245" t="s">
        <v>165</v>
      </c>
      <c r="C50" s="540" t="s">
        <v>2321</v>
      </c>
      <c r="D50" s="541"/>
      <c r="E50" s="541"/>
      <c r="F50" s="541"/>
      <c r="G50" s="541"/>
      <c r="H50" s="541"/>
      <c r="I50" s="541"/>
      <c r="J50" s="541"/>
      <c r="K50" s="541"/>
      <c r="L50" s="541"/>
      <c r="M50" s="542"/>
    </row>
    <row r="51" spans="1:74" ht="14.4" x14ac:dyDescent="0.3">
      <c r="A51" s="237" t="s">
        <v>224</v>
      </c>
      <c r="B51" s="238" t="s">
        <v>504</v>
      </c>
      <c r="C51" s="543" t="s">
        <v>240</v>
      </c>
      <c r="D51" s="544"/>
      <c r="E51" s="238" t="s">
        <v>196</v>
      </c>
      <c r="F51" s="258">
        <v>202.44</v>
      </c>
      <c r="G51" s="311">
        <v>0</v>
      </c>
      <c r="H51" s="258">
        <f>F51*AM51</f>
        <v>0</v>
      </c>
      <c r="I51" s="258">
        <f>F51*AN51</f>
        <v>0</v>
      </c>
      <c r="J51" s="258">
        <f>F51*G51</f>
        <v>0</v>
      </c>
      <c r="K51" s="258">
        <v>0</v>
      </c>
      <c r="L51" s="258">
        <f>F51*K51</f>
        <v>0</v>
      </c>
      <c r="M51" s="259" t="s">
        <v>472</v>
      </c>
      <c r="X51" s="233">
        <f>IF(AO51="5",BH51,0)</f>
        <v>0</v>
      </c>
      <c r="Z51" s="233">
        <f>IF(AO51="1",BF51,0)</f>
        <v>0</v>
      </c>
      <c r="AA51" s="233">
        <f>IF(AO51="1",BG51,0)</f>
        <v>0</v>
      </c>
      <c r="AB51" s="233">
        <f>IF(AO51="7",BF51,0)</f>
        <v>0</v>
      </c>
      <c r="AC51" s="233">
        <f>IF(AO51="7",BG51,0)</f>
        <v>0</v>
      </c>
      <c r="AD51" s="233">
        <f>IF(AO51="2",BF51,0)</f>
        <v>0</v>
      </c>
      <c r="AE51" s="233">
        <f>IF(AO51="2",BG51,0)</f>
        <v>0</v>
      </c>
      <c r="AF51" s="233">
        <f>IF(AO51="0",BH51,0)</f>
        <v>0</v>
      </c>
      <c r="AG51" s="230" t="s">
        <v>154</v>
      </c>
      <c r="AH51" s="233">
        <f>IF(AL51=0,J51,0)</f>
        <v>0</v>
      </c>
      <c r="AI51" s="233">
        <f>IF(AL51=12,J51,0)</f>
        <v>0</v>
      </c>
      <c r="AJ51" s="233">
        <f>IF(AL51=21,J51,0)</f>
        <v>0</v>
      </c>
      <c r="AL51" s="233">
        <v>12</v>
      </c>
      <c r="AM51" s="233">
        <f>G51*0</f>
        <v>0</v>
      </c>
      <c r="AN51" s="233">
        <f>G51*(1-0)</f>
        <v>0</v>
      </c>
      <c r="AO51" s="234" t="s">
        <v>157</v>
      </c>
      <c r="AT51" s="233">
        <f>AU51+AV51</f>
        <v>0</v>
      </c>
      <c r="AU51" s="233">
        <f>F51*AM51</f>
        <v>0</v>
      </c>
      <c r="AV51" s="233">
        <f>F51*AN51</f>
        <v>0</v>
      </c>
      <c r="AW51" s="234" t="s">
        <v>231</v>
      </c>
      <c r="AX51" s="234" t="s">
        <v>163</v>
      </c>
      <c r="AY51" s="230" t="s">
        <v>164</v>
      </c>
      <c r="BA51" s="233">
        <f>AU51+AV51</f>
        <v>0</v>
      </c>
      <c r="BB51" s="233">
        <f>G51/(100-BC51)*100</f>
        <v>0</v>
      </c>
      <c r="BC51" s="233">
        <v>0</v>
      </c>
      <c r="BD51" s="233">
        <f>L51</f>
        <v>0</v>
      </c>
      <c r="BF51" s="233">
        <f>F51*AM51</f>
        <v>0</v>
      </c>
      <c r="BG51" s="233">
        <f>F51*AN51</f>
        <v>0</v>
      </c>
      <c r="BH51" s="233">
        <f>F51*G51</f>
        <v>0</v>
      </c>
      <c r="BI51" s="233"/>
      <c r="BJ51" s="233">
        <v>16</v>
      </c>
      <c r="BU51" s="233" t="e">
        <f>#REF!</f>
        <v>#REF!</v>
      </c>
      <c r="BV51" s="225" t="s">
        <v>240</v>
      </c>
    </row>
    <row r="52" spans="1:74" ht="54" customHeight="1" x14ac:dyDescent="0.3">
      <c r="A52" s="241"/>
      <c r="B52" s="242" t="s">
        <v>165</v>
      </c>
      <c r="C52" s="530" t="s">
        <v>2322</v>
      </c>
      <c r="D52" s="531"/>
      <c r="E52" s="531"/>
      <c r="F52" s="531"/>
      <c r="G52" s="531"/>
      <c r="H52" s="531"/>
      <c r="I52" s="531"/>
      <c r="J52" s="531"/>
      <c r="K52" s="531"/>
      <c r="L52" s="531"/>
      <c r="M52" s="532"/>
    </row>
    <row r="53" spans="1:74" ht="14.4" x14ac:dyDescent="0.3">
      <c r="A53" s="239" t="s">
        <v>228</v>
      </c>
      <c r="B53" s="223" t="s">
        <v>505</v>
      </c>
      <c r="C53" s="521" t="s">
        <v>243</v>
      </c>
      <c r="D53" s="519"/>
      <c r="E53" s="223" t="s">
        <v>196</v>
      </c>
      <c r="F53" s="233">
        <v>1.5</v>
      </c>
      <c r="G53" s="311">
        <v>0</v>
      </c>
      <c r="H53" s="233">
        <f>F53*AM53</f>
        <v>0</v>
      </c>
      <c r="I53" s="233">
        <f>F53*AN53</f>
        <v>0</v>
      </c>
      <c r="J53" s="233">
        <f>F53*G53</f>
        <v>0</v>
      </c>
      <c r="K53" s="233">
        <v>0</v>
      </c>
      <c r="L53" s="233">
        <f>F53*K53</f>
        <v>0</v>
      </c>
      <c r="M53" s="240" t="s">
        <v>472</v>
      </c>
      <c r="X53" s="233">
        <f>IF(AO53="5",BH53,0)</f>
        <v>0</v>
      </c>
      <c r="Z53" s="233">
        <f>IF(AO53="1",BF53,0)</f>
        <v>0</v>
      </c>
      <c r="AA53" s="233">
        <f>IF(AO53="1",BG53,0)</f>
        <v>0</v>
      </c>
      <c r="AB53" s="233">
        <f>IF(AO53="7",BF53,0)</f>
        <v>0</v>
      </c>
      <c r="AC53" s="233">
        <f>IF(AO53="7",BG53,0)</f>
        <v>0</v>
      </c>
      <c r="AD53" s="233">
        <f>IF(AO53="2",BF53,0)</f>
        <v>0</v>
      </c>
      <c r="AE53" s="233">
        <f>IF(AO53="2",BG53,0)</f>
        <v>0</v>
      </c>
      <c r="AF53" s="233">
        <f>IF(AO53="0",BH53,0)</f>
        <v>0</v>
      </c>
      <c r="AG53" s="230" t="s">
        <v>154</v>
      </c>
      <c r="AH53" s="233">
        <f>IF(AL53=0,J53,0)</f>
        <v>0</v>
      </c>
      <c r="AI53" s="233">
        <f>IF(AL53=12,J53,0)</f>
        <v>0</v>
      </c>
      <c r="AJ53" s="233">
        <f>IF(AL53=21,J53,0)</f>
        <v>0</v>
      </c>
      <c r="AL53" s="233">
        <v>12</v>
      </c>
      <c r="AM53" s="233">
        <f>G53*0</f>
        <v>0</v>
      </c>
      <c r="AN53" s="233">
        <f>G53*(1-0)</f>
        <v>0</v>
      </c>
      <c r="AO53" s="234" t="s">
        <v>157</v>
      </c>
      <c r="AT53" s="233">
        <f>AU53+AV53</f>
        <v>0</v>
      </c>
      <c r="AU53" s="233">
        <f>F53*AM53</f>
        <v>0</v>
      </c>
      <c r="AV53" s="233">
        <f>F53*AN53</f>
        <v>0</v>
      </c>
      <c r="AW53" s="234" t="s">
        <v>231</v>
      </c>
      <c r="AX53" s="234" t="s">
        <v>163</v>
      </c>
      <c r="AY53" s="230" t="s">
        <v>164</v>
      </c>
      <c r="BA53" s="233">
        <f>AU53+AV53</f>
        <v>0</v>
      </c>
      <c r="BB53" s="233">
        <f>G53/(100-BC53)*100</f>
        <v>0</v>
      </c>
      <c r="BC53" s="233">
        <v>0</v>
      </c>
      <c r="BD53" s="233">
        <f>L53</f>
        <v>0</v>
      </c>
      <c r="BF53" s="233">
        <f>F53*AM53</f>
        <v>0</v>
      </c>
      <c r="BG53" s="233">
        <f>F53*AN53</f>
        <v>0</v>
      </c>
      <c r="BH53" s="233">
        <f>F53*G53</f>
        <v>0</v>
      </c>
      <c r="BI53" s="233"/>
      <c r="BJ53" s="233">
        <v>16</v>
      </c>
      <c r="BU53" s="233" t="e">
        <f>#REF!</f>
        <v>#REF!</v>
      </c>
      <c r="BV53" s="225" t="s">
        <v>243</v>
      </c>
    </row>
    <row r="54" spans="1:74" ht="54" customHeight="1" x14ac:dyDescent="0.3">
      <c r="A54" s="241"/>
      <c r="B54" s="242" t="s">
        <v>165</v>
      </c>
      <c r="C54" s="530" t="s">
        <v>2323</v>
      </c>
      <c r="D54" s="531"/>
      <c r="E54" s="531"/>
      <c r="F54" s="531"/>
      <c r="G54" s="531"/>
      <c r="H54" s="531"/>
      <c r="I54" s="531"/>
      <c r="J54" s="531"/>
      <c r="K54" s="531"/>
      <c r="L54" s="531"/>
      <c r="M54" s="532"/>
    </row>
    <row r="55" spans="1:74" ht="14.4" x14ac:dyDescent="0.3">
      <c r="A55" s="239" t="s">
        <v>232</v>
      </c>
      <c r="B55" s="223" t="s">
        <v>506</v>
      </c>
      <c r="C55" s="521" t="s">
        <v>246</v>
      </c>
      <c r="D55" s="519"/>
      <c r="E55" s="223" t="s">
        <v>196</v>
      </c>
      <c r="F55" s="233">
        <v>21</v>
      </c>
      <c r="G55" s="311">
        <v>0</v>
      </c>
      <c r="H55" s="233">
        <f>F55*AM55</f>
        <v>0</v>
      </c>
      <c r="I55" s="233">
        <f>F55*AN55</f>
        <v>0</v>
      </c>
      <c r="J55" s="233">
        <f>F55*G55</f>
        <v>0</v>
      </c>
      <c r="K55" s="233">
        <v>0</v>
      </c>
      <c r="L55" s="233">
        <f>F55*K55</f>
        <v>0</v>
      </c>
      <c r="M55" s="240" t="s">
        <v>472</v>
      </c>
      <c r="X55" s="233">
        <f>IF(AO55="5",BH55,0)</f>
        <v>0</v>
      </c>
      <c r="Z55" s="233">
        <f>IF(AO55="1",BF55,0)</f>
        <v>0</v>
      </c>
      <c r="AA55" s="233">
        <f>IF(AO55="1",BG55,0)</f>
        <v>0</v>
      </c>
      <c r="AB55" s="233">
        <f>IF(AO55="7",BF55,0)</f>
        <v>0</v>
      </c>
      <c r="AC55" s="233">
        <f>IF(AO55="7",BG55,0)</f>
        <v>0</v>
      </c>
      <c r="AD55" s="233">
        <f>IF(AO55="2",BF55,0)</f>
        <v>0</v>
      </c>
      <c r="AE55" s="233">
        <f>IF(AO55="2",BG55,0)</f>
        <v>0</v>
      </c>
      <c r="AF55" s="233">
        <f>IF(AO55="0",BH55,0)</f>
        <v>0</v>
      </c>
      <c r="AG55" s="230" t="s">
        <v>154</v>
      </c>
      <c r="AH55" s="233">
        <f>IF(AL55=0,J55,0)</f>
        <v>0</v>
      </c>
      <c r="AI55" s="233">
        <f>IF(AL55=12,J55,0)</f>
        <v>0</v>
      </c>
      <c r="AJ55" s="233">
        <f>IF(AL55=21,J55,0)</f>
        <v>0</v>
      </c>
      <c r="AL55" s="233">
        <v>12</v>
      </c>
      <c r="AM55" s="233">
        <f>G55*0</f>
        <v>0</v>
      </c>
      <c r="AN55" s="233">
        <f>G55*(1-0)</f>
        <v>0</v>
      </c>
      <c r="AO55" s="234" t="s">
        <v>157</v>
      </c>
      <c r="AT55" s="233">
        <f>AU55+AV55</f>
        <v>0</v>
      </c>
      <c r="AU55" s="233">
        <f>F55*AM55</f>
        <v>0</v>
      </c>
      <c r="AV55" s="233">
        <f>F55*AN55</f>
        <v>0</v>
      </c>
      <c r="AW55" s="234" t="s">
        <v>231</v>
      </c>
      <c r="AX55" s="234" t="s">
        <v>163</v>
      </c>
      <c r="AY55" s="230" t="s">
        <v>164</v>
      </c>
      <c r="BA55" s="233">
        <f>AU55+AV55</f>
        <v>0</v>
      </c>
      <c r="BB55" s="233">
        <f>G55/(100-BC55)*100</f>
        <v>0</v>
      </c>
      <c r="BC55" s="233">
        <v>0</v>
      </c>
      <c r="BD55" s="233">
        <f>L55</f>
        <v>0</v>
      </c>
      <c r="BF55" s="233">
        <f>F55*AM55</f>
        <v>0</v>
      </c>
      <c r="BG55" s="233">
        <f>F55*AN55</f>
        <v>0</v>
      </c>
      <c r="BH55" s="233">
        <f>F55*G55</f>
        <v>0</v>
      </c>
      <c r="BI55" s="233"/>
      <c r="BJ55" s="233">
        <v>16</v>
      </c>
      <c r="BU55" s="233" t="e">
        <f>#REF!</f>
        <v>#REF!</v>
      </c>
      <c r="BV55" s="225" t="s">
        <v>246</v>
      </c>
    </row>
    <row r="56" spans="1:74" ht="54" customHeight="1" x14ac:dyDescent="0.3">
      <c r="A56" s="241"/>
      <c r="B56" s="242" t="s">
        <v>165</v>
      </c>
      <c r="C56" s="530" t="s">
        <v>2210</v>
      </c>
      <c r="D56" s="531"/>
      <c r="E56" s="531"/>
      <c r="F56" s="531"/>
      <c r="G56" s="531"/>
      <c r="H56" s="531"/>
      <c r="I56" s="531"/>
      <c r="J56" s="531"/>
      <c r="K56" s="531"/>
      <c r="L56" s="531"/>
      <c r="M56" s="532"/>
    </row>
    <row r="57" spans="1:74" ht="14.4" x14ac:dyDescent="0.3">
      <c r="A57" s="239" t="s">
        <v>235</v>
      </c>
      <c r="B57" s="223" t="s">
        <v>248</v>
      </c>
      <c r="C57" s="521" t="s">
        <v>249</v>
      </c>
      <c r="D57" s="519"/>
      <c r="E57" s="223" t="s">
        <v>196</v>
      </c>
      <c r="F57" s="233">
        <v>45.02</v>
      </c>
      <c r="G57" s="311">
        <v>0</v>
      </c>
      <c r="H57" s="233">
        <f>F57*AM57</f>
        <v>0</v>
      </c>
      <c r="I57" s="233">
        <f>F57*AN57</f>
        <v>0</v>
      </c>
      <c r="J57" s="233">
        <f>F57*G57</f>
        <v>0</v>
      </c>
      <c r="K57" s="233">
        <v>0</v>
      </c>
      <c r="L57" s="233">
        <f>F57*K57</f>
        <v>0</v>
      </c>
      <c r="M57" s="240" t="s">
        <v>472</v>
      </c>
      <c r="X57" s="233">
        <f>IF(AO57="5",BH57,0)</f>
        <v>0</v>
      </c>
      <c r="Z57" s="233">
        <f>IF(AO57="1",BF57,0)</f>
        <v>0</v>
      </c>
      <c r="AA57" s="233">
        <f>IF(AO57="1",BG57,0)</f>
        <v>0</v>
      </c>
      <c r="AB57" s="233">
        <f>IF(AO57="7",BF57,0)</f>
        <v>0</v>
      </c>
      <c r="AC57" s="233">
        <f>IF(AO57="7",BG57,0)</f>
        <v>0</v>
      </c>
      <c r="AD57" s="233">
        <f>IF(AO57="2",BF57,0)</f>
        <v>0</v>
      </c>
      <c r="AE57" s="233">
        <f>IF(AO57="2",BG57,0)</f>
        <v>0</v>
      </c>
      <c r="AF57" s="233">
        <f>IF(AO57="0",BH57,0)</f>
        <v>0</v>
      </c>
      <c r="AG57" s="230" t="s">
        <v>154</v>
      </c>
      <c r="AH57" s="233">
        <f>IF(AL57=0,J57,0)</f>
        <v>0</v>
      </c>
      <c r="AI57" s="233">
        <f>IF(AL57=12,J57,0)</f>
        <v>0</v>
      </c>
      <c r="AJ57" s="233">
        <f>IF(AL57=21,J57,0)</f>
        <v>0</v>
      </c>
      <c r="AL57" s="233">
        <v>12</v>
      </c>
      <c r="AM57" s="233">
        <f>G57*0</f>
        <v>0</v>
      </c>
      <c r="AN57" s="233">
        <f>G57*(1-0)</f>
        <v>0</v>
      </c>
      <c r="AO57" s="234" t="s">
        <v>157</v>
      </c>
      <c r="AT57" s="233">
        <f>AU57+AV57</f>
        <v>0</v>
      </c>
      <c r="AU57" s="233">
        <f>F57*AM57</f>
        <v>0</v>
      </c>
      <c r="AV57" s="233">
        <f>F57*AN57</f>
        <v>0</v>
      </c>
      <c r="AW57" s="234" t="s">
        <v>231</v>
      </c>
      <c r="AX57" s="234" t="s">
        <v>163</v>
      </c>
      <c r="AY57" s="230" t="s">
        <v>164</v>
      </c>
      <c r="BA57" s="233">
        <f>AU57+AV57</f>
        <v>0</v>
      </c>
      <c r="BB57" s="233">
        <f>G57/(100-BC57)*100</f>
        <v>0</v>
      </c>
      <c r="BC57" s="233">
        <v>0</v>
      </c>
      <c r="BD57" s="233">
        <f>L57</f>
        <v>0</v>
      </c>
      <c r="BF57" s="233">
        <f>F57*AM57</f>
        <v>0</v>
      </c>
      <c r="BG57" s="233">
        <f>F57*AN57</f>
        <v>0</v>
      </c>
      <c r="BH57" s="233">
        <f>F57*G57</f>
        <v>0</v>
      </c>
      <c r="BI57" s="233"/>
      <c r="BJ57" s="233">
        <v>16</v>
      </c>
      <c r="BU57" s="233" t="e">
        <f>#REF!</f>
        <v>#REF!</v>
      </c>
      <c r="BV57" s="225" t="s">
        <v>249</v>
      </c>
    </row>
    <row r="58" spans="1:74" ht="40.5" customHeight="1" x14ac:dyDescent="0.3">
      <c r="A58" s="241"/>
      <c r="B58" s="242" t="s">
        <v>165</v>
      </c>
      <c r="C58" s="530" t="s">
        <v>2324</v>
      </c>
      <c r="D58" s="531"/>
      <c r="E58" s="531"/>
      <c r="F58" s="531"/>
      <c r="G58" s="531"/>
      <c r="H58" s="531"/>
      <c r="I58" s="531"/>
      <c r="J58" s="531"/>
      <c r="K58" s="531"/>
      <c r="L58" s="531"/>
      <c r="M58" s="532"/>
    </row>
    <row r="59" spans="1:74" ht="14.4" x14ac:dyDescent="0.3">
      <c r="A59" s="239" t="s">
        <v>238</v>
      </c>
      <c r="B59" s="223" t="s">
        <v>251</v>
      </c>
      <c r="C59" s="521" t="s">
        <v>252</v>
      </c>
      <c r="D59" s="519"/>
      <c r="E59" s="223" t="s">
        <v>196</v>
      </c>
      <c r="F59" s="233">
        <v>45.02</v>
      </c>
      <c r="G59" s="311">
        <v>0</v>
      </c>
      <c r="H59" s="233">
        <f>F59*AM59</f>
        <v>0</v>
      </c>
      <c r="I59" s="233">
        <f>F59*AN59</f>
        <v>0</v>
      </c>
      <c r="J59" s="233">
        <f>F59*G59</f>
        <v>0</v>
      </c>
      <c r="K59" s="233">
        <v>0</v>
      </c>
      <c r="L59" s="233">
        <f>F59*K59</f>
        <v>0</v>
      </c>
      <c r="M59" s="240" t="s">
        <v>472</v>
      </c>
      <c r="X59" s="233">
        <f>IF(AO59="5",BH59,0)</f>
        <v>0</v>
      </c>
      <c r="Z59" s="233">
        <f>IF(AO59="1",BF59,0)</f>
        <v>0</v>
      </c>
      <c r="AA59" s="233">
        <f>IF(AO59="1",BG59,0)</f>
        <v>0</v>
      </c>
      <c r="AB59" s="233">
        <f>IF(AO59="7",BF59,0)</f>
        <v>0</v>
      </c>
      <c r="AC59" s="233">
        <f>IF(AO59="7",BG59,0)</f>
        <v>0</v>
      </c>
      <c r="AD59" s="233">
        <f>IF(AO59="2",BF59,0)</f>
        <v>0</v>
      </c>
      <c r="AE59" s="233">
        <f>IF(AO59="2",BG59,0)</f>
        <v>0</v>
      </c>
      <c r="AF59" s="233">
        <f>IF(AO59="0",BH59,0)</f>
        <v>0</v>
      </c>
      <c r="AG59" s="230" t="s">
        <v>154</v>
      </c>
      <c r="AH59" s="233">
        <f>IF(AL59=0,J59,0)</f>
        <v>0</v>
      </c>
      <c r="AI59" s="233">
        <f>IF(AL59=12,J59,0)</f>
        <v>0</v>
      </c>
      <c r="AJ59" s="233">
        <f>IF(AL59=21,J59,0)</f>
        <v>0</v>
      </c>
      <c r="AL59" s="233">
        <v>12</v>
      </c>
      <c r="AM59" s="233">
        <f>G59*0</f>
        <v>0</v>
      </c>
      <c r="AN59" s="233">
        <f>G59*(1-0)</f>
        <v>0</v>
      </c>
      <c r="AO59" s="234" t="s">
        <v>157</v>
      </c>
      <c r="AT59" s="233">
        <f>AU59+AV59</f>
        <v>0</v>
      </c>
      <c r="AU59" s="233">
        <f>F59*AM59</f>
        <v>0</v>
      </c>
      <c r="AV59" s="233">
        <f>F59*AN59</f>
        <v>0</v>
      </c>
      <c r="AW59" s="234" t="s">
        <v>231</v>
      </c>
      <c r="AX59" s="234" t="s">
        <v>163</v>
      </c>
      <c r="AY59" s="230" t="s">
        <v>164</v>
      </c>
      <c r="BA59" s="233">
        <f>AU59+AV59</f>
        <v>0</v>
      </c>
      <c r="BB59" s="233">
        <f>G59/(100-BC59)*100</f>
        <v>0</v>
      </c>
      <c r="BC59" s="233">
        <v>0</v>
      </c>
      <c r="BD59" s="233">
        <f>L59</f>
        <v>0</v>
      </c>
      <c r="BF59" s="233">
        <f>F59*AM59</f>
        <v>0</v>
      </c>
      <c r="BG59" s="233">
        <f>F59*AN59</f>
        <v>0</v>
      </c>
      <c r="BH59" s="233">
        <f>F59*G59</f>
        <v>0</v>
      </c>
      <c r="BI59" s="233"/>
      <c r="BJ59" s="233">
        <v>16</v>
      </c>
      <c r="BU59" s="233" t="e">
        <f>#REF!</f>
        <v>#REF!</v>
      </c>
      <c r="BV59" s="225" t="s">
        <v>252</v>
      </c>
    </row>
    <row r="60" spans="1:74" ht="40.5" customHeight="1" x14ac:dyDescent="0.3">
      <c r="A60" s="241"/>
      <c r="B60" s="242" t="s">
        <v>165</v>
      </c>
      <c r="C60" s="530" t="s">
        <v>2325</v>
      </c>
      <c r="D60" s="531"/>
      <c r="E60" s="531"/>
      <c r="F60" s="531"/>
      <c r="G60" s="531"/>
      <c r="H60" s="531"/>
      <c r="I60" s="531"/>
      <c r="J60" s="531"/>
      <c r="K60" s="531"/>
      <c r="L60" s="531"/>
      <c r="M60" s="532"/>
    </row>
    <row r="61" spans="1:74" ht="14.4" x14ac:dyDescent="0.3">
      <c r="A61" s="239" t="s">
        <v>241</v>
      </c>
      <c r="B61" s="223" t="s">
        <v>254</v>
      </c>
      <c r="C61" s="521" t="s">
        <v>255</v>
      </c>
      <c r="D61" s="519"/>
      <c r="E61" s="223" t="s">
        <v>196</v>
      </c>
      <c r="F61" s="233">
        <v>2.96</v>
      </c>
      <c r="G61" s="311">
        <v>0</v>
      </c>
      <c r="H61" s="233">
        <f>F61*AM61</f>
        <v>0</v>
      </c>
      <c r="I61" s="233">
        <f>F61*AN61</f>
        <v>0</v>
      </c>
      <c r="J61" s="233">
        <f>F61*G61</f>
        <v>0</v>
      </c>
      <c r="K61" s="233">
        <v>0</v>
      </c>
      <c r="L61" s="233">
        <f>F61*K61</f>
        <v>0</v>
      </c>
      <c r="M61" s="240" t="s">
        <v>472</v>
      </c>
      <c r="X61" s="233">
        <f>IF(AO61="5",BH61,0)</f>
        <v>0</v>
      </c>
      <c r="Z61" s="233">
        <f>IF(AO61="1",BF61,0)</f>
        <v>0</v>
      </c>
      <c r="AA61" s="233">
        <f>IF(AO61="1",BG61,0)</f>
        <v>0</v>
      </c>
      <c r="AB61" s="233">
        <f>IF(AO61="7",BF61,0)</f>
        <v>0</v>
      </c>
      <c r="AC61" s="233">
        <f>IF(AO61="7",BG61,0)</f>
        <v>0</v>
      </c>
      <c r="AD61" s="233">
        <f>IF(AO61="2",BF61,0)</f>
        <v>0</v>
      </c>
      <c r="AE61" s="233">
        <f>IF(AO61="2",BG61,0)</f>
        <v>0</v>
      </c>
      <c r="AF61" s="233">
        <f>IF(AO61="0",BH61,0)</f>
        <v>0</v>
      </c>
      <c r="AG61" s="230" t="s">
        <v>154</v>
      </c>
      <c r="AH61" s="233">
        <f>IF(AL61=0,J61,0)</f>
        <v>0</v>
      </c>
      <c r="AI61" s="233">
        <f>IF(AL61=12,J61,0)</f>
        <v>0</v>
      </c>
      <c r="AJ61" s="233">
        <f>IF(AL61=21,J61,0)</f>
        <v>0</v>
      </c>
      <c r="AL61" s="233">
        <v>12</v>
      </c>
      <c r="AM61" s="233">
        <f>G61*0</f>
        <v>0</v>
      </c>
      <c r="AN61" s="233">
        <f>G61*(1-0)</f>
        <v>0</v>
      </c>
      <c r="AO61" s="234" t="s">
        <v>157</v>
      </c>
      <c r="AT61" s="233">
        <f>AU61+AV61</f>
        <v>0</v>
      </c>
      <c r="AU61" s="233">
        <f>F61*AM61</f>
        <v>0</v>
      </c>
      <c r="AV61" s="233">
        <f>F61*AN61</f>
        <v>0</v>
      </c>
      <c r="AW61" s="234" t="s">
        <v>231</v>
      </c>
      <c r="AX61" s="234" t="s">
        <v>163</v>
      </c>
      <c r="AY61" s="230" t="s">
        <v>164</v>
      </c>
      <c r="BA61" s="233">
        <f>AU61+AV61</f>
        <v>0</v>
      </c>
      <c r="BB61" s="233">
        <f>G61/(100-BC61)*100</f>
        <v>0</v>
      </c>
      <c r="BC61" s="233">
        <v>0</v>
      </c>
      <c r="BD61" s="233">
        <f>L61</f>
        <v>0</v>
      </c>
      <c r="BF61" s="233">
        <f>F61*AM61</f>
        <v>0</v>
      </c>
      <c r="BG61" s="233">
        <f>F61*AN61</f>
        <v>0</v>
      </c>
      <c r="BH61" s="233">
        <f>F61*G61</f>
        <v>0</v>
      </c>
      <c r="BI61" s="233"/>
      <c r="BJ61" s="233">
        <v>16</v>
      </c>
      <c r="BU61" s="233" t="e">
        <f>#REF!</f>
        <v>#REF!</v>
      </c>
      <c r="BV61" s="225" t="s">
        <v>255</v>
      </c>
    </row>
    <row r="62" spans="1:74" ht="40.5" customHeight="1" x14ac:dyDescent="0.3">
      <c r="A62" s="241"/>
      <c r="B62" s="242" t="s">
        <v>165</v>
      </c>
      <c r="C62" s="530" t="s">
        <v>2326</v>
      </c>
      <c r="D62" s="531"/>
      <c r="E62" s="531"/>
      <c r="F62" s="531"/>
      <c r="G62" s="531"/>
      <c r="H62" s="531"/>
      <c r="I62" s="531"/>
      <c r="J62" s="531"/>
      <c r="K62" s="531"/>
      <c r="L62" s="531"/>
      <c r="M62" s="532"/>
    </row>
    <row r="63" spans="1:74" ht="14.4" x14ac:dyDescent="0.3">
      <c r="A63" s="239" t="s">
        <v>244</v>
      </c>
      <c r="B63" s="223" t="s">
        <v>257</v>
      </c>
      <c r="C63" s="521" t="s">
        <v>258</v>
      </c>
      <c r="D63" s="519"/>
      <c r="E63" s="223" t="s">
        <v>196</v>
      </c>
      <c r="F63" s="233">
        <v>2.96</v>
      </c>
      <c r="G63" s="311">
        <v>0</v>
      </c>
      <c r="H63" s="233">
        <f>F63*AM63</f>
        <v>0</v>
      </c>
      <c r="I63" s="233">
        <f>F63*AN63</f>
        <v>0</v>
      </c>
      <c r="J63" s="233">
        <f>F63*G63</f>
        <v>0</v>
      </c>
      <c r="K63" s="233">
        <v>0</v>
      </c>
      <c r="L63" s="233">
        <f>F63*K63</f>
        <v>0</v>
      </c>
      <c r="M63" s="240" t="s">
        <v>472</v>
      </c>
      <c r="X63" s="233">
        <f>IF(AO63="5",BH63,0)</f>
        <v>0</v>
      </c>
      <c r="Z63" s="233">
        <f>IF(AO63="1",BF63,0)</f>
        <v>0</v>
      </c>
      <c r="AA63" s="233">
        <f>IF(AO63="1",BG63,0)</f>
        <v>0</v>
      </c>
      <c r="AB63" s="233">
        <f>IF(AO63="7",BF63,0)</f>
        <v>0</v>
      </c>
      <c r="AC63" s="233">
        <f>IF(AO63="7",BG63,0)</f>
        <v>0</v>
      </c>
      <c r="AD63" s="233">
        <f>IF(AO63="2",BF63,0)</f>
        <v>0</v>
      </c>
      <c r="AE63" s="233">
        <f>IF(AO63="2",BG63,0)</f>
        <v>0</v>
      </c>
      <c r="AF63" s="233">
        <f>IF(AO63="0",BH63,0)</f>
        <v>0</v>
      </c>
      <c r="AG63" s="230" t="s">
        <v>154</v>
      </c>
      <c r="AH63" s="233">
        <f>IF(AL63=0,J63,0)</f>
        <v>0</v>
      </c>
      <c r="AI63" s="233">
        <f>IF(AL63=12,J63,0)</f>
        <v>0</v>
      </c>
      <c r="AJ63" s="233">
        <f>IF(AL63=21,J63,0)</f>
        <v>0</v>
      </c>
      <c r="AL63" s="233">
        <v>12</v>
      </c>
      <c r="AM63" s="233">
        <f>G63*0</f>
        <v>0</v>
      </c>
      <c r="AN63" s="233">
        <f>G63*(1-0)</f>
        <v>0</v>
      </c>
      <c r="AO63" s="234" t="s">
        <v>157</v>
      </c>
      <c r="AT63" s="233">
        <f>AU63+AV63</f>
        <v>0</v>
      </c>
      <c r="AU63" s="233">
        <f>F63*AM63</f>
        <v>0</v>
      </c>
      <c r="AV63" s="233">
        <f>F63*AN63</f>
        <v>0</v>
      </c>
      <c r="AW63" s="234" t="s">
        <v>231</v>
      </c>
      <c r="AX63" s="234" t="s">
        <v>163</v>
      </c>
      <c r="AY63" s="230" t="s">
        <v>164</v>
      </c>
      <c r="BA63" s="233">
        <f>AU63+AV63</f>
        <v>0</v>
      </c>
      <c r="BB63" s="233">
        <f>G63/(100-BC63)*100</f>
        <v>0</v>
      </c>
      <c r="BC63" s="233">
        <v>0</v>
      </c>
      <c r="BD63" s="233">
        <f>L63</f>
        <v>0</v>
      </c>
      <c r="BF63" s="233">
        <f>F63*AM63</f>
        <v>0</v>
      </c>
      <c r="BG63" s="233">
        <f>F63*AN63</f>
        <v>0</v>
      </c>
      <c r="BH63" s="233">
        <f>F63*G63</f>
        <v>0</v>
      </c>
      <c r="BI63" s="233"/>
      <c r="BJ63" s="233">
        <v>16</v>
      </c>
      <c r="BU63" s="233" t="e">
        <f>#REF!</f>
        <v>#REF!</v>
      </c>
      <c r="BV63" s="225" t="s">
        <v>258</v>
      </c>
    </row>
    <row r="64" spans="1:74" ht="40.5" customHeight="1" x14ac:dyDescent="0.3">
      <c r="A64" s="241"/>
      <c r="B64" s="242" t="s">
        <v>165</v>
      </c>
      <c r="C64" s="530" t="s">
        <v>2327</v>
      </c>
      <c r="D64" s="531"/>
      <c r="E64" s="531"/>
      <c r="F64" s="531"/>
      <c r="G64" s="531"/>
      <c r="H64" s="531"/>
      <c r="I64" s="531"/>
      <c r="J64" s="531"/>
      <c r="K64" s="531"/>
      <c r="L64" s="531"/>
      <c r="M64" s="532"/>
    </row>
    <row r="65" spans="1:74" ht="14.4" x14ac:dyDescent="0.3">
      <c r="A65" s="239" t="s">
        <v>154</v>
      </c>
      <c r="B65" s="224" t="s">
        <v>220</v>
      </c>
      <c r="C65" s="526" t="s">
        <v>259</v>
      </c>
      <c r="D65" s="527"/>
      <c r="E65" s="223" t="s">
        <v>114</v>
      </c>
      <c r="F65" s="223" t="s">
        <v>114</v>
      </c>
      <c r="G65" s="223" t="s">
        <v>114</v>
      </c>
      <c r="H65" s="235">
        <f>SUM(H66:H69)</f>
        <v>0</v>
      </c>
      <c r="I65" s="235">
        <f>SUM(I66:I69)</f>
        <v>0</v>
      </c>
      <c r="J65" s="235">
        <f>SUM(J66:J69)</f>
        <v>0</v>
      </c>
      <c r="K65" s="230" t="s">
        <v>154</v>
      </c>
      <c r="L65" s="235">
        <f>SUM(L66:L69)</f>
        <v>16.847000000000001</v>
      </c>
      <c r="M65" s="243" t="s">
        <v>154</v>
      </c>
      <c r="AG65" s="230" t="s">
        <v>154</v>
      </c>
      <c r="AQ65" s="235">
        <f>SUM(AH66:AH69)</f>
        <v>0</v>
      </c>
      <c r="AR65" s="235">
        <f>SUM(AI66:AI69)</f>
        <v>0</v>
      </c>
      <c r="AS65" s="235">
        <f>SUM(AJ66:AJ69)</f>
        <v>0</v>
      </c>
    </row>
    <row r="66" spans="1:74" ht="14.4" x14ac:dyDescent="0.3">
      <c r="A66" s="239" t="s">
        <v>247</v>
      </c>
      <c r="B66" s="223" t="s">
        <v>261</v>
      </c>
      <c r="C66" s="521" t="s">
        <v>262</v>
      </c>
      <c r="D66" s="519"/>
      <c r="E66" s="223" t="s">
        <v>196</v>
      </c>
      <c r="F66" s="233">
        <v>9.91</v>
      </c>
      <c r="G66" s="311">
        <v>0</v>
      </c>
      <c r="H66" s="233">
        <f>F66*AM66</f>
        <v>0</v>
      </c>
      <c r="I66" s="233">
        <f>F66*AN66</f>
        <v>0</v>
      </c>
      <c r="J66" s="233">
        <f>F66*G66</f>
        <v>0</v>
      </c>
      <c r="K66" s="233">
        <v>1.7</v>
      </c>
      <c r="L66" s="233">
        <f>F66*K66</f>
        <v>16.847000000000001</v>
      </c>
      <c r="M66" s="240" t="s">
        <v>472</v>
      </c>
      <c r="X66" s="233">
        <f>IF(AO66="5",BH66,0)</f>
        <v>0</v>
      </c>
      <c r="Z66" s="233">
        <f>IF(AO66="1",BF66,0)</f>
        <v>0</v>
      </c>
      <c r="AA66" s="233">
        <f>IF(AO66="1",BG66,0)</f>
        <v>0</v>
      </c>
      <c r="AB66" s="233">
        <f>IF(AO66="7",BF66,0)</f>
        <v>0</v>
      </c>
      <c r="AC66" s="233">
        <f>IF(AO66="7",BG66,0)</f>
        <v>0</v>
      </c>
      <c r="AD66" s="233">
        <f>IF(AO66="2",BF66,0)</f>
        <v>0</v>
      </c>
      <c r="AE66" s="233">
        <f>IF(AO66="2",BG66,0)</f>
        <v>0</v>
      </c>
      <c r="AF66" s="233">
        <f>IF(AO66="0",BH66,0)</f>
        <v>0</v>
      </c>
      <c r="AG66" s="230" t="s">
        <v>154</v>
      </c>
      <c r="AH66" s="233">
        <f>IF(AL66=0,J66,0)</f>
        <v>0</v>
      </c>
      <c r="AI66" s="233">
        <f>IF(AL66=12,J66,0)</f>
        <v>0</v>
      </c>
      <c r="AJ66" s="233">
        <f>IF(AL66=21,J66,0)</f>
        <v>0</v>
      </c>
      <c r="AL66" s="233">
        <v>12</v>
      </c>
      <c r="AM66" s="233">
        <f>G66*0.517505126</f>
        <v>0</v>
      </c>
      <c r="AN66" s="233">
        <f>G66*(1-0.517505126)</f>
        <v>0</v>
      </c>
      <c r="AO66" s="234" t="s">
        <v>157</v>
      </c>
      <c r="AT66" s="233">
        <f>AU66+AV66</f>
        <v>0</v>
      </c>
      <c r="AU66" s="233">
        <f>F66*AM66</f>
        <v>0</v>
      </c>
      <c r="AV66" s="233">
        <f>F66*AN66</f>
        <v>0</v>
      </c>
      <c r="AW66" s="234" t="s">
        <v>263</v>
      </c>
      <c r="AX66" s="234" t="s">
        <v>163</v>
      </c>
      <c r="AY66" s="230" t="s">
        <v>164</v>
      </c>
      <c r="BA66" s="233">
        <f>AU66+AV66</f>
        <v>0</v>
      </c>
      <c r="BB66" s="233">
        <f>G66/(100-BC66)*100</f>
        <v>0</v>
      </c>
      <c r="BC66" s="233">
        <v>0</v>
      </c>
      <c r="BD66" s="233">
        <f>L66</f>
        <v>16.847000000000001</v>
      </c>
      <c r="BF66" s="233">
        <f>F66*AM66</f>
        <v>0</v>
      </c>
      <c r="BG66" s="233">
        <f>F66*AN66</f>
        <v>0</v>
      </c>
      <c r="BH66" s="233">
        <f>F66*G66</f>
        <v>0</v>
      </c>
      <c r="BI66" s="233"/>
      <c r="BJ66" s="233">
        <v>17</v>
      </c>
      <c r="BU66" s="233" t="e">
        <f>#REF!</f>
        <v>#REF!</v>
      </c>
      <c r="BV66" s="225" t="s">
        <v>262</v>
      </c>
    </row>
    <row r="67" spans="1:74" ht="81" customHeight="1" x14ac:dyDescent="0.3">
      <c r="A67" s="241"/>
      <c r="B67" s="242" t="s">
        <v>165</v>
      </c>
      <c r="C67" s="530" t="s">
        <v>2328</v>
      </c>
      <c r="D67" s="531"/>
      <c r="E67" s="531"/>
      <c r="F67" s="531"/>
      <c r="G67" s="531"/>
      <c r="H67" s="531"/>
      <c r="I67" s="531"/>
      <c r="J67" s="531"/>
      <c r="K67" s="531"/>
      <c r="L67" s="531"/>
      <c r="M67" s="532"/>
    </row>
    <row r="68" spans="1:74" ht="14.4" x14ac:dyDescent="0.3">
      <c r="A68" s="239" t="s">
        <v>250</v>
      </c>
      <c r="B68" s="223" t="s">
        <v>265</v>
      </c>
      <c r="C68" s="521" t="s">
        <v>266</v>
      </c>
      <c r="D68" s="519"/>
      <c r="E68" s="223" t="s">
        <v>196</v>
      </c>
      <c r="F68" s="233">
        <v>9.91</v>
      </c>
      <c r="G68" s="311">
        <v>0</v>
      </c>
      <c r="H68" s="233">
        <f>F68*AM68</f>
        <v>0</v>
      </c>
      <c r="I68" s="233">
        <f>F68*AN68</f>
        <v>0</v>
      </c>
      <c r="J68" s="233">
        <f>F68*G68</f>
        <v>0</v>
      </c>
      <c r="K68" s="233">
        <v>0</v>
      </c>
      <c r="L68" s="233">
        <f>F68*K68</f>
        <v>0</v>
      </c>
      <c r="M68" s="240" t="s">
        <v>472</v>
      </c>
      <c r="X68" s="233">
        <f>IF(AO68="5",BH68,0)</f>
        <v>0</v>
      </c>
      <c r="Z68" s="233">
        <f>IF(AO68="1",BF68,0)</f>
        <v>0</v>
      </c>
      <c r="AA68" s="233">
        <f>IF(AO68="1",BG68,0)</f>
        <v>0</v>
      </c>
      <c r="AB68" s="233">
        <f>IF(AO68="7",BF68,0)</f>
        <v>0</v>
      </c>
      <c r="AC68" s="233">
        <f>IF(AO68="7",BG68,0)</f>
        <v>0</v>
      </c>
      <c r="AD68" s="233">
        <f>IF(AO68="2",BF68,0)</f>
        <v>0</v>
      </c>
      <c r="AE68" s="233">
        <f>IF(AO68="2",BG68,0)</f>
        <v>0</v>
      </c>
      <c r="AF68" s="233">
        <f>IF(AO68="0",BH68,0)</f>
        <v>0</v>
      </c>
      <c r="AG68" s="230" t="s">
        <v>154</v>
      </c>
      <c r="AH68" s="233">
        <f>IF(AL68=0,J68,0)</f>
        <v>0</v>
      </c>
      <c r="AI68" s="233">
        <f>IF(AL68=12,J68,0)</f>
        <v>0</v>
      </c>
      <c r="AJ68" s="233">
        <f>IF(AL68=21,J68,0)</f>
        <v>0</v>
      </c>
      <c r="AL68" s="233">
        <v>12</v>
      </c>
      <c r="AM68" s="233">
        <f>G68*0</f>
        <v>0</v>
      </c>
      <c r="AN68" s="233">
        <f>G68*(1-0)</f>
        <v>0</v>
      </c>
      <c r="AO68" s="234" t="s">
        <v>157</v>
      </c>
      <c r="AT68" s="233">
        <f>AU68+AV68</f>
        <v>0</v>
      </c>
      <c r="AU68" s="233">
        <f>F68*AM68</f>
        <v>0</v>
      </c>
      <c r="AV68" s="233">
        <f>F68*AN68</f>
        <v>0</v>
      </c>
      <c r="AW68" s="234" t="s">
        <v>263</v>
      </c>
      <c r="AX68" s="234" t="s">
        <v>163</v>
      </c>
      <c r="AY68" s="230" t="s">
        <v>164</v>
      </c>
      <c r="BA68" s="233">
        <f>AU68+AV68</f>
        <v>0</v>
      </c>
      <c r="BB68" s="233">
        <f>G68/(100-BC68)*100</f>
        <v>0</v>
      </c>
      <c r="BC68" s="233">
        <v>0</v>
      </c>
      <c r="BD68" s="233">
        <f>L68</f>
        <v>0</v>
      </c>
      <c r="BF68" s="233">
        <f>F68*AM68</f>
        <v>0</v>
      </c>
      <c r="BG68" s="233">
        <f>F68*AN68</f>
        <v>0</v>
      </c>
      <c r="BH68" s="233">
        <f>F68*G68</f>
        <v>0</v>
      </c>
      <c r="BI68" s="233"/>
      <c r="BJ68" s="233">
        <v>17</v>
      </c>
      <c r="BU68" s="233" t="e">
        <f>#REF!</f>
        <v>#REF!</v>
      </c>
      <c r="BV68" s="225" t="s">
        <v>266</v>
      </c>
    </row>
    <row r="69" spans="1:74" ht="14.4" x14ac:dyDescent="0.3">
      <c r="A69" s="239" t="s">
        <v>253</v>
      </c>
      <c r="B69" s="223" t="s">
        <v>268</v>
      </c>
      <c r="C69" s="521" t="s">
        <v>269</v>
      </c>
      <c r="D69" s="519"/>
      <c r="E69" s="223" t="s">
        <v>196</v>
      </c>
      <c r="F69" s="233">
        <v>22.51</v>
      </c>
      <c r="G69" s="311">
        <v>0</v>
      </c>
      <c r="H69" s="233">
        <f>F69*AM69</f>
        <v>0</v>
      </c>
      <c r="I69" s="233">
        <f>F69*AN69</f>
        <v>0</v>
      </c>
      <c r="J69" s="233">
        <f>F69*G69</f>
        <v>0</v>
      </c>
      <c r="K69" s="233">
        <v>0</v>
      </c>
      <c r="L69" s="233">
        <f>F69*K69</f>
        <v>0</v>
      </c>
      <c r="M69" s="240" t="s">
        <v>472</v>
      </c>
      <c r="X69" s="233">
        <f>IF(AO69="5",BH69,0)</f>
        <v>0</v>
      </c>
      <c r="Z69" s="233">
        <f>IF(AO69="1",BF69,0)</f>
        <v>0</v>
      </c>
      <c r="AA69" s="233">
        <f>IF(AO69="1",BG69,0)</f>
        <v>0</v>
      </c>
      <c r="AB69" s="233">
        <f>IF(AO69="7",BF69,0)</f>
        <v>0</v>
      </c>
      <c r="AC69" s="233">
        <f>IF(AO69="7",BG69,0)</f>
        <v>0</v>
      </c>
      <c r="AD69" s="233">
        <f>IF(AO69="2",BF69,0)</f>
        <v>0</v>
      </c>
      <c r="AE69" s="233">
        <f>IF(AO69="2",BG69,0)</f>
        <v>0</v>
      </c>
      <c r="AF69" s="233">
        <f>IF(AO69="0",BH69,0)</f>
        <v>0</v>
      </c>
      <c r="AG69" s="230" t="s">
        <v>154</v>
      </c>
      <c r="AH69" s="233">
        <f>IF(AL69=0,J69,0)</f>
        <v>0</v>
      </c>
      <c r="AI69" s="233">
        <f>IF(AL69=12,J69,0)</f>
        <v>0</v>
      </c>
      <c r="AJ69" s="233">
        <f>IF(AL69=21,J69,0)</f>
        <v>0</v>
      </c>
      <c r="AL69" s="233">
        <v>12</v>
      </c>
      <c r="AM69" s="233">
        <f>G69*0</f>
        <v>0</v>
      </c>
      <c r="AN69" s="233">
        <f>G69*(1-0)</f>
        <v>0</v>
      </c>
      <c r="AO69" s="234" t="s">
        <v>157</v>
      </c>
      <c r="AT69" s="233">
        <f>AU69+AV69</f>
        <v>0</v>
      </c>
      <c r="AU69" s="233">
        <f>F69*AM69</f>
        <v>0</v>
      </c>
      <c r="AV69" s="233">
        <f>F69*AN69</f>
        <v>0</v>
      </c>
      <c r="AW69" s="234" t="s">
        <v>263</v>
      </c>
      <c r="AX69" s="234" t="s">
        <v>163</v>
      </c>
      <c r="AY69" s="230" t="s">
        <v>164</v>
      </c>
      <c r="BA69" s="233">
        <f>AU69+AV69</f>
        <v>0</v>
      </c>
      <c r="BB69" s="233">
        <f>G69/(100-BC69)*100</f>
        <v>0</v>
      </c>
      <c r="BC69" s="233">
        <v>0</v>
      </c>
      <c r="BD69" s="233">
        <f>L69</f>
        <v>0</v>
      </c>
      <c r="BF69" s="233">
        <f>F69*AM69</f>
        <v>0</v>
      </c>
      <c r="BG69" s="233">
        <f>F69*AN69</f>
        <v>0</v>
      </c>
      <c r="BH69" s="233">
        <f>F69*G69</f>
        <v>0</v>
      </c>
      <c r="BI69" s="233"/>
      <c r="BJ69" s="233">
        <v>17</v>
      </c>
      <c r="BU69" s="233" t="e">
        <f>#REF!</f>
        <v>#REF!</v>
      </c>
      <c r="BV69" s="225" t="s">
        <v>269</v>
      </c>
    </row>
    <row r="70" spans="1:74" ht="81" customHeight="1" x14ac:dyDescent="0.3">
      <c r="A70" s="241"/>
      <c r="B70" s="242" t="s">
        <v>165</v>
      </c>
      <c r="C70" s="530" t="s">
        <v>2329</v>
      </c>
      <c r="D70" s="531"/>
      <c r="E70" s="531"/>
      <c r="F70" s="531"/>
      <c r="G70" s="531"/>
      <c r="H70" s="531"/>
      <c r="I70" s="531"/>
      <c r="J70" s="531"/>
      <c r="K70" s="531"/>
      <c r="L70" s="531"/>
      <c r="M70" s="532"/>
    </row>
    <row r="71" spans="1:74" ht="14.4" x14ac:dyDescent="0.3">
      <c r="A71" s="239" t="s">
        <v>154</v>
      </c>
      <c r="B71" s="224" t="s">
        <v>224</v>
      </c>
      <c r="C71" s="526" t="s">
        <v>270</v>
      </c>
      <c r="D71" s="527"/>
      <c r="E71" s="223" t="s">
        <v>114</v>
      </c>
      <c r="F71" s="223" t="s">
        <v>114</v>
      </c>
      <c r="G71" s="223" t="s">
        <v>114</v>
      </c>
      <c r="H71" s="235">
        <f>SUM(H72:H72)</f>
        <v>0</v>
      </c>
      <c r="I71" s="235">
        <f>SUM(I72:I72)</f>
        <v>0</v>
      </c>
      <c r="J71" s="235">
        <f>SUM(J72:J72)</f>
        <v>0</v>
      </c>
      <c r="K71" s="230" t="s">
        <v>154</v>
      </c>
      <c r="L71" s="235">
        <f>SUM(L72:L72)</f>
        <v>2.2200000000000003E-4</v>
      </c>
      <c r="M71" s="243" t="s">
        <v>154</v>
      </c>
      <c r="AG71" s="230" t="s">
        <v>154</v>
      </c>
      <c r="AQ71" s="235">
        <f>SUM(AH72:AH72)</f>
        <v>0</v>
      </c>
      <c r="AR71" s="235">
        <f>SUM(AI72:AI72)</f>
        <v>0</v>
      </c>
      <c r="AS71" s="235">
        <f>SUM(AJ72:AJ72)</f>
        <v>0</v>
      </c>
    </row>
    <row r="72" spans="1:74" ht="14.4" x14ac:dyDescent="0.3">
      <c r="A72" s="239" t="s">
        <v>256</v>
      </c>
      <c r="B72" s="223" t="s">
        <v>980</v>
      </c>
      <c r="C72" s="521" t="s">
        <v>273</v>
      </c>
      <c r="D72" s="519"/>
      <c r="E72" s="223" t="s">
        <v>180</v>
      </c>
      <c r="F72" s="233">
        <v>7.4</v>
      </c>
      <c r="G72" s="311">
        <v>0</v>
      </c>
      <c r="H72" s="233">
        <f>F72*AM72</f>
        <v>0</v>
      </c>
      <c r="I72" s="233">
        <f>F72*AN72</f>
        <v>0</v>
      </c>
      <c r="J72" s="233">
        <f>F72*G72</f>
        <v>0</v>
      </c>
      <c r="K72" s="233">
        <v>3.0000000000000001E-5</v>
      </c>
      <c r="L72" s="233">
        <f>F72*K72</f>
        <v>2.2200000000000003E-4</v>
      </c>
      <c r="M72" s="240" t="s">
        <v>472</v>
      </c>
      <c r="X72" s="233">
        <f>IF(AO72="5",BH72,0)</f>
        <v>0</v>
      </c>
      <c r="Z72" s="233">
        <f>IF(AO72="1",BF72,0)</f>
        <v>0</v>
      </c>
      <c r="AA72" s="233">
        <f>IF(AO72="1",BG72,0)</f>
        <v>0</v>
      </c>
      <c r="AB72" s="233">
        <f>IF(AO72="7",BF72,0)</f>
        <v>0</v>
      </c>
      <c r="AC72" s="233">
        <f>IF(AO72="7",BG72,0)</f>
        <v>0</v>
      </c>
      <c r="AD72" s="233">
        <f>IF(AO72="2",BF72,0)</f>
        <v>0</v>
      </c>
      <c r="AE72" s="233">
        <f>IF(AO72="2",BG72,0)</f>
        <v>0</v>
      </c>
      <c r="AF72" s="233">
        <f>IF(AO72="0",BH72,0)</f>
        <v>0</v>
      </c>
      <c r="AG72" s="230" t="s">
        <v>154</v>
      </c>
      <c r="AH72" s="233">
        <f>IF(AL72=0,J72,0)</f>
        <v>0</v>
      </c>
      <c r="AI72" s="233">
        <f>IF(AL72=12,J72,0)</f>
        <v>0</v>
      </c>
      <c r="AJ72" s="233">
        <f>IF(AL72=21,J72,0)</f>
        <v>0</v>
      </c>
      <c r="AL72" s="233">
        <v>12</v>
      </c>
      <c r="AM72" s="233">
        <f>G72*0.041715884</f>
        <v>0</v>
      </c>
      <c r="AN72" s="233">
        <f>G72*(1-0.041715884)</f>
        <v>0</v>
      </c>
      <c r="AO72" s="234" t="s">
        <v>157</v>
      </c>
      <c r="AT72" s="233">
        <f>AU72+AV72</f>
        <v>0</v>
      </c>
      <c r="AU72" s="233">
        <f>F72*AM72</f>
        <v>0</v>
      </c>
      <c r="AV72" s="233">
        <f>F72*AN72</f>
        <v>0</v>
      </c>
      <c r="AW72" s="234" t="s">
        <v>274</v>
      </c>
      <c r="AX72" s="234" t="s">
        <v>163</v>
      </c>
      <c r="AY72" s="230" t="s">
        <v>164</v>
      </c>
      <c r="BA72" s="233">
        <f>AU72+AV72</f>
        <v>0</v>
      </c>
      <c r="BB72" s="233">
        <f>G72/(100-BC72)*100</f>
        <v>0</v>
      </c>
      <c r="BC72" s="233">
        <v>0</v>
      </c>
      <c r="BD72" s="233">
        <f>L72</f>
        <v>2.2200000000000003E-4</v>
      </c>
      <c r="BF72" s="233">
        <f>F72*AM72</f>
        <v>0</v>
      </c>
      <c r="BG72" s="233">
        <f>F72*AN72</f>
        <v>0</v>
      </c>
      <c r="BH72" s="233">
        <f>F72*G72</f>
        <v>0</v>
      </c>
      <c r="BI72" s="233"/>
      <c r="BJ72" s="233">
        <v>18</v>
      </c>
      <c r="BU72" s="233" t="e">
        <f>#REF!</f>
        <v>#REF!</v>
      </c>
      <c r="BV72" s="225" t="s">
        <v>273</v>
      </c>
    </row>
    <row r="73" spans="1:74" ht="40.5" customHeight="1" x14ac:dyDescent="0.3">
      <c r="A73" s="241"/>
      <c r="B73" s="242" t="s">
        <v>165</v>
      </c>
      <c r="C73" s="530" t="s">
        <v>2330</v>
      </c>
      <c r="D73" s="531"/>
      <c r="E73" s="531"/>
      <c r="F73" s="531"/>
      <c r="G73" s="531"/>
      <c r="H73" s="531"/>
      <c r="I73" s="531"/>
      <c r="J73" s="531"/>
      <c r="K73" s="531"/>
      <c r="L73" s="531"/>
      <c r="M73" s="532"/>
    </row>
    <row r="74" spans="1:74" ht="14.4" x14ac:dyDescent="0.3">
      <c r="A74" s="239" t="s">
        <v>154</v>
      </c>
      <c r="B74" s="224" t="s">
        <v>228</v>
      </c>
      <c r="C74" s="526" t="s">
        <v>275</v>
      </c>
      <c r="D74" s="527"/>
      <c r="E74" s="223" t="s">
        <v>114</v>
      </c>
      <c r="F74" s="223" t="s">
        <v>114</v>
      </c>
      <c r="G74" s="223" t="s">
        <v>114</v>
      </c>
      <c r="H74" s="235">
        <f>SUM(H75:H77)</f>
        <v>0</v>
      </c>
      <c r="I74" s="235">
        <f>SUM(I75:I77)</f>
        <v>0</v>
      </c>
      <c r="J74" s="235">
        <f>SUM(J75:J77)</f>
        <v>0</v>
      </c>
      <c r="K74" s="230" t="s">
        <v>154</v>
      </c>
      <c r="L74" s="235">
        <f>SUM(L75:L77)</f>
        <v>0</v>
      </c>
      <c r="M74" s="243" t="s">
        <v>154</v>
      </c>
      <c r="AG74" s="230" t="s">
        <v>154</v>
      </c>
      <c r="AQ74" s="235">
        <f>SUM(AH75:AH77)</f>
        <v>0</v>
      </c>
      <c r="AR74" s="235">
        <f>SUM(AI75:AI77)</f>
        <v>0</v>
      </c>
      <c r="AS74" s="235">
        <f>SUM(AJ75:AJ77)</f>
        <v>0</v>
      </c>
    </row>
    <row r="75" spans="1:74" ht="14.4" x14ac:dyDescent="0.3">
      <c r="A75" s="239" t="s">
        <v>260</v>
      </c>
      <c r="B75" s="223" t="s">
        <v>277</v>
      </c>
      <c r="C75" s="521" t="s">
        <v>278</v>
      </c>
      <c r="D75" s="519"/>
      <c r="E75" s="223" t="s">
        <v>196</v>
      </c>
      <c r="F75" s="233">
        <v>14.46</v>
      </c>
      <c r="G75" s="311">
        <v>0</v>
      </c>
      <c r="H75" s="233">
        <f>F75*AM75</f>
        <v>0</v>
      </c>
      <c r="I75" s="233">
        <f>F75*AN75</f>
        <v>0</v>
      </c>
      <c r="J75" s="233">
        <f>F75*G75</f>
        <v>0</v>
      </c>
      <c r="K75" s="233">
        <v>0</v>
      </c>
      <c r="L75" s="233">
        <f>F75*K75</f>
        <v>0</v>
      </c>
      <c r="M75" s="240" t="s">
        <v>472</v>
      </c>
      <c r="X75" s="233">
        <f>IF(AO75="5",BH75,0)</f>
        <v>0</v>
      </c>
      <c r="Z75" s="233">
        <f>IF(AO75="1",BF75,0)</f>
        <v>0</v>
      </c>
      <c r="AA75" s="233">
        <f>IF(AO75="1",BG75,0)</f>
        <v>0</v>
      </c>
      <c r="AB75" s="233">
        <f>IF(AO75="7",BF75,0)</f>
        <v>0</v>
      </c>
      <c r="AC75" s="233">
        <f>IF(AO75="7",BG75,0)</f>
        <v>0</v>
      </c>
      <c r="AD75" s="233">
        <f>IF(AO75="2",BF75,0)</f>
        <v>0</v>
      </c>
      <c r="AE75" s="233">
        <f>IF(AO75="2",BG75,0)</f>
        <v>0</v>
      </c>
      <c r="AF75" s="233">
        <f>IF(AO75="0",BH75,0)</f>
        <v>0</v>
      </c>
      <c r="AG75" s="230" t="s">
        <v>154</v>
      </c>
      <c r="AH75" s="233">
        <f>IF(AL75=0,J75,0)</f>
        <v>0</v>
      </c>
      <c r="AI75" s="233">
        <f>IF(AL75=12,J75,0)</f>
        <v>0</v>
      </c>
      <c r="AJ75" s="233">
        <f>IF(AL75=21,J75,0)</f>
        <v>0</v>
      </c>
      <c r="AL75" s="233">
        <v>12</v>
      </c>
      <c r="AM75" s="233">
        <f>G75*0</f>
        <v>0</v>
      </c>
      <c r="AN75" s="233">
        <f>G75*(1-0)</f>
        <v>0</v>
      </c>
      <c r="AO75" s="234" t="s">
        <v>157</v>
      </c>
      <c r="AT75" s="233">
        <f>AU75+AV75</f>
        <v>0</v>
      </c>
      <c r="AU75" s="233">
        <f>F75*AM75</f>
        <v>0</v>
      </c>
      <c r="AV75" s="233">
        <f>F75*AN75</f>
        <v>0</v>
      </c>
      <c r="AW75" s="234" t="s">
        <v>279</v>
      </c>
      <c r="AX75" s="234" t="s">
        <v>163</v>
      </c>
      <c r="AY75" s="230" t="s">
        <v>164</v>
      </c>
      <c r="BA75" s="233">
        <f>AU75+AV75</f>
        <v>0</v>
      </c>
      <c r="BB75" s="233">
        <f>G75/(100-BC75)*100</f>
        <v>0</v>
      </c>
      <c r="BC75" s="233">
        <v>0</v>
      </c>
      <c r="BD75" s="233">
        <f>L75</f>
        <v>0</v>
      </c>
      <c r="BF75" s="233">
        <f>F75*AM75</f>
        <v>0</v>
      </c>
      <c r="BG75" s="233">
        <f>F75*AN75</f>
        <v>0</v>
      </c>
      <c r="BH75" s="233">
        <f>F75*G75</f>
        <v>0</v>
      </c>
      <c r="BI75" s="233"/>
      <c r="BJ75" s="233">
        <v>19</v>
      </c>
      <c r="BU75" s="233" t="e">
        <f>#REF!</f>
        <v>#REF!</v>
      </c>
      <c r="BV75" s="225" t="s">
        <v>278</v>
      </c>
    </row>
    <row r="76" spans="1:74" ht="27" customHeight="1" x14ac:dyDescent="0.3">
      <c r="A76" s="241"/>
      <c r="B76" s="242" t="s">
        <v>165</v>
      </c>
      <c r="C76" s="530" t="s">
        <v>2331</v>
      </c>
      <c r="D76" s="531"/>
      <c r="E76" s="531"/>
      <c r="F76" s="531"/>
      <c r="G76" s="531"/>
      <c r="H76" s="531"/>
      <c r="I76" s="531"/>
      <c r="J76" s="531"/>
      <c r="K76" s="531"/>
      <c r="L76" s="531"/>
      <c r="M76" s="532"/>
    </row>
    <row r="77" spans="1:74" ht="14.4" x14ac:dyDescent="0.3">
      <c r="A77" s="239" t="s">
        <v>264</v>
      </c>
      <c r="B77" s="223" t="s">
        <v>282</v>
      </c>
      <c r="C77" s="521" t="s">
        <v>283</v>
      </c>
      <c r="D77" s="519"/>
      <c r="E77" s="223" t="s">
        <v>196</v>
      </c>
      <c r="F77" s="233">
        <v>1.5</v>
      </c>
      <c r="G77" s="311">
        <v>0</v>
      </c>
      <c r="H77" s="233">
        <f>F77*AM77</f>
        <v>0</v>
      </c>
      <c r="I77" s="233">
        <f>F77*AN77</f>
        <v>0</v>
      </c>
      <c r="J77" s="233">
        <f>F77*G77</f>
        <v>0</v>
      </c>
      <c r="K77" s="233">
        <v>0</v>
      </c>
      <c r="L77" s="233">
        <f>F77*K77</f>
        <v>0</v>
      </c>
      <c r="M77" s="240" t="s">
        <v>472</v>
      </c>
      <c r="X77" s="233">
        <f>IF(AO77="5",BH77,0)</f>
        <v>0</v>
      </c>
      <c r="Z77" s="233">
        <f>IF(AO77="1",BF77,0)</f>
        <v>0</v>
      </c>
      <c r="AA77" s="233">
        <f>IF(AO77="1",BG77,0)</f>
        <v>0</v>
      </c>
      <c r="AB77" s="233">
        <f>IF(AO77="7",BF77,0)</f>
        <v>0</v>
      </c>
      <c r="AC77" s="233">
        <f>IF(AO77="7",BG77,0)</f>
        <v>0</v>
      </c>
      <c r="AD77" s="233">
        <f>IF(AO77="2",BF77,0)</f>
        <v>0</v>
      </c>
      <c r="AE77" s="233">
        <f>IF(AO77="2",BG77,0)</f>
        <v>0</v>
      </c>
      <c r="AF77" s="233">
        <f>IF(AO77="0",BH77,0)</f>
        <v>0</v>
      </c>
      <c r="AG77" s="230" t="s">
        <v>154</v>
      </c>
      <c r="AH77" s="233">
        <f>IF(AL77=0,J77,0)</f>
        <v>0</v>
      </c>
      <c r="AI77" s="233">
        <f>IF(AL77=12,J77,0)</f>
        <v>0</v>
      </c>
      <c r="AJ77" s="233">
        <f>IF(AL77=21,J77,0)</f>
        <v>0</v>
      </c>
      <c r="AL77" s="233">
        <v>12</v>
      </c>
      <c r="AM77" s="233">
        <f>G77*0</f>
        <v>0</v>
      </c>
      <c r="AN77" s="233">
        <f>G77*(1-0)</f>
        <v>0</v>
      </c>
      <c r="AO77" s="234" t="s">
        <v>157</v>
      </c>
      <c r="AT77" s="233">
        <f>AU77+AV77</f>
        <v>0</v>
      </c>
      <c r="AU77" s="233">
        <f>F77*AM77</f>
        <v>0</v>
      </c>
      <c r="AV77" s="233">
        <f>F77*AN77</f>
        <v>0</v>
      </c>
      <c r="AW77" s="234" t="s">
        <v>279</v>
      </c>
      <c r="AX77" s="234" t="s">
        <v>163</v>
      </c>
      <c r="AY77" s="230" t="s">
        <v>164</v>
      </c>
      <c r="BA77" s="233">
        <f>AU77+AV77</f>
        <v>0</v>
      </c>
      <c r="BB77" s="233">
        <f>G77/(100-BC77)*100</f>
        <v>0</v>
      </c>
      <c r="BC77" s="233">
        <v>0</v>
      </c>
      <c r="BD77" s="233">
        <f>L77</f>
        <v>0</v>
      </c>
      <c r="BF77" s="233">
        <f>F77*AM77</f>
        <v>0</v>
      </c>
      <c r="BG77" s="233">
        <f>F77*AN77</f>
        <v>0</v>
      </c>
      <c r="BH77" s="233">
        <f>F77*G77</f>
        <v>0</v>
      </c>
      <c r="BI77" s="233"/>
      <c r="BJ77" s="233">
        <v>19</v>
      </c>
      <c r="BU77" s="233" t="e">
        <f>#REF!</f>
        <v>#REF!</v>
      </c>
      <c r="BV77" s="225" t="s">
        <v>283</v>
      </c>
    </row>
    <row r="78" spans="1:74" ht="27" customHeight="1" x14ac:dyDescent="0.3">
      <c r="A78" s="244"/>
      <c r="B78" s="245" t="s">
        <v>165</v>
      </c>
      <c r="C78" s="540" t="s">
        <v>2217</v>
      </c>
      <c r="D78" s="541"/>
      <c r="E78" s="541"/>
      <c r="F78" s="541"/>
      <c r="G78" s="541"/>
      <c r="H78" s="541"/>
      <c r="I78" s="541"/>
      <c r="J78" s="541"/>
      <c r="K78" s="541"/>
      <c r="L78" s="541"/>
      <c r="M78" s="542"/>
    </row>
    <row r="79" spans="1:74" ht="14.4" x14ac:dyDescent="0.3">
      <c r="A79" s="237" t="s">
        <v>154</v>
      </c>
      <c r="B79" s="260" t="s">
        <v>235</v>
      </c>
      <c r="C79" s="545" t="s">
        <v>284</v>
      </c>
      <c r="D79" s="546"/>
      <c r="E79" s="238" t="s">
        <v>114</v>
      </c>
      <c r="F79" s="238" t="s">
        <v>114</v>
      </c>
      <c r="G79" s="238" t="s">
        <v>114</v>
      </c>
      <c r="H79" s="261">
        <f>SUM(H80:H80)</f>
        <v>0</v>
      </c>
      <c r="I79" s="261">
        <f>SUM(I80:I80)</f>
        <v>0</v>
      </c>
      <c r="J79" s="261">
        <f>SUM(J80:J80)</f>
        <v>0</v>
      </c>
      <c r="K79" s="262" t="s">
        <v>154</v>
      </c>
      <c r="L79" s="261">
        <f>SUM(L80:L80)</f>
        <v>0</v>
      </c>
      <c r="M79" s="263" t="s">
        <v>154</v>
      </c>
      <c r="AG79" s="230" t="s">
        <v>154</v>
      </c>
      <c r="AQ79" s="235">
        <f>SUM(AH80:AH80)</f>
        <v>0</v>
      </c>
      <c r="AR79" s="235">
        <f>SUM(AI80:AI80)</f>
        <v>0</v>
      </c>
      <c r="AS79" s="235">
        <f>SUM(AJ80:AJ80)</f>
        <v>0</v>
      </c>
    </row>
    <row r="80" spans="1:74" ht="14.4" x14ac:dyDescent="0.3">
      <c r="A80" s="239" t="s">
        <v>267</v>
      </c>
      <c r="B80" s="223" t="s">
        <v>507</v>
      </c>
      <c r="C80" s="521" t="s">
        <v>287</v>
      </c>
      <c r="D80" s="519"/>
      <c r="E80" s="223" t="s">
        <v>180</v>
      </c>
      <c r="F80" s="233">
        <v>14.01</v>
      </c>
      <c r="G80" s="311">
        <v>0</v>
      </c>
      <c r="H80" s="233">
        <f>F80*AM80</f>
        <v>0</v>
      </c>
      <c r="I80" s="233">
        <f>F80*AN80</f>
        <v>0</v>
      </c>
      <c r="J80" s="233">
        <f>F80*G80</f>
        <v>0</v>
      </c>
      <c r="K80" s="233">
        <v>0</v>
      </c>
      <c r="L80" s="233">
        <f>F80*K80</f>
        <v>0</v>
      </c>
      <c r="M80" s="240" t="s">
        <v>472</v>
      </c>
      <c r="X80" s="233">
        <f>IF(AO80="5",BH80,0)</f>
        <v>0</v>
      </c>
      <c r="Z80" s="233">
        <f>IF(AO80="1",BF80,0)</f>
        <v>0</v>
      </c>
      <c r="AA80" s="233">
        <f>IF(AO80="1",BG80,0)</f>
        <v>0</v>
      </c>
      <c r="AB80" s="233">
        <f>IF(AO80="7",BF80,0)</f>
        <v>0</v>
      </c>
      <c r="AC80" s="233">
        <f>IF(AO80="7",BG80,0)</f>
        <v>0</v>
      </c>
      <c r="AD80" s="233">
        <f>IF(AO80="2",BF80,0)</f>
        <v>0</v>
      </c>
      <c r="AE80" s="233">
        <f>IF(AO80="2",BG80,0)</f>
        <v>0</v>
      </c>
      <c r="AF80" s="233">
        <f>IF(AO80="0",BH80,0)</f>
        <v>0</v>
      </c>
      <c r="AG80" s="230" t="s">
        <v>154</v>
      </c>
      <c r="AH80" s="233">
        <f>IF(AL80=0,J80,0)</f>
        <v>0</v>
      </c>
      <c r="AI80" s="233">
        <f>IF(AL80=12,J80,0)</f>
        <v>0</v>
      </c>
      <c r="AJ80" s="233">
        <f>IF(AL80=21,J80,0)</f>
        <v>0</v>
      </c>
      <c r="AL80" s="233">
        <v>12</v>
      </c>
      <c r="AM80" s="233">
        <f>G80*0</f>
        <v>0</v>
      </c>
      <c r="AN80" s="233">
        <f>G80*(1-0)</f>
        <v>0</v>
      </c>
      <c r="AO80" s="234" t="s">
        <v>157</v>
      </c>
      <c r="AT80" s="233">
        <f>AU80+AV80</f>
        <v>0</v>
      </c>
      <c r="AU80" s="233">
        <f>F80*AM80</f>
        <v>0</v>
      </c>
      <c r="AV80" s="233">
        <f>F80*AN80</f>
        <v>0</v>
      </c>
      <c r="AW80" s="234" t="s">
        <v>288</v>
      </c>
      <c r="AX80" s="234" t="s">
        <v>289</v>
      </c>
      <c r="AY80" s="230" t="s">
        <v>164</v>
      </c>
      <c r="BA80" s="233">
        <f>AU80+AV80</f>
        <v>0</v>
      </c>
      <c r="BB80" s="233">
        <f>G80/(100-BC80)*100</f>
        <v>0</v>
      </c>
      <c r="BC80" s="233">
        <v>0</v>
      </c>
      <c r="BD80" s="233">
        <f>L80</f>
        <v>0</v>
      </c>
      <c r="BF80" s="233">
        <f>F80*AM80</f>
        <v>0</v>
      </c>
      <c r="BG80" s="233">
        <f>F80*AN80</f>
        <v>0</v>
      </c>
      <c r="BH80" s="233">
        <f>F80*G80</f>
        <v>0</v>
      </c>
      <c r="BI80" s="233"/>
      <c r="BJ80" s="233">
        <v>21</v>
      </c>
      <c r="BU80" s="233" t="e">
        <f>#REF!</f>
        <v>#REF!</v>
      </c>
      <c r="BV80" s="225" t="s">
        <v>287</v>
      </c>
    </row>
    <row r="81" spans="1:74" ht="40.5" customHeight="1" x14ac:dyDescent="0.3">
      <c r="A81" s="241"/>
      <c r="B81" s="242" t="s">
        <v>165</v>
      </c>
      <c r="C81" s="530" t="s">
        <v>2332</v>
      </c>
      <c r="D81" s="531"/>
      <c r="E81" s="531"/>
      <c r="F81" s="531"/>
      <c r="G81" s="531"/>
      <c r="H81" s="531"/>
      <c r="I81" s="531"/>
      <c r="J81" s="531"/>
      <c r="K81" s="531"/>
      <c r="L81" s="531"/>
      <c r="M81" s="532"/>
    </row>
    <row r="82" spans="1:74" ht="14.4" x14ac:dyDescent="0.3">
      <c r="A82" s="239" t="s">
        <v>154</v>
      </c>
      <c r="B82" s="224" t="s">
        <v>253</v>
      </c>
      <c r="C82" s="526" t="s">
        <v>293</v>
      </c>
      <c r="D82" s="527"/>
      <c r="E82" s="223" t="s">
        <v>114</v>
      </c>
      <c r="F82" s="223" t="s">
        <v>114</v>
      </c>
      <c r="G82" s="223" t="s">
        <v>114</v>
      </c>
      <c r="H82" s="235">
        <f>SUM(H83:H83)</f>
        <v>0</v>
      </c>
      <c r="I82" s="235">
        <f>SUM(I83:I83)</f>
        <v>0</v>
      </c>
      <c r="J82" s="235">
        <f>SUM(J83:J83)</f>
        <v>0</v>
      </c>
      <c r="K82" s="230" t="s">
        <v>154</v>
      </c>
      <c r="L82" s="235">
        <f>SUM(L83:L83)</f>
        <v>1.388827</v>
      </c>
      <c r="M82" s="243" t="s">
        <v>154</v>
      </c>
      <c r="AG82" s="230" t="s">
        <v>154</v>
      </c>
      <c r="AQ82" s="235">
        <f>SUM(AH83:AH83)</f>
        <v>0</v>
      </c>
      <c r="AR82" s="235">
        <f>SUM(AI83:AI83)</f>
        <v>0</v>
      </c>
      <c r="AS82" s="235">
        <f>SUM(AJ83:AJ83)</f>
        <v>0</v>
      </c>
    </row>
    <row r="83" spans="1:74" ht="14.4" x14ac:dyDescent="0.3">
      <c r="A83" s="239" t="s">
        <v>271</v>
      </c>
      <c r="B83" s="223" t="s">
        <v>890</v>
      </c>
      <c r="C83" s="521" t="s">
        <v>296</v>
      </c>
      <c r="D83" s="519"/>
      <c r="E83" s="223" t="s">
        <v>196</v>
      </c>
      <c r="F83" s="233">
        <v>0.55000000000000004</v>
      </c>
      <c r="G83" s="311">
        <v>0</v>
      </c>
      <c r="H83" s="233">
        <f>F83*AM83</f>
        <v>0</v>
      </c>
      <c r="I83" s="233">
        <f>F83*AN83</f>
        <v>0</v>
      </c>
      <c r="J83" s="233">
        <f>F83*G83</f>
        <v>0</v>
      </c>
      <c r="K83" s="233">
        <v>2.5251399999999999</v>
      </c>
      <c r="L83" s="233">
        <f>F83*K83</f>
        <v>1.388827</v>
      </c>
      <c r="M83" s="240" t="s">
        <v>472</v>
      </c>
      <c r="X83" s="233">
        <f>IF(AO83="5",BH83,0)</f>
        <v>0</v>
      </c>
      <c r="Z83" s="233">
        <f>IF(AO83="1",BF83,0)</f>
        <v>0</v>
      </c>
      <c r="AA83" s="233">
        <f>IF(AO83="1",BG83,0)</f>
        <v>0</v>
      </c>
      <c r="AB83" s="233">
        <f>IF(AO83="7",BF83,0)</f>
        <v>0</v>
      </c>
      <c r="AC83" s="233">
        <f>IF(AO83="7",BG83,0)</f>
        <v>0</v>
      </c>
      <c r="AD83" s="233">
        <f>IF(AO83="2",BF83,0)</f>
        <v>0</v>
      </c>
      <c r="AE83" s="233">
        <f>IF(AO83="2",BG83,0)</f>
        <v>0</v>
      </c>
      <c r="AF83" s="233">
        <f>IF(AO83="0",BH83,0)</f>
        <v>0</v>
      </c>
      <c r="AG83" s="230" t="s">
        <v>154</v>
      </c>
      <c r="AH83" s="233">
        <f>IF(AL83=0,J83,0)</f>
        <v>0</v>
      </c>
      <c r="AI83" s="233">
        <f>IF(AL83=12,J83,0)</f>
        <v>0</v>
      </c>
      <c r="AJ83" s="233">
        <f>IF(AL83=21,J83,0)</f>
        <v>0</v>
      </c>
      <c r="AL83" s="233">
        <v>12</v>
      </c>
      <c r="AM83" s="233">
        <f>G83*0.848046142</f>
        <v>0</v>
      </c>
      <c r="AN83" s="233">
        <f>G83*(1-0.848046142)</f>
        <v>0</v>
      </c>
      <c r="AO83" s="234" t="s">
        <v>157</v>
      </c>
      <c r="AT83" s="233">
        <f>AU83+AV83</f>
        <v>0</v>
      </c>
      <c r="AU83" s="233">
        <f>F83*AM83</f>
        <v>0</v>
      </c>
      <c r="AV83" s="233">
        <f>F83*AN83</f>
        <v>0</v>
      </c>
      <c r="AW83" s="234" t="s">
        <v>297</v>
      </c>
      <c r="AX83" s="234" t="s">
        <v>289</v>
      </c>
      <c r="AY83" s="230" t="s">
        <v>164</v>
      </c>
      <c r="BA83" s="233">
        <f>AU83+AV83</f>
        <v>0</v>
      </c>
      <c r="BB83" s="233">
        <f>G83/(100-BC83)*100</f>
        <v>0</v>
      </c>
      <c r="BC83" s="233">
        <v>0</v>
      </c>
      <c r="BD83" s="233">
        <f>L83</f>
        <v>1.388827</v>
      </c>
      <c r="BF83" s="233">
        <f>F83*AM83</f>
        <v>0</v>
      </c>
      <c r="BG83" s="233">
        <f>F83*AN83</f>
        <v>0</v>
      </c>
      <c r="BH83" s="233">
        <f>F83*G83</f>
        <v>0</v>
      </c>
      <c r="BI83" s="233"/>
      <c r="BJ83" s="233">
        <v>27</v>
      </c>
      <c r="BU83" s="233" t="e">
        <f>#REF!</f>
        <v>#REF!</v>
      </c>
      <c r="BV83" s="225" t="s">
        <v>296</v>
      </c>
    </row>
    <row r="84" spans="1:74" ht="54" customHeight="1" x14ac:dyDescent="0.3">
      <c r="A84" s="241"/>
      <c r="B84" s="242" t="s">
        <v>165</v>
      </c>
      <c r="C84" s="530" t="s">
        <v>2333</v>
      </c>
      <c r="D84" s="531"/>
      <c r="E84" s="531"/>
      <c r="F84" s="531"/>
      <c r="G84" s="531"/>
      <c r="H84" s="531"/>
      <c r="I84" s="531"/>
      <c r="J84" s="531"/>
      <c r="K84" s="531"/>
      <c r="L84" s="531"/>
      <c r="M84" s="532"/>
    </row>
    <row r="85" spans="1:74" ht="14.4" x14ac:dyDescent="0.3">
      <c r="A85" s="239" t="s">
        <v>154</v>
      </c>
      <c r="B85" s="224" t="s">
        <v>298</v>
      </c>
      <c r="C85" s="526" t="s">
        <v>299</v>
      </c>
      <c r="D85" s="527"/>
      <c r="E85" s="223" t="s">
        <v>114</v>
      </c>
      <c r="F85" s="223" t="s">
        <v>114</v>
      </c>
      <c r="G85" s="223" t="s">
        <v>114</v>
      </c>
      <c r="H85" s="235">
        <f>SUM(H86:H86)</f>
        <v>0</v>
      </c>
      <c r="I85" s="235">
        <f>SUM(I86:I86)</f>
        <v>0</v>
      </c>
      <c r="J85" s="235">
        <f>SUM(J86:J86)</f>
        <v>0</v>
      </c>
      <c r="K85" s="230" t="s">
        <v>154</v>
      </c>
      <c r="L85" s="235">
        <f>SUM(L86:L86)</f>
        <v>4.1596940000000009</v>
      </c>
      <c r="M85" s="243" t="s">
        <v>154</v>
      </c>
      <c r="AG85" s="230" t="s">
        <v>154</v>
      </c>
      <c r="AQ85" s="235">
        <f>SUM(AH86:AH86)</f>
        <v>0</v>
      </c>
      <c r="AR85" s="235">
        <f>SUM(AI86:AI86)</f>
        <v>0</v>
      </c>
      <c r="AS85" s="235">
        <f>SUM(AJ86:AJ86)</f>
        <v>0</v>
      </c>
    </row>
    <row r="86" spans="1:74" ht="14.4" x14ac:dyDescent="0.3">
      <c r="A86" s="239" t="s">
        <v>276</v>
      </c>
      <c r="B86" s="223" t="s">
        <v>301</v>
      </c>
      <c r="C86" s="521" t="s">
        <v>891</v>
      </c>
      <c r="D86" s="519"/>
      <c r="E86" s="223" t="s">
        <v>196</v>
      </c>
      <c r="F86" s="233">
        <v>2.2000000000000002</v>
      </c>
      <c r="G86" s="311">
        <v>0</v>
      </c>
      <c r="H86" s="233">
        <f>F86*AM86</f>
        <v>0</v>
      </c>
      <c r="I86" s="233">
        <f>F86*AN86</f>
        <v>0</v>
      </c>
      <c r="J86" s="233">
        <f>F86*G86</f>
        <v>0</v>
      </c>
      <c r="K86" s="233">
        <v>1.8907700000000001</v>
      </c>
      <c r="L86" s="233">
        <f>F86*K86</f>
        <v>4.1596940000000009</v>
      </c>
      <c r="M86" s="240" t="s">
        <v>472</v>
      </c>
      <c r="X86" s="233">
        <f>IF(AO86="5",BH86,0)</f>
        <v>0</v>
      </c>
      <c r="Z86" s="233">
        <f>IF(AO86="1",BF86,0)</f>
        <v>0</v>
      </c>
      <c r="AA86" s="233">
        <f>IF(AO86="1",BG86,0)</f>
        <v>0</v>
      </c>
      <c r="AB86" s="233">
        <f>IF(AO86="7",BF86,0)</f>
        <v>0</v>
      </c>
      <c r="AC86" s="233">
        <f>IF(AO86="7",BG86,0)</f>
        <v>0</v>
      </c>
      <c r="AD86" s="233">
        <f>IF(AO86="2",BF86,0)</f>
        <v>0</v>
      </c>
      <c r="AE86" s="233">
        <f>IF(AO86="2",BG86,0)</f>
        <v>0</v>
      </c>
      <c r="AF86" s="233">
        <f>IF(AO86="0",BH86,0)</f>
        <v>0</v>
      </c>
      <c r="AG86" s="230" t="s">
        <v>154</v>
      </c>
      <c r="AH86" s="233">
        <f>IF(AL86=0,J86,0)</f>
        <v>0</v>
      </c>
      <c r="AI86" s="233">
        <f>IF(AL86=12,J86,0)</f>
        <v>0</v>
      </c>
      <c r="AJ86" s="233">
        <f>IF(AL86=21,J86,0)</f>
        <v>0</v>
      </c>
      <c r="AL86" s="233">
        <v>12</v>
      </c>
      <c r="AM86" s="233">
        <f>G86*0.492383016</f>
        <v>0</v>
      </c>
      <c r="AN86" s="233">
        <f>G86*(1-0.492383016)</f>
        <v>0</v>
      </c>
      <c r="AO86" s="234" t="s">
        <v>157</v>
      </c>
      <c r="AT86" s="233">
        <f>AU86+AV86</f>
        <v>0</v>
      </c>
      <c r="AU86" s="233">
        <f>F86*AM86</f>
        <v>0</v>
      </c>
      <c r="AV86" s="233">
        <f>F86*AN86</f>
        <v>0</v>
      </c>
      <c r="AW86" s="234" t="s">
        <v>303</v>
      </c>
      <c r="AX86" s="234" t="s">
        <v>304</v>
      </c>
      <c r="AY86" s="230" t="s">
        <v>164</v>
      </c>
      <c r="BA86" s="233">
        <f>AU86+AV86</f>
        <v>0</v>
      </c>
      <c r="BB86" s="233">
        <f>G86/(100-BC86)*100</f>
        <v>0</v>
      </c>
      <c r="BC86" s="233">
        <v>0</v>
      </c>
      <c r="BD86" s="233">
        <f>L86</f>
        <v>4.1596940000000009</v>
      </c>
      <c r="BF86" s="233">
        <f>F86*AM86</f>
        <v>0</v>
      </c>
      <c r="BG86" s="233">
        <f>F86*AN86</f>
        <v>0</v>
      </c>
      <c r="BH86" s="233">
        <f>F86*G86</f>
        <v>0</v>
      </c>
      <c r="BI86" s="233"/>
      <c r="BJ86" s="233">
        <v>45</v>
      </c>
      <c r="BU86" s="233" t="e">
        <f>#REF!</f>
        <v>#REF!</v>
      </c>
      <c r="BV86" s="225" t="s">
        <v>891</v>
      </c>
    </row>
    <row r="87" spans="1:74" ht="40.5" customHeight="1" x14ac:dyDescent="0.3">
      <c r="A87" s="241"/>
      <c r="B87" s="242" t="s">
        <v>165</v>
      </c>
      <c r="C87" s="530" t="s">
        <v>2334</v>
      </c>
      <c r="D87" s="531"/>
      <c r="E87" s="531"/>
      <c r="F87" s="531"/>
      <c r="G87" s="531"/>
      <c r="H87" s="531"/>
      <c r="I87" s="531"/>
      <c r="J87" s="531"/>
      <c r="K87" s="531"/>
      <c r="L87" s="531"/>
      <c r="M87" s="532"/>
    </row>
    <row r="88" spans="1:74" ht="14.4" x14ac:dyDescent="0.3">
      <c r="A88" s="239" t="s">
        <v>154</v>
      </c>
      <c r="B88" s="224" t="s">
        <v>305</v>
      </c>
      <c r="C88" s="526" t="s">
        <v>306</v>
      </c>
      <c r="D88" s="527"/>
      <c r="E88" s="223" t="s">
        <v>114</v>
      </c>
      <c r="F88" s="223" t="s">
        <v>114</v>
      </c>
      <c r="G88" s="223" t="s">
        <v>114</v>
      </c>
      <c r="H88" s="235">
        <f>SUM(H89:H101)</f>
        <v>0</v>
      </c>
      <c r="I88" s="235">
        <f>SUM(I89:I101)</f>
        <v>0</v>
      </c>
      <c r="J88" s="235">
        <f>SUM(J89:J101)</f>
        <v>0</v>
      </c>
      <c r="K88" s="230" t="s">
        <v>154</v>
      </c>
      <c r="L88" s="235">
        <f>SUM(L89:L101)</f>
        <v>18.656729599999998</v>
      </c>
      <c r="M88" s="243" t="s">
        <v>154</v>
      </c>
      <c r="AG88" s="230" t="s">
        <v>154</v>
      </c>
      <c r="AQ88" s="235">
        <f>SUM(AH89:AH101)</f>
        <v>0</v>
      </c>
      <c r="AR88" s="235">
        <f>SUM(AI89:AI101)</f>
        <v>0</v>
      </c>
      <c r="AS88" s="235">
        <f>SUM(AJ89:AJ101)</f>
        <v>0</v>
      </c>
    </row>
    <row r="89" spans="1:74" ht="14.4" x14ac:dyDescent="0.3">
      <c r="A89" s="239" t="s">
        <v>281</v>
      </c>
      <c r="B89" s="223" t="s">
        <v>308</v>
      </c>
      <c r="C89" s="521" t="s">
        <v>309</v>
      </c>
      <c r="D89" s="519"/>
      <c r="E89" s="223" t="s">
        <v>180</v>
      </c>
      <c r="F89" s="233">
        <v>6.77</v>
      </c>
      <c r="G89" s="311">
        <v>0</v>
      </c>
      <c r="H89" s="233">
        <f>F89*AM89</f>
        <v>0</v>
      </c>
      <c r="I89" s="233">
        <f>F89*AN89</f>
        <v>0</v>
      </c>
      <c r="J89" s="233">
        <f>F89*G89</f>
        <v>0</v>
      </c>
      <c r="K89" s="233">
        <v>0.4284</v>
      </c>
      <c r="L89" s="233">
        <f>F89*K89</f>
        <v>2.9002679999999996</v>
      </c>
      <c r="M89" s="240" t="s">
        <v>472</v>
      </c>
      <c r="X89" s="233">
        <f>IF(AO89="5",BH89,0)</f>
        <v>0</v>
      </c>
      <c r="Z89" s="233">
        <f>IF(AO89="1",BF89,0)</f>
        <v>0</v>
      </c>
      <c r="AA89" s="233">
        <f>IF(AO89="1",BG89,0)</f>
        <v>0</v>
      </c>
      <c r="AB89" s="233">
        <f>IF(AO89="7",BF89,0)</f>
        <v>0</v>
      </c>
      <c r="AC89" s="233">
        <f>IF(AO89="7",BG89,0)</f>
        <v>0</v>
      </c>
      <c r="AD89" s="233">
        <f>IF(AO89="2",BF89,0)</f>
        <v>0</v>
      </c>
      <c r="AE89" s="233">
        <f>IF(AO89="2",BG89,0)</f>
        <v>0</v>
      </c>
      <c r="AF89" s="233">
        <f>IF(AO89="0",BH89,0)</f>
        <v>0</v>
      </c>
      <c r="AG89" s="230" t="s">
        <v>154</v>
      </c>
      <c r="AH89" s="233">
        <f>IF(AL89=0,J89,0)</f>
        <v>0</v>
      </c>
      <c r="AI89" s="233">
        <f>IF(AL89=12,J89,0)</f>
        <v>0</v>
      </c>
      <c r="AJ89" s="233">
        <f>IF(AL89=21,J89,0)</f>
        <v>0</v>
      </c>
      <c r="AL89" s="233">
        <v>12</v>
      </c>
      <c r="AM89" s="233">
        <f>G89*0.847967598</f>
        <v>0</v>
      </c>
      <c r="AN89" s="233">
        <f>G89*(1-0.847967598)</f>
        <v>0</v>
      </c>
      <c r="AO89" s="234" t="s">
        <v>157</v>
      </c>
      <c r="AT89" s="233">
        <f>AU89+AV89</f>
        <v>0</v>
      </c>
      <c r="AU89" s="233">
        <f>F89*AM89</f>
        <v>0</v>
      </c>
      <c r="AV89" s="233">
        <f>F89*AN89</f>
        <v>0</v>
      </c>
      <c r="AW89" s="234" t="s">
        <v>310</v>
      </c>
      <c r="AX89" s="234" t="s">
        <v>311</v>
      </c>
      <c r="AY89" s="230" t="s">
        <v>164</v>
      </c>
      <c r="BA89" s="233">
        <f>AU89+AV89</f>
        <v>0</v>
      </c>
      <c r="BB89" s="233">
        <f>G89/(100-BC89)*100</f>
        <v>0</v>
      </c>
      <c r="BC89" s="233">
        <v>0</v>
      </c>
      <c r="BD89" s="233">
        <f>L89</f>
        <v>2.9002679999999996</v>
      </c>
      <c r="BF89" s="233">
        <f>F89*AM89</f>
        <v>0</v>
      </c>
      <c r="BG89" s="233">
        <f>F89*AN89</f>
        <v>0</v>
      </c>
      <c r="BH89" s="233">
        <f>F89*G89</f>
        <v>0</v>
      </c>
      <c r="BI89" s="233"/>
      <c r="BJ89" s="233">
        <v>56</v>
      </c>
      <c r="BU89" s="233" t="e">
        <f>#REF!</f>
        <v>#REF!</v>
      </c>
      <c r="BV89" s="225" t="s">
        <v>309</v>
      </c>
    </row>
    <row r="90" spans="1:74" ht="40.5" customHeight="1" x14ac:dyDescent="0.3">
      <c r="A90" s="241"/>
      <c r="B90" s="242" t="s">
        <v>165</v>
      </c>
      <c r="C90" s="530" t="s">
        <v>2335</v>
      </c>
      <c r="D90" s="531"/>
      <c r="E90" s="531"/>
      <c r="F90" s="531"/>
      <c r="G90" s="531"/>
      <c r="H90" s="531"/>
      <c r="I90" s="531"/>
      <c r="J90" s="531"/>
      <c r="K90" s="531"/>
      <c r="L90" s="531"/>
      <c r="M90" s="532"/>
    </row>
    <row r="91" spans="1:74" ht="14.4" x14ac:dyDescent="0.3">
      <c r="A91" s="239" t="s">
        <v>285</v>
      </c>
      <c r="B91" s="223" t="s">
        <v>313</v>
      </c>
      <c r="C91" s="521" t="s">
        <v>314</v>
      </c>
      <c r="D91" s="519"/>
      <c r="E91" s="223" t="s">
        <v>180</v>
      </c>
      <c r="F91" s="233">
        <v>6.96</v>
      </c>
      <c r="G91" s="311">
        <v>0</v>
      </c>
      <c r="H91" s="233">
        <f>F91*AM91</f>
        <v>0</v>
      </c>
      <c r="I91" s="233">
        <f>F91*AN91</f>
        <v>0</v>
      </c>
      <c r="J91" s="233">
        <f>F91*G91</f>
        <v>0</v>
      </c>
      <c r="K91" s="233">
        <v>0.60104000000000002</v>
      </c>
      <c r="L91" s="233">
        <f>F91*K91</f>
        <v>4.1832384000000005</v>
      </c>
      <c r="M91" s="240" t="s">
        <v>472</v>
      </c>
      <c r="X91" s="233">
        <f>IF(AO91="5",BH91,0)</f>
        <v>0</v>
      </c>
      <c r="Z91" s="233">
        <f>IF(AO91="1",BF91,0)</f>
        <v>0</v>
      </c>
      <c r="AA91" s="233">
        <f>IF(AO91="1",BG91,0)</f>
        <v>0</v>
      </c>
      <c r="AB91" s="233">
        <f>IF(AO91="7",BF91,0)</f>
        <v>0</v>
      </c>
      <c r="AC91" s="233">
        <f>IF(AO91="7",BG91,0)</f>
        <v>0</v>
      </c>
      <c r="AD91" s="233">
        <f>IF(AO91="2",BF91,0)</f>
        <v>0</v>
      </c>
      <c r="AE91" s="233">
        <f>IF(AO91="2",BG91,0)</f>
        <v>0</v>
      </c>
      <c r="AF91" s="233">
        <f>IF(AO91="0",BH91,0)</f>
        <v>0</v>
      </c>
      <c r="AG91" s="230" t="s">
        <v>154</v>
      </c>
      <c r="AH91" s="233">
        <f>IF(AL91=0,J91,0)</f>
        <v>0</v>
      </c>
      <c r="AI91" s="233">
        <f>IF(AL91=12,J91,0)</f>
        <v>0</v>
      </c>
      <c r="AJ91" s="233">
        <f>IF(AL91=21,J91,0)</f>
        <v>0</v>
      </c>
      <c r="AL91" s="233">
        <v>12</v>
      </c>
      <c r="AM91" s="233">
        <f>G91*0.832421445</f>
        <v>0</v>
      </c>
      <c r="AN91" s="233">
        <f>G91*(1-0.832421445)</f>
        <v>0</v>
      </c>
      <c r="AO91" s="234" t="s">
        <v>157</v>
      </c>
      <c r="AT91" s="233">
        <f>AU91+AV91</f>
        <v>0</v>
      </c>
      <c r="AU91" s="233">
        <f>F91*AM91</f>
        <v>0</v>
      </c>
      <c r="AV91" s="233">
        <f>F91*AN91</f>
        <v>0</v>
      </c>
      <c r="AW91" s="234" t="s">
        <v>310</v>
      </c>
      <c r="AX91" s="234" t="s">
        <v>311</v>
      </c>
      <c r="AY91" s="230" t="s">
        <v>164</v>
      </c>
      <c r="BA91" s="233">
        <f>AU91+AV91</f>
        <v>0</v>
      </c>
      <c r="BB91" s="233">
        <f>G91/(100-BC91)*100</f>
        <v>0</v>
      </c>
      <c r="BC91" s="233">
        <v>0</v>
      </c>
      <c r="BD91" s="233">
        <f>L91</f>
        <v>4.1832384000000005</v>
      </c>
      <c r="BF91" s="233">
        <f>F91*AM91</f>
        <v>0</v>
      </c>
      <c r="BG91" s="233">
        <f>F91*AN91</f>
        <v>0</v>
      </c>
      <c r="BH91" s="233">
        <f>F91*G91</f>
        <v>0</v>
      </c>
      <c r="BI91" s="233"/>
      <c r="BJ91" s="233">
        <v>56</v>
      </c>
      <c r="BU91" s="233" t="e">
        <f>#REF!</f>
        <v>#REF!</v>
      </c>
      <c r="BV91" s="225" t="s">
        <v>314</v>
      </c>
    </row>
    <row r="92" spans="1:74" ht="40.5" customHeight="1" x14ac:dyDescent="0.3">
      <c r="A92" s="241"/>
      <c r="B92" s="242" t="s">
        <v>165</v>
      </c>
      <c r="C92" s="530" t="s">
        <v>2336</v>
      </c>
      <c r="D92" s="531"/>
      <c r="E92" s="531"/>
      <c r="F92" s="531"/>
      <c r="G92" s="531"/>
      <c r="H92" s="531"/>
      <c r="I92" s="531"/>
      <c r="J92" s="531"/>
      <c r="K92" s="531"/>
      <c r="L92" s="531"/>
      <c r="M92" s="532"/>
    </row>
    <row r="93" spans="1:74" ht="14.4" x14ac:dyDescent="0.3">
      <c r="A93" s="239" t="s">
        <v>290</v>
      </c>
      <c r="B93" s="223" t="s">
        <v>316</v>
      </c>
      <c r="C93" s="521" t="s">
        <v>317</v>
      </c>
      <c r="D93" s="519"/>
      <c r="E93" s="223" t="s">
        <v>180</v>
      </c>
      <c r="F93" s="233">
        <v>7.09</v>
      </c>
      <c r="G93" s="311">
        <v>0</v>
      </c>
      <c r="H93" s="233">
        <f>F93*AM93</f>
        <v>0</v>
      </c>
      <c r="I93" s="233">
        <f>F93*AN93</f>
        <v>0</v>
      </c>
      <c r="J93" s="233">
        <f>F93*G93</f>
        <v>0</v>
      </c>
      <c r="K93" s="233">
        <v>0.48574000000000001</v>
      </c>
      <c r="L93" s="233">
        <f>F93*K93</f>
        <v>3.4438966</v>
      </c>
      <c r="M93" s="240" t="s">
        <v>472</v>
      </c>
      <c r="X93" s="233">
        <f>IF(AO93="5",BH93,0)</f>
        <v>0</v>
      </c>
      <c r="Z93" s="233">
        <f>IF(AO93="1",BF93,0)</f>
        <v>0</v>
      </c>
      <c r="AA93" s="233">
        <f>IF(AO93="1",BG93,0)</f>
        <v>0</v>
      </c>
      <c r="AB93" s="233">
        <f>IF(AO93="7",BF93,0)</f>
        <v>0</v>
      </c>
      <c r="AC93" s="233">
        <f>IF(AO93="7",BG93,0)</f>
        <v>0</v>
      </c>
      <c r="AD93" s="233">
        <f>IF(AO93="2",BF93,0)</f>
        <v>0</v>
      </c>
      <c r="AE93" s="233">
        <f>IF(AO93="2",BG93,0)</f>
        <v>0</v>
      </c>
      <c r="AF93" s="233">
        <f>IF(AO93="0",BH93,0)</f>
        <v>0</v>
      </c>
      <c r="AG93" s="230" t="s">
        <v>154</v>
      </c>
      <c r="AH93" s="233">
        <f>IF(AL93=0,J93,0)</f>
        <v>0</v>
      </c>
      <c r="AI93" s="233">
        <f>IF(AL93=12,J93,0)</f>
        <v>0</v>
      </c>
      <c r="AJ93" s="233">
        <f>IF(AL93=21,J93,0)</f>
        <v>0</v>
      </c>
      <c r="AL93" s="233">
        <v>12</v>
      </c>
      <c r="AM93" s="233">
        <f>G93*0.812877038</f>
        <v>0</v>
      </c>
      <c r="AN93" s="233">
        <f>G93*(1-0.812877038)</f>
        <v>0</v>
      </c>
      <c r="AO93" s="234" t="s">
        <v>157</v>
      </c>
      <c r="AT93" s="233">
        <f>AU93+AV93</f>
        <v>0</v>
      </c>
      <c r="AU93" s="233">
        <f>F93*AM93</f>
        <v>0</v>
      </c>
      <c r="AV93" s="233">
        <f>F93*AN93</f>
        <v>0</v>
      </c>
      <c r="AW93" s="234" t="s">
        <v>310</v>
      </c>
      <c r="AX93" s="234" t="s">
        <v>311</v>
      </c>
      <c r="AY93" s="230" t="s">
        <v>164</v>
      </c>
      <c r="BA93" s="233">
        <f>AU93+AV93</f>
        <v>0</v>
      </c>
      <c r="BB93" s="233">
        <f>G93/(100-BC93)*100</f>
        <v>0</v>
      </c>
      <c r="BC93" s="233">
        <v>0</v>
      </c>
      <c r="BD93" s="233">
        <f>L93</f>
        <v>3.4438966</v>
      </c>
      <c r="BF93" s="233">
        <f>F93*AM93</f>
        <v>0</v>
      </c>
      <c r="BG93" s="233">
        <f>F93*AN93</f>
        <v>0</v>
      </c>
      <c r="BH93" s="233">
        <f>F93*G93</f>
        <v>0</v>
      </c>
      <c r="BI93" s="233"/>
      <c r="BJ93" s="233">
        <v>56</v>
      </c>
      <c r="BU93" s="233" t="e">
        <f>#REF!</f>
        <v>#REF!</v>
      </c>
      <c r="BV93" s="225" t="s">
        <v>317</v>
      </c>
    </row>
    <row r="94" spans="1:74" ht="40.5" customHeight="1" x14ac:dyDescent="0.3">
      <c r="A94" s="241"/>
      <c r="B94" s="242" t="s">
        <v>165</v>
      </c>
      <c r="C94" s="530" t="s">
        <v>2337</v>
      </c>
      <c r="D94" s="531"/>
      <c r="E94" s="531"/>
      <c r="F94" s="531"/>
      <c r="G94" s="531"/>
      <c r="H94" s="531"/>
      <c r="I94" s="531"/>
      <c r="J94" s="531"/>
      <c r="K94" s="531"/>
      <c r="L94" s="531"/>
      <c r="M94" s="532"/>
    </row>
    <row r="95" spans="1:74" ht="14.4" x14ac:dyDescent="0.3">
      <c r="A95" s="239" t="s">
        <v>294</v>
      </c>
      <c r="B95" s="223" t="s">
        <v>316</v>
      </c>
      <c r="C95" s="521" t="s">
        <v>317</v>
      </c>
      <c r="D95" s="519"/>
      <c r="E95" s="223" t="s">
        <v>180</v>
      </c>
      <c r="F95" s="233">
        <v>7.09</v>
      </c>
      <c r="G95" s="311">
        <v>0</v>
      </c>
      <c r="H95" s="233">
        <f>F95*AM95</f>
        <v>0</v>
      </c>
      <c r="I95" s="233">
        <f>F95*AN95</f>
        <v>0</v>
      </c>
      <c r="J95" s="233">
        <f>F95*G95</f>
        <v>0</v>
      </c>
      <c r="K95" s="233">
        <v>0.48574000000000001</v>
      </c>
      <c r="L95" s="233">
        <f>F95*K95</f>
        <v>3.4438966</v>
      </c>
      <c r="M95" s="240" t="s">
        <v>472</v>
      </c>
      <c r="X95" s="233">
        <f>IF(AO95="5",BH95,0)</f>
        <v>0</v>
      </c>
      <c r="Z95" s="233">
        <f>IF(AO95="1",BF95,0)</f>
        <v>0</v>
      </c>
      <c r="AA95" s="233">
        <f>IF(AO95="1",BG95,0)</f>
        <v>0</v>
      </c>
      <c r="AB95" s="233">
        <f>IF(AO95="7",BF95,0)</f>
        <v>0</v>
      </c>
      <c r="AC95" s="233">
        <f>IF(AO95="7",BG95,0)</f>
        <v>0</v>
      </c>
      <c r="AD95" s="233">
        <f>IF(AO95="2",BF95,0)</f>
        <v>0</v>
      </c>
      <c r="AE95" s="233">
        <f>IF(AO95="2",BG95,0)</f>
        <v>0</v>
      </c>
      <c r="AF95" s="233">
        <f>IF(AO95="0",BH95,0)</f>
        <v>0</v>
      </c>
      <c r="AG95" s="230" t="s">
        <v>154</v>
      </c>
      <c r="AH95" s="233">
        <f>IF(AL95=0,J95,0)</f>
        <v>0</v>
      </c>
      <c r="AI95" s="233">
        <f>IF(AL95=12,J95,0)</f>
        <v>0</v>
      </c>
      <c r="AJ95" s="233">
        <f>IF(AL95=21,J95,0)</f>
        <v>0</v>
      </c>
      <c r="AL95" s="233">
        <v>12</v>
      </c>
      <c r="AM95" s="233">
        <f>G95*0.812877038</f>
        <v>0</v>
      </c>
      <c r="AN95" s="233">
        <f>G95*(1-0.812877038)</f>
        <v>0</v>
      </c>
      <c r="AO95" s="234" t="s">
        <v>157</v>
      </c>
      <c r="AT95" s="233">
        <f>AU95+AV95</f>
        <v>0</v>
      </c>
      <c r="AU95" s="233">
        <f>F95*AM95</f>
        <v>0</v>
      </c>
      <c r="AV95" s="233">
        <f>F95*AN95</f>
        <v>0</v>
      </c>
      <c r="AW95" s="234" t="s">
        <v>310</v>
      </c>
      <c r="AX95" s="234" t="s">
        <v>311</v>
      </c>
      <c r="AY95" s="230" t="s">
        <v>164</v>
      </c>
      <c r="BA95" s="233">
        <f>AU95+AV95</f>
        <v>0</v>
      </c>
      <c r="BB95" s="233">
        <f>G95/(100-BC95)*100</f>
        <v>0</v>
      </c>
      <c r="BC95" s="233">
        <v>0</v>
      </c>
      <c r="BD95" s="233">
        <f>L95</f>
        <v>3.4438966</v>
      </c>
      <c r="BF95" s="233">
        <f>F95*AM95</f>
        <v>0</v>
      </c>
      <c r="BG95" s="233">
        <f>F95*AN95</f>
        <v>0</v>
      </c>
      <c r="BH95" s="233">
        <f>F95*G95</f>
        <v>0</v>
      </c>
      <c r="BI95" s="233"/>
      <c r="BJ95" s="233">
        <v>56</v>
      </c>
      <c r="BU95" s="233" t="e">
        <f>#REF!</f>
        <v>#REF!</v>
      </c>
      <c r="BV95" s="225" t="s">
        <v>317</v>
      </c>
    </row>
    <row r="96" spans="1:74" ht="40.5" customHeight="1" x14ac:dyDescent="0.3">
      <c r="A96" s="241"/>
      <c r="B96" s="242" t="s">
        <v>165</v>
      </c>
      <c r="C96" s="530" t="s">
        <v>2337</v>
      </c>
      <c r="D96" s="531"/>
      <c r="E96" s="531"/>
      <c r="F96" s="531"/>
      <c r="G96" s="531"/>
      <c r="H96" s="531"/>
      <c r="I96" s="531"/>
      <c r="J96" s="531"/>
      <c r="K96" s="531"/>
      <c r="L96" s="531"/>
      <c r="M96" s="532"/>
    </row>
    <row r="97" spans="1:74" ht="14.4" x14ac:dyDescent="0.3">
      <c r="A97" s="239" t="s">
        <v>300</v>
      </c>
      <c r="B97" s="223" t="s">
        <v>320</v>
      </c>
      <c r="C97" s="521" t="s">
        <v>321</v>
      </c>
      <c r="D97" s="519"/>
      <c r="E97" s="223" t="s">
        <v>180</v>
      </c>
      <c r="F97" s="233">
        <v>7.05</v>
      </c>
      <c r="G97" s="311">
        <v>0</v>
      </c>
      <c r="H97" s="233">
        <f>F97*AM97</f>
        <v>0</v>
      </c>
      <c r="I97" s="233">
        <f>F97*AN97</f>
        <v>0</v>
      </c>
      <c r="J97" s="233">
        <f>F97*G97</f>
        <v>0</v>
      </c>
      <c r="K97" s="233">
        <v>0.4536</v>
      </c>
      <c r="L97" s="233">
        <f>F97*K97</f>
        <v>3.1978800000000001</v>
      </c>
      <c r="M97" s="240" t="s">
        <v>472</v>
      </c>
      <c r="X97" s="233">
        <f>IF(AO97="5",BH97,0)</f>
        <v>0</v>
      </c>
      <c r="Z97" s="233">
        <f>IF(AO97="1",BF97,0)</f>
        <v>0</v>
      </c>
      <c r="AA97" s="233">
        <f>IF(AO97="1",BG97,0)</f>
        <v>0</v>
      </c>
      <c r="AB97" s="233">
        <f>IF(AO97="7",BF97,0)</f>
        <v>0</v>
      </c>
      <c r="AC97" s="233">
        <f>IF(AO97="7",BG97,0)</f>
        <v>0</v>
      </c>
      <c r="AD97" s="233">
        <f>IF(AO97="2",BF97,0)</f>
        <v>0</v>
      </c>
      <c r="AE97" s="233">
        <f>IF(AO97="2",BG97,0)</f>
        <v>0</v>
      </c>
      <c r="AF97" s="233">
        <f>IF(AO97="0",BH97,0)</f>
        <v>0</v>
      </c>
      <c r="AG97" s="230" t="s">
        <v>154</v>
      </c>
      <c r="AH97" s="233">
        <f>IF(AL97=0,J97,0)</f>
        <v>0</v>
      </c>
      <c r="AI97" s="233">
        <f>IF(AL97=12,J97,0)</f>
        <v>0</v>
      </c>
      <c r="AJ97" s="233">
        <f>IF(AL97=21,J97,0)</f>
        <v>0</v>
      </c>
      <c r="AL97" s="233">
        <v>12</v>
      </c>
      <c r="AM97" s="233">
        <f>G97*0.842955665</f>
        <v>0</v>
      </c>
      <c r="AN97" s="233">
        <f>G97*(1-0.842955665)</f>
        <v>0</v>
      </c>
      <c r="AO97" s="234" t="s">
        <v>157</v>
      </c>
      <c r="AT97" s="233">
        <f>AU97+AV97</f>
        <v>0</v>
      </c>
      <c r="AU97" s="233">
        <f>F97*AM97</f>
        <v>0</v>
      </c>
      <c r="AV97" s="233">
        <f>F97*AN97</f>
        <v>0</v>
      </c>
      <c r="AW97" s="234" t="s">
        <v>310</v>
      </c>
      <c r="AX97" s="234" t="s">
        <v>311</v>
      </c>
      <c r="AY97" s="230" t="s">
        <v>164</v>
      </c>
      <c r="BA97" s="233">
        <f>AU97+AV97</f>
        <v>0</v>
      </c>
      <c r="BB97" s="233">
        <f>G97/(100-BC97)*100</f>
        <v>0</v>
      </c>
      <c r="BC97" s="233">
        <v>0</v>
      </c>
      <c r="BD97" s="233">
        <f>L97</f>
        <v>3.1978800000000001</v>
      </c>
      <c r="BF97" s="233">
        <f>F97*AM97</f>
        <v>0</v>
      </c>
      <c r="BG97" s="233">
        <f>F97*AN97</f>
        <v>0</v>
      </c>
      <c r="BH97" s="233">
        <f>F97*G97</f>
        <v>0</v>
      </c>
      <c r="BI97" s="233"/>
      <c r="BJ97" s="233">
        <v>56</v>
      </c>
      <c r="BU97" s="233" t="e">
        <f>#REF!</f>
        <v>#REF!</v>
      </c>
      <c r="BV97" s="225" t="s">
        <v>321</v>
      </c>
    </row>
    <row r="98" spans="1:74" ht="40.5" customHeight="1" x14ac:dyDescent="0.3">
      <c r="A98" s="241"/>
      <c r="B98" s="242" t="s">
        <v>165</v>
      </c>
      <c r="C98" s="530" t="s">
        <v>2338</v>
      </c>
      <c r="D98" s="531"/>
      <c r="E98" s="531"/>
      <c r="F98" s="531"/>
      <c r="G98" s="531"/>
      <c r="H98" s="531"/>
      <c r="I98" s="531"/>
      <c r="J98" s="531"/>
      <c r="K98" s="531"/>
      <c r="L98" s="531"/>
      <c r="M98" s="532"/>
    </row>
    <row r="99" spans="1:74" ht="14.4" x14ac:dyDescent="0.3">
      <c r="A99" s="239" t="s">
        <v>307</v>
      </c>
      <c r="B99" s="223" t="s">
        <v>323</v>
      </c>
      <c r="C99" s="521" t="s">
        <v>324</v>
      </c>
      <c r="D99" s="519"/>
      <c r="E99" s="223" t="s">
        <v>180</v>
      </c>
      <c r="F99" s="233">
        <v>7.05</v>
      </c>
      <c r="G99" s="311">
        <v>0</v>
      </c>
      <c r="H99" s="233">
        <f>F99*AM99</f>
        <v>0</v>
      </c>
      <c r="I99" s="233">
        <f>F99*AN99</f>
        <v>0</v>
      </c>
      <c r="J99" s="233">
        <f>F99*G99</f>
        <v>0</v>
      </c>
      <c r="K99" s="233">
        <v>0.21099999999999999</v>
      </c>
      <c r="L99" s="233">
        <f>F99*K99</f>
        <v>1.4875499999999999</v>
      </c>
      <c r="M99" s="240" t="s">
        <v>472</v>
      </c>
      <c r="X99" s="233">
        <f>IF(AO99="5",BH99,0)</f>
        <v>0</v>
      </c>
      <c r="Z99" s="233">
        <f>IF(AO99="1",BF99,0)</f>
        <v>0</v>
      </c>
      <c r="AA99" s="233">
        <f>IF(AO99="1",BG99,0)</f>
        <v>0</v>
      </c>
      <c r="AB99" s="233">
        <f>IF(AO99="7",BF99,0)</f>
        <v>0</v>
      </c>
      <c r="AC99" s="233">
        <f>IF(AO99="7",BG99,0)</f>
        <v>0</v>
      </c>
      <c r="AD99" s="233">
        <f>IF(AO99="2",BF99,0)</f>
        <v>0</v>
      </c>
      <c r="AE99" s="233">
        <f>IF(AO99="2",BG99,0)</f>
        <v>0</v>
      </c>
      <c r="AF99" s="233">
        <f>IF(AO99="0",BH99,0)</f>
        <v>0</v>
      </c>
      <c r="AG99" s="230" t="s">
        <v>154</v>
      </c>
      <c r="AH99" s="233">
        <f>IF(AL99=0,J99,0)</f>
        <v>0</v>
      </c>
      <c r="AI99" s="233">
        <f>IF(AL99=12,J99,0)</f>
        <v>0</v>
      </c>
      <c r="AJ99" s="233">
        <f>IF(AL99=21,J99,0)</f>
        <v>0</v>
      </c>
      <c r="AL99" s="233">
        <v>12</v>
      </c>
      <c r="AM99" s="233">
        <f>G99*0.593949483</f>
        <v>0</v>
      </c>
      <c r="AN99" s="233">
        <f>G99*(1-0.593949483)</f>
        <v>0</v>
      </c>
      <c r="AO99" s="234" t="s">
        <v>157</v>
      </c>
      <c r="AT99" s="233">
        <f>AU99+AV99</f>
        <v>0</v>
      </c>
      <c r="AU99" s="233">
        <f>F99*AM99</f>
        <v>0</v>
      </c>
      <c r="AV99" s="233">
        <f>F99*AN99</f>
        <v>0</v>
      </c>
      <c r="AW99" s="234" t="s">
        <v>310</v>
      </c>
      <c r="AX99" s="234" t="s">
        <v>311</v>
      </c>
      <c r="AY99" s="230" t="s">
        <v>164</v>
      </c>
      <c r="BA99" s="233">
        <f>AU99+AV99</f>
        <v>0</v>
      </c>
      <c r="BB99" s="233">
        <f>G99/(100-BC99)*100</f>
        <v>0</v>
      </c>
      <c r="BC99" s="233">
        <v>0</v>
      </c>
      <c r="BD99" s="233">
        <f>L99</f>
        <v>1.4875499999999999</v>
      </c>
      <c r="BF99" s="233">
        <f>F99*AM99</f>
        <v>0</v>
      </c>
      <c r="BG99" s="233">
        <f>F99*AN99</f>
        <v>0</v>
      </c>
      <c r="BH99" s="233">
        <f>F99*G99</f>
        <v>0</v>
      </c>
      <c r="BI99" s="233"/>
      <c r="BJ99" s="233">
        <v>56</v>
      </c>
      <c r="BU99" s="233" t="e">
        <f>#REF!</f>
        <v>#REF!</v>
      </c>
      <c r="BV99" s="225" t="s">
        <v>324</v>
      </c>
    </row>
    <row r="100" spans="1:74" ht="40.5" customHeight="1" x14ac:dyDescent="0.3">
      <c r="A100" s="241"/>
      <c r="B100" s="242" t="s">
        <v>165</v>
      </c>
      <c r="C100" s="530" t="s">
        <v>2339</v>
      </c>
      <c r="D100" s="531"/>
      <c r="E100" s="531"/>
      <c r="F100" s="531"/>
      <c r="G100" s="531"/>
      <c r="H100" s="531"/>
      <c r="I100" s="531"/>
      <c r="J100" s="531"/>
      <c r="K100" s="531"/>
      <c r="L100" s="531"/>
      <c r="M100" s="532"/>
    </row>
    <row r="101" spans="1:74" ht="14.4" x14ac:dyDescent="0.3">
      <c r="A101" s="239" t="s">
        <v>312</v>
      </c>
      <c r="B101" s="223" t="s">
        <v>1436</v>
      </c>
      <c r="C101" s="521" t="s">
        <v>1437</v>
      </c>
      <c r="D101" s="519"/>
      <c r="E101" s="223" t="s">
        <v>180</v>
      </c>
      <c r="F101" s="233">
        <v>6.96</v>
      </c>
      <c r="G101" s="311">
        <v>0</v>
      </c>
      <c r="H101" s="233">
        <f>F101*AM101</f>
        <v>0</v>
      </c>
      <c r="I101" s="233">
        <f>F101*AN101</f>
        <v>0</v>
      </c>
      <c r="J101" s="233">
        <f>F101*G101</f>
        <v>0</v>
      </c>
      <c r="K101" s="233">
        <v>0</v>
      </c>
      <c r="L101" s="233">
        <f>F101*K101</f>
        <v>0</v>
      </c>
      <c r="M101" s="240" t="s">
        <v>472</v>
      </c>
      <c r="X101" s="233">
        <f>IF(AO101="5",BH101,0)</f>
        <v>0</v>
      </c>
      <c r="Z101" s="233">
        <f>IF(AO101="1",BF101,0)</f>
        <v>0</v>
      </c>
      <c r="AA101" s="233">
        <f>IF(AO101="1",BG101,0)</f>
        <v>0</v>
      </c>
      <c r="AB101" s="233">
        <f>IF(AO101="7",BF101,0)</f>
        <v>0</v>
      </c>
      <c r="AC101" s="233">
        <f>IF(AO101="7",BG101,0)</f>
        <v>0</v>
      </c>
      <c r="AD101" s="233">
        <f>IF(AO101="2",BF101,0)</f>
        <v>0</v>
      </c>
      <c r="AE101" s="233">
        <f>IF(AO101="2",BG101,0)</f>
        <v>0</v>
      </c>
      <c r="AF101" s="233">
        <f>IF(AO101="0",BH101,0)</f>
        <v>0</v>
      </c>
      <c r="AG101" s="230" t="s">
        <v>154</v>
      </c>
      <c r="AH101" s="233">
        <f>IF(AL101=0,J101,0)</f>
        <v>0</v>
      </c>
      <c r="AI101" s="233">
        <f>IF(AL101=12,J101,0)</f>
        <v>0</v>
      </c>
      <c r="AJ101" s="233">
        <f>IF(AL101=21,J101,0)</f>
        <v>0</v>
      </c>
      <c r="AL101" s="233">
        <v>12</v>
      </c>
      <c r="AM101" s="233">
        <f>G101*0.89898145</f>
        <v>0</v>
      </c>
      <c r="AN101" s="233">
        <f>G101*(1-0.89898145)</f>
        <v>0</v>
      </c>
      <c r="AO101" s="234" t="s">
        <v>157</v>
      </c>
      <c r="AT101" s="233">
        <f>AU101+AV101</f>
        <v>0</v>
      </c>
      <c r="AU101" s="233">
        <f>F101*AM101</f>
        <v>0</v>
      </c>
      <c r="AV101" s="233">
        <f>F101*AN101</f>
        <v>0</v>
      </c>
      <c r="AW101" s="234" t="s">
        <v>310</v>
      </c>
      <c r="AX101" s="234" t="s">
        <v>311</v>
      </c>
      <c r="AY101" s="230" t="s">
        <v>164</v>
      </c>
      <c r="BA101" s="233">
        <f>AU101+AV101</f>
        <v>0</v>
      </c>
      <c r="BB101" s="233">
        <f>G101/(100-BC101)*100</f>
        <v>0</v>
      </c>
      <c r="BC101" s="233">
        <v>0</v>
      </c>
      <c r="BD101" s="233">
        <f>L101</f>
        <v>0</v>
      </c>
      <c r="BF101" s="233">
        <f>F101*AM101</f>
        <v>0</v>
      </c>
      <c r="BG101" s="233">
        <f>F101*AN101</f>
        <v>0</v>
      </c>
      <c r="BH101" s="233">
        <f>F101*G101</f>
        <v>0</v>
      </c>
      <c r="BI101" s="233"/>
      <c r="BJ101" s="233">
        <v>56</v>
      </c>
      <c r="BU101" s="233" t="e">
        <f>#REF!</f>
        <v>#REF!</v>
      </c>
      <c r="BV101" s="225" t="s">
        <v>1437</v>
      </c>
    </row>
    <row r="102" spans="1:74" ht="40.5" customHeight="1" x14ac:dyDescent="0.3">
      <c r="A102" s="241"/>
      <c r="B102" s="242" t="s">
        <v>165</v>
      </c>
      <c r="C102" s="530" t="s">
        <v>2340</v>
      </c>
      <c r="D102" s="531"/>
      <c r="E102" s="531"/>
      <c r="F102" s="531"/>
      <c r="G102" s="531"/>
      <c r="H102" s="531"/>
      <c r="I102" s="531"/>
      <c r="J102" s="531"/>
      <c r="K102" s="531"/>
      <c r="L102" s="531"/>
      <c r="M102" s="532"/>
    </row>
    <row r="103" spans="1:74" ht="14.4" x14ac:dyDescent="0.3">
      <c r="A103" s="239" t="s">
        <v>154</v>
      </c>
      <c r="B103" s="224" t="s">
        <v>335</v>
      </c>
      <c r="C103" s="526" t="s">
        <v>336</v>
      </c>
      <c r="D103" s="527"/>
      <c r="E103" s="223" t="s">
        <v>114</v>
      </c>
      <c r="F103" s="223" t="s">
        <v>114</v>
      </c>
      <c r="G103" s="223" t="s">
        <v>114</v>
      </c>
      <c r="H103" s="235">
        <f>SUM(H104:H104)</f>
        <v>0</v>
      </c>
      <c r="I103" s="235">
        <f>SUM(I104:I104)</f>
        <v>0</v>
      </c>
      <c r="J103" s="235">
        <f>SUM(J104:J104)</f>
        <v>0</v>
      </c>
      <c r="K103" s="230" t="s">
        <v>154</v>
      </c>
      <c r="L103" s="235">
        <f>SUM(L104:L104)</f>
        <v>4.9350000000000002E-3</v>
      </c>
      <c r="M103" s="243" t="s">
        <v>154</v>
      </c>
      <c r="AG103" s="230" t="s">
        <v>154</v>
      </c>
      <c r="AQ103" s="235">
        <f>SUM(AH104:AH104)</f>
        <v>0</v>
      </c>
      <c r="AR103" s="235">
        <f>SUM(AI104:AI104)</f>
        <v>0</v>
      </c>
      <c r="AS103" s="235">
        <f>SUM(AJ104:AJ104)</f>
        <v>0</v>
      </c>
    </row>
    <row r="104" spans="1:74" ht="14.4" x14ac:dyDescent="0.3">
      <c r="A104" s="239" t="s">
        <v>315</v>
      </c>
      <c r="B104" s="223" t="s">
        <v>342</v>
      </c>
      <c r="C104" s="521" t="s">
        <v>427</v>
      </c>
      <c r="D104" s="519"/>
      <c r="E104" s="223" t="s">
        <v>180</v>
      </c>
      <c r="F104" s="233">
        <v>7.05</v>
      </c>
      <c r="G104" s="311">
        <v>0</v>
      </c>
      <c r="H104" s="233">
        <f>F104*AM104</f>
        <v>0</v>
      </c>
      <c r="I104" s="233">
        <f>F104*AN104</f>
        <v>0</v>
      </c>
      <c r="J104" s="233">
        <f>F104*G104</f>
        <v>0</v>
      </c>
      <c r="K104" s="233">
        <v>6.9999999999999999E-4</v>
      </c>
      <c r="L104" s="233">
        <f>F104*K104</f>
        <v>4.9350000000000002E-3</v>
      </c>
      <c r="M104" s="240" t="s">
        <v>472</v>
      </c>
      <c r="X104" s="233">
        <f>IF(AO104="5",BH104,0)</f>
        <v>0</v>
      </c>
      <c r="Z104" s="233">
        <f>IF(AO104="1",BF104,0)</f>
        <v>0</v>
      </c>
      <c r="AA104" s="233">
        <f>IF(AO104="1",BG104,0)</f>
        <v>0</v>
      </c>
      <c r="AB104" s="233">
        <f>IF(AO104="7",BF104,0)</f>
        <v>0</v>
      </c>
      <c r="AC104" s="233">
        <f>IF(AO104="7",BG104,0)</f>
        <v>0</v>
      </c>
      <c r="AD104" s="233">
        <f>IF(AO104="2",BF104,0)</f>
        <v>0</v>
      </c>
      <c r="AE104" s="233">
        <f>IF(AO104="2",BG104,0)</f>
        <v>0</v>
      </c>
      <c r="AF104" s="233">
        <f>IF(AO104="0",BH104,0)</f>
        <v>0</v>
      </c>
      <c r="AG104" s="230" t="s">
        <v>154</v>
      </c>
      <c r="AH104" s="233">
        <f>IF(AL104=0,J104,0)</f>
        <v>0</v>
      </c>
      <c r="AI104" s="233">
        <f>IF(AL104=12,J104,0)</f>
        <v>0</v>
      </c>
      <c r="AJ104" s="233">
        <f>IF(AL104=21,J104,0)</f>
        <v>0</v>
      </c>
      <c r="AL104" s="233">
        <v>12</v>
      </c>
      <c r="AM104" s="233">
        <f>G104*0.93149455</f>
        <v>0</v>
      </c>
      <c r="AN104" s="233">
        <f>G104*(1-0.93149455)</f>
        <v>0</v>
      </c>
      <c r="AO104" s="234" t="s">
        <v>157</v>
      </c>
      <c r="AT104" s="233">
        <f>AU104+AV104</f>
        <v>0</v>
      </c>
      <c r="AU104" s="233">
        <f>F104*AM104</f>
        <v>0</v>
      </c>
      <c r="AV104" s="233">
        <f>F104*AN104</f>
        <v>0</v>
      </c>
      <c r="AW104" s="234" t="s">
        <v>340</v>
      </c>
      <c r="AX104" s="234" t="s">
        <v>311</v>
      </c>
      <c r="AY104" s="230" t="s">
        <v>164</v>
      </c>
      <c r="BA104" s="233">
        <f>AU104+AV104</f>
        <v>0</v>
      </c>
      <c r="BB104" s="233">
        <f>G104/(100-BC104)*100</f>
        <v>0</v>
      </c>
      <c r="BC104" s="233">
        <v>0</v>
      </c>
      <c r="BD104" s="233">
        <f>L104</f>
        <v>4.9350000000000002E-3</v>
      </c>
      <c r="BF104" s="233">
        <f>F104*AM104</f>
        <v>0</v>
      </c>
      <c r="BG104" s="233">
        <f>F104*AN104</f>
        <v>0</v>
      </c>
      <c r="BH104" s="233">
        <f>F104*G104</f>
        <v>0</v>
      </c>
      <c r="BI104" s="233"/>
      <c r="BJ104" s="233">
        <v>57</v>
      </c>
      <c r="BU104" s="233" t="e">
        <f>#REF!</f>
        <v>#REF!</v>
      </c>
      <c r="BV104" s="225" t="s">
        <v>427</v>
      </c>
    </row>
    <row r="105" spans="1:74" ht="40.5" customHeight="1" x14ac:dyDescent="0.3">
      <c r="A105" s="241"/>
      <c r="B105" s="242" t="s">
        <v>165</v>
      </c>
      <c r="C105" s="530" t="s">
        <v>2341</v>
      </c>
      <c r="D105" s="531"/>
      <c r="E105" s="531"/>
      <c r="F105" s="531"/>
      <c r="G105" s="531"/>
      <c r="H105" s="531"/>
      <c r="I105" s="531"/>
      <c r="J105" s="531"/>
      <c r="K105" s="531"/>
      <c r="L105" s="531"/>
      <c r="M105" s="532"/>
    </row>
    <row r="106" spans="1:74" ht="14.4" x14ac:dyDescent="0.3">
      <c r="A106" s="239" t="s">
        <v>154</v>
      </c>
      <c r="B106" s="224" t="s">
        <v>344</v>
      </c>
      <c r="C106" s="526" t="s">
        <v>345</v>
      </c>
      <c r="D106" s="527"/>
      <c r="E106" s="223" t="s">
        <v>114</v>
      </c>
      <c r="F106" s="223" t="s">
        <v>114</v>
      </c>
      <c r="G106" s="223" t="s">
        <v>114</v>
      </c>
      <c r="H106" s="235">
        <f>SUM(H107:H107)</f>
        <v>0</v>
      </c>
      <c r="I106" s="235">
        <f>SUM(I107:I107)</f>
        <v>0</v>
      </c>
      <c r="J106" s="235">
        <f>SUM(J107:J107)</f>
        <v>0</v>
      </c>
      <c r="K106" s="230" t="s">
        <v>154</v>
      </c>
      <c r="L106" s="235">
        <f>SUM(L107:L107)</f>
        <v>5.2804920000000006</v>
      </c>
      <c r="M106" s="243" t="s">
        <v>154</v>
      </c>
      <c r="AG106" s="230" t="s">
        <v>154</v>
      </c>
      <c r="AQ106" s="235">
        <f>SUM(AH107:AH107)</f>
        <v>0</v>
      </c>
      <c r="AR106" s="235">
        <f>SUM(AI107:AI107)</f>
        <v>0</v>
      </c>
      <c r="AS106" s="235">
        <f>SUM(AJ107:AJ107)</f>
        <v>0</v>
      </c>
    </row>
    <row r="107" spans="1:74" ht="14.4" x14ac:dyDescent="0.3">
      <c r="A107" s="239" t="s">
        <v>318</v>
      </c>
      <c r="B107" s="223" t="s">
        <v>347</v>
      </c>
      <c r="C107" s="521" t="s">
        <v>981</v>
      </c>
      <c r="D107" s="519"/>
      <c r="E107" s="223" t="s">
        <v>180</v>
      </c>
      <c r="F107" s="233">
        <v>4.4400000000000004</v>
      </c>
      <c r="G107" s="311">
        <v>0</v>
      </c>
      <c r="H107" s="233">
        <f>F107*AM107</f>
        <v>0</v>
      </c>
      <c r="I107" s="233">
        <f>F107*AN107</f>
        <v>0</v>
      </c>
      <c r="J107" s="233">
        <f>F107*G107</f>
        <v>0</v>
      </c>
      <c r="K107" s="233">
        <v>1.1893</v>
      </c>
      <c r="L107" s="233">
        <f>F107*K107</f>
        <v>5.2804920000000006</v>
      </c>
      <c r="M107" s="240" t="s">
        <v>472</v>
      </c>
      <c r="X107" s="233">
        <f>IF(AO107="5",BH107,0)</f>
        <v>0</v>
      </c>
      <c r="Z107" s="233">
        <f>IF(AO107="1",BF107,0)</f>
        <v>0</v>
      </c>
      <c r="AA107" s="233">
        <f>IF(AO107="1",BG107,0)</f>
        <v>0</v>
      </c>
      <c r="AB107" s="233">
        <f>IF(AO107="7",BF107,0)</f>
        <v>0</v>
      </c>
      <c r="AC107" s="233">
        <f>IF(AO107="7",BG107,0)</f>
        <v>0</v>
      </c>
      <c r="AD107" s="233">
        <f>IF(AO107="2",BF107,0)</f>
        <v>0</v>
      </c>
      <c r="AE107" s="233">
        <f>IF(AO107="2",BG107,0)</f>
        <v>0</v>
      </c>
      <c r="AF107" s="233">
        <f>IF(AO107="0",BH107,0)</f>
        <v>0</v>
      </c>
      <c r="AG107" s="230" t="s">
        <v>154</v>
      </c>
      <c r="AH107" s="233">
        <f>IF(AL107=0,J107,0)</f>
        <v>0</v>
      </c>
      <c r="AI107" s="233">
        <f>IF(AL107=12,J107,0)</f>
        <v>0</v>
      </c>
      <c r="AJ107" s="233">
        <f>IF(AL107=21,J107,0)</f>
        <v>0</v>
      </c>
      <c r="AL107" s="233">
        <v>12</v>
      </c>
      <c r="AM107" s="233">
        <f>G107*0.546625151</f>
        <v>0</v>
      </c>
      <c r="AN107" s="233">
        <f>G107*(1-0.546625151)</f>
        <v>0</v>
      </c>
      <c r="AO107" s="234" t="s">
        <v>157</v>
      </c>
      <c r="AT107" s="233">
        <f>AU107+AV107</f>
        <v>0</v>
      </c>
      <c r="AU107" s="233">
        <f>F107*AM107</f>
        <v>0</v>
      </c>
      <c r="AV107" s="233">
        <f>F107*AN107</f>
        <v>0</v>
      </c>
      <c r="AW107" s="234" t="s">
        <v>349</v>
      </c>
      <c r="AX107" s="234" t="s">
        <v>311</v>
      </c>
      <c r="AY107" s="230" t="s">
        <v>164</v>
      </c>
      <c r="BA107" s="233">
        <f>AU107+AV107</f>
        <v>0</v>
      </c>
      <c r="BB107" s="233">
        <f>G107/(100-BC107)*100</f>
        <v>0</v>
      </c>
      <c r="BC107" s="233">
        <v>0</v>
      </c>
      <c r="BD107" s="233">
        <f>L107</f>
        <v>5.2804920000000006</v>
      </c>
      <c r="BF107" s="233">
        <f>F107*AM107</f>
        <v>0</v>
      </c>
      <c r="BG107" s="233">
        <f>F107*AN107</f>
        <v>0</v>
      </c>
      <c r="BH107" s="233">
        <f>F107*G107</f>
        <v>0</v>
      </c>
      <c r="BI107" s="233"/>
      <c r="BJ107" s="233">
        <v>59</v>
      </c>
      <c r="BU107" s="233" t="e">
        <f>#REF!</f>
        <v>#REF!</v>
      </c>
      <c r="BV107" s="225" t="s">
        <v>981</v>
      </c>
    </row>
    <row r="108" spans="1:74" ht="108" customHeight="1" x14ac:dyDescent="0.3">
      <c r="A108" s="244"/>
      <c r="B108" s="245" t="s">
        <v>165</v>
      </c>
      <c r="C108" s="540" t="s">
        <v>2342</v>
      </c>
      <c r="D108" s="541"/>
      <c r="E108" s="541"/>
      <c r="F108" s="541"/>
      <c r="G108" s="541"/>
      <c r="H108" s="541"/>
      <c r="I108" s="541"/>
      <c r="J108" s="541"/>
      <c r="K108" s="541"/>
      <c r="L108" s="541"/>
      <c r="M108" s="542"/>
    </row>
    <row r="109" spans="1:74" ht="14.4" x14ac:dyDescent="0.3">
      <c r="A109" s="237" t="s">
        <v>154</v>
      </c>
      <c r="B109" s="260" t="s">
        <v>539</v>
      </c>
      <c r="C109" s="545" t="s">
        <v>540</v>
      </c>
      <c r="D109" s="546"/>
      <c r="E109" s="238" t="s">
        <v>114</v>
      </c>
      <c r="F109" s="238" t="s">
        <v>114</v>
      </c>
      <c r="G109" s="238" t="s">
        <v>114</v>
      </c>
      <c r="H109" s="261">
        <f>SUM(H110:H118)</f>
        <v>0</v>
      </c>
      <c r="I109" s="261">
        <f>SUM(I110:I118)</f>
        <v>0</v>
      </c>
      <c r="J109" s="261">
        <f>SUM(J110:J118)</f>
        <v>0</v>
      </c>
      <c r="K109" s="262" t="s">
        <v>154</v>
      </c>
      <c r="L109" s="261">
        <f>SUM(L110:L118)</f>
        <v>1.2950000000000001E-3</v>
      </c>
      <c r="M109" s="263" t="s">
        <v>154</v>
      </c>
      <c r="AG109" s="230" t="s">
        <v>154</v>
      </c>
      <c r="AQ109" s="235">
        <f>SUM(AH110:AH118)</f>
        <v>0</v>
      </c>
      <c r="AR109" s="235">
        <f>SUM(AI110:AI118)</f>
        <v>0</v>
      </c>
      <c r="AS109" s="235">
        <f>SUM(AJ110:AJ118)</f>
        <v>0</v>
      </c>
    </row>
    <row r="110" spans="1:74" ht="14.4" x14ac:dyDescent="0.3">
      <c r="A110" s="239" t="s">
        <v>319</v>
      </c>
      <c r="B110" s="223" t="s">
        <v>892</v>
      </c>
      <c r="C110" s="521" t="s">
        <v>893</v>
      </c>
      <c r="D110" s="519"/>
      <c r="E110" s="223" t="s">
        <v>160</v>
      </c>
      <c r="F110" s="233">
        <v>6.5</v>
      </c>
      <c r="G110" s="311">
        <v>0</v>
      </c>
      <c r="H110" s="233">
        <f>F110*AM110</f>
        <v>0</v>
      </c>
      <c r="I110" s="233">
        <f>F110*AN110</f>
        <v>0</v>
      </c>
      <c r="J110" s="233">
        <f>F110*G110</f>
        <v>0</v>
      </c>
      <c r="K110" s="233">
        <v>1.6000000000000001E-4</v>
      </c>
      <c r="L110" s="233">
        <f>F110*K110</f>
        <v>1.0400000000000001E-3</v>
      </c>
      <c r="M110" s="240" t="s">
        <v>472</v>
      </c>
      <c r="X110" s="233">
        <f>IF(AO110="5",BH110,0)</f>
        <v>0</v>
      </c>
      <c r="Z110" s="233">
        <f>IF(AO110="1",BF110,0)</f>
        <v>0</v>
      </c>
      <c r="AA110" s="233">
        <f>IF(AO110="1",BG110,0)</f>
        <v>0</v>
      </c>
      <c r="AB110" s="233">
        <f>IF(AO110="7",BF110,0)</f>
        <v>0</v>
      </c>
      <c r="AC110" s="233">
        <f>IF(AO110="7",BG110,0)</f>
        <v>0</v>
      </c>
      <c r="AD110" s="233">
        <f>IF(AO110="2",BF110,0)</f>
        <v>0</v>
      </c>
      <c r="AE110" s="233">
        <f>IF(AO110="2",BG110,0)</f>
        <v>0</v>
      </c>
      <c r="AF110" s="233">
        <f>IF(AO110="0",BH110,0)</f>
        <v>0</v>
      </c>
      <c r="AG110" s="230" t="s">
        <v>154</v>
      </c>
      <c r="AH110" s="233">
        <f>IF(AL110=0,J110,0)</f>
        <v>0</v>
      </c>
      <c r="AI110" s="233">
        <f>IF(AL110=12,J110,0)</f>
        <v>0</v>
      </c>
      <c r="AJ110" s="233">
        <f>IF(AL110=21,J110,0)</f>
        <v>0</v>
      </c>
      <c r="AL110" s="233">
        <v>12</v>
      </c>
      <c r="AM110" s="233">
        <f>G110*0.065980583</f>
        <v>0</v>
      </c>
      <c r="AN110" s="233">
        <f>G110*(1-0.065980583)</f>
        <v>0</v>
      </c>
      <c r="AO110" s="234" t="s">
        <v>157</v>
      </c>
      <c r="AT110" s="233">
        <f>AU110+AV110</f>
        <v>0</v>
      </c>
      <c r="AU110" s="233">
        <f>F110*AM110</f>
        <v>0</v>
      </c>
      <c r="AV110" s="233">
        <f>F110*AN110</f>
        <v>0</v>
      </c>
      <c r="AW110" s="234" t="s">
        <v>543</v>
      </c>
      <c r="AX110" s="234" t="s">
        <v>356</v>
      </c>
      <c r="AY110" s="230" t="s">
        <v>164</v>
      </c>
      <c r="BA110" s="233">
        <f>AU110+AV110</f>
        <v>0</v>
      </c>
      <c r="BB110" s="233">
        <f>G110/(100-BC110)*100</f>
        <v>0</v>
      </c>
      <c r="BC110" s="233">
        <v>0</v>
      </c>
      <c r="BD110" s="233">
        <f>L110</f>
        <v>1.0400000000000001E-3</v>
      </c>
      <c r="BF110" s="233">
        <f>F110*AM110</f>
        <v>0</v>
      </c>
      <c r="BG110" s="233">
        <f>F110*AN110</f>
        <v>0</v>
      </c>
      <c r="BH110" s="233">
        <f>F110*G110</f>
        <v>0</v>
      </c>
      <c r="BI110" s="233"/>
      <c r="BJ110" s="233">
        <v>87</v>
      </c>
      <c r="BU110" s="233" t="e">
        <f>#REF!</f>
        <v>#REF!</v>
      </c>
      <c r="BV110" s="225" t="s">
        <v>893</v>
      </c>
    </row>
    <row r="111" spans="1:74" ht="54" customHeight="1" x14ac:dyDescent="0.3">
      <c r="A111" s="241"/>
      <c r="B111" s="242" t="s">
        <v>165</v>
      </c>
      <c r="C111" s="530" t="s">
        <v>2343</v>
      </c>
      <c r="D111" s="531"/>
      <c r="E111" s="531"/>
      <c r="F111" s="531"/>
      <c r="G111" s="531"/>
      <c r="H111" s="531"/>
      <c r="I111" s="531"/>
      <c r="J111" s="531"/>
      <c r="K111" s="531"/>
      <c r="L111" s="531"/>
      <c r="M111" s="532"/>
    </row>
    <row r="112" spans="1:74" ht="14.4" x14ac:dyDescent="0.3">
      <c r="A112" s="239" t="s">
        <v>322</v>
      </c>
      <c r="B112" s="223" t="s">
        <v>894</v>
      </c>
      <c r="C112" s="521" t="s">
        <v>895</v>
      </c>
      <c r="D112" s="519"/>
      <c r="E112" s="223" t="s">
        <v>365</v>
      </c>
      <c r="F112" s="233">
        <v>1</v>
      </c>
      <c r="G112" s="311">
        <v>0</v>
      </c>
      <c r="H112" s="233">
        <f>F112*AM112</f>
        <v>0</v>
      </c>
      <c r="I112" s="233">
        <f>F112*AN112</f>
        <v>0</v>
      </c>
      <c r="J112" s="233">
        <f>F112*G112</f>
        <v>0</v>
      </c>
      <c r="K112" s="233">
        <v>4.0000000000000003E-5</v>
      </c>
      <c r="L112" s="233">
        <f>F112*K112</f>
        <v>4.0000000000000003E-5</v>
      </c>
      <c r="M112" s="240" t="s">
        <v>472</v>
      </c>
      <c r="X112" s="233">
        <f>IF(AO112="5",BH112,0)</f>
        <v>0</v>
      </c>
      <c r="Z112" s="233">
        <f>IF(AO112="1",BF112,0)</f>
        <v>0</v>
      </c>
      <c r="AA112" s="233">
        <f>IF(AO112="1",BG112,0)</f>
        <v>0</v>
      </c>
      <c r="AB112" s="233">
        <f>IF(AO112="7",BF112,0)</f>
        <v>0</v>
      </c>
      <c r="AC112" s="233">
        <f>IF(AO112="7",BG112,0)</f>
        <v>0</v>
      </c>
      <c r="AD112" s="233">
        <f>IF(AO112="2",BF112,0)</f>
        <v>0</v>
      </c>
      <c r="AE112" s="233">
        <f>IF(AO112="2",BG112,0)</f>
        <v>0</v>
      </c>
      <c r="AF112" s="233">
        <f>IF(AO112="0",BH112,0)</f>
        <v>0</v>
      </c>
      <c r="AG112" s="230" t="s">
        <v>154</v>
      </c>
      <c r="AH112" s="233">
        <f>IF(AL112=0,J112,0)</f>
        <v>0</v>
      </c>
      <c r="AI112" s="233">
        <f>IF(AL112=12,J112,0)</f>
        <v>0</v>
      </c>
      <c r="AJ112" s="233">
        <f>IF(AL112=21,J112,0)</f>
        <v>0</v>
      </c>
      <c r="AL112" s="233">
        <v>12</v>
      </c>
      <c r="AM112" s="233">
        <f>G112*0.007338129</f>
        <v>0</v>
      </c>
      <c r="AN112" s="233">
        <f>G112*(1-0.007338129)</f>
        <v>0</v>
      </c>
      <c r="AO112" s="234" t="s">
        <v>157</v>
      </c>
      <c r="AT112" s="233">
        <f>AU112+AV112</f>
        <v>0</v>
      </c>
      <c r="AU112" s="233">
        <f>F112*AM112</f>
        <v>0</v>
      </c>
      <c r="AV112" s="233">
        <f>F112*AN112</f>
        <v>0</v>
      </c>
      <c r="AW112" s="234" t="s">
        <v>543</v>
      </c>
      <c r="AX112" s="234" t="s">
        <v>356</v>
      </c>
      <c r="AY112" s="230" t="s">
        <v>164</v>
      </c>
      <c r="BA112" s="233">
        <f>AU112+AV112</f>
        <v>0</v>
      </c>
      <c r="BB112" s="233">
        <f>G112/(100-BC112)*100</f>
        <v>0</v>
      </c>
      <c r="BC112" s="233">
        <v>0</v>
      </c>
      <c r="BD112" s="233">
        <f>L112</f>
        <v>4.0000000000000003E-5</v>
      </c>
      <c r="BF112" s="233">
        <f>F112*AM112</f>
        <v>0</v>
      </c>
      <c r="BG112" s="233">
        <f>F112*AN112</f>
        <v>0</v>
      </c>
      <c r="BH112" s="233">
        <f>F112*G112</f>
        <v>0</v>
      </c>
      <c r="BI112" s="233"/>
      <c r="BJ112" s="233">
        <v>87</v>
      </c>
      <c r="BU112" s="233" t="e">
        <f>#REF!</f>
        <v>#REF!</v>
      </c>
      <c r="BV112" s="225" t="s">
        <v>895</v>
      </c>
    </row>
    <row r="113" spans="1:74" ht="54" customHeight="1" x14ac:dyDescent="0.3">
      <c r="A113" s="241"/>
      <c r="B113" s="242" t="s">
        <v>165</v>
      </c>
      <c r="C113" s="530" t="s">
        <v>1755</v>
      </c>
      <c r="D113" s="531"/>
      <c r="E113" s="531"/>
      <c r="F113" s="531"/>
      <c r="G113" s="531"/>
      <c r="H113" s="531"/>
      <c r="I113" s="531"/>
      <c r="J113" s="531"/>
      <c r="K113" s="531"/>
      <c r="L113" s="531"/>
      <c r="M113" s="532"/>
    </row>
    <row r="114" spans="1:74" ht="14.4" x14ac:dyDescent="0.3">
      <c r="A114" s="239" t="s">
        <v>298</v>
      </c>
      <c r="B114" s="223" t="s">
        <v>896</v>
      </c>
      <c r="C114" s="521" t="s">
        <v>897</v>
      </c>
      <c r="D114" s="519"/>
      <c r="E114" s="223" t="s">
        <v>365</v>
      </c>
      <c r="F114" s="233">
        <v>2</v>
      </c>
      <c r="G114" s="311">
        <v>0</v>
      </c>
      <c r="H114" s="233">
        <f>F114*AM114</f>
        <v>0</v>
      </c>
      <c r="I114" s="233">
        <f>F114*AN114</f>
        <v>0</v>
      </c>
      <c r="J114" s="233">
        <f>F114*G114</f>
        <v>0</v>
      </c>
      <c r="K114" s="233">
        <v>3.0000000000000001E-5</v>
      </c>
      <c r="L114" s="233">
        <f>F114*K114</f>
        <v>6.0000000000000002E-5</v>
      </c>
      <c r="M114" s="240" t="s">
        <v>472</v>
      </c>
      <c r="X114" s="233">
        <f>IF(AO114="5",BH114,0)</f>
        <v>0</v>
      </c>
      <c r="Z114" s="233">
        <f>IF(AO114="1",BF114,0)</f>
        <v>0</v>
      </c>
      <c r="AA114" s="233">
        <f>IF(AO114="1",BG114,0)</f>
        <v>0</v>
      </c>
      <c r="AB114" s="233">
        <f>IF(AO114="7",BF114,0)</f>
        <v>0</v>
      </c>
      <c r="AC114" s="233">
        <f>IF(AO114="7",BG114,0)</f>
        <v>0</v>
      </c>
      <c r="AD114" s="233">
        <f>IF(AO114="2",BF114,0)</f>
        <v>0</v>
      </c>
      <c r="AE114" s="233">
        <f>IF(AO114="2",BG114,0)</f>
        <v>0</v>
      </c>
      <c r="AF114" s="233">
        <f>IF(AO114="0",BH114,0)</f>
        <v>0</v>
      </c>
      <c r="AG114" s="230" t="s">
        <v>154</v>
      </c>
      <c r="AH114" s="233">
        <f>IF(AL114=0,J114,0)</f>
        <v>0</v>
      </c>
      <c r="AI114" s="233">
        <f>IF(AL114=12,J114,0)</f>
        <v>0</v>
      </c>
      <c r="AJ114" s="233">
        <f>IF(AL114=21,J114,0)</f>
        <v>0</v>
      </c>
      <c r="AL114" s="233">
        <v>12</v>
      </c>
      <c r="AM114" s="233">
        <f>G114*0.007120673</f>
        <v>0</v>
      </c>
      <c r="AN114" s="233">
        <f>G114*(1-0.007120673)</f>
        <v>0</v>
      </c>
      <c r="AO114" s="234" t="s">
        <v>157</v>
      </c>
      <c r="AT114" s="233">
        <f>AU114+AV114</f>
        <v>0</v>
      </c>
      <c r="AU114" s="233">
        <f>F114*AM114</f>
        <v>0</v>
      </c>
      <c r="AV114" s="233">
        <f>F114*AN114</f>
        <v>0</v>
      </c>
      <c r="AW114" s="234" t="s">
        <v>543</v>
      </c>
      <c r="AX114" s="234" t="s">
        <v>356</v>
      </c>
      <c r="AY114" s="230" t="s">
        <v>164</v>
      </c>
      <c r="BA114" s="233">
        <f>AU114+AV114</f>
        <v>0</v>
      </c>
      <c r="BB114" s="233">
        <f>G114/(100-BC114)*100</f>
        <v>0</v>
      </c>
      <c r="BC114" s="233">
        <v>0</v>
      </c>
      <c r="BD114" s="233">
        <f>L114</f>
        <v>6.0000000000000002E-5</v>
      </c>
      <c r="BF114" s="233">
        <f>F114*AM114</f>
        <v>0</v>
      </c>
      <c r="BG114" s="233">
        <f>F114*AN114</f>
        <v>0</v>
      </c>
      <c r="BH114" s="233">
        <f>F114*G114</f>
        <v>0</v>
      </c>
      <c r="BI114" s="233"/>
      <c r="BJ114" s="233">
        <v>87</v>
      </c>
      <c r="BU114" s="233" t="e">
        <f>#REF!</f>
        <v>#REF!</v>
      </c>
      <c r="BV114" s="225" t="s">
        <v>897</v>
      </c>
    </row>
    <row r="115" spans="1:74" ht="40.5" customHeight="1" x14ac:dyDescent="0.3">
      <c r="A115" s="241"/>
      <c r="B115" s="242" t="s">
        <v>165</v>
      </c>
      <c r="C115" s="530" t="s">
        <v>2344</v>
      </c>
      <c r="D115" s="531"/>
      <c r="E115" s="531"/>
      <c r="F115" s="531"/>
      <c r="G115" s="531"/>
      <c r="H115" s="531"/>
      <c r="I115" s="531"/>
      <c r="J115" s="531"/>
      <c r="K115" s="531"/>
      <c r="L115" s="531"/>
      <c r="M115" s="532"/>
    </row>
    <row r="116" spans="1:74" ht="14.4" x14ac:dyDescent="0.3">
      <c r="A116" s="239" t="s">
        <v>327</v>
      </c>
      <c r="B116" s="223" t="s">
        <v>898</v>
      </c>
      <c r="C116" s="521" t="s">
        <v>899</v>
      </c>
      <c r="D116" s="519"/>
      <c r="E116" s="223" t="s">
        <v>160</v>
      </c>
      <c r="F116" s="233">
        <v>5.5</v>
      </c>
      <c r="G116" s="311">
        <v>0</v>
      </c>
      <c r="H116" s="233">
        <f>F116*AM116</f>
        <v>0</v>
      </c>
      <c r="I116" s="233">
        <f>F116*AN116</f>
        <v>0</v>
      </c>
      <c r="J116" s="233">
        <f>F116*G116</f>
        <v>0</v>
      </c>
      <c r="K116" s="233">
        <v>1.0000000000000001E-5</v>
      </c>
      <c r="L116" s="233">
        <f>F116*K116</f>
        <v>5.5000000000000002E-5</v>
      </c>
      <c r="M116" s="240" t="s">
        <v>472</v>
      </c>
      <c r="X116" s="233">
        <f>IF(AO116="5",BH116,0)</f>
        <v>0</v>
      </c>
      <c r="Z116" s="233">
        <f>IF(AO116="1",BF116,0)</f>
        <v>0</v>
      </c>
      <c r="AA116" s="233">
        <f>IF(AO116="1",BG116,0)</f>
        <v>0</v>
      </c>
      <c r="AB116" s="233">
        <f>IF(AO116="7",BF116,0)</f>
        <v>0</v>
      </c>
      <c r="AC116" s="233">
        <f>IF(AO116="7",BG116,0)</f>
        <v>0</v>
      </c>
      <c r="AD116" s="233">
        <f>IF(AO116="2",BF116,0)</f>
        <v>0</v>
      </c>
      <c r="AE116" s="233">
        <f>IF(AO116="2",BG116,0)</f>
        <v>0</v>
      </c>
      <c r="AF116" s="233">
        <f>IF(AO116="0",BH116,0)</f>
        <v>0</v>
      </c>
      <c r="AG116" s="230" t="s">
        <v>154</v>
      </c>
      <c r="AH116" s="233">
        <f>IF(AL116=0,J116,0)</f>
        <v>0</v>
      </c>
      <c r="AI116" s="233">
        <f>IF(AL116=12,J116,0)</f>
        <v>0</v>
      </c>
      <c r="AJ116" s="233">
        <f>IF(AL116=21,J116,0)</f>
        <v>0</v>
      </c>
      <c r="AL116" s="233">
        <v>12</v>
      </c>
      <c r="AM116" s="233">
        <f>G116*0.00666734</f>
        <v>0</v>
      </c>
      <c r="AN116" s="233">
        <f>G116*(1-0.00666734)</f>
        <v>0</v>
      </c>
      <c r="AO116" s="234" t="s">
        <v>157</v>
      </c>
      <c r="AT116" s="233">
        <f>AU116+AV116</f>
        <v>0</v>
      </c>
      <c r="AU116" s="233">
        <f>F116*AM116</f>
        <v>0</v>
      </c>
      <c r="AV116" s="233">
        <f>F116*AN116</f>
        <v>0</v>
      </c>
      <c r="AW116" s="234" t="s">
        <v>543</v>
      </c>
      <c r="AX116" s="234" t="s">
        <v>356</v>
      </c>
      <c r="AY116" s="230" t="s">
        <v>164</v>
      </c>
      <c r="BA116" s="233">
        <f>AU116+AV116</f>
        <v>0</v>
      </c>
      <c r="BB116" s="233">
        <f>G116/(100-BC116)*100</f>
        <v>0</v>
      </c>
      <c r="BC116" s="233">
        <v>0</v>
      </c>
      <c r="BD116" s="233">
        <f>L116</f>
        <v>5.5000000000000002E-5</v>
      </c>
      <c r="BF116" s="233">
        <f>F116*AM116</f>
        <v>0</v>
      </c>
      <c r="BG116" s="233">
        <f>F116*AN116</f>
        <v>0</v>
      </c>
      <c r="BH116" s="233">
        <f>F116*G116</f>
        <v>0</v>
      </c>
      <c r="BI116" s="233"/>
      <c r="BJ116" s="233">
        <v>87</v>
      </c>
      <c r="BU116" s="233" t="e">
        <f>#REF!</f>
        <v>#REF!</v>
      </c>
      <c r="BV116" s="225" t="s">
        <v>899</v>
      </c>
    </row>
    <row r="117" spans="1:74" ht="54" customHeight="1" x14ac:dyDescent="0.3">
      <c r="A117" s="241"/>
      <c r="B117" s="242" t="s">
        <v>165</v>
      </c>
      <c r="C117" s="530" t="s">
        <v>2345</v>
      </c>
      <c r="D117" s="531"/>
      <c r="E117" s="531"/>
      <c r="F117" s="531"/>
      <c r="G117" s="531"/>
      <c r="H117" s="531"/>
      <c r="I117" s="531"/>
      <c r="J117" s="531"/>
      <c r="K117" s="531"/>
      <c r="L117" s="531"/>
      <c r="M117" s="532"/>
    </row>
    <row r="118" spans="1:74" ht="14.4" x14ac:dyDescent="0.3">
      <c r="A118" s="239" t="s">
        <v>329</v>
      </c>
      <c r="B118" s="223" t="s">
        <v>1004</v>
      </c>
      <c r="C118" s="521" t="s">
        <v>1005</v>
      </c>
      <c r="D118" s="519"/>
      <c r="E118" s="223" t="s">
        <v>365</v>
      </c>
      <c r="F118" s="233">
        <v>2</v>
      </c>
      <c r="G118" s="311">
        <v>0</v>
      </c>
      <c r="H118" s="233">
        <f>F118*AM118</f>
        <v>0</v>
      </c>
      <c r="I118" s="233">
        <f>F118*AN118</f>
        <v>0</v>
      </c>
      <c r="J118" s="233">
        <f>F118*G118</f>
        <v>0</v>
      </c>
      <c r="K118" s="233">
        <v>5.0000000000000002E-5</v>
      </c>
      <c r="L118" s="233">
        <f>F118*K118</f>
        <v>1E-4</v>
      </c>
      <c r="M118" s="240" t="s">
        <v>472</v>
      </c>
      <c r="X118" s="233">
        <f>IF(AO118="5",BH118,0)</f>
        <v>0</v>
      </c>
      <c r="Z118" s="233">
        <f>IF(AO118="1",BF118,0)</f>
        <v>0</v>
      </c>
      <c r="AA118" s="233">
        <f>IF(AO118="1",BG118,0)</f>
        <v>0</v>
      </c>
      <c r="AB118" s="233">
        <f>IF(AO118="7",BF118,0)</f>
        <v>0</v>
      </c>
      <c r="AC118" s="233">
        <f>IF(AO118="7",BG118,0)</f>
        <v>0</v>
      </c>
      <c r="AD118" s="233">
        <f>IF(AO118="2",BF118,0)</f>
        <v>0</v>
      </c>
      <c r="AE118" s="233">
        <f>IF(AO118="2",BG118,0)</f>
        <v>0</v>
      </c>
      <c r="AF118" s="233">
        <f>IF(AO118="0",BH118,0)</f>
        <v>0</v>
      </c>
      <c r="AG118" s="230" t="s">
        <v>154</v>
      </c>
      <c r="AH118" s="233">
        <f>IF(AL118=0,J118,0)</f>
        <v>0</v>
      </c>
      <c r="AI118" s="233">
        <f>IF(AL118=12,J118,0)</f>
        <v>0</v>
      </c>
      <c r="AJ118" s="233">
        <f>IF(AL118=21,J118,0)</f>
        <v>0</v>
      </c>
      <c r="AL118" s="233">
        <v>12</v>
      </c>
      <c r="AM118" s="233">
        <f>G118*0.011030928</f>
        <v>0</v>
      </c>
      <c r="AN118" s="233">
        <f>G118*(1-0.011030928)</f>
        <v>0</v>
      </c>
      <c r="AO118" s="234" t="s">
        <v>157</v>
      </c>
      <c r="AT118" s="233">
        <f>AU118+AV118</f>
        <v>0</v>
      </c>
      <c r="AU118" s="233">
        <f>F118*AM118</f>
        <v>0</v>
      </c>
      <c r="AV118" s="233">
        <f>F118*AN118</f>
        <v>0</v>
      </c>
      <c r="AW118" s="234" t="s">
        <v>543</v>
      </c>
      <c r="AX118" s="234" t="s">
        <v>356</v>
      </c>
      <c r="AY118" s="230" t="s">
        <v>164</v>
      </c>
      <c r="BA118" s="233">
        <f>AU118+AV118</f>
        <v>0</v>
      </c>
      <c r="BB118" s="233">
        <f>G118/(100-BC118)*100</f>
        <v>0</v>
      </c>
      <c r="BC118" s="233">
        <v>0</v>
      </c>
      <c r="BD118" s="233">
        <f>L118</f>
        <v>1E-4</v>
      </c>
      <c r="BF118" s="233">
        <f>F118*AM118</f>
        <v>0</v>
      </c>
      <c r="BG118" s="233">
        <f>F118*AN118</f>
        <v>0</v>
      </c>
      <c r="BH118" s="233">
        <f>F118*G118</f>
        <v>0</v>
      </c>
      <c r="BI118" s="233"/>
      <c r="BJ118" s="233">
        <v>87</v>
      </c>
      <c r="BU118" s="233" t="e">
        <f>#REF!</f>
        <v>#REF!</v>
      </c>
      <c r="BV118" s="225" t="s">
        <v>1005</v>
      </c>
    </row>
    <row r="119" spans="1:74" ht="40.5" customHeight="1" x14ac:dyDescent="0.3">
      <c r="A119" s="241"/>
      <c r="B119" s="242" t="s">
        <v>165</v>
      </c>
      <c r="C119" s="530" t="s">
        <v>2344</v>
      </c>
      <c r="D119" s="531"/>
      <c r="E119" s="531"/>
      <c r="F119" s="531"/>
      <c r="G119" s="531"/>
      <c r="H119" s="531"/>
      <c r="I119" s="531"/>
      <c r="J119" s="531"/>
      <c r="K119" s="531"/>
      <c r="L119" s="531"/>
      <c r="M119" s="532"/>
    </row>
    <row r="120" spans="1:74" ht="14.4" x14ac:dyDescent="0.3">
      <c r="A120" s="239" t="s">
        <v>154</v>
      </c>
      <c r="B120" s="224" t="s">
        <v>360</v>
      </c>
      <c r="C120" s="526" t="s">
        <v>361</v>
      </c>
      <c r="D120" s="527"/>
      <c r="E120" s="223" t="s">
        <v>114</v>
      </c>
      <c r="F120" s="223" t="s">
        <v>114</v>
      </c>
      <c r="G120" s="223" t="s">
        <v>114</v>
      </c>
      <c r="H120" s="235">
        <f>SUM(H121:H141)</f>
        <v>0</v>
      </c>
      <c r="I120" s="235">
        <f>SUM(I121:I141)</f>
        <v>0</v>
      </c>
      <c r="J120" s="235">
        <f>SUM(J121:J141)</f>
        <v>0</v>
      </c>
      <c r="K120" s="230" t="s">
        <v>154</v>
      </c>
      <c r="L120" s="235">
        <f>SUM(L121:L141)</f>
        <v>0.51456000000000013</v>
      </c>
      <c r="M120" s="243" t="s">
        <v>154</v>
      </c>
      <c r="AG120" s="230" t="s">
        <v>154</v>
      </c>
      <c r="AQ120" s="235">
        <f>SUM(AH121:AH141)</f>
        <v>0</v>
      </c>
      <c r="AR120" s="235">
        <f>SUM(AI121:AI141)</f>
        <v>0</v>
      </c>
      <c r="AS120" s="235">
        <f>SUM(AJ121:AJ141)</f>
        <v>0</v>
      </c>
    </row>
    <row r="121" spans="1:74" ht="14.4" x14ac:dyDescent="0.3">
      <c r="A121" s="239" t="s">
        <v>332</v>
      </c>
      <c r="B121" s="223" t="s">
        <v>2346</v>
      </c>
      <c r="C121" s="521" t="s">
        <v>2347</v>
      </c>
      <c r="D121" s="519"/>
      <c r="E121" s="223" t="s">
        <v>365</v>
      </c>
      <c r="F121" s="233">
        <v>2</v>
      </c>
      <c r="G121" s="311">
        <v>0</v>
      </c>
      <c r="H121" s="233">
        <f>F121*AM121</f>
        <v>0</v>
      </c>
      <c r="I121" s="233">
        <f>F121*AN121</f>
        <v>0</v>
      </c>
      <c r="J121" s="233">
        <f>F121*G121</f>
        <v>0</v>
      </c>
      <c r="K121" s="233">
        <v>0.25102000000000002</v>
      </c>
      <c r="L121" s="233">
        <f>F121*K121</f>
        <v>0.50204000000000004</v>
      </c>
      <c r="M121" s="240" t="s">
        <v>472</v>
      </c>
      <c r="X121" s="233">
        <f>IF(AO121="5",BH121,0)</f>
        <v>0</v>
      </c>
      <c r="Z121" s="233">
        <f>IF(AO121="1",BF121,0)</f>
        <v>0</v>
      </c>
      <c r="AA121" s="233">
        <f>IF(AO121="1",BG121,0)</f>
        <v>0</v>
      </c>
      <c r="AB121" s="233">
        <f>IF(AO121="7",BF121,0)</f>
        <v>0</v>
      </c>
      <c r="AC121" s="233">
        <f>IF(AO121="7",BG121,0)</f>
        <v>0</v>
      </c>
      <c r="AD121" s="233">
        <f>IF(AO121="2",BF121,0)</f>
        <v>0</v>
      </c>
      <c r="AE121" s="233">
        <f>IF(AO121="2",BG121,0)</f>
        <v>0</v>
      </c>
      <c r="AF121" s="233">
        <f>IF(AO121="0",BH121,0)</f>
        <v>0</v>
      </c>
      <c r="AG121" s="230" t="s">
        <v>154</v>
      </c>
      <c r="AH121" s="233">
        <f>IF(AL121=0,J121,0)</f>
        <v>0</v>
      </c>
      <c r="AI121" s="233">
        <f>IF(AL121=12,J121,0)</f>
        <v>0</v>
      </c>
      <c r="AJ121" s="233">
        <f>IF(AL121=21,J121,0)</f>
        <v>0</v>
      </c>
      <c r="AL121" s="233">
        <v>12</v>
      </c>
      <c r="AM121" s="233">
        <f>G121*0.934072606</f>
        <v>0</v>
      </c>
      <c r="AN121" s="233">
        <f>G121*(1-0.934072606)</f>
        <v>0</v>
      </c>
      <c r="AO121" s="234" t="s">
        <v>157</v>
      </c>
      <c r="AT121" s="233">
        <f>AU121+AV121</f>
        <v>0</v>
      </c>
      <c r="AU121" s="233">
        <f>F121*AM121</f>
        <v>0</v>
      </c>
      <c r="AV121" s="233">
        <f>F121*AN121</f>
        <v>0</v>
      </c>
      <c r="AW121" s="234" t="s">
        <v>366</v>
      </c>
      <c r="AX121" s="234" t="s">
        <v>356</v>
      </c>
      <c r="AY121" s="230" t="s">
        <v>164</v>
      </c>
      <c r="BA121" s="233">
        <f>AU121+AV121</f>
        <v>0</v>
      </c>
      <c r="BB121" s="233">
        <f>G121/(100-BC121)*100</f>
        <v>0</v>
      </c>
      <c r="BC121" s="233">
        <v>0</v>
      </c>
      <c r="BD121" s="233">
        <f>L121</f>
        <v>0.50204000000000004</v>
      </c>
      <c r="BF121" s="233">
        <f>F121*AM121</f>
        <v>0</v>
      </c>
      <c r="BG121" s="233">
        <f>F121*AN121</f>
        <v>0</v>
      </c>
      <c r="BH121" s="233">
        <f>F121*G121</f>
        <v>0</v>
      </c>
      <c r="BI121" s="233"/>
      <c r="BJ121" s="233">
        <v>89</v>
      </c>
      <c r="BU121" s="233" t="e">
        <f>#REF!</f>
        <v>#REF!</v>
      </c>
      <c r="BV121" s="225" t="s">
        <v>2347</v>
      </c>
    </row>
    <row r="122" spans="1:74" ht="135" customHeight="1" x14ac:dyDescent="0.3">
      <c r="A122" s="241"/>
      <c r="B122" s="242" t="s">
        <v>165</v>
      </c>
      <c r="C122" s="530" t="s">
        <v>2348</v>
      </c>
      <c r="D122" s="531"/>
      <c r="E122" s="531"/>
      <c r="F122" s="531"/>
      <c r="G122" s="531"/>
      <c r="H122" s="531"/>
      <c r="I122" s="531"/>
      <c r="J122" s="531"/>
      <c r="K122" s="531"/>
      <c r="L122" s="531"/>
      <c r="M122" s="532"/>
    </row>
    <row r="123" spans="1:74" ht="14.4" x14ac:dyDescent="0.3">
      <c r="A123" s="239" t="s">
        <v>337</v>
      </c>
      <c r="B123" s="223" t="s">
        <v>984</v>
      </c>
      <c r="C123" s="521" t="s">
        <v>985</v>
      </c>
      <c r="D123" s="519"/>
      <c r="E123" s="223" t="s">
        <v>160</v>
      </c>
      <c r="F123" s="233">
        <v>12</v>
      </c>
      <c r="G123" s="311">
        <v>0</v>
      </c>
      <c r="H123" s="233">
        <f>F123*AM123</f>
        <v>0</v>
      </c>
      <c r="I123" s="233">
        <f>F123*AN123</f>
        <v>0</v>
      </c>
      <c r="J123" s="233">
        <f>F123*G123</f>
        <v>0</v>
      </c>
      <c r="K123" s="233">
        <v>0</v>
      </c>
      <c r="L123" s="233">
        <f>F123*K123</f>
        <v>0</v>
      </c>
      <c r="M123" s="240" t="s">
        <v>472</v>
      </c>
      <c r="X123" s="233">
        <f>IF(AO123="5",BH123,0)</f>
        <v>0</v>
      </c>
      <c r="Z123" s="233">
        <f>IF(AO123="1",BF123,0)</f>
        <v>0</v>
      </c>
      <c r="AA123" s="233">
        <f>IF(AO123="1",BG123,0)</f>
        <v>0</v>
      </c>
      <c r="AB123" s="233">
        <f>IF(AO123="7",BF123,0)</f>
        <v>0</v>
      </c>
      <c r="AC123" s="233">
        <f>IF(AO123="7",BG123,0)</f>
        <v>0</v>
      </c>
      <c r="AD123" s="233">
        <f>IF(AO123="2",BF123,0)</f>
        <v>0</v>
      </c>
      <c r="AE123" s="233">
        <f>IF(AO123="2",BG123,0)</f>
        <v>0</v>
      </c>
      <c r="AF123" s="233">
        <f>IF(AO123="0",BH123,0)</f>
        <v>0</v>
      </c>
      <c r="AG123" s="230" t="s">
        <v>154</v>
      </c>
      <c r="AH123" s="233">
        <f>IF(AL123=0,J123,0)</f>
        <v>0</v>
      </c>
      <c r="AI123" s="233">
        <f>IF(AL123=12,J123,0)</f>
        <v>0</v>
      </c>
      <c r="AJ123" s="233">
        <f>IF(AL123=21,J123,0)</f>
        <v>0</v>
      </c>
      <c r="AL123" s="233">
        <v>12</v>
      </c>
      <c r="AM123" s="233">
        <f>G123*0.00622093</f>
        <v>0</v>
      </c>
      <c r="AN123" s="233">
        <f>G123*(1-0.00622093)</f>
        <v>0</v>
      </c>
      <c r="AO123" s="234" t="s">
        <v>157</v>
      </c>
      <c r="AT123" s="233">
        <f>AU123+AV123</f>
        <v>0</v>
      </c>
      <c r="AU123" s="233">
        <f>F123*AM123</f>
        <v>0</v>
      </c>
      <c r="AV123" s="233">
        <f>F123*AN123</f>
        <v>0</v>
      </c>
      <c r="AW123" s="234" t="s">
        <v>366</v>
      </c>
      <c r="AX123" s="234" t="s">
        <v>356</v>
      </c>
      <c r="AY123" s="230" t="s">
        <v>164</v>
      </c>
      <c r="BA123" s="233">
        <f>AU123+AV123</f>
        <v>0</v>
      </c>
      <c r="BB123" s="233">
        <f>G123/(100-BC123)*100</f>
        <v>0</v>
      </c>
      <c r="BC123" s="233">
        <v>0</v>
      </c>
      <c r="BD123" s="233">
        <f>L123</f>
        <v>0</v>
      </c>
      <c r="BF123" s="233">
        <f>F123*AM123</f>
        <v>0</v>
      </c>
      <c r="BG123" s="233">
        <f>F123*AN123</f>
        <v>0</v>
      </c>
      <c r="BH123" s="233">
        <f>F123*G123</f>
        <v>0</v>
      </c>
      <c r="BI123" s="233"/>
      <c r="BJ123" s="233">
        <v>89</v>
      </c>
      <c r="BU123" s="233" t="e">
        <f>#REF!</f>
        <v>#REF!</v>
      </c>
      <c r="BV123" s="225" t="s">
        <v>985</v>
      </c>
    </row>
    <row r="124" spans="1:74" ht="40.5" customHeight="1" x14ac:dyDescent="0.3">
      <c r="A124" s="241"/>
      <c r="B124" s="242" t="s">
        <v>165</v>
      </c>
      <c r="C124" s="530" t="s">
        <v>2349</v>
      </c>
      <c r="D124" s="531"/>
      <c r="E124" s="531"/>
      <c r="F124" s="531"/>
      <c r="G124" s="531"/>
      <c r="H124" s="531"/>
      <c r="I124" s="531"/>
      <c r="J124" s="531"/>
      <c r="K124" s="531"/>
      <c r="L124" s="531"/>
      <c r="M124" s="532"/>
    </row>
    <row r="125" spans="1:74" ht="14.4" x14ac:dyDescent="0.3">
      <c r="A125" s="239" t="s">
        <v>341</v>
      </c>
      <c r="B125" s="223" t="s">
        <v>922</v>
      </c>
      <c r="C125" s="521" t="s">
        <v>923</v>
      </c>
      <c r="D125" s="519"/>
      <c r="E125" s="223" t="s">
        <v>924</v>
      </c>
      <c r="F125" s="233">
        <v>2</v>
      </c>
      <c r="G125" s="311">
        <v>0</v>
      </c>
      <c r="H125" s="233">
        <f>F125*AM125</f>
        <v>0</v>
      </c>
      <c r="I125" s="233">
        <f>F125*AN125</f>
        <v>0</v>
      </c>
      <c r="J125" s="233">
        <f>F125*G125</f>
        <v>0</v>
      </c>
      <c r="K125" s="233">
        <v>4.0999999999999999E-4</v>
      </c>
      <c r="L125" s="233">
        <f>F125*K125</f>
        <v>8.1999999999999998E-4</v>
      </c>
      <c r="M125" s="240" t="s">
        <v>472</v>
      </c>
      <c r="X125" s="233">
        <f>IF(AO125="5",BH125,0)</f>
        <v>0</v>
      </c>
      <c r="Z125" s="233">
        <f>IF(AO125="1",BF125,0)</f>
        <v>0</v>
      </c>
      <c r="AA125" s="233">
        <f>IF(AO125="1",BG125,0)</f>
        <v>0</v>
      </c>
      <c r="AB125" s="233">
        <f>IF(AO125="7",BF125,0)</f>
        <v>0</v>
      </c>
      <c r="AC125" s="233">
        <f>IF(AO125="7",BG125,0)</f>
        <v>0</v>
      </c>
      <c r="AD125" s="233">
        <f>IF(AO125="2",BF125,0)</f>
        <v>0</v>
      </c>
      <c r="AE125" s="233">
        <f>IF(AO125="2",BG125,0)</f>
        <v>0</v>
      </c>
      <c r="AF125" s="233">
        <f>IF(AO125="0",BH125,0)</f>
        <v>0</v>
      </c>
      <c r="AG125" s="230" t="s">
        <v>154</v>
      </c>
      <c r="AH125" s="233">
        <f>IF(AL125=0,J125,0)</f>
        <v>0</v>
      </c>
      <c r="AI125" s="233">
        <f>IF(AL125=12,J125,0)</f>
        <v>0</v>
      </c>
      <c r="AJ125" s="233">
        <f>IF(AL125=21,J125,0)</f>
        <v>0</v>
      </c>
      <c r="AL125" s="233">
        <v>12</v>
      </c>
      <c r="AM125" s="233">
        <f>G125*0.120871568</f>
        <v>0</v>
      </c>
      <c r="AN125" s="233">
        <f>G125*(1-0.120871568)</f>
        <v>0</v>
      </c>
      <c r="AO125" s="234" t="s">
        <v>157</v>
      </c>
      <c r="AT125" s="233">
        <f>AU125+AV125</f>
        <v>0</v>
      </c>
      <c r="AU125" s="233">
        <f>F125*AM125</f>
        <v>0</v>
      </c>
      <c r="AV125" s="233">
        <f>F125*AN125</f>
        <v>0</v>
      </c>
      <c r="AW125" s="234" t="s">
        <v>366</v>
      </c>
      <c r="AX125" s="234" t="s">
        <v>356</v>
      </c>
      <c r="AY125" s="230" t="s">
        <v>164</v>
      </c>
      <c r="BA125" s="233">
        <f>AU125+AV125</f>
        <v>0</v>
      </c>
      <c r="BB125" s="233">
        <f>G125/(100-BC125)*100</f>
        <v>0</v>
      </c>
      <c r="BC125" s="233">
        <v>0</v>
      </c>
      <c r="BD125" s="233">
        <f>L125</f>
        <v>8.1999999999999998E-4</v>
      </c>
      <c r="BF125" s="233">
        <f>F125*AM125</f>
        <v>0</v>
      </c>
      <c r="BG125" s="233">
        <f>F125*AN125</f>
        <v>0</v>
      </c>
      <c r="BH125" s="233">
        <f>F125*G125</f>
        <v>0</v>
      </c>
      <c r="BI125" s="233"/>
      <c r="BJ125" s="233">
        <v>89</v>
      </c>
      <c r="BU125" s="233" t="e">
        <f>#REF!</f>
        <v>#REF!</v>
      </c>
      <c r="BV125" s="225" t="s">
        <v>923</v>
      </c>
    </row>
    <row r="126" spans="1:74" ht="40.5" customHeight="1" x14ac:dyDescent="0.3">
      <c r="A126" s="241"/>
      <c r="B126" s="242" t="s">
        <v>165</v>
      </c>
      <c r="C126" s="530" t="s">
        <v>1989</v>
      </c>
      <c r="D126" s="531"/>
      <c r="E126" s="531"/>
      <c r="F126" s="531"/>
      <c r="G126" s="531"/>
      <c r="H126" s="531"/>
      <c r="I126" s="531"/>
      <c r="J126" s="531"/>
      <c r="K126" s="531"/>
      <c r="L126" s="531"/>
      <c r="M126" s="532"/>
    </row>
    <row r="127" spans="1:74" ht="14.4" x14ac:dyDescent="0.3">
      <c r="A127" s="239" t="s">
        <v>346</v>
      </c>
      <c r="B127" s="223" t="s">
        <v>1006</v>
      </c>
      <c r="C127" s="521" t="s">
        <v>1007</v>
      </c>
      <c r="D127" s="519"/>
      <c r="E127" s="223" t="s">
        <v>160</v>
      </c>
      <c r="F127" s="233">
        <v>12</v>
      </c>
      <c r="G127" s="311">
        <v>0</v>
      </c>
      <c r="H127" s="233">
        <f>F127*AM127</f>
        <v>0</v>
      </c>
      <c r="I127" s="233">
        <f>F127*AN127</f>
        <v>0</v>
      </c>
      <c r="J127" s="233">
        <f>F127*G127</f>
        <v>0</v>
      </c>
      <c r="K127" s="233">
        <v>0</v>
      </c>
      <c r="L127" s="233">
        <f>F127*K127</f>
        <v>0</v>
      </c>
      <c r="M127" s="240" t="s">
        <v>472</v>
      </c>
      <c r="X127" s="233">
        <f>IF(AO127="5",BH127,0)</f>
        <v>0</v>
      </c>
      <c r="Z127" s="233">
        <f>IF(AO127="1",BF127,0)</f>
        <v>0</v>
      </c>
      <c r="AA127" s="233">
        <f>IF(AO127="1",BG127,0)</f>
        <v>0</v>
      </c>
      <c r="AB127" s="233">
        <f>IF(AO127="7",BF127,0)</f>
        <v>0</v>
      </c>
      <c r="AC127" s="233">
        <f>IF(AO127="7",BG127,0)</f>
        <v>0</v>
      </c>
      <c r="AD127" s="233">
        <f>IF(AO127="2",BF127,0)</f>
        <v>0</v>
      </c>
      <c r="AE127" s="233">
        <f>IF(AO127="2",BG127,0)</f>
        <v>0</v>
      </c>
      <c r="AF127" s="233">
        <f>IF(AO127="0",BH127,0)</f>
        <v>0</v>
      </c>
      <c r="AG127" s="230" t="s">
        <v>154</v>
      </c>
      <c r="AH127" s="233">
        <f>IF(AL127=0,J127,0)</f>
        <v>0</v>
      </c>
      <c r="AI127" s="233">
        <f>IF(AL127=12,J127,0)</f>
        <v>0</v>
      </c>
      <c r="AJ127" s="233">
        <f>IF(AL127=21,J127,0)</f>
        <v>0</v>
      </c>
      <c r="AL127" s="233">
        <v>12</v>
      </c>
      <c r="AM127" s="233">
        <f>G127*0.132326383</f>
        <v>0</v>
      </c>
      <c r="AN127" s="233">
        <f>G127*(1-0.132326383)</f>
        <v>0</v>
      </c>
      <c r="AO127" s="234" t="s">
        <v>157</v>
      </c>
      <c r="AT127" s="233">
        <f>AU127+AV127</f>
        <v>0</v>
      </c>
      <c r="AU127" s="233">
        <f>F127*AM127</f>
        <v>0</v>
      </c>
      <c r="AV127" s="233">
        <f>F127*AN127</f>
        <v>0</v>
      </c>
      <c r="AW127" s="234" t="s">
        <v>366</v>
      </c>
      <c r="AX127" s="234" t="s">
        <v>356</v>
      </c>
      <c r="AY127" s="230" t="s">
        <v>164</v>
      </c>
      <c r="BA127" s="233">
        <f>AU127+AV127</f>
        <v>0</v>
      </c>
      <c r="BB127" s="233">
        <f>G127/(100-BC127)*100</f>
        <v>0</v>
      </c>
      <c r="BC127" s="233">
        <v>0</v>
      </c>
      <c r="BD127" s="233">
        <f>L127</f>
        <v>0</v>
      </c>
      <c r="BF127" s="233">
        <f>F127*AM127</f>
        <v>0</v>
      </c>
      <c r="BG127" s="233">
        <f>F127*AN127</f>
        <v>0</v>
      </c>
      <c r="BH127" s="233">
        <f>F127*G127</f>
        <v>0</v>
      </c>
      <c r="BI127" s="233"/>
      <c r="BJ127" s="233">
        <v>89</v>
      </c>
      <c r="BU127" s="233" t="e">
        <f>#REF!</f>
        <v>#REF!</v>
      </c>
      <c r="BV127" s="225" t="s">
        <v>1007</v>
      </c>
    </row>
    <row r="128" spans="1:74" ht="40.5" customHeight="1" x14ac:dyDescent="0.3">
      <c r="A128" s="241"/>
      <c r="B128" s="242" t="s">
        <v>165</v>
      </c>
      <c r="C128" s="530" t="s">
        <v>2350</v>
      </c>
      <c r="D128" s="531"/>
      <c r="E128" s="531"/>
      <c r="F128" s="531"/>
      <c r="G128" s="531"/>
      <c r="H128" s="531"/>
      <c r="I128" s="531"/>
      <c r="J128" s="531"/>
      <c r="K128" s="531"/>
      <c r="L128" s="531"/>
      <c r="M128" s="532"/>
    </row>
    <row r="129" spans="1:74" ht="14.4" x14ac:dyDescent="0.3">
      <c r="A129" s="239" t="s">
        <v>352</v>
      </c>
      <c r="B129" s="223" t="s">
        <v>986</v>
      </c>
      <c r="C129" s="521" t="s">
        <v>987</v>
      </c>
      <c r="D129" s="519"/>
      <c r="E129" s="223" t="s">
        <v>160</v>
      </c>
      <c r="F129" s="233">
        <v>12</v>
      </c>
      <c r="G129" s="311">
        <v>0</v>
      </c>
      <c r="H129" s="233">
        <f>F129*AM129</f>
        <v>0</v>
      </c>
      <c r="I129" s="233">
        <f>F129*AN129</f>
        <v>0</v>
      </c>
      <c r="J129" s="233">
        <f>F129*G129</f>
        <v>0</v>
      </c>
      <c r="K129" s="233">
        <v>0</v>
      </c>
      <c r="L129" s="233">
        <f>F129*K129</f>
        <v>0</v>
      </c>
      <c r="M129" s="240" t="s">
        <v>472</v>
      </c>
      <c r="X129" s="233">
        <f>IF(AO129="5",BH129,0)</f>
        <v>0</v>
      </c>
      <c r="Z129" s="233">
        <f>IF(AO129="1",BF129,0)</f>
        <v>0</v>
      </c>
      <c r="AA129" s="233">
        <f>IF(AO129="1",BG129,0)</f>
        <v>0</v>
      </c>
      <c r="AB129" s="233">
        <f>IF(AO129="7",BF129,0)</f>
        <v>0</v>
      </c>
      <c r="AC129" s="233">
        <f>IF(AO129="7",BG129,0)</f>
        <v>0</v>
      </c>
      <c r="AD129" s="233">
        <f>IF(AO129="2",BF129,0)</f>
        <v>0</v>
      </c>
      <c r="AE129" s="233">
        <f>IF(AO129="2",BG129,0)</f>
        <v>0</v>
      </c>
      <c r="AF129" s="233">
        <f>IF(AO129="0",BH129,0)</f>
        <v>0</v>
      </c>
      <c r="AG129" s="230" t="s">
        <v>154</v>
      </c>
      <c r="AH129" s="233">
        <f>IF(AL129=0,J129,0)</f>
        <v>0</v>
      </c>
      <c r="AI129" s="233">
        <f>IF(AL129=12,J129,0)</f>
        <v>0</v>
      </c>
      <c r="AJ129" s="233">
        <f>IF(AL129=21,J129,0)</f>
        <v>0</v>
      </c>
      <c r="AL129" s="233">
        <v>12</v>
      </c>
      <c r="AM129" s="233">
        <f>G129*0</f>
        <v>0</v>
      </c>
      <c r="AN129" s="233">
        <f>G129*(1-0)</f>
        <v>0</v>
      </c>
      <c r="AO129" s="234" t="s">
        <v>157</v>
      </c>
      <c r="AT129" s="233">
        <f>AU129+AV129</f>
        <v>0</v>
      </c>
      <c r="AU129" s="233">
        <f>F129*AM129</f>
        <v>0</v>
      </c>
      <c r="AV129" s="233">
        <f>F129*AN129</f>
        <v>0</v>
      </c>
      <c r="AW129" s="234" t="s">
        <v>366</v>
      </c>
      <c r="AX129" s="234" t="s">
        <v>356</v>
      </c>
      <c r="AY129" s="230" t="s">
        <v>164</v>
      </c>
      <c r="BA129" s="233">
        <f>AU129+AV129</f>
        <v>0</v>
      </c>
      <c r="BB129" s="233">
        <f>G129/(100-BC129)*100</f>
        <v>0</v>
      </c>
      <c r="BC129" s="233">
        <v>0</v>
      </c>
      <c r="BD129" s="233">
        <f>L129</f>
        <v>0</v>
      </c>
      <c r="BF129" s="233">
        <f>F129*AM129</f>
        <v>0</v>
      </c>
      <c r="BG129" s="233">
        <f>F129*AN129</f>
        <v>0</v>
      </c>
      <c r="BH129" s="233">
        <f>F129*G129</f>
        <v>0</v>
      </c>
      <c r="BI129" s="233"/>
      <c r="BJ129" s="233">
        <v>89</v>
      </c>
      <c r="BU129" s="233" t="e">
        <f>#REF!</f>
        <v>#REF!</v>
      </c>
      <c r="BV129" s="225" t="s">
        <v>987</v>
      </c>
    </row>
    <row r="130" spans="1:74" ht="40.5" customHeight="1" x14ac:dyDescent="0.3">
      <c r="A130" s="241"/>
      <c r="B130" s="242" t="s">
        <v>165</v>
      </c>
      <c r="C130" s="530" t="s">
        <v>2351</v>
      </c>
      <c r="D130" s="531"/>
      <c r="E130" s="531"/>
      <c r="F130" s="531"/>
      <c r="G130" s="531"/>
      <c r="H130" s="531"/>
      <c r="I130" s="531"/>
      <c r="J130" s="531"/>
      <c r="K130" s="531"/>
      <c r="L130" s="531"/>
      <c r="M130" s="532"/>
    </row>
    <row r="131" spans="1:74" ht="14.4" x14ac:dyDescent="0.3">
      <c r="A131" s="239" t="s">
        <v>357</v>
      </c>
      <c r="B131" s="223" t="s">
        <v>438</v>
      </c>
      <c r="C131" s="521" t="s">
        <v>439</v>
      </c>
      <c r="D131" s="519"/>
      <c r="E131" s="223" t="s">
        <v>160</v>
      </c>
      <c r="F131" s="233">
        <v>13.2</v>
      </c>
      <c r="G131" s="311">
        <v>0</v>
      </c>
      <c r="H131" s="233">
        <f>F131*AM131</f>
        <v>0</v>
      </c>
      <c r="I131" s="233">
        <f>F131*AN131</f>
        <v>0</v>
      </c>
      <c r="J131" s="233">
        <f>F131*G131</f>
        <v>0</v>
      </c>
      <c r="K131" s="233">
        <v>0</v>
      </c>
      <c r="L131" s="233">
        <f>F131*K131</f>
        <v>0</v>
      </c>
      <c r="M131" s="240" t="s">
        <v>472</v>
      </c>
      <c r="X131" s="233">
        <f>IF(AO131="5",BH131,0)</f>
        <v>0</v>
      </c>
      <c r="Z131" s="233">
        <f>IF(AO131="1",BF131,0)</f>
        <v>0</v>
      </c>
      <c r="AA131" s="233">
        <f>IF(AO131="1",BG131,0)</f>
        <v>0</v>
      </c>
      <c r="AB131" s="233">
        <f>IF(AO131="7",BF131,0)</f>
        <v>0</v>
      </c>
      <c r="AC131" s="233">
        <f>IF(AO131="7",BG131,0)</f>
        <v>0</v>
      </c>
      <c r="AD131" s="233">
        <f>IF(AO131="2",BF131,0)</f>
        <v>0</v>
      </c>
      <c r="AE131" s="233">
        <f>IF(AO131="2",BG131,0)</f>
        <v>0</v>
      </c>
      <c r="AF131" s="233">
        <f>IF(AO131="0",BH131,0)</f>
        <v>0</v>
      </c>
      <c r="AG131" s="230" t="s">
        <v>154</v>
      </c>
      <c r="AH131" s="233">
        <f>IF(AL131=0,J131,0)</f>
        <v>0</v>
      </c>
      <c r="AI131" s="233">
        <f>IF(AL131=12,J131,0)</f>
        <v>0</v>
      </c>
      <c r="AJ131" s="233">
        <f>IF(AL131=21,J131,0)</f>
        <v>0</v>
      </c>
      <c r="AL131" s="233">
        <v>12</v>
      </c>
      <c r="AM131" s="233">
        <f>G131*0.353995178</f>
        <v>0</v>
      </c>
      <c r="AN131" s="233">
        <f>G131*(1-0.353995178)</f>
        <v>0</v>
      </c>
      <c r="AO131" s="234" t="s">
        <v>157</v>
      </c>
      <c r="AT131" s="233">
        <f>AU131+AV131</f>
        <v>0</v>
      </c>
      <c r="AU131" s="233">
        <f>F131*AM131</f>
        <v>0</v>
      </c>
      <c r="AV131" s="233">
        <f>F131*AN131</f>
        <v>0</v>
      </c>
      <c r="AW131" s="234" t="s">
        <v>366</v>
      </c>
      <c r="AX131" s="234" t="s">
        <v>356</v>
      </c>
      <c r="AY131" s="230" t="s">
        <v>164</v>
      </c>
      <c r="BA131" s="233">
        <f>AU131+AV131</f>
        <v>0</v>
      </c>
      <c r="BB131" s="233">
        <f>G131/(100-BC131)*100</f>
        <v>0</v>
      </c>
      <c r="BC131" s="233">
        <v>0</v>
      </c>
      <c r="BD131" s="233">
        <f>L131</f>
        <v>0</v>
      </c>
      <c r="BF131" s="233">
        <f>F131*AM131</f>
        <v>0</v>
      </c>
      <c r="BG131" s="233">
        <f>F131*AN131</f>
        <v>0</v>
      </c>
      <c r="BH131" s="233">
        <f>F131*G131</f>
        <v>0</v>
      </c>
      <c r="BI131" s="233"/>
      <c r="BJ131" s="233">
        <v>89</v>
      </c>
      <c r="BU131" s="233" t="e">
        <f>#REF!</f>
        <v>#REF!</v>
      </c>
      <c r="BV131" s="225" t="s">
        <v>439</v>
      </c>
    </row>
    <row r="132" spans="1:74" ht="40.5" customHeight="1" x14ac:dyDescent="0.3">
      <c r="A132" s="241"/>
      <c r="B132" s="242" t="s">
        <v>165</v>
      </c>
      <c r="C132" s="530" t="s">
        <v>2352</v>
      </c>
      <c r="D132" s="531"/>
      <c r="E132" s="531"/>
      <c r="F132" s="531"/>
      <c r="G132" s="531"/>
      <c r="H132" s="531"/>
      <c r="I132" s="531"/>
      <c r="J132" s="531"/>
      <c r="K132" s="531"/>
      <c r="L132" s="531"/>
      <c r="M132" s="532"/>
    </row>
    <row r="133" spans="1:74" ht="14.4" x14ac:dyDescent="0.3">
      <c r="A133" s="239" t="s">
        <v>362</v>
      </c>
      <c r="B133" s="223" t="s">
        <v>902</v>
      </c>
      <c r="C133" s="521" t="s">
        <v>903</v>
      </c>
      <c r="D133" s="519"/>
      <c r="E133" s="223" t="s">
        <v>365</v>
      </c>
      <c r="F133" s="233">
        <v>1</v>
      </c>
      <c r="G133" s="311">
        <v>0</v>
      </c>
      <c r="H133" s="233">
        <f>F133*AM133</f>
        <v>0</v>
      </c>
      <c r="I133" s="233">
        <f>F133*AN133</f>
        <v>0</v>
      </c>
      <c r="J133" s="233">
        <f>F133*G133</f>
        <v>0</v>
      </c>
      <c r="K133" s="233">
        <v>0</v>
      </c>
      <c r="L133" s="233">
        <f>F133*K133</f>
        <v>0</v>
      </c>
      <c r="M133" s="240" t="s">
        <v>472</v>
      </c>
      <c r="X133" s="233">
        <f>IF(AO133="5",BH133,0)</f>
        <v>0</v>
      </c>
      <c r="Z133" s="233">
        <f>IF(AO133="1",BF133,0)</f>
        <v>0</v>
      </c>
      <c r="AA133" s="233">
        <f>IF(AO133="1",BG133,0)</f>
        <v>0</v>
      </c>
      <c r="AB133" s="233">
        <f>IF(AO133="7",BF133,0)</f>
        <v>0</v>
      </c>
      <c r="AC133" s="233">
        <f>IF(AO133="7",BG133,0)</f>
        <v>0</v>
      </c>
      <c r="AD133" s="233">
        <f>IF(AO133="2",BF133,0)</f>
        <v>0</v>
      </c>
      <c r="AE133" s="233">
        <f>IF(AO133="2",BG133,0)</f>
        <v>0</v>
      </c>
      <c r="AF133" s="233">
        <f>IF(AO133="0",BH133,0)</f>
        <v>0</v>
      </c>
      <c r="AG133" s="230" t="s">
        <v>154</v>
      </c>
      <c r="AH133" s="233">
        <f>IF(AL133=0,J133,0)</f>
        <v>0</v>
      </c>
      <c r="AI133" s="233">
        <f>IF(AL133=12,J133,0)</f>
        <v>0</v>
      </c>
      <c r="AJ133" s="233">
        <f>IF(AL133=21,J133,0)</f>
        <v>0</v>
      </c>
      <c r="AL133" s="233">
        <v>12</v>
      </c>
      <c r="AM133" s="233">
        <f>G133*0</f>
        <v>0</v>
      </c>
      <c r="AN133" s="233">
        <f>G133*(1-0)</f>
        <v>0</v>
      </c>
      <c r="AO133" s="234" t="s">
        <v>157</v>
      </c>
      <c r="AT133" s="233">
        <f>AU133+AV133</f>
        <v>0</v>
      </c>
      <c r="AU133" s="233">
        <f>F133*AM133</f>
        <v>0</v>
      </c>
      <c r="AV133" s="233">
        <f>F133*AN133</f>
        <v>0</v>
      </c>
      <c r="AW133" s="234" t="s">
        <v>366</v>
      </c>
      <c r="AX133" s="234" t="s">
        <v>356</v>
      </c>
      <c r="AY133" s="230" t="s">
        <v>164</v>
      </c>
      <c r="BA133" s="233">
        <f>AU133+AV133</f>
        <v>0</v>
      </c>
      <c r="BB133" s="233">
        <f>G133/(100-BC133)*100</f>
        <v>0</v>
      </c>
      <c r="BC133" s="233">
        <v>0</v>
      </c>
      <c r="BD133" s="233">
        <f>L133</f>
        <v>0</v>
      </c>
      <c r="BF133" s="233">
        <f>F133*AM133</f>
        <v>0</v>
      </c>
      <c r="BG133" s="233">
        <f>F133*AN133</f>
        <v>0</v>
      </c>
      <c r="BH133" s="233">
        <f>F133*G133</f>
        <v>0</v>
      </c>
      <c r="BI133" s="233"/>
      <c r="BJ133" s="233">
        <v>89</v>
      </c>
      <c r="BU133" s="233" t="e">
        <f>#REF!</f>
        <v>#REF!</v>
      </c>
      <c r="BV133" s="225" t="s">
        <v>903</v>
      </c>
    </row>
    <row r="134" spans="1:74" ht="13.5" customHeight="1" x14ac:dyDescent="0.3">
      <c r="A134" s="241"/>
      <c r="B134" s="242" t="s">
        <v>165</v>
      </c>
      <c r="C134" s="530" t="s">
        <v>904</v>
      </c>
      <c r="D134" s="531"/>
      <c r="E134" s="531"/>
      <c r="F134" s="531"/>
      <c r="G134" s="531"/>
      <c r="H134" s="531"/>
      <c r="I134" s="531"/>
      <c r="J134" s="531"/>
      <c r="K134" s="531"/>
      <c r="L134" s="531"/>
      <c r="M134" s="532"/>
    </row>
    <row r="135" spans="1:74" ht="14.4" x14ac:dyDescent="0.3">
      <c r="A135" s="239" t="s">
        <v>367</v>
      </c>
      <c r="B135" s="223" t="s">
        <v>908</v>
      </c>
      <c r="C135" s="521" t="s">
        <v>909</v>
      </c>
      <c r="D135" s="519"/>
      <c r="E135" s="223" t="s">
        <v>365</v>
      </c>
      <c r="F135" s="233">
        <v>1</v>
      </c>
      <c r="G135" s="311">
        <v>0</v>
      </c>
      <c r="H135" s="233">
        <f>F135*AM135</f>
        <v>0</v>
      </c>
      <c r="I135" s="233">
        <f>F135*AN135</f>
        <v>0</v>
      </c>
      <c r="J135" s="233">
        <f>F135*G135</f>
        <v>0</v>
      </c>
      <c r="K135" s="233">
        <v>0</v>
      </c>
      <c r="L135" s="233">
        <f>F135*K135</f>
        <v>0</v>
      </c>
      <c r="M135" s="240" t="s">
        <v>472</v>
      </c>
      <c r="X135" s="233">
        <f>IF(AO135="5",BH135,0)</f>
        <v>0</v>
      </c>
      <c r="Z135" s="233">
        <f>IF(AO135="1",BF135,0)</f>
        <v>0</v>
      </c>
      <c r="AA135" s="233">
        <f>IF(AO135="1",BG135,0)</f>
        <v>0</v>
      </c>
      <c r="AB135" s="233">
        <f>IF(AO135="7",BF135,0)</f>
        <v>0</v>
      </c>
      <c r="AC135" s="233">
        <f>IF(AO135="7",BG135,0)</f>
        <v>0</v>
      </c>
      <c r="AD135" s="233">
        <f>IF(AO135="2",BF135,0)</f>
        <v>0</v>
      </c>
      <c r="AE135" s="233">
        <f>IF(AO135="2",BG135,0)</f>
        <v>0</v>
      </c>
      <c r="AF135" s="233">
        <f>IF(AO135="0",BH135,0)</f>
        <v>0</v>
      </c>
      <c r="AG135" s="230" t="s">
        <v>154</v>
      </c>
      <c r="AH135" s="233">
        <f>IF(AL135=0,J135,0)</f>
        <v>0</v>
      </c>
      <c r="AI135" s="233">
        <f>IF(AL135=12,J135,0)</f>
        <v>0</v>
      </c>
      <c r="AJ135" s="233">
        <f>IF(AL135=21,J135,0)</f>
        <v>0</v>
      </c>
      <c r="AL135" s="233">
        <v>12</v>
      </c>
      <c r="AM135" s="233">
        <f>G135*0</f>
        <v>0</v>
      </c>
      <c r="AN135" s="233">
        <f>G135*(1-0)</f>
        <v>0</v>
      </c>
      <c r="AO135" s="234" t="s">
        <v>157</v>
      </c>
      <c r="AT135" s="233">
        <f>AU135+AV135</f>
        <v>0</v>
      </c>
      <c r="AU135" s="233">
        <f>F135*AM135</f>
        <v>0</v>
      </c>
      <c r="AV135" s="233">
        <f>F135*AN135</f>
        <v>0</v>
      </c>
      <c r="AW135" s="234" t="s">
        <v>366</v>
      </c>
      <c r="AX135" s="234" t="s">
        <v>356</v>
      </c>
      <c r="AY135" s="230" t="s">
        <v>164</v>
      </c>
      <c r="BA135" s="233">
        <f>AU135+AV135</f>
        <v>0</v>
      </c>
      <c r="BB135" s="233">
        <f>G135/(100-BC135)*100</f>
        <v>0</v>
      </c>
      <c r="BC135" s="233">
        <v>0</v>
      </c>
      <c r="BD135" s="233">
        <f>L135</f>
        <v>0</v>
      </c>
      <c r="BF135" s="233">
        <f>F135*AM135</f>
        <v>0</v>
      </c>
      <c r="BG135" s="233">
        <f>F135*AN135</f>
        <v>0</v>
      </c>
      <c r="BH135" s="233">
        <f>F135*G135</f>
        <v>0</v>
      </c>
      <c r="BI135" s="233"/>
      <c r="BJ135" s="233">
        <v>89</v>
      </c>
      <c r="BU135" s="233" t="e">
        <f>#REF!</f>
        <v>#REF!</v>
      </c>
      <c r="BV135" s="225" t="s">
        <v>909</v>
      </c>
    </row>
    <row r="136" spans="1:74" ht="13.5" customHeight="1" x14ac:dyDescent="0.3">
      <c r="A136" s="241"/>
      <c r="B136" s="242" t="s">
        <v>165</v>
      </c>
      <c r="C136" s="530" t="s">
        <v>910</v>
      </c>
      <c r="D136" s="531"/>
      <c r="E136" s="531"/>
      <c r="F136" s="531"/>
      <c r="G136" s="531"/>
      <c r="H136" s="531"/>
      <c r="I136" s="531"/>
      <c r="J136" s="531"/>
      <c r="K136" s="531"/>
      <c r="L136" s="531"/>
      <c r="M136" s="532"/>
    </row>
    <row r="137" spans="1:74" ht="14.4" x14ac:dyDescent="0.3">
      <c r="A137" s="239" t="s">
        <v>305</v>
      </c>
      <c r="B137" s="223" t="s">
        <v>911</v>
      </c>
      <c r="C137" s="521" t="s">
        <v>912</v>
      </c>
      <c r="D137" s="519"/>
      <c r="E137" s="223" t="s">
        <v>365</v>
      </c>
      <c r="F137" s="233">
        <v>1</v>
      </c>
      <c r="G137" s="311">
        <v>0</v>
      </c>
      <c r="H137" s="233">
        <f>F137*AM137</f>
        <v>0</v>
      </c>
      <c r="I137" s="233">
        <f>F137*AN137</f>
        <v>0</v>
      </c>
      <c r="J137" s="233">
        <f>F137*G137</f>
        <v>0</v>
      </c>
      <c r="K137" s="233">
        <v>0</v>
      </c>
      <c r="L137" s="233">
        <f>F137*K137</f>
        <v>0</v>
      </c>
      <c r="M137" s="240" t="s">
        <v>472</v>
      </c>
      <c r="X137" s="233">
        <f>IF(AO137="5",BH137,0)</f>
        <v>0</v>
      </c>
      <c r="Z137" s="233">
        <f>IF(AO137="1",BF137,0)</f>
        <v>0</v>
      </c>
      <c r="AA137" s="233">
        <f>IF(AO137="1",BG137,0)</f>
        <v>0</v>
      </c>
      <c r="AB137" s="233">
        <f>IF(AO137="7",BF137,0)</f>
        <v>0</v>
      </c>
      <c r="AC137" s="233">
        <f>IF(AO137="7",BG137,0)</f>
        <v>0</v>
      </c>
      <c r="AD137" s="233">
        <f>IF(AO137="2",BF137,0)</f>
        <v>0</v>
      </c>
      <c r="AE137" s="233">
        <f>IF(AO137="2",BG137,0)</f>
        <v>0</v>
      </c>
      <c r="AF137" s="233">
        <f>IF(AO137="0",BH137,0)</f>
        <v>0</v>
      </c>
      <c r="AG137" s="230" t="s">
        <v>154</v>
      </c>
      <c r="AH137" s="233">
        <f>IF(AL137=0,J137,0)</f>
        <v>0</v>
      </c>
      <c r="AI137" s="233">
        <f>IF(AL137=12,J137,0)</f>
        <v>0</v>
      </c>
      <c r="AJ137" s="233">
        <f>IF(AL137=21,J137,0)</f>
        <v>0</v>
      </c>
      <c r="AL137" s="233">
        <v>12</v>
      </c>
      <c r="AM137" s="233">
        <f>G137*0</f>
        <v>0</v>
      </c>
      <c r="AN137" s="233">
        <f>G137*(1-0)</f>
        <v>0</v>
      </c>
      <c r="AO137" s="234" t="s">
        <v>157</v>
      </c>
      <c r="AT137" s="233">
        <f>AU137+AV137</f>
        <v>0</v>
      </c>
      <c r="AU137" s="233">
        <f>F137*AM137</f>
        <v>0</v>
      </c>
      <c r="AV137" s="233">
        <f>F137*AN137</f>
        <v>0</v>
      </c>
      <c r="AW137" s="234" t="s">
        <v>366</v>
      </c>
      <c r="AX137" s="234" t="s">
        <v>356</v>
      </c>
      <c r="AY137" s="230" t="s">
        <v>164</v>
      </c>
      <c r="BA137" s="233">
        <f>AU137+AV137</f>
        <v>0</v>
      </c>
      <c r="BB137" s="233">
        <f>G137/(100-BC137)*100</f>
        <v>0</v>
      </c>
      <c r="BC137" s="233">
        <v>0</v>
      </c>
      <c r="BD137" s="233">
        <f>L137</f>
        <v>0</v>
      </c>
      <c r="BF137" s="233">
        <f>F137*AM137</f>
        <v>0</v>
      </c>
      <c r="BG137" s="233">
        <f>F137*AN137</f>
        <v>0</v>
      </c>
      <c r="BH137" s="233">
        <f>F137*G137</f>
        <v>0</v>
      </c>
      <c r="BI137" s="233"/>
      <c r="BJ137" s="233">
        <v>89</v>
      </c>
      <c r="BU137" s="233" t="e">
        <f>#REF!</f>
        <v>#REF!</v>
      </c>
      <c r="BV137" s="225" t="s">
        <v>912</v>
      </c>
    </row>
    <row r="138" spans="1:74" ht="13.5" customHeight="1" x14ac:dyDescent="0.3">
      <c r="A138" s="241"/>
      <c r="B138" s="242" t="s">
        <v>165</v>
      </c>
      <c r="C138" s="530" t="s">
        <v>913</v>
      </c>
      <c r="D138" s="531"/>
      <c r="E138" s="531"/>
      <c r="F138" s="531"/>
      <c r="G138" s="531"/>
      <c r="H138" s="531"/>
      <c r="I138" s="531"/>
      <c r="J138" s="531"/>
      <c r="K138" s="531"/>
      <c r="L138" s="531"/>
      <c r="M138" s="532"/>
    </row>
    <row r="139" spans="1:74" ht="14.4" x14ac:dyDescent="0.3">
      <c r="A139" s="239" t="s">
        <v>335</v>
      </c>
      <c r="B139" s="223" t="s">
        <v>914</v>
      </c>
      <c r="C139" s="521" t="s">
        <v>915</v>
      </c>
      <c r="D139" s="519"/>
      <c r="E139" s="223" t="s">
        <v>365</v>
      </c>
      <c r="F139" s="233">
        <v>1</v>
      </c>
      <c r="G139" s="311">
        <v>0</v>
      </c>
      <c r="H139" s="233">
        <f>F139*AM139</f>
        <v>0</v>
      </c>
      <c r="I139" s="233">
        <f>F139*AN139</f>
        <v>0</v>
      </c>
      <c r="J139" s="233">
        <f>F139*G139</f>
        <v>0</v>
      </c>
      <c r="K139" s="233">
        <v>0</v>
      </c>
      <c r="L139" s="233">
        <f>F139*K139</f>
        <v>0</v>
      </c>
      <c r="M139" s="240" t="s">
        <v>472</v>
      </c>
      <c r="X139" s="233">
        <f>IF(AO139="5",BH139,0)</f>
        <v>0</v>
      </c>
      <c r="Z139" s="233">
        <f>IF(AO139="1",BF139,0)</f>
        <v>0</v>
      </c>
      <c r="AA139" s="233">
        <f>IF(AO139="1",BG139,0)</f>
        <v>0</v>
      </c>
      <c r="AB139" s="233">
        <f>IF(AO139="7",BF139,0)</f>
        <v>0</v>
      </c>
      <c r="AC139" s="233">
        <f>IF(AO139="7",BG139,0)</f>
        <v>0</v>
      </c>
      <c r="AD139" s="233">
        <f>IF(AO139="2",BF139,0)</f>
        <v>0</v>
      </c>
      <c r="AE139" s="233">
        <f>IF(AO139="2",BG139,0)</f>
        <v>0</v>
      </c>
      <c r="AF139" s="233">
        <f>IF(AO139="0",BH139,0)</f>
        <v>0</v>
      </c>
      <c r="AG139" s="230" t="s">
        <v>154</v>
      </c>
      <c r="AH139" s="233">
        <f>IF(AL139=0,J139,0)</f>
        <v>0</v>
      </c>
      <c r="AI139" s="233">
        <f>IF(AL139=12,J139,0)</f>
        <v>0</v>
      </c>
      <c r="AJ139" s="233">
        <f>IF(AL139=21,J139,0)</f>
        <v>0</v>
      </c>
      <c r="AL139" s="233">
        <v>12</v>
      </c>
      <c r="AM139" s="233">
        <f>G139*0</f>
        <v>0</v>
      </c>
      <c r="AN139" s="233">
        <f>G139*(1-0)</f>
        <v>0</v>
      </c>
      <c r="AO139" s="234" t="s">
        <v>157</v>
      </c>
      <c r="AT139" s="233">
        <f>AU139+AV139</f>
        <v>0</v>
      </c>
      <c r="AU139" s="233">
        <f>F139*AM139</f>
        <v>0</v>
      </c>
      <c r="AV139" s="233">
        <f>F139*AN139</f>
        <v>0</v>
      </c>
      <c r="AW139" s="234" t="s">
        <v>366</v>
      </c>
      <c r="AX139" s="234" t="s">
        <v>356</v>
      </c>
      <c r="AY139" s="230" t="s">
        <v>164</v>
      </c>
      <c r="BA139" s="233">
        <f>AU139+AV139</f>
        <v>0</v>
      </c>
      <c r="BB139" s="233">
        <f>G139/(100-BC139)*100</f>
        <v>0</v>
      </c>
      <c r="BC139" s="233">
        <v>0</v>
      </c>
      <c r="BD139" s="233">
        <f>L139</f>
        <v>0</v>
      </c>
      <c r="BF139" s="233">
        <f>F139*AM139</f>
        <v>0</v>
      </c>
      <c r="BG139" s="233">
        <f>F139*AN139</f>
        <v>0</v>
      </c>
      <c r="BH139" s="233">
        <f>F139*G139</f>
        <v>0</v>
      </c>
      <c r="BI139" s="233"/>
      <c r="BJ139" s="233">
        <v>89</v>
      </c>
      <c r="BU139" s="233" t="e">
        <f>#REF!</f>
        <v>#REF!</v>
      </c>
      <c r="BV139" s="225" t="s">
        <v>915</v>
      </c>
    </row>
    <row r="140" spans="1:74" ht="13.5" customHeight="1" x14ac:dyDescent="0.3">
      <c r="A140" s="241"/>
      <c r="B140" s="242" t="s">
        <v>165</v>
      </c>
      <c r="C140" s="530" t="s">
        <v>916</v>
      </c>
      <c r="D140" s="531"/>
      <c r="E140" s="531"/>
      <c r="F140" s="531"/>
      <c r="G140" s="531"/>
      <c r="H140" s="531"/>
      <c r="I140" s="531"/>
      <c r="J140" s="531"/>
      <c r="K140" s="531"/>
      <c r="L140" s="531"/>
      <c r="M140" s="532"/>
    </row>
    <row r="141" spans="1:74" ht="14.4" x14ac:dyDescent="0.3">
      <c r="A141" s="239" t="s">
        <v>384</v>
      </c>
      <c r="B141" s="223" t="s">
        <v>917</v>
      </c>
      <c r="C141" s="521" t="s">
        <v>918</v>
      </c>
      <c r="D141" s="519"/>
      <c r="E141" s="223" t="s">
        <v>365</v>
      </c>
      <c r="F141" s="233">
        <v>1</v>
      </c>
      <c r="G141" s="311">
        <v>0</v>
      </c>
      <c r="H141" s="233">
        <f>F141*AM141</f>
        <v>0</v>
      </c>
      <c r="I141" s="233">
        <f>F141*AN141</f>
        <v>0</v>
      </c>
      <c r="J141" s="233">
        <f>F141*G141</f>
        <v>0</v>
      </c>
      <c r="K141" s="233">
        <v>1.17E-2</v>
      </c>
      <c r="L141" s="233">
        <f>F141*K141</f>
        <v>1.17E-2</v>
      </c>
      <c r="M141" s="240" t="s">
        <v>472</v>
      </c>
      <c r="X141" s="233">
        <f>IF(AO141="5",BH141,0)</f>
        <v>0</v>
      </c>
      <c r="Z141" s="233">
        <f>IF(AO141="1",BF141,0)</f>
        <v>0</v>
      </c>
      <c r="AA141" s="233">
        <f>IF(AO141="1",BG141,0)</f>
        <v>0</v>
      </c>
      <c r="AB141" s="233">
        <f>IF(AO141="7",BF141,0)</f>
        <v>0</v>
      </c>
      <c r="AC141" s="233">
        <f>IF(AO141="7",BG141,0)</f>
        <v>0</v>
      </c>
      <c r="AD141" s="233">
        <f>IF(AO141="2",BF141,0)</f>
        <v>0</v>
      </c>
      <c r="AE141" s="233">
        <f>IF(AO141="2",BG141,0)</f>
        <v>0</v>
      </c>
      <c r="AF141" s="233">
        <f>IF(AO141="0",BH141,0)</f>
        <v>0</v>
      </c>
      <c r="AG141" s="230" t="s">
        <v>154</v>
      </c>
      <c r="AH141" s="233">
        <f>IF(AL141=0,J141,0)</f>
        <v>0</v>
      </c>
      <c r="AI141" s="233">
        <f>IF(AL141=12,J141,0)</f>
        <v>0</v>
      </c>
      <c r="AJ141" s="233">
        <f>IF(AL141=21,J141,0)</f>
        <v>0</v>
      </c>
      <c r="AL141" s="233">
        <v>12</v>
      </c>
      <c r="AM141" s="233">
        <f>G141*0.018124281</f>
        <v>0</v>
      </c>
      <c r="AN141" s="233">
        <f>G141*(1-0.018124281)</f>
        <v>0</v>
      </c>
      <c r="AO141" s="234" t="s">
        <v>157</v>
      </c>
      <c r="AT141" s="233">
        <f>AU141+AV141</f>
        <v>0</v>
      </c>
      <c r="AU141" s="233">
        <f>F141*AM141</f>
        <v>0</v>
      </c>
      <c r="AV141" s="233">
        <f>F141*AN141</f>
        <v>0</v>
      </c>
      <c r="AW141" s="234" t="s">
        <v>366</v>
      </c>
      <c r="AX141" s="234" t="s">
        <v>356</v>
      </c>
      <c r="AY141" s="230" t="s">
        <v>164</v>
      </c>
      <c r="BA141" s="233">
        <f>AU141+AV141</f>
        <v>0</v>
      </c>
      <c r="BB141" s="233">
        <f>G141/(100-BC141)*100</f>
        <v>0</v>
      </c>
      <c r="BC141" s="233">
        <v>0</v>
      </c>
      <c r="BD141" s="233">
        <f>L141</f>
        <v>1.17E-2</v>
      </c>
      <c r="BF141" s="233">
        <f>F141*AM141</f>
        <v>0</v>
      </c>
      <c r="BG141" s="233">
        <f>F141*AN141</f>
        <v>0</v>
      </c>
      <c r="BH141" s="233">
        <f>F141*G141</f>
        <v>0</v>
      </c>
      <c r="BI141" s="233"/>
      <c r="BJ141" s="233">
        <v>89</v>
      </c>
      <c r="BU141" s="233" t="e">
        <f>#REF!</f>
        <v>#REF!</v>
      </c>
      <c r="BV141" s="225" t="s">
        <v>918</v>
      </c>
    </row>
    <row r="142" spans="1:74" ht="13.5" customHeight="1" x14ac:dyDescent="0.3">
      <c r="A142" s="244"/>
      <c r="B142" s="245" t="s">
        <v>165</v>
      </c>
      <c r="C142" s="540" t="s">
        <v>919</v>
      </c>
      <c r="D142" s="541"/>
      <c r="E142" s="541"/>
      <c r="F142" s="541"/>
      <c r="G142" s="541"/>
      <c r="H142" s="541"/>
      <c r="I142" s="541"/>
      <c r="J142" s="541"/>
      <c r="K142" s="541"/>
      <c r="L142" s="541"/>
      <c r="M142" s="542"/>
    </row>
    <row r="143" spans="1:74" ht="14.4" x14ac:dyDescent="0.3">
      <c r="A143" s="237" t="s">
        <v>154</v>
      </c>
      <c r="B143" s="260" t="s">
        <v>370</v>
      </c>
      <c r="C143" s="545" t="s">
        <v>371</v>
      </c>
      <c r="D143" s="546"/>
      <c r="E143" s="238" t="s">
        <v>114</v>
      </c>
      <c r="F143" s="238" t="s">
        <v>114</v>
      </c>
      <c r="G143" s="238" t="s">
        <v>114</v>
      </c>
      <c r="H143" s="261">
        <f>SUM(H144:H144)</f>
        <v>0</v>
      </c>
      <c r="I143" s="261">
        <f>SUM(I144:I144)</f>
        <v>0</v>
      </c>
      <c r="J143" s="261">
        <f>SUM(J144:J144)</f>
        <v>0</v>
      </c>
      <c r="K143" s="262" t="s">
        <v>154</v>
      </c>
      <c r="L143" s="261">
        <f>SUM(L144:L144)</f>
        <v>8.3999999999999995E-3</v>
      </c>
      <c r="M143" s="263" t="s">
        <v>154</v>
      </c>
      <c r="AG143" s="230" t="s">
        <v>154</v>
      </c>
      <c r="AQ143" s="235">
        <f>SUM(AH144:AH144)</f>
        <v>0</v>
      </c>
      <c r="AR143" s="235">
        <f>SUM(AI144:AI144)</f>
        <v>0</v>
      </c>
      <c r="AS143" s="235">
        <f>SUM(AJ144:AJ144)</f>
        <v>0</v>
      </c>
    </row>
    <row r="144" spans="1:74" ht="14.4" x14ac:dyDescent="0.3">
      <c r="A144" s="239" t="s">
        <v>344</v>
      </c>
      <c r="B144" s="223" t="s">
        <v>372</v>
      </c>
      <c r="C144" s="521" t="s">
        <v>373</v>
      </c>
      <c r="D144" s="519"/>
      <c r="E144" s="223" t="s">
        <v>160</v>
      </c>
      <c r="F144" s="233">
        <v>12</v>
      </c>
      <c r="G144" s="311">
        <v>0</v>
      </c>
      <c r="H144" s="233">
        <f>F144*AM144</f>
        <v>0</v>
      </c>
      <c r="I144" s="233">
        <f>F144*AN144</f>
        <v>0</v>
      </c>
      <c r="J144" s="233">
        <f>F144*G144</f>
        <v>0</v>
      </c>
      <c r="K144" s="233">
        <v>6.9999999999999999E-4</v>
      </c>
      <c r="L144" s="233">
        <f>F144*K144</f>
        <v>8.3999999999999995E-3</v>
      </c>
      <c r="M144" s="240" t="s">
        <v>472</v>
      </c>
      <c r="X144" s="233">
        <f>IF(AO144="5",BH144,0)</f>
        <v>0</v>
      </c>
      <c r="Z144" s="233">
        <f>IF(AO144="1",BF144,0)</f>
        <v>0</v>
      </c>
      <c r="AA144" s="233">
        <f>IF(AO144="1",BG144,0)</f>
        <v>0</v>
      </c>
      <c r="AB144" s="233">
        <f>IF(AO144="7",BF144,0)</f>
        <v>0</v>
      </c>
      <c r="AC144" s="233">
        <f>IF(AO144="7",BG144,0)</f>
        <v>0</v>
      </c>
      <c r="AD144" s="233">
        <f>IF(AO144="2",BF144,0)</f>
        <v>0</v>
      </c>
      <c r="AE144" s="233">
        <f>IF(AO144="2",BG144,0)</f>
        <v>0</v>
      </c>
      <c r="AF144" s="233">
        <f>IF(AO144="0",BH144,0)</f>
        <v>0</v>
      </c>
      <c r="AG144" s="230" t="s">
        <v>154</v>
      </c>
      <c r="AH144" s="233">
        <f>IF(AL144=0,J144,0)</f>
        <v>0</v>
      </c>
      <c r="AI144" s="233">
        <f>IF(AL144=12,J144,0)</f>
        <v>0</v>
      </c>
      <c r="AJ144" s="233">
        <f>IF(AL144=21,J144,0)</f>
        <v>0</v>
      </c>
      <c r="AL144" s="233">
        <v>12</v>
      </c>
      <c r="AM144" s="233">
        <f>G144*0.071213641</f>
        <v>0</v>
      </c>
      <c r="AN144" s="233">
        <f>G144*(1-0.071213641)</f>
        <v>0</v>
      </c>
      <c r="AO144" s="234" t="s">
        <v>157</v>
      </c>
      <c r="AT144" s="233">
        <f>AU144+AV144</f>
        <v>0</v>
      </c>
      <c r="AU144" s="233">
        <f>F144*AM144</f>
        <v>0</v>
      </c>
      <c r="AV144" s="233">
        <f>F144*AN144</f>
        <v>0</v>
      </c>
      <c r="AW144" s="234" t="s">
        <v>374</v>
      </c>
      <c r="AX144" s="234" t="s">
        <v>375</v>
      </c>
      <c r="AY144" s="230" t="s">
        <v>164</v>
      </c>
      <c r="BA144" s="233">
        <f>AU144+AV144</f>
        <v>0</v>
      </c>
      <c r="BB144" s="233">
        <f>G144/(100-BC144)*100</f>
        <v>0</v>
      </c>
      <c r="BC144" s="233">
        <v>0</v>
      </c>
      <c r="BD144" s="233">
        <f>L144</f>
        <v>8.3999999999999995E-3</v>
      </c>
      <c r="BF144" s="233">
        <f>F144*AM144</f>
        <v>0</v>
      </c>
      <c r="BG144" s="233">
        <f>F144*AN144</f>
        <v>0</v>
      </c>
      <c r="BH144" s="233">
        <f>F144*G144</f>
        <v>0</v>
      </c>
      <c r="BI144" s="233"/>
      <c r="BJ144" s="233">
        <v>93</v>
      </c>
      <c r="BU144" s="233" t="e">
        <f>#REF!</f>
        <v>#REF!</v>
      </c>
      <c r="BV144" s="225" t="s">
        <v>373</v>
      </c>
    </row>
    <row r="145" spans="1:74" ht="40.5" customHeight="1" x14ac:dyDescent="0.3">
      <c r="A145" s="241"/>
      <c r="B145" s="242" t="s">
        <v>165</v>
      </c>
      <c r="C145" s="530" t="s">
        <v>2353</v>
      </c>
      <c r="D145" s="531"/>
      <c r="E145" s="531"/>
      <c r="F145" s="531"/>
      <c r="G145" s="531"/>
      <c r="H145" s="531"/>
      <c r="I145" s="531"/>
      <c r="J145" s="531"/>
      <c r="K145" s="531"/>
      <c r="L145" s="531"/>
      <c r="M145" s="532"/>
    </row>
    <row r="146" spans="1:74" ht="14.4" x14ac:dyDescent="0.3">
      <c r="A146" s="239" t="s">
        <v>154</v>
      </c>
      <c r="B146" s="224" t="s">
        <v>376</v>
      </c>
      <c r="C146" s="526" t="s">
        <v>377</v>
      </c>
      <c r="D146" s="527"/>
      <c r="E146" s="223" t="s">
        <v>114</v>
      </c>
      <c r="F146" s="223" t="s">
        <v>114</v>
      </c>
      <c r="G146" s="223" t="s">
        <v>114</v>
      </c>
      <c r="H146" s="235">
        <f>SUM(H147:H147)</f>
        <v>0</v>
      </c>
      <c r="I146" s="235">
        <f>SUM(I147:I147)</f>
        <v>0</v>
      </c>
      <c r="J146" s="235">
        <f>SUM(J147:J147)</f>
        <v>0</v>
      </c>
      <c r="K146" s="230" t="s">
        <v>154</v>
      </c>
      <c r="L146" s="235">
        <f>SUM(L147:L147)</f>
        <v>0</v>
      </c>
      <c r="M146" s="243" t="s">
        <v>154</v>
      </c>
      <c r="AG146" s="230" t="s">
        <v>154</v>
      </c>
      <c r="AQ146" s="235">
        <f>SUM(AH147:AH147)</f>
        <v>0</v>
      </c>
      <c r="AR146" s="235">
        <f>SUM(AI147:AI147)</f>
        <v>0</v>
      </c>
      <c r="AS146" s="235">
        <f>SUM(AJ147:AJ147)</f>
        <v>0</v>
      </c>
    </row>
    <row r="147" spans="1:74" ht="14.4" x14ac:dyDescent="0.3">
      <c r="A147" s="239" t="s">
        <v>390</v>
      </c>
      <c r="B147" s="223" t="s">
        <v>378</v>
      </c>
      <c r="C147" s="521" t="s">
        <v>379</v>
      </c>
      <c r="D147" s="519"/>
      <c r="E147" s="223" t="s">
        <v>380</v>
      </c>
      <c r="F147" s="233">
        <v>7.09</v>
      </c>
      <c r="G147" s="311">
        <v>0</v>
      </c>
      <c r="H147" s="233">
        <f>F147*AM147</f>
        <v>0</v>
      </c>
      <c r="I147" s="233">
        <f>F147*AN147</f>
        <v>0</v>
      </c>
      <c r="J147" s="233">
        <f>F147*G147</f>
        <v>0</v>
      </c>
      <c r="K147" s="233">
        <v>0</v>
      </c>
      <c r="L147" s="233">
        <f>F147*K147</f>
        <v>0</v>
      </c>
      <c r="M147" s="240" t="s">
        <v>472</v>
      </c>
      <c r="X147" s="233">
        <f>IF(AO147="5",BH147,0)</f>
        <v>0</v>
      </c>
      <c r="Z147" s="233">
        <f>IF(AO147="1",BF147,0)</f>
        <v>0</v>
      </c>
      <c r="AA147" s="233">
        <f>IF(AO147="1",BG147,0)</f>
        <v>0</v>
      </c>
      <c r="AB147" s="233">
        <f>IF(AO147="7",BF147,0)</f>
        <v>0</v>
      </c>
      <c r="AC147" s="233">
        <f>IF(AO147="7",BG147,0)</f>
        <v>0</v>
      </c>
      <c r="AD147" s="233">
        <f>IF(AO147="2",BF147,0)</f>
        <v>0</v>
      </c>
      <c r="AE147" s="233">
        <f>IF(AO147="2",BG147,0)</f>
        <v>0</v>
      </c>
      <c r="AF147" s="233">
        <f>IF(AO147="0",BH147,0)</f>
        <v>0</v>
      </c>
      <c r="AG147" s="230" t="s">
        <v>154</v>
      </c>
      <c r="AH147" s="233">
        <f>IF(AL147=0,J147,0)</f>
        <v>0</v>
      </c>
      <c r="AI147" s="233">
        <f>IF(AL147=12,J147,0)</f>
        <v>0</v>
      </c>
      <c r="AJ147" s="233">
        <f>IF(AL147=21,J147,0)</f>
        <v>0</v>
      </c>
      <c r="AL147" s="233">
        <v>12</v>
      </c>
      <c r="AM147" s="233">
        <f>G147*0</f>
        <v>0</v>
      </c>
      <c r="AN147" s="233">
        <f>G147*(1-0)</f>
        <v>0</v>
      </c>
      <c r="AO147" s="234" t="s">
        <v>157</v>
      </c>
      <c r="AT147" s="233">
        <f>AU147+AV147</f>
        <v>0</v>
      </c>
      <c r="AU147" s="233">
        <f>F147*AM147</f>
        <v>0</v>
      </c>
      <c r="AV147" s="233">
        <f>F147*AN147</f>
        <v>0</v>
      </c>
      <c r="AW147" s="234" t="s">
        <v>381</v>
      </c>
      <c r="AX147" s="234" t="s">
        <v>375</v>
      </c>
      <c r="AY147" s="230" t="s">
        <v>164</v>
      </c>
      <c r="BA147" s="233">
        <f>AU147+AV147</f>
        <v>0</v>
      </c>
      <c r="BB147" s="233">
        <f>G147/(100-BC147)*100</f>
        <v>0</v>
      </c>
      <c r="BC147" s="233">
        <v>0</v>
      </c>
      <c r="BD147" s="233">
        <f>L147</f>
        <v>0</v>
      </c>
      <c r="BF147" s="233">
        <f>F147*AM147</f>
        <v>0</v>
      </c>
      <c r="BG147" s="233">
        <f>F147*AN147</f>
        <v>0</v>
      </c>
      <c r="BH147" s="233">
        <f>F147*G147</f>
        <v>0</v>
      </c>
      <c r="BI147" s="233"/>
      <c r="BJ147" s="233">
        <v>97</v>
      </c>
      <c r="BU147" s="233" t="e">
        <f>#REF!</f>
        <v>#REF!</v>
      </c>
      <c r="BV147" s="225" t="s">
        <v>379</v>
      </c>
    </row>
    <row r="148" spans="1:74" ht="27" customHeight="1" x14ac:dyDescent="0.3">
      <c r="A148" s="241"/>
      <c r="B148" s="242" t="s">
        <v>165</v>
      </c>
      <c r="C148" s="530" t="s">
        <v>2354</v>
      </c>
      <c r="D148" s="531"/>
      <c r="E148" s="531"/>
      <c r="F148" s="531"/>
      <c r="G148" s="531"/>
      <c r="H148" s="531"/>
      <c r="I148" s="531"/>
      <c r="J148" s="531"/>
      <c r="K148" s="531"/>
      <c r="L148" s="531"/>
      <c r="M148" s="532"/>
    </row>
    <row r="149" spans="1:74" ht="14.4" x14ac:dyDescent="0.3">
      <c r="A149" s="239" t="s">
        <v>154</v>
      </c>
      <c r="B149" s="224" t="s">
        <v>382</v>
      </c>
      <c r="C149" s="526" t="s">
        <v>383</v>
      </c>
      <c r="D149" s="527"/>
      <c r="E149" s="223" t="s">
        <v>114</v>
      </c>
      <c r="F149" s="223" t="s">
        <v>114</v>
      </c>
      <c r="G149" s="223" t="s">
        <v>114</v>
      </c>
      <c r="H149" s="235">
        <f>SUM(H150:H155)</f>
        <v>0</v>
      </c>
      <c r="I149" s="235">
        <f>SUM(I150:I155)</f>
        <v>0</v>
      </c>
      <c r="J149" s="235">
        <f>SUM(J150:J155)</f>
        <v>0</v>
      </c>
      <c r="K149" s="230" t="s">
        <v>154</v>
      </c>
      <c r="L149" s="235">
        <f>SUM(L150:L155)</f>
        <v>0</v>
      </c>
      <c r="M149" s="243" t="s">
        <v>154</v>
      </c>
      <c r="AG149" s="230" t="s">
        <v>154</v>
      </c>
      <c r="AQ149" s="235">
        <f>SUM(AH150:AH155)</f>
        <v>0</v>
      </c>
      <c r="AR149" s="235">
        <f>SUM(AI150:AI155)</f>
        <v>0</v>
      </c>
      <c r="AS149" s="235">
        <f>SUM(AJ150:AJ155)</f>
        <v>0</v>
      </c>
    </row>
    <row r="150" spans="1:74" ht="14.4" x14ac:dyDescent="0.3">
      <c r="A150" s="239" t="s">
        <v>393</v>
      </c>
      <c r="B150" s="223" t="s">
        <v>385</v>
      </c>
      <c r="C150" s="521" t="s">
        <v>386</v>
      </c>
      <c r="D150" s="519"/>
      <c r="E150" s="223" t="s">
        <v>380</v>
      </c>
      <c r="F150" s="233">
        <v>9.4499999999999993</v>
      </c>
      <c r="G150" s="311">
        <v>0</v>
      </c>
      <c r="H150" s="233">
        <f>F150*AM150</f>
        <v>0</v>
      </c>
      <c r="I150" s="233">
        <f>F150*AN150</f>
        <v>0</v>
      </c>
      <c r="J150" s="233">
        <f>F150*G150</f>
        <v>0</v>
      </c>
      <c r="K150" s="233">
        <v>0</v>
      </c>
      <c r="L150" s="233">
        <f>F150*K150</f>
        <v>0</v>
      </c>
      <c r="M150" s="240" t="s">
        <v>472</v>
      </c>
      <c r="X150" s="233">
        <f>IF(AO150="5",BH150,0)</f>
        <v>0</v>
      </c>
      <c r="Z150" s="233">
        <f>IF(AO150="1",BF150,0)</f>
        <v>0</v>
      </c>
      <c r="AA150" s="233">
        <f>IF(AO150="1",BG150,0)</f>
        <v>0</v>
      </c>
      <c r="AB150" s="233">
        <f>IF(AO150="7",BF150,0)</f>
        <v>0</v>
      </c>
      <c r="AC150" s="233">
        <f>IF(AO150="7",BG150,0)</f>
        <v>0</v>
      </c>
      <c r="AD150" s="233">
        <f>IF(AO150="2",BF150,0)</f>
        <v>0</v>
      </c>
      <c r="AE150" s="233">
        <f>IF(AO150="2",BG150,0)</f>
        <v>0</v>
      </c>
      <c r="AF150" s="233">
        <f>IF(AO150="0",BH150,0)</f>
        <v>0</v>
      </c>
      <c r="AG150" s="230" t="s">
        <v>154</v>
      </c>
      <c r="AH150" s="233">
        <f>IF(AL150=0,J150,0)</f>
        <v>0</v>
      </c>
      <c r="AI150" s="233">
        <f>IF(AL150=12,J150,0)</f>
        <v>0</v>
      </c>
      <c r="AJ150" s="233">
        <f>IF(AL150=21,J150,0)</f>
        <v>0</v>
      </c>
      <c r="AL150" s="233">
        <v>12</v>
      </c>
      <c r="AM150" s="233">
        <f>G150*0</f>
        <v>0</v>
      </c>
      <c r="AN150" s="233">
        <f>G150*(1-0)</f>
        <v>0</v>
      </c>
      <c r="AO150" s="234" t="s">
        <v>177</v>
      </c>
      <c r="AT150" s="233">
        <f>AU150+AV150</f>
        <v>0</v>
      </c>
      <c r="AU150" s="233">
        <f>F150*AM150</f>
        <v>0</v>
      </c>
      <c r="AV150" s="233">
        <f>F150*AN150</f>
        <v>0</v>
      </c>
      <c r="AW150" s="234" t="s">
        <v>387</v>
      </c>
      <c r="AX150" s="234" t="s">
        <v>375</v>
      </c>
      <c r="AY150" s="230" t="s">
        <v>164</v>
      </c>
      <c r="BA150" s="233">
        <f>AU150+AV150</f>
        <v>0</v>
      </c>
      <c r="BB150" s="233">
        <f>G150/(100-BC150)*100</f>
        <v>0</v>
      </c>
      <c r="BC150" s="233">
        <v>0</v>
      </c>
      <c r="BD150" s="233">
        <f>L150</f>
        <v>0</v>
      </c>
      <c r="BF150" s="233">
        <f>F150*AM150</f>
        <v>0</v>
      </c>
      <c r="BG150" s="233">
        <f>F150*AN150</f>
        <v>0</v>
      </c>
      <c r="BH150" s="233">
        <f>F150*G150</f>
        <v>0</v>
      </c>
      <c r="BI150" s="233"/>
      <c r="BJ150" s="233"/>
      <c r="BU150" s="233" t="e">
        <f>#REF!</f>
        <v>#REF!</v>
      </c>
      <c r="BV150" s="225" t="s">
        <v>386</v>
      </c>
    </row>
    <row r="151" spans="1:74" ht="14.4" x14ac:dyDescent="0.3">
      <c r="A151" s="239" t="s">
        <v>396</v>
      </c>
      <c r="B151" s="223" t="s">
        <v>388</v>
      </c>
      <c r="C151" s="521" t="s">
        <v>389</v>
      </c>
      <c r="D151" s="519"/>
      <c r="E151" s="223" t="s">
        <v>380</v>
      </c>
      <c r="F151" s="233">
        <v>163.01</v>
      </c>
      <c r="G151" s="311">
        <v>0</v>
      </c>
      <c r="H151" s="233">
        <f>F151*AM151</f>
        <v>0</v>
      </c>
      <c r="I151" s="233">
        <f>F151*AN151</f>
        <v>0</v>
      </c>
      <c r="J151" s="233">
        <f>F151*G151</f>
        <v>0</v>
      </c>
      <c r="K151" s="233">
        <v>0</v>
      </c>
      <c r="L151" s="233">
        <f>F151*K151</f>
        <v>0</v>
      </c>
      <c r="M151" s="240" t="s">
        <v>472</v>
      </c>
      <c r="X151" s="233">
        <f>IF(AO151="5",BH151,0)</f>
        <v>0</v>
      </c>
      <c r="Z151" s="233">
        <f>IF(AO151="1",BF151,0)</f>
        <v>0</v>
      </c>
      <c r="AA151" s="233">
        <f>IF(AO151="1",BG151,0)</f>
        <v>0</v>
      </c>
      <c r="AB151" s="233">
        <f>IF(AO151="7",BF151,0)</f>
        <v>0</v>
      </c>
      <c r="AC151" s="233">
        <f>IF(AO151="7",BG151,0)</f>
        <v>0</v>
      </c>
      <c r="AD151" s="233">
        <f>IF(AO151="2",BF151,0)</f>
        <v>0</v>
      </c>
      <c r="AE151" s="233">
        <f>IF(AO151="2",BG151,0)</f>
        <v>0</v>
      </c>
      <c r="AF151" s="233">
        <f>IF(AO151="0",BH151,0)</f>
        <v>0</v>
      </c>
      <c r="AG151" s="230" t="s">
        <v>154</v>
      </c>
      <c r="AH151" s="233">
        <f>IF(AL151=0,J151,0)</f>
        <v>0</v>
      </c>
      <c r="AI151" s="233">
        <f>IF(AL151=12,J151,0)</f>
        <v>0</v>
      </c>
      <c r="AJ151" s="233">
        <f>IF(AL151=21,J151,0)</f>
        <v>0</v>
      </c>
      <c r="AL151" s="233">
        <v>12</v>
      </c>
      <c r="AM151" s="233">
        <f>G151*0</f>
        <v>0</v>
      </c>
      <c r="AN151" s="233">
        <f>G151*(1-0)</f>
        <v>0</v>
      </c>
      <c r="AO151" s="234" t="s">
        <v>177</v>
      </c>
      <c r="AT151" s="233">
        <f>AU151+AV151</f>
        <v>0</v>
      </c>
      <c r="AU151" s="233">
        <f>F151*AM151</f>
        <v>0</v>
      </c>
      <c r="AV151" s="233">
        <f>F151*AN151</f>
        <v>0</v>
      </c>
      <c r="AW151" s="234" t="s">
        <v>387</v>
      </c>
      <c r="AX151" s="234" t="s">
        <v>375</v>
      </c>
      <c r="AY151" s="230" t="s">
        <v>164</v>
      </c>
      <c r="BA151" s="233">
        <f>AU151+AV151</f>
        <v>0</v>
      </c>
      <c r="BB151" s="233">
        <f>G151/(100-BC151)*100</f>
        <v>0</v>
      </c>
      <c r="BC151" s="233">
        <v>0</v>
      </c>
      <c r="BD151" s="233">
        <f>L151</f>
        <v>0</v>
      </c>
      <c r="BF151" s="233">
        <f>F151*AM151</f>
        <v>0</v>
      </c>
      <c r="BG151" s="233">
        <f>F151*AN151</f>
        <v>0</v>
      </c>
      <c r="BH151" s="233">
        <f>F151*G151</f>
        <v>0</v>
      </c>
      <c r="BI151" s="233"/>
      <c r="BJ151" s="233"/>
      <c r="BU151" s="233" t="e">
        <f>#REF!</f>
        <v>#REF!</v>
      </c>
      <c r="BV151" s="225" t="s">
        <v>389</v>
      </c>
    </row>
    <row r="152" spans="1:74" ht="40.5" customHeight="1" x14ac:dyDescent="0.3">
      <c r="A152" s="241"/>
      <c r="B152" s="242" t="s">
        <v>165</v>
      </c>
      <c r="C152" s="530" t="s">
        <v>2355</v>
      </c>
      <c r="D152" s="531"/>
      <c r="E152" s="531"/>
      <c r="F152" s="531"/>
      <c r="G152" s="531"/>
      <c r="H152" s="531"/>
      <c r="I152" s="531"/>
      <c r="J152" s="531"/>
      <c r="K152" s="531"/>
      <c r="L152" s="531"/>
      <c r="M152" s="532"/>
    </row>
    <row r="153" spans="1:74" ht="14.4" x14ac:dyDescent="0.3">
      <c r="A153" s="239" t="s">
        <v>401</v>
      </c>
      <c r="B153" s="223" t="s">
        <v>391</v>
      </c>
      <c r="C153" s="521" t="s">
        <v>392</v>
      </c>
      <c r="D153" s="519"/>
      <c r="E153" s="223" t="s">
        <v>380</v>
      </c>
      <c r="F153" s="233">
        <v>2.36</v>
      </c>
      <c r="G153" s="311">
        <v>0</v>
      </c>
      <c r="H153" s="233">
        <f>F153*AM153</f>
        <v>0</v>
      </c>
      <c r="I153" s="233">
        <f>F153*AN153</f>
        <v>0</v>
      </c>
      <c r="J153" s="233">
        <f>F153*G153</f>
        <v>0</v>
      </c>
      <c r="K153" s="233">
        <v>0</v>
      </c>
      <c r="L153" s="233">
        <f>F153*K153</f>
        <v>0</v>
      </c>
      <c r="M153" s="240" t="s">
        <v>472</v>
      </c>
      <c r="X153" s="233">
        <f>IF(AO153="5",BH153,0)</f>
        <v>0</v>
      </c>
      <c r="Z153" s="233">
        <f>IF(AO153="1",BF153,0)</f>
        <v>0</v>
      </c>
      <c r="AA153" s="233">
        <f>IF(AO153="1",BG153,0)</f>
        <v>0</v>
      </c>
      <c r="AB153" s="233">
        <f>IF(AO153="7",BF153,0)</f>
        <v>0</v>
      </c>
      <c r="AC153" s="233">
        <f>IF(AO153="7",BG153,0)</f>
        <v>0</v>
      </c>
      <c r="AD153" s="233">
        <f>IF(AO153="2",BF153,0)</f>
        <v>0</v>
      </c>
      <c r="AE153" s="233">
        <f>IF(AO153="2",BG153,0)</f>
        <v>0</v>
      </c>
      <c r="AF153" s="233">
        <f>IF(AO153="0",BH153,0)</f>
        <v>0</v>
      </c>
      <c r="AG153" s="230" t="s">
        <v>154</v>
      </c>
      <c r="AH153" s="233">
        <f>IF(AL153=0,J153,0)</f>
        <v>0</v>
      </c>
      <c r="AI153" s="233">
        <f>IF(AL153=12,J153,0)</f>
        <v>0</v>
      </c>
      <c r="AJ153" s="233">
        <f>IF(AL153=21,J153,0)</f>
        <v>0</v>
      </c>
      <c r="AL153" s="233">
        <v>12</v>
      </c>
      <c r="AM153" s="233">
        <f>G153*0</f>
        <v>0</v>
      </c>
      <c r="AN153" s="233">
        <f>G153*(1-0)</f>
        <v>0</v>
      </c>
      <c r="AO153" s="234" t="s">
        <v>177</v>
      </c>
      <c r="AT153" s="233">
        <f>AU153+AV153</f>
        <v>0</v>
      </c>
      <c r="AU153" s="233">
        <f>F153*AM153</f>
        <v>0</v>
      </c>
      <c r="AV153" s="233">
        <f>F153*AN153</f>
        <v>0</v>
      </c>
      <c r="AW153" s="234" t="s">
        <v>387</v>
      </c>
      <c r="AX153" s="234" t="s">
        <v>375</v>
      </c>
      <c r="AY153" s="230" t="s">
        <v>164</v>
      </c>
      <c r="BA153" s="233">
        <f>AU153+AV153</f>
        <v>0</v>
      </c>
      <c r="BB153" s="233">
        <f>G153/(100-BC153)*100</f>
        <v>0</v>
      </c>
      <c r="BC153" s="233">
        <v>0</v>
      </c>
      <c r="BD153" s="233">
        <f>L153</f>
        <v>0</v>
      </c>
      <c r="BF153" s="233">
        <f>F153*AM153</f>
        <v>0</v>
      </c>
      <c r="BG153" s="233">
        <f>F153*AN153</f>
        <v>0</v>
      </c>
      <c r="BH153" s="233">
        <f>F153*G153</f>
        <v>0</v>
      </c>
      <c r="BI153" s="233"/>
      <c r="BJ153" s="233"/>
      <c r="BU153" s="233" t="e">
        <f>#REF!</f>
        <v>#REF!</v>
      </c>
      <c r="BV153" s="225" t="s">
        <v>392</v>
      </c>
    </row>
    <row r="154" spans="1:74" ht="40.5" customHeight="1" x14ac:dyDescent="0.3">
      <c r="A154" s="241"/>
      <c r="B154" s="242" t="s">
        <v>165</v>
      </c>
      <c r="C154" s="530" t="s">
        <v>2356</v>
      </c>
      <c r="D154" s="531"/>
      <c r="E154" s="531"/>
      <c r="F154" s="531"/>
      <c r="G154" s="531"/>
      <c r="H154" s="531"/>
      <c r="I154" s="531"/>
      <c r="J154" s="531"/>
      <c r="K154" s="531"/>
      <c r="L154" s="531"/>
      <c r="M154" s="532"/>
    </row>
    <row r="155" spans="1:74" ht="26.4" x14ac:dyDescent="0.3">
      <c r="A155" s="239" t="s">
        <v>405</v>
      </c>
      <c r="B155" s="223" t="s">
        <v>385</v>
      </c>
      <c r="C155" s="521" t="s">
        <v>443</v>
      </c>
      <c r="D155" s="519"/>
      <c r="E155" s="223" t="s">
        <v>380</v>
      </c>
      <c r="F155" s="233">
        <v>18.66</v>
      </c>
      <c r="G155" s="311">
        <v>0</v>
      </c>
      <c r="H155" s="233">
        <f>F155*AM155</f>
        <v>0</v>
      </c>
      <c r="I155" s="233">
        <f>F155*AN155</f>
        <v>0</v>
      </c>
      <c r="J155" s="233">
        <f>F155*G155</f>
        <v>0</v>
      </c>
      <c r="K155" s="233">
        <v>0</v>
      </c>
      <c r="L155" s="233">
        <f>F155*K155</f>
        <v>0</v>
      </c>
      <c r="M155" s="240" t="s">
        <v>472</v>
      </c>
      <c r="X155" s="233">
        <f>IF(AO155="5",BH155,0)</f>
        <v>0</v>
      </c>
      <c r="Z155" s="233">
        <f>IF(AO155="1",BF155,0)</f>
        <v>0</v>
      </c>
      <c r="AA155" s="233">
        <f>IF(AO155="1",BG155,0)</f>
        <v>0</v>
      </c>
      <c r="AB155" s="233">
        <f>IF(AO155="7",BF155,0)</f>
        <v>0</v>
      </c>
      <c r="AC155" s="233">
        <f>IF(AO155="7",BG155,0)</f>
        <v>0</v>
      </c>
      <c r="AD155" s="233">
        <f>IF(AO155="2",BF155,0)</f>
        <v>0</v>
      </c>
      <c r="AE155" s="233">
        <f>IF(AO155="2",BG155,0)</f>
        <v>0</v>
      </c>
      <c r="AF155" s="233">
        <f>IF(AO155="0",BH155,0)</f>
        <v>0</v>
      </c>
      <c r="AG155" s="230" t="s">
        <v>154</v>
      </c>
      <c r="AH155" s="233">
        <f>IF(AL155=0,J155,0)</f>
        <v>0</v>
      </c>
      <c r="AI155" s="233">
        <f>IF(AL155=12,J155,0)</f>
        <v>0</v>
      </c>
      <c r="AJ155" s="233">
        <f>IF(AL155=21,J155,0)</f>
        <v>0</v>
      </c>
      <c r="AL155" s="233">
        <v>12</v>
      </c>
      <c r="AM155" s="233">
        <f>G155*0</f>
        <v>0</v>
      </c>
      <c r="AN155" s="233">
        <f>G155*(1-0)</f>
        <v>0</v>
      </c>
      <c r="AO155" s="234" t="s">
        <v>177</v>
      </c>
      <c r="AT155" s="233">
        <f>AU155+AV155</f>
        <v>0</v>
      </c>
      <c r="AU155" s="233">
        <f>F155*AM155</f>
        <v>0</v>
      </c>
      <c r="AV155" s="233">
        <f>F155*AN155</f>
        <v>0</v>
      </c>
      <c r="AW155" s="234" t="s">
        <v>387</v>
      </c>
      <c r="AX155" s="234" t="s">
        <v>375</v>
      </c>
      <c r="AY155" s="230" t="s">
        <v>164</v>
      </c>
      <c r="BA155" s="233">
        <f>AU155+AV155</f>
        <v>0</v>
      </c>
      <c r="BB155" s="233">
        <f>G155/(100-BC155)*100</f>
        <v>0</v>
      </c>
      <c r="BC155" s="233">
        <v>0</v>
      </c>
      <c r="BD155" s="233">
        <f>L155</f>
        <v>0</v>
      </c>
      <c r="BF155" s="233">
        <f>F155*AM155</f>
        <v>0</v>
      </c>
      <c r="BG155" s="233">
        <f>F155*AN155</f>
        <v>0</v>
      </c>
      <c r="BH155" s="233">
        <f>F155*G155</f>
        <v>0</v>
      </c>
      <c r="BI155" s="233"/>
      <c r="BJ155" s="233"/>
      <c r="BU155" s="233" t="e">
        <f>#REF!</f>
        <v>#REF!</v>
      </c>
      <c r="BV155" s="225" t="s">
        <v>443</v>
      </c>
    </row>
    <row r="156" spans="1:74" ht="14.4" x14ac:dyDescent="0.3">
      <c r="A156" s="239" t="s">
        <v>154</v>
      </c>
      <c r="B156" s="224" t="s">
        <v>399</v>
      </c>
      <c r="C156" s="526" t="s">
        <v>400</v>
      </c>
      <c r="D156" s="527"/>
      <c r="E156" s="223" t="s">
        <v>114</v>
      </c>
      <c r="F156" s="223" t="s">
        <v>114</v>
      </c>
      <c r="G156" s="223" t="s">
        <v>114</v>
      </c>
      <c r="H156" s="235">
        <f>SUM(H157:H159)</f>
        <v>0</v>
      </c>
      <c r="I156" s="235">
        <f>SUM(I157:I159)</f>
        <v>0</v>
      </c>
      <c r="J156" s="235">
        <f>SUM(J157:J159)</f>
        <v>0</v>
      </c>
      <c r="K156" s="230" t="s">
        <v>154</v>
      </c>
      <c r="L156" s="235">
        <f>SUM(L157:L159)</f>
        <v>0</v>
      </c>
      <c r="M156" s="243" t="s">
        <v>154</v>
      </c>
      <c r="AG156" s="230" t="s">
        <v>154</v>
      </c>
      <c r="AQ156" s="235">
        <f>SUM(AH157:AH159)</f>
        <v>0</v>
      </c>
      <c r="AR156" s="235">
        <f>SUM(AI157:AI159)</f>
        <v>0</v>
      </c>
      <c r="AS156" s="235">
        <f>SUM(AJ157:AJ159)</f>
        <v>0</v>
      </c>
    </row>
    <row r="157" spans="1:74" ht="14.4" x14ac:dyDescent="0.3">
      <c r="A157" s="239" t="s">
        <v>408</v>
      </c>
      <c r="B157" s="223" t="s">
        <v>402</v>
      </c>
      <c r="C157" s="521" t="s">
        <v>403</v>
      </c>
      <c r="D157" s="519"/>
      <c r="E157" s="223" t="s">
        <v>380</v>
      </c>
      <c r="F157" s="233">
        <v>0.61</v>
      </c>
      <c r="G157" s="311">
        <v>0</v>
      </c>
      <c r="H157" s="233">
        <f>F157*AM157</f>
        <v>0</v>
      </c>
      <c r="I157" s="233">
        <f>F157*AN157</f>
        <v>0</v>
      </c>
      <c r="J157" s="233">
        <f>F157*G157</f>
        <v>0</v>
      </c>
      <c r="K157" s="233">
        <v>0</v>
      </c>
      <c r="L157" s="233">
        <f>F157*K157</f>
        <v>0</v>
      </c>
      <c r="M157" s="240" t="s">
        <v>472</v>
      </c>
      <c r="X157" s="233">
        <f>IF(AO157="5",BH157,0)</f>
        <v>0</v>
      </c>
      <c r="Z157" s="233">
        <f>IF(AO157="1",BF157,0)</f>
        <v>0</v>
      </c>
      <c r="AA157" s="233">
        <f>IF(AO157="1",BG157,0)</f>
        <v>0</v>
      </c>
      <c r="AB157" s="233">
        <f>IF(AO157="7",BF157,0)</f>
        <v>0</v>
      </c>
      <c r="AC157" s="233">
        <f>IF(AO157="7",BG157,0)</f>
        <v>0</v>
      </c>
      <c r="AD157" s="233">
        <f>IF(AO157="2",BF157,0)</f>
        <v>0</v>
      </c>
      <c r="AE157" s="233">
        <f>IF(AO157="2",BG157,0)</f>
        <v>0</v>
      </c>
      <c r="AF157" s="233">
        <f>IF(AO157="0",BH157,0)</f>
        <v>0</v>
      </c>
      <c r="AG157" s="230" t="s">
        <v>154</v>
      </c>
      <c r="AH157" s="233">
        <f>IF(AL157=0,J157,0)</f>
        <v>0</v>
      </c>
      <c r="AI157" s="233">
        <f>IF(AL157=12,J157,0)</f>
        <v>0</v>
      </c>
      <c r="AJ157" s="233">
        <f>IF(AL157=21,J157,0)</f>
        <v>0</v>
      </c>
      <c r="AL157" s="233">
        <v>12</v>
      </c>
      <c r="AM157" s="233">
        <f>G157*0</f>
        <v>0</v>
      </c>
      <c r="AN157" s="233">
        <f>G157*(1-0)</f>
        <v>0</v>
      </c>
      <c r="AO157" s="234" t="s">
        <v>177</v>
      </c>
      <c r="AT157" s="233">
        <f>AU157+AV157</f>
        <v>0</v>
      </c>
      <c r="AU157" s="233">
        <f>F157*AM157</f>
        <v>0</v>
      </c>
      <c r="AV157" s="233">
        <f>F157*AN157</f>
        <v>0</v>
      </c>
      <c r="AW157" s="234" t="s">
        <v>404</v>
      </c>
      <c r="AX157" s="234" t="s">
        <v>375</v>
      </c>
      <c r="AY157" s="230" t="s">
        <v>164</v>
      </c>
      <c r="BA157" s="233">
        <f>AU157+AV157</f>
        <v>0</v>
      </c>
      <c r="BB157" s="233">
        <f>G157/(100-BC157)*100</f>
        <v>0</v>
      </c>
      <c r="BC157" s="233">
        <v>0</v>
      </c>
      <c r="BD157" s="233">
        <f>L157</f>
        <v>0</v>
      </c>
      <c r="BF157" s="233">
        <f>F157*AM157</f>
        <v>0</v>
      </c>
      <c r="BG157" s="233">
        <f>F157*AN157</f>
        <v>0</v>
      </c>
      <c r="BH157" s="233">
        <f>F157*G157</f>
        <v>0</v>
      </c>
      <c r="BI157" s="233"/>
      <c r="BJ157" s="233"/>
      <c r="BU157" s="233" t="e">
        <f>#REF!</f>
        <v>#REF!</v>
      </c>
      <c r="BV157" s="225" t="s">
        <v>403</v>
      </c>
    </row>
    <row r="158" spans="1:74" ht="14.4" x14ac:dyDescent="0.3">
      <c r="A158" s="239" t="s">
        <v>413</v>
      </c>
      <c r="B158" s="223" t="s">
        <v>406</v>
      </c>
      <c r="C158" s="521" t="s">
        <v>407</v>
      </c>
      <c r="D158" s="519"/>
      <c r="E158" s="223" t="s">
        <v>380</v>
      </c>
      <c r="F158" s="233">
        <v>21.01</v>
      </c>
      <c r="G158" s="311">
        <v>0</v>
      </c>
      <c r="H158" s="233">
        <f>F158*AM158</f>
        <v>0</v>
      </c>
      <c r="I158" s="233">
        <f>F158*AN158</f>
        <v>0</v>
      </c>
      <c r="J158" s="233">
        <f>F158*G158</f>
        <v>0</v>
      </c>
      <c r="K158" s="233">
        <v>0</v>
      </c>
      <c r="L158" s="233">
        <f>F158*K158</f>
        <v>0</v>
      </c>
      <c r="M158" s="240" t="s">
        <v>472</v>
      </c>
      <c r="X158" s="233">
        <f>IF(AO158="5",BH158,0)</f>
        <v>0</v>
      </c>
      <c r="Z158" s="233">
        <f>IF(AO158="1",BF158,0)</f>
        <v>0</v>
      </c>
      <c r="AA158" s="233">
        <f>IF(AO158="1",BG158,0)</f>
        <v>0</v>
      </c>
      <c r="AB158" s="233">
        <f>IF(AO158="7",BF158,0)</f>
        <v>0</v>
      </c>
      <c r="AC158" s="233">
        <f>IF(AO158="7",BG158,0)</f>
        <v>0</v>
      </c>
      <c r="AD158" s="233">
        <f>IF(AO158="2",BF158,0)</f>
        <v>0</v>
      </c>
      <c r="AE158" s="233">
        <f>IF(AO158="2",BG158,0)</f>
        <v>0</v>
      </c>
      <c r="AF158" s="233">
        <f>IF(AO158="0",BH158,0)</f>
        <v>0</v>
      </c>
      <c r="AG158" s="230" t="s">
        <v>154</v>
      </c>
      <c r="AH158" s="233">
        <f>IF(AL158=0,J158,0)</f>
        <v>0</v>
      </c>
      <c r="AI158" s="233">
        <f>IF(AL158=12,J158,0)</f>
        <v>0</v>
      </c>
      <c r="AJ158" s="233">
        <f>IF(AL158=21,J158,0)</f>
        <v>0</v>
      </c>
      <c r="AL158" s="233">
        <v>12</v>
      </c>
      <c r="AM158" s="233">
        <f>G158*0</f>
        <v>0</v>
      </c>
      <c r="AN158" s="233">
        <f>G158*(1-0)</f>
        <v>0</v>
      </c>
      <c r="AO158" s="234" t="s">
        <v>177</v>
      </c>
      <c r="AT158" s="233">
        <f>AU158+AV158</f>
        <v>0</v>
      </c>
      <c r="AU158" s="233">
        <f>F158*AM158</f>
        <v>0</v>
      </c>
      <c r="AV158" s="233">
        <f>F158*AN158</f>
        <v>0</v>
      </c>
      <c r="AW158" s="234" t="s">
        <v>404</v>
      </c>
      <c r="AX158" s="234" t="s">
        <v>375</v>
      </c>
      <c r="AY158" s="230" t="s">
        <v>164</v>
      </c>
      <c r="BA158" s="233">
        <f>AU158+AV158</f>
        <v>0</v>
      </c>
      <c r="BB158" s="233">
        <f>G158/(100-BC158)*100</f>
        <v>0</v>
      </c>
      <c r="BC158" s="233">
        <v>0</v>
      </c>
      <c r="BD158" s="233">
        <f>L158</f>
        <v>0</v>
      </c>
      <c r="BF158" s="233">
        <f>F158*AM158</f>
        <v>0</v>
      </c>
      <c r="BG158" s="233">
        <f>F158*AN158</f>
        <v>0</v>
      </c>
      <c r="BH158" s="233">
        <f>F158*G158</f>
        <v>0</v>
      </c>
      <c r="BI158" s="233"/>
      <c r="BJ158" s="233"/>
      <c r="BU158" s="233" t="e">
        <f>#REF!</f>
        <v>#REF!</v>
      </c>
      <c r="BV158" s="225" t="s">
        <v>407</v>
      </c>
    </row>
    <row r="159" spans="1:74" ht="14.4" x14ac:dyDescent="0.3">
      <c r="A159" s="239" t="s">
        <v>419</v>
      </c>
      <c r="B159" s="223" t="s">
        <v>409</v>
      </c>
      <c r="C159" s="521" t="s">
        <v>410</v>
      </c>
      <c r="D159" s="519"/>
      <c r="E159" s="223" t="s">
        <v>380</v>
      </c>
      <c r="F159" s="233">
        <v>5.08</v>
      </c>
      <c r="G159" s="311">
        <v>0</v>
      </c>
      <c r="H159" s="233">
        <f>F159*AM159</f>
        <v>0</v>
      </c>
      <c r="I159" s="233">
        <f>F159*AN159</f>
        <v>0</v>
      </c>
      <c r="J159" s="233">
        <f>F159*G159</f>
        <v>0</v>
      </c>
      <c r="K159" s="233">
        <v>0</v>
      </c>
      <c r="L159" s="233">
        <f>F159*K159</f>
        <v>0</v>
      </c>
      <c r="M159" s="240" t="s">
        <v>472</v>
      </c>
      <c r="X159" s="233">
        <f>IF(AO159="5",BH159,0)</f>
        <v>0</v>
      </c>
      <c r="Z159" s="233">
        <f>IF(AO159="1",BF159,0)</f>
        <v>0</v>
      </c>
      <c r="AA159" s="233">
        <f>IF(AO159="1",BG159,0)</f>
        <v>0</v>
      </c>
      <c r="AB159" s="233">
        <f>IF(AO159="7",BF159,0)</f>
        <v>0</v>
      </c>
      <c r="AC159" s="233">
        <f>IF(AO159="7",BG159,0)</f>
        <v>0</v>
      </c>
      <c r="AD159" s="233">
        <f>IF(AO159="2",BF159,0)</f>
        <v>0</v>
      </c>
      <c r="AE159" s="233">
        <f>IF(AO159="2",BG159,0)</f>
        <v>0</v>
      </c>
      <c r="AF159" s="233">
        <f>IF(AO159="0",BH159,0)</f>
        <v>0</v>
      </c>
      <c r="AG159" s="230" t="s">
        <v>154</v>
      </c>
      <c r="AH159" s="233">
        <f>IF(AL159=0,J159,0)</f>
        <v>0</v>
      </c>
      <c r="AI159" s="233">
        <f>IF(AL159=12,J159,0)</f>
        <v>0</v>
      </c>
      <c r="AJ159" s="233">
        <f>IF(AL159=21,J159,0)</f>
        <v>0</v>
      </c>
      <c r="AL159" s="233">
        <v>12</v>
      </c>
      <c r="AM159" s="233">
        <f>G159*0</f>
        <v>0</v>
      </c>
      <c r="AN159" s="233">
        <f>G159*(1-0)</f>
        <v>0</v>
      </c>
      <c r="AO159" s="234" t="s">
        <v>177</v>
      </c>
      <c r="AT159" s="233">
        <f>AU159+AV159</f>
        <v>0</v>
      </c>
      <c r="AU159" s="233">
        <f>F159*AM159</f>
        <v>0</v>
      </c>
      <c r="AV159" s="233">
        <f>F159*AN159</f>
        <v>0</v>
      </c>
      <c r="AW159" s="234" t="s">
        <v>404</v>
      </c>
      <c r="AX159" s="234" t="s">
        <v>375</v>
      </c>
      <c r="AY159" s="230" t="s">
        <v>164</v>
      </c>
      <c r="BA159" s="233">
        <f>AU159+AV159</f>
        <v>0</v>
      </c>
      <c r="BB159" s="233">
        <f>G159/(100-BC159)*100</f>
        <v>0</v>
      </c>
      <c r="BC159" s="233">
        <v>0</v>
      </c>
      <c r="BD159" s="233">
        <f>L159</f>
        <v>0</v>
      </c>
      <c r="BF159" s="233">
        <f>F159*AM159</f>
        <v>0</v>
      </c>
      <c r="BG159" s="233">
        <f>F159*AN159</f>
        <v>0</v>
      </c>
      <c r="BH159" s="233">
        <f>F159*G159</f>
        <v>0</v>
      </c>
      <c r="BI159" s="233"/>
      <c r="BJ159" s="233"/>
      <c r="BU159" s="233" t="e">
        <f>#REF!</f>
        <v>#REF!</v>
      </c>
      <c r="BV159" s="225" t="s">
        <v>410</v>
      </c>
    </row>
    <row r="160" spans="1:74" ht="14.4" x14ac:dyDescent="0.3">
      <c r="A160" s="239" t="s">
        <v>154</v>
      </c>
      <c r="B160" s="224" t="s">
        <v>1383</v>
      </c>
      <c r="C160" s="526" t="s">
        <v>449</v>
      </c>
      <c r="D160" s="527"/>
      <c r="E160" s="223" t="s">
        <v>114</v>
      </c>
      <c r="F160" s="223" t="s">
        <v>114</v>
      </c>
      <c r="G160" s="223" t="s">
        <v>114</v>
      </c>
      <c r="H160" s="235">
        <f>SUM(H161:H184)</f>
        <v>0</v>
      </c>
      <c r="I160" s="235">
        <f>SUM(I161:I184)</f>
        <v>0</v>
      </c>
      <c r="J160" s="235">
        <f>SUM(J161:J184)</f>
        <v>0</v>
      </c>
      <c r="K160" s="230" t="s">
        <v>154</v>
      </c>
      <c r="L160" s="235">
        <f>SUM(L161:L184)</f>
        <v>4.0848088999999996</v>
      </c>
      <c r="M160" s="243" t="s">
        <v>154</v>
      </c>
      <c r="AG160" s="230" t="s">
        <v>154</v>
      </c>
      <c r="AQ160" s="235">
        <f>SUM(AH161:AH184)</f>
        <v>0</v>
      </c>
      <c r="AR160" s="235">
        <f>SUM(AI161:AI184)</f>
        <v>0</v>
      </c>
      <c r="AS160" s="235">
        <f>SUM(AJ161:AJ184)</f>
        <v>0</v>
      </c>
    </row>
    <row r="161" spans="1:74" ht="14.4" x14ac:dyDescent="0.3">
      <c r="A161" s="239" t="s">
        <v>548</v>
      </c>
      <c r="B161" s="223" t="s">
        <v>929</v>
      </c>
      <c r="C161" s="521" t="s">
        <v>930</v>
      </c>
      <c r="D161" s="519"/>
      <c r="E161" s="223" t="s">
        <v>365</v>
      </c>
      <c r="F161" s="233">
        <v>1</v>
      </c>
      <c r="G161" s="311">
        <v>0</v>
      </c>
      <c r="H161" s="233">
        <f>F161*AM161</f>
        <v>0</v>
      </c>
      <c r="I161" s="233">
        <f>F161*AN161</f>
        <v>0</v>
      </c>
      <c r="J161" s="233">
        <f>F161*G161</f>
        <v>0</v>
      </c>
      <c r="K161" s="233">
        <v>5.8200000000000002E-2</v>
      </c>
      <c r="L161" s="233">
        <f>F161*K161</f>
        <v>5.8200000000000002E-2</v>
      </c>
      <c r="M161" s="240" t="s">
        <v>472</v>
      </c>
      <c r="X161" s="233">
        <f>IF(AO161="5",BH161,0)</f>
        <v>0</v>
      </c>
      <c r="Z161" s="233">
        <f>IF(AO161="1",BF161,0)</f>
        <v>0</v>
      </c>
      <c r="AA161" s="233">
        <f>IF(AO161="1",BG161,0)</f>
        <v>0</v>
      </c>
      <c r="AB161" s="233">
        <f>IF(AO161="7",BF161,0)</f>
        <v>0</v>
      </c>
      <c r="AC161" s="233">
        <f>IF(AO161="7",BG161,0)</f>
        <v>0</v>
      </c>
      <c r="AD161" s="233">
        <f>IF(AO161="2",BF161,0)</f>
        <v>0</v>
      </c>
      <c r="AE161" s="233">
        <f>IF(AO161="2",BG161,0)</f>
        <v>0</v>
      </c>
      <c r="AF161" s="233">
        <f>IF(AO161="0",BH161,0)</f>
        <v>0</v>
      </c>
      <c r="AG161" s="230" t="s">
        <v>154</v>
      </c>
      <c r="AH161" s="233">
        <f>IF(AL161=0,J161,0)</f>
        <v>0</v>
      </c>
      <c r="AI161" s="233">
        <f>IF(AL161=12,J161,0)</f>
        <v>0</v>
      </c>
      <c r="AJ161" s="233">
        <f>IF(AL161=21,J161,0)</f>
        <v>0</v>
      </c>
      <c r="AL161" s="233">
        <v>12</v>
      </c>
      <c r="AM161" s="233">
        <f>G161*1</f>
        <v>0</v>
      </c>
      <c r="AN161" s="233">
        <f>G161*(1-1)</f>
        <v>0</v>
      </c>
      <c r="AO161" s="234" t="s">
        <v>453</v>
      </c>
      <c r="AT161" s="233">
        <f>AU161+AV161</f>
        <v>0</v>
      </c>
      <c r="AU161" s="233">
        <f>F161*AM161</f>
        <v>0</v>
      </c>
      <c r="AV161" s="233">
        <f>F161*AN161</f>
        <v>0</v>
      </c>
      <c r="AW161" s="234" t="s">
        <v>454</v>
      </c>
      <c r="AX161" s="234" t="s">
        <v>455</v>
      </c>
      <c r="AY161" s="230" t="s">
        <v>164</v>
      </c>
      <c r="BA161" s="233">
        <f>AU161+AV161</f>
        <v>0</v>
      </c>
      <c r="BB161" s="233">
        <f>G161/(100-BC161)*100</f>
        <v>0</v>
      </c>
      <c r="BC161" s="233">
        <v>0</v>
      </c>
      <c r="BD161" s="233">
        <f>L161</f>
        <v>5.8200000000000002E-2</v>
      </c>
      <c r="BF161" s="233">
        <f>F161*AM161</f>
        <v>0</v>
      </c>
      <c r="BG161" s="233">
        <f>F161*AN161</f>
        <v>0</v>
      </c>
      <c r="BH161" s="233">
        <f>F161*G161</f>
        <v>0</v>
      </c>
      <c r="BI161" s="233"/>
      <c r="BJ161" s="233"/>
      <c r="BU161" s="233" t="e">
        <f>#REF!</f>
        <v>#REF!</v>
      </c>
      <c r="BV161" s="225" t="s">
        <v>930</v>
      </c>
    </row>
    <row r="162" spans="1:74" ht="67.5" customHeight="1" x14ac:dyDescent="0.3">
      <c r="A162" s="241"/>
      <c r="B162" s="242" t="s">
        <v>165</v>
      </c>
      <c r="C162" s="530" t="s">
        <v>2357</v>
      </c>
      <c r="D162" s="531"/>
      <c r="E162" s="531"/>
      <c r="F162" s="531"/>
      <c r="G162" s="531"/>
      <c r="H162" s="531"/>
      <c r="I162" s="531"/>
      <c r="J162" s="531"/>
      <c r="K162" s="531"/>
      <c r="L162" s="531"/>
      <c r="M162" s="532"/>
    </row>
    <row r="163" spans="1:74" ht="14.4" x14ac:dyDescent="0.3">
      <c r="A163" s="239" t="s">
        <v>551</v>
      </c>
      <c r="B163" s="223" t="s">
        <v>931</v>
      </c>
      <c r="C163" s="521" t="s">
        <v>932</v>
      </c>
      <c r="D163" s="519"/>
      <c r="E163" s="223" t="s">
        <v>365</v>
      </c>
      <c r="F163" s="233">
        <v>1</v>
      </c>
      <c r="G163" s="311">
        <v>0</v>
      </c>
      <c r="H163" s="233">
        <f>F163*AM163</f>
        <v>0</v>
      </c>
      <c r="I163" s="233">
        <f>F163*AN163</f>
        <v>0</v>
      </c>
      <c r="J163" s="233">
        <f>F163*G163</f>
        <v>0</v>
      </c>
      <c r="K163" s="233">
        <v>2.9100000000000001E-2</v>
      </c>
      <c r="L163" s="233">
        <f>F163*K163</f>
        <v>2.9100000000000001E-2</v>
      </c>
      <c r="M163" s="240" t="s">
        <v>472</v>
      </c>
      <c r="X163" s="233">
        <f>IF(AO163="5",BH163,0)</f>
        <v>0</v>
      </c>
      <c r="Z163" s="233">
        <f>IF(AO163="1",BF163,0)</f>
        <v>0</v>
      </c>
      <c r="AA163" s="233">
        <f>IF(AO163="1",BG163,0)</f>
        <v>0</v>
      </c>
      <c r="AB163" s="233">
        <f>IF(AO163="7",BF163,0)</f>
        <v>0</v>
      </c>
      <c r="AC163" s="233">
        <f>IF(AO163="7",BG163,0)</f>
        <v>0</v>
      </c>
      <c r="AD163" s="233">
        <f>IF(AO163="2",BF163,0)</f>
        <v>0</v>
      </c>
      <c r="AE163" s="233">
        <f>IF(AO163="2",BG163,0)</f>
        <v>0</v>
      </c>
      <c r="AF163" s="233">
        <f>IF(AO163="0",BH163,0)</f>
        <v>0</v>
      </c>
      <c r="AG163" s="230" t="s">
        <v>154</v>
      </c>
      <c r="AH163" s="233">
        <f>IF(AL163=0,J163,0)</f>
        <v>0</v>
      </c>
      <c r="AI163" s="233">
        <f>IF(AL163=12,J163,0)</f>
        <v>0</v>
      </c>
      <c r="AJ163" s="233">
        <f>IF(AL163=21,J163,0)</f>
        <v>0</v>
      </c>
      <c r="AL163" s="233">
        <v>12</v>
      </c>
      <c r="AM163" s="233">
        <f>G163*1</f>
        <v>0</v>
      </c>
      <c r="AN163" s="233">
        <f>G163*(1-1)</f>
        <v>0</v>
      </c>
      <c r="AO163" s="234" t="s">
        <v>453</v>
      </c>
      <c r="AT163" s="233">
        <f>AU163+AV163</f>
        <v>0</v>
      </c>
      <c r="AU163" s="233">
        <f>F163*AM163</f>
        <v>0</v>
      </c>
      <c r="AV163" s="233">
        <f>F163*AN163</f>
        <v>0</v>
      </c>
      <c r="AW163" s="234" t="s">
        <v>454</v>
      </c>
      <c r="AX163" s="234" t="s">
        <v>455</v>
      </c>
      <c r="AY163" s="230" t="s">
        <v>164</v>
      </c>
      <c r="BA163" s="233">
        <f>AU163+AV163</f>
        <v>0</v>
      </c>
      <c r="BB163" s="233">
        <f>G163/(100-BC163)*100</f>
        <v>0</v>
      </c>
      <c r="BC163" s="233">
        <v>0</v>
      </c>
      <c r="BD163" s="233">
        <f>L163</f>
        <v>2.9100000000000001E-2</v>
      </c>
      <c r="BF163" s="233">
        <f>F163*AM163</f>
        <v>0</v>
      </c>
      <c r="BG163" s="233">
        <f>F163*AN163</f>
        <v>0</v>
      </c>
      <c r="BH163" s="233">
        <f>F163*G163</f>
        <v>0</v>
      </c>
      <c r="BI163" s="233"/>
      <c r="BJ163" s="233"/>
      <c r="BU163" s="233" t="e">
        <f>#REF!</f>
        <v>#REF!</v>
      </c>
      <c r="BV163" s="225" t="s">
        <v>932</v>
      </c>
    </row>
    <row r="164" spans="1:74" ht="67.5" customHeight="1" x14ac:dyDescent="0.3">
      <c r="A164" s="241"/>
      <c r="B164" s="242" t="s">
        <v>165</v>
      </c>
      <c r="C164" s="530" t="s">
        <v>2357</v>
      </c>
      <c r="D164" s="531"/>
      <c r="E164" s="531"/>
      <c r="F164" s="531"/>
      <c r="G164" s="531"/>
      <c r="H164" s="531"/>
      <c r="I164" s="531"/>
      <c r="J164" s="531"/>
      <c r="K164" s="531"/>
      <c r="L164" s="531"/>
      <c r="M164" s="532"/>
    </row>
    <row r="165" spans="1:74" ht="14.4" x14ac:dyDescent="0.3">
      <c r="A165" s="239" t="s">
        <v>555</v>
      </c>
      <c r="B165" s="223" t="s">
        <v>2358</v>
      </c>
      <c r="C165" s="521" t="s">
        <v>2359</v>
      </c>
      <c r="D165" s="519"/>
      <c r="E165" s="223" t="s">
        <v>365</v>
      </c>
      <c r="F165" s="233">
        <v>1</v>
      </c>
      <c r="G165" s="311">
        <v>0</v>
      </c>
      <c r="H165" s="233">
        <f>F165*AM165</f>
        <v>0</v>
      </c>
      <c r="I165" s="233">
        <f>F165*AN165</f>
        <v>0</v>
      </c>
      <c r="J165" s="233">
        <f>F165*G165</f>
        <v>0</v>
      </c>
      <c r="K165" s="233">
        <v>5.45E-3</v>
      </c>
      <c r="L165" s="233">
        <f>F165*K165</f>
        <v>5.45E-3</v>
      </c>
      <c r="M165" s="240" t="s">
        <v>472</v>
      </c>
      <c r="X165" s="233">
        <f>IF(AO165="5",BH165,0)</f>
        <v>0</v>
      </c>
      <c r="Z165" s="233">
        <f>IF(AO165="1",BF165,0)</f>
        <v>0</v>
      </c>
      <c r="AA165" s="233">
        <f>IF(AO165="1",BG165,0)</f>
        <v>0</v>
      </c>
      <c r="AB165" s="233">
        <f>IF(AO165="7",BF165,0)</f>
        <v>0</v>
      </c>
      <c r="AC165" s="233">
        <f>IF(AO165="7",BG165,0)</f>
        <v>0</v>
      </c>
      <c r="AD165" s="233">
        <f>IF(AO165="2",BF165,0)</f>
        <v>0</v>
      </c>
      <c r="AE165" s="233">
        <f>IF(AO165="2",BG165,0)</f>
        <v>0</v>
      </c>
      <c r="AF165" s="233">
        <f>IF(AO165="0",BH165,0)</f>
        <v>0</v>
      </c>
      <c r="AG165" s="230" t="s">
        <v>154</v>
      </c>
      <c r="AH165" s="233">
        <f>IF(AL165=0,J165,0)</f>
        <v>0</v>
      </c>
      <c r="AI165" s="233">
        <f>IF(AL165=12,J165,0)</f>
        <v>0</v>
      </c>
      <c r="AJ165" s="233">
        <f>IF(AL165=21,J165,0)</f>
        <v>0</v>
      </c>
      <c r="AL165" s="233">
        <v>12</v>
      </c>
      <c r="AM165" s="233">
        <f>G165*1</f>
        <v>0</v>
      </c>
      <c r="AN165" s="233">
        <f>G165*(1-1)</f>
        <v>0</v>
      </c>
      <c r="AO165" s="234" t="s">
        <v>453</v>
      </c>
      <c r="AT165" s="233">
        <f>AU165+AV165</f>
        <v>0</v>
      </c>
      <c r="AU165" s="233">
        <f>F165*AM165</f>
        <v>0</v>
      </c>
      <c r="AV165" s="233">
        <f>F165*AN165</f>
        <v>0</v>
      </c>
      <c r="AW165" s="234" t="s">
        <v>454</v>
      </c>
      <c r="AX165" s="234" t="s">
        <v>455</v>
      </c>
      <c r="AY165" s="230" t="s">
        <v>164</v>
      </c>
      <c r="BA165" s="233">
        <f>AU165+AV165</f>
        <v>0</v>
      </c>
      <c r="BB165" s="233">
        <f>G165/(100-BC165)*100</f>
        <v>0</v>
      </c>
      <c r="BC165" s="233">
        <v>0</v>
      </c>
      <c r="BD165" s="233">
        <f>L165</f>
        <v>5.45E-3</v>
      </c>
      <c r="BF165" s="233">
        <f>F165*AM165</f>
        <v>0</v>
      </c>
      <c r="BG165" s="233">
        <f>F165*AN165</f>
        <v>0</v>
      </c>
      <c r="BH165" s="233">
        <f>F165*G165</f>
        <v>0</v>
      </c>
      <c r="BI165" s="233"/>
      <c r="BJ165" s="233"/>
      <c r="BU165" s="233" t="e">
        <f>#REF!</f>
        <v>#REF!</v>
      </c>
      <c r="BV165" s="225" t="s">
        <v>2359</v>
      </c>
    </row>
    <row r="166" spans="1:74" ht="40.5" customHeight="1" x14ac:dyDescent="0.3">
      <c r="A166" s="241"/>
      <c r="B166" s="242" t="s">
        <v>165</v>
      </c>
      <c r="C166" s="530" t="s">
        <v>1993</v>
      </c>
      <c r="D166" s="531"/>
      <c r="E166" s="531"/>
      <c r="F166" s="531"/>
      <c r="G166" s="531"/>
      <c r="H166" s="531"/>
      <c r="I166" s="531"/>
      <c r="J166" s="531"/>
      <c r="K166" s="531"/>
      <c r="L166" s="531"/>
      <c r="M166" s="532"/>
    </row>
    <row r="167" spans="1:74" ht="14.4" x14ac:dyDescent="0.3">
      <c r="A167" s="239" t="s">
        <v>559</v>
      </c>
      <c r="B167" s="223" t="s">
        <v>937</v>
      </c>
      <c r="C167" s="521" t="s">
        <v>938</v>
      </c>
      <c r="D167" s="519"/>
      <c r="E167" s="223" t="s">
        <v>365</v>
      </c>
      <c r="F167" s="233">
        <v>1.01</v>
      </c>
      <c r="G167" s="311">
        <v>0</v>
      </c>
      <c r="H167" s="233">
        <f>F167*AM167</f>
        <v>0</v>
      </c>
      <c r="I167" s="233">
        <f>F167*AN167</f>
        <v>0</v>
      </c>
      <c r="J167" s="233">
        <f>F167*G167</f>
        <v>0</v>
      </c>
      <c r="K167" s="233">
        <v>2.2499999999999998E-3</v>
      </c>
      <c r="L167" s="233">
        <f>F167*K167</f>
        <v>2.2724999999999998E-3</v>
      </c>
      <c r="M167" s="240" t="s">
        <v>472</v>
      </c>
      <c r="X167" s="233">
        <f>IF(AO167="5",BH167,0)</f>
        <v>0</v>
      </c>
      <c r="Z167" s="233">
        <f>IF(AO167="1",BF167,0)</f>
        <v>0</v>
      </c>
      <c r="AA167" s="233">
        <f>IF(AO167="1",BG167,0)</f>
        <v>0</v>
      </c>
      <c r="AB167" s="233">
        <f>IF(AO167="7",BF167,0)</f>
        <v>0</v>
      </c>
      <c r="AC167" s="233">
        <f>IF(AO167="7",BG167,0)</f>
        <v>0</v>
      </c>
      <c r="AD167" s="233">
        <f>IF(AO167="2",BF167,0)</f>
        <v>0</v>
      </c>
      <c r="AE167" s="233">
        <f>IF(AO167="2",BG167,0)</f>
        <v>0</v>
      </c>
      <c r="AF167" s="233">
        <f>IF(AO167="0",BH167,0)</f>
        <v>0</v>
      </c>
      <c r="AG167" s="230" t="s">
        <v>154</v>
      </c>
      <c r="AH167" s="233">
        <f>IF(AL167=0,J167,0)</f>
        <v>0</v>
      </c>
      <c r="AI167" s="233">
        <f>IF(AL167=12,J167,0)</f>
        <v>0</v>
      </c>
      <c r="AJ167" s="233">
        <f>IF(AL167=21,J167,0)</f>
        <v>0</v>
      </c>
      <c r="AL167" s="233">
        <v>12</v>
      </c>
      <c r="AM167" s="233">
        <f>G167*1</f>
        <v>0</v>
      </c>
      <c r="AN167" s="233">
        <f>G167*(1-1)</f>
        <v>0</v>
      </c>
      <c r="AO167" s="234" t="s">
        <v>453</v>
      </c>
      <c r="AT167" s="233">
        <f>AU167+AV167</f>
        <v>0</v>
      </c>
      <c r="AU167" s="233">
        <f>F167*AM167</f>
        <v>0</v>
      </c>
      <c r="AV167" s="233">
        <f>F167*AN167</f>
        <v>0</v>
      </c>
      <c r="AW167" s="234" t="s">
        <v>454</v>
      </c>
      <c r="AX167" s="234" t="s">
        <v>455</v>
      </c>
      <c r="AY167" s="230" t="s">
        <v>164</v>
      </c>
      <c r="BA167" s="233">
        <f>AU167+AV167</f>
        <v>0</v>
      </c>
      <c r="BB167" s="233">
        <f>G167/(100-BC167)*100</f>
        <v>0</v>
      </c>
      <c r="BC167" s="233">
        <v>0</v>
      </c>
      <c r="BD167" s="233">
        <f>L167</f>
        <v>2.2724999999999998E-3</v>
      </c>
      <c r="BF167" s="233">
        <f>F167*AM167</f>
        <v>0</v>
      </c>
      <c r="BG167" s="233">
        <f>F167*AN167</f>
        <v>0</v>
      </c>
      <c r="BH167" s="233">
        <f>F167*G167</f>
        <v>0</v>
      </c>
      <c r="BI167" s="233"/>
      <c r="BJ167" s="233"/>
      <c r="BU167" s="233" t="e">
        <f>#REF!</f>
        <v>#REF!</v>
      </c>
      <c r="BV167" s="225" t="s">
        <v>938</v>
      </c>
    </row>
    <row r="168" spans="1:74" ht="54" customHeight="1" x14ac:dyDescent="0.3">
      <c r="A168" s="241"/>
      <c r="B168" s="242" t="s">
        <v>165</v>
      </c>
      <c r="C168" s="530" t="s">
        <v>1824</v>
      </c>
      <c r="D168" s="531"/>
      <c r="E168" s="531"/>
      <c r="F168" s="531"/>
      <c r="G168" s="531"/>
      <c r="H168" s="531"/>
      <c r="I168" s="531"/>
      <c r="J168" s="531"/>
      <c r="K168" s="531"/>
      <c r="L168" s="531"/>
      <c r="M168" s="532"/>
    </row>
    <row r="169" spans="1:74" ht="14.4" x14ac:dyDescent="0.3">
      <c r="A169" s="239" t="s">
        <v>562</v>
      </c>
      <c r="B169" s="223" t="s">
        <v>941</v>
      </c>
      <c r="C169" s="521" t="s">
        <v>942</v>
      </c>
      <c r="D169" s="519"/>
      <c r="E169" s="223" t="s">
        <v>365</v>
      </c>
      <c r="F169" s="233">
        <v>1.01</v>
      </c>
      <c r="G169" s="311">
        <v>0</v>
      </c>
      <c r="H169" s="233">
        <f>F169*AM169</f>
        <v>0</v>
      </c>
      <c r="I169" s="233">
        <f>F169*AN169</f>
        <v>0</v>
      </c>
      <c r="J169" s="233">
        <f>F169*G169</f>
        <v>0</v>
      </c>
      <c r="K169" s="233">
        <v>2.33E-3</v>
      </c>
      <c r="L169" s="233">
        <f>F169*K169</f>
        <v>2.3533E-3</v>
      </c>
      <c r="M169" s="240" t="s">
        <v>472</v>
      </c>
      <c r="X169" s="233">
        <f>IF(AO169="5",BH169,0)</f>
        <v>0</v>
      </c>
      <c r="Z169" s="233">
        <f>IF(AO169="1",BF169,0)</f>
        <v>0</v>
      </c>
      <c r="AA169" s="233">
        <f>IF(AO169="1",BG169,0)</f>
        <v>0</v>
      </c>
      <c r="AB169" s="233">
        <f>IF(AO169="7",BF169,0)</f>
        <v>0</v>
      </c>
      <c r="AC169" s="233">
        <f>IF(AO169="7",BG169,0)</f>
        <v>0</v>
      </c>
      <c r="AD169" s="233">
        <f>IF(AO169="2",BF169,0)</f>
        <v>0</v>
      </c>
      <c r="AE169" s="233">
        <f>IF(AO169="2",BG169,0)</f>
        <v>0</v>
      </c>
      <c r="AF169" s="233">
        <f>IF(AO169="0",BH169,0)</f>
        <v>0</v>
      </c>
      <c r="AG169" s="230" t="s">
        <v>154</v>
      </c>
      <c r="AH169" s="233">
        <f>IF(AL169=0,J169,0)</f>
        <v>0</v>
      </c>
      <c r="AI169" s="233">
        <f>IF(AL169=12,J169,0)</f>
        <v>0</v>
      </c>
      <c r="AJ169" s="233">
        <f>IF(AL169=21,J169,0)</f>
        <v>0</v>
      </c>
      <c r="AL169" s="233">
        <v>12</v>
      </c>
      <c r="AM169" s="233">
        <f>G169*1</f>
        <v>0</v>
      </c>
      <c r="AN169" s="233">
        <f>G169*(1-1)</f>
        <v>0</v>
      </c>
      <c r="AO169" s="234" t="s">
        <v>453</v>
      </c>
      <c r="AT169" s="233">
        <f>AU169+AV169</f>
        <v>0</v>
      </c>
      <c r="AU169" s="233">
        <f>F169*AM169</f>
        <v>0</v>
      </c>
      <c r="AV169" s="233">
        <f>F169*AN169</f>
        <v>0</v>
      </c>
      <c r="AW169" s="234" t="s">
        <v>454</v>
      </c>
      <c r="AX169" s="234" t="s">
        <v>455</v>
      </c>
      <c r="AY169" s="230" t="s">
        <v>164</v>
      </c>
      <c r="BA169" s="233">
        <f>AU169+AV169</f>
        <v>0</v>
      </c>
      <c r="BB169" s="233">
        <f>G169/(100-BC169)*100</f>
        <v>0</v>
      </c>
      <c r="BC169" s="233">
        <v>0</v>
      </c>
      <c r="BD169" s="233">
        <f>L169</f>
        <v>2.3533E-3</v>
      </c>
      <c r="BF169" s="233">
        <f>F169*AM169</f>
        <v>0</v>
      </c>
      <c r="BG169" s="233">
        <f>F169*AN169</f>
        <v>0</v>
      </c>
      <c r="BH169" s="233">
        <f>F169*G169</f>
        <v>0</v>
      </c>
      <c r="BI169" s="233"/>
      <c r="BJ169" s="233"/>
      <c r="BU169" s="233" t="e">
        <f>#REF!</f>
        <v>#REF!</v>
      </c>
      <c r="BV169" s="225" t="s">
        <v>942</v>
      </c>
    </row>
    <row r="170" spans="1:74" ht="54" customHeight="1" x14ac:dyDescent="0.3">
      <c r="A170" s="241"/>
      <c r="B170" s="242" t="s">
        <v>165</v>
      </c>
      <c r="C170" s="530" t="s">
        <v>2360</v>
      </c>
      <c r="D170" s="531"/>
      <c r="E170" s="531"/>
      <c r="F170" s="531"/>
      <c r="G170" s="531"/>
      <c r="H170" s="531"/>
      <c r="I170" s="531"/>
      <c r="J170" s="531"/>
      <c r="K170" s="531"/>
      <c r="L170" s="531"/>
      <c r="M170" s="532"/>
    </row>
    <row r="171" spans="1:74" ht="14.4" x14ac:dyDescent="0.3">
      <c r="A171" s="239" t="s">
        <v>566</v>
      </c>
      <c r="B171" s="223" t="s">
        <v>2361</v>
      </c>
      <c r="C171" s="521" t="s">
        <v>2362</v>
      </c>
      <c r="D171" s="519"/>
      <c r="E171" s="223" t="s">
        <v>365</v>
      </c>
      <c r="F171" s="233">
        <v>1.01</v>
      </c>
      <c r="G171" s="311">
        <v>0</v>
      </c>
      <c r="H171" s="233">
        <f>F171*AM171</f>
        <v>0</v>
      </c>
      <c r="I171" s="233">
        <f>F171*AN171</f>
        <v>0</v>
      </c>
      <c r="J171" s="233">
        <f>F171*G171</f>
        <v>0</v>
      </c>
      <c r="K171" s="233">
        <v>1.1199999999999999E-3</v>
      </c>
      <c r="L171" s="233">
        <f>F171*K171</f>
        <v>1.1312E-3</v>
      </c>
      <c r="M171" s="240" t="s">
        <v>472</v>
      </c>
      <c r="X171" s="233">
        <f>IF(AO171="5",BH171,0)</f>
        <v>0</v>
      </c>
      <c r="Z171" s="233">
        <f>IF(AO171="1",BF171,0)</f>
        <v>0</v>
      </c>
      <c r="AA171" s="233">
        <f>IF(AO171="1",BG171,0)</f>
        <v>0</v>
      </c>
      <c r="AB171" s="233">
        <f>IF(AO171="7",BF171,0)</f>
        <v>0</v>
      </c>
      <c r="AC171" s="233">
        <f>IF(AO171="7",BG171,0)</f>
        <v>0</v>
      </c>
      <c r="AD171" s="233">
        <f>IF(AO171="2",BF171,0)</f>
        <v>0</v>
      </c>
      <c r="AE171" s="233">
        <f>IF(AO171="2",BG171,0)</f>
        <v>0</v>
      </c>
      <c r="AF171" s="233">
        <f>IF(AO171="0",BH171,0)</f>
        <v>0</v>
      </c>
      <c r="AG171" s="230" t="s">
        <v>154</v>
      </c>
      <c r="AH171" s="233">
        <f>IF(AL171=0,J171,0)</f>
        <v>0</v>
      </c>
      <c r="AI171" s="233">
        <f>IF(AL171=12,J171,0)</f>
        <v>0</v>
      </c>
      <c r="AJ171" s="233">
        <f>IF(AL171=21,J171,0)</f>
        <v>0</v>
      </c>
      <c r="AL171" s="233">
        <v>12</v>
      </c>
      <c r="AM171" s="233">
        <f>G171*1</f>
        <v>0</v>
      </c>
      <c r="AN171" s="233">
        <f>G171*(1-1)</f>
        <v>0</v>
      </c>
      <c r="AO171" s="234" t="s">
        <v>453</v>
      </c>
      <c r="AT171" s="233">
        <f>AU171+AV171</f>
        <v>0</v>
      </c>
      <c r="AU171" s="233">
        <f>F171*AM171</f>
        <v>0</v>
      </c>
      <c r="AV171" s="233">
        <f>F171*AN171</f>
        <v>0</v>
      </c>
      <c r="AW171" s="234" t="s">
        <v>454</v>
      </c>
      <c r="AX171" s="234" t="s">
        <v>455</v>
      </c>
      <c r="AY171" s="230" t="s">
        <v>164</v>
      </c>
      <c r="BA171" s="233">
        <f>AU171+AV171</f>
        <v>0</v>
      </c>
      <c r="BB171" s="233">
        <f>G171/(100-BC171)*100</f>
        <v>0</v>
      </c>
      <c r="BC171" s="233">
        <v>0</v>
      </c>
      <c r="BD171" s="233">
        <f>L171</f>
        <v>1.1312E-3</v>
      </c>
      <c r="BF171" s="233">
        <f>F171*AM171</f>
        <v>0</v>
      </c>
      <c r="BG171" s="233">
        <f>F171*AN171</f>
        <v>0</v>
      </c>
      <c r="BH171" s="233">
        <f>F171*G171</f>
        <v>0</v>
      </c>
      <c r="BI171" s="233"/>
      <c r="BJ171" s="233"/>
      <c r="BU171" s="233" t="e">
        <f>#REF!</f>
        <v>#REF!</v>
      </c>
      <c r="BV171" s="225" t="s">
        <v>2362</v>
      </c>
    </row>
    <row r="172" spans="1:74" ht="54" customHeight="1" x14ac:dyDescent="0.3">
      <c r="A172" s="241"/>
      <c r="B172" s="242" t="s">
        <v>165</v>
      </c>
      <c r="C172" s="530" t="s">
        <v>2363</v>
      </c>
      <c r="D172" s="531"/>
      <c r="E172" s="531"/>
      <c r="F172" s="531"/>
      <c r="G172" s="531"/>
      <c r="H172" s="531"/>
      <c r="I172" s="531"/>
      <c r="J172" s="531"/>
      <c r="K172" s="531"/>
      <c r="L172" s="531"/>
      <c r="M172" s="532"/>
    </row>
    <row r="173" spans="1:74" ht="14.4" x14ac:dyDescent="0.3">
      <c r="A173" s="239" t="s">
        <v>570</v>
      </c>
      <c r="B173" s="223" t="s">
        <v>1021</v>
      </c>
      <c r="C173" s="521" t="s">
        <v>2364</v>
      </c>
      <c r="D173" s="519"/>
      <c r="E173" s="223" t="s">
        <v>365</v>
      </c>
      <c r="F173" s="233">
        <v>1.01</v>
      </c>
      <c r="G173" s="311">
        <v>0</v>
      </c>
      <c r="H173" s="233">
        <f>F173*AM173</f>
        <v>0</v>
      </c>
      <c r="I173" s="233">
        <f>F173*AN173</f>
        <v>0</v>
      </c>
      <c r="J173" s="233">
        <f>F173*G173</f>
        <v>0</v>
      </c>
      <c r="K173" s="233">
        <v>7.5399999999999998E-3</v>
      </c>
      <c r="L173" s="233">
        <f>F173*K173</f>
        <v>7.6153999999999996E-3</v>
      </c>
      <c r="M173" s="240" t="s">
        <v>472</v>
      </c>
      <c r="X173" s="233">
        <f>IF(AO173="5",BH173,0)</f>
        <v>0</v>
      </c>
      <c r="Z173" s="233">
        <f>IF(AO173="1",BF173,0)</f>
        <v>0</v>
      </c>
      <c r="AA173" s="233">
        <f>IF(AO173="1",BG173,0)</f>
        <v>0</v>
      </c>
      <c r="AB173" s="233">
        <f>IF(AO173="7",BF173,0)</f>
        <v>0</v>
      </c>
      <c r="AC173" s="233">
        <f>IF(AO173="7",BG173,0)</f>
        <v>0</v>
      </c>
      <c r="AD173" s="233">
        <f>IF(AO173="2",BF173,0)</f>
        <v>0</v>
      </c>
      <c r="AE173" s="233">
        <f>IF(AO173="2",BG173,0)</f>
        <v>0</v>
      </c>
      <c r="AF173" s="233">
        <f>IF(AO173="0",BH173,0)</f>
        <v>0</v>
      </c>
      <c r="AG173" s="230" t="s">
        <v>154</v>
      </c>
      <c r="AH173" s="233">
        <f>IF(AL173=0,J173,0)</f>
        <v>0</v>
      </c>
      <c r="AI173" s="233">
        <f>IF(AL173=12,J173,0)</f>
        <v>0</v>
      </c>
      <c r="AJ173" s="233">
        <f>IF(AL173=21,J173,0)</f>
        <v>0</v>
      </c>
      <c r="AL173" s="233">
        <v>12</v>
      </c>
      <c r="AM173" s="233">
        <f>G173*1</f>
        <v>0</v>
      </c>
      <c r="AN173" s="233">
        <f>G173*(1-1)</f>
        <v>0</v>
      </c>
      <c r="AO173" s="234" t="s">
        <v>453</v>
      </c>
      <c r="AT173" s="233">
        <f>AU173+AV173</f>
        <v>0</v>
      </c>
      <c r="AU173" s="233">
        <f>F173*AM173</f>
        <v>0</v>
      </c>
      <c r="AV173" s="233">
        <f>F173*AN173</f>
        <v>0</v>
      </c>
      <c r="AW173" s="234" t="s">
        <v>454</v>
      </c>
      <c r="AX173" s="234" t="s">
        <v>455</v>
      </c>
      <c r="AY173" s="230" t="s">
        <v>164</v>
      </c>
      <c r="BA173" s="233">
        <f>AU173+AV173</f>
        <v>0</v>
      </c>
      <c r="BB173" s="233">
        <f>G173/(100-BC173)*100</f>
        <v>0</v>
      </c>
      <c r="BC173" s="233">
        <v>0</v>
      </c>
      <c r="BD173" s="233">
        <f>L173</f>
        <v>7.6153999999999996E-3</v>
      </c>
      <c r="BF173" s="233">
        <f>F173*AM173</f>
        <v>0</v>
      </c>
      <c r="BG173" s="233">
        <f>F173*AN173</f>
        <v>0</v>
      </c>
      <c r="BH173" s="233">
        <f>F173*G173</f>
        <v>0</v>
      </c>
      <c r="BI173" s="233"/>
      <c r="BJ173" s="233"/>
      <c r="BU173" s="233" t="e">
        <f>#REF!</f>
        <v>#REF!</v>
      </c>
      <c r="BV173" s="225" t="s">
        <v>2364</v>
      </c>
    </row>
    <row r="174" spans="1:74" ht="54" customHeight="1" x14ac:dyDescent="0.3">
      <c r="A174" s="244"/>
      <c r="B174" s="245" t="s">
        <v>165</v>
      </c>
      <c r="C174" s="540" t="s">
        <v>2365</v>
      </c>
      <c r="D174" s="541"/>
      <c r="E174" s="541"/>
      <c r="F174" s="541"/>
      <c r="G174" s="541"/>
      <c r="H174" s="541"/>
      <c r="I174" s="541"/>
      <c r="J174" s="541"/>
      <c r="K174" s="541"/>
      <c r="L174" s="541"/>
      <c r="M174" s="542"/>
    </row>
    <row r="175" spans="1:74" ht="14.4" x14ac:dyDescent="0.3">
      <c r="A175" s="237" t="s">
        <v>573</v>
      </c>
      <c r="B175" s="238" t="s">
        <v>2366</v>
      </c>
      <c r="C175" s="543" t="s">
        <v>2367</v>
      </c>
      <c r="D175" s="544"/>
      <c r="E175" s="238" t="s">
        <v>365</v>
      </c>
      <c r="F175" s="258">
        <v>1.01</v>
      </c>
      <c r="G175" s="311">
        <v>0</v>
      </c>
      <c r="H175" s="258">
        <f>F175*AM175</f>
        <v>0</v>
      </c>
      <c r="I175" s="258">
        <f>F175*AN175</f>
        <v>0</v>
      </c>
      <c r="J175" s="258">
        <f>F175*G175</f>
        <v>0</v>
      </c>
      <c r="K175" s="258">
        <v>3.65E-3</v>
      </c>
      <c r="L175" s="258">
        <f>F175*K175</f>
        <v>3.6865000000000001E-3</v>
      </c>
      <c r="M175" s="259" t="s">
        <v>472</v>
      </c>
      <c r="X175" s="233">
        <f>IF(AO175="5",BH175,0)</f>
        <v>0</v>
      </c>
      <c r="Z175" s="233">
        <f>IF(AO175="1",BF175,0)</f>
        <v>0</v>
      </c>
      <c r="AA175" s="233">
        <f>IF(AO175="1",BG175,0)</f>
        <v>0</v>
      </c>
      <c r="AB175" s="233">
        <f>IF(AO175="7",BF175,0)</f>
        <v>0</v>
      </c>
      <c r="AC175" s="233">
        <f>IF(AO175="7",BG175,0)</f>
        <v>0</v>
      </c>
      <c r="AD175" s="233">
        <f>IF(AO175="2",BF175,0)</f>
        <v>0</v>
      </c>
      <c r="AE175" s="233">
        <f>IF(AO175="2",BG175,0)</f>
        <v>0</v>
      </c>
      <c r="AF175" s="233">
        <f>IF(AO175="0",BH175,0)</f>
        <v>0</v>
      </c>
      <c r="AG175" s="230" t="s">
        <v>154</v>
      </c>
      <c r="AH175" s="233">
        <f>IF(AL175=0,J175,0)</f>
        <v>0</v>
      </c>
      <c r="AI175" s="233">
        <f>IF(AL175=12,J175,0)</f>
        <v>0</v>
      </c>
      <c r="AJ175" s="233">
        <f>IF(AL175=21,J175,0)</f>
        <v>0</v>
      </c>
      <c r="AL175" s="233">
        <v>12</v>
      </c>
      <c r="AM175" s="233">
        <f>G175*1</f>
        <v>0</v>
      </c>
      <c r="AN175" s="233">
        <f>G175*(1-1)</f>
        <v>0</v>
      </c>
      <c r="AO175" s="234" t="s">
        <v>453</v>
      </c>
      <c r="AT175" s="233">
        <f>AU175+AV175</f>
        <v>0</v>
      </c>
      <c r="AU175" s="233">
        <f>F175*AM175</f>
        <v>0</v>
      </c>
      <c r="AV175" s="233">
        <f>F175*AN175</f>
        <v>0</v>
      </c>
      <c r="AW175" s="234" t="s">
        <v>454</v>
      </c>
      <c r="AX175" s="234" t="s">
        <v>455</v>
      </c>
      <c r="AY175" s="230" t="s">
        <v>164</v>
      </c>
      <c r="BA175" s="233">
        <f>AU175+AV175</f>
        <v>0</v>
      </c>
      <c r="BB175" s="233">
        <f>G175/(100-BC175)*100</f>
        <v>0</v>
      </c>
      <c r="BC175" s="233">
        <v>0</v>
      </c>
      <c r="BD175" s="233">
        <f>L175</f>
        <v>3.6865000000000001E-3</v>
      </c>
      <c r="BF175" s="233">
        <f>F175*AM175</f>
        <v>0</v>
      </c>
      <c r="BG175" s="233">
        <f>F175*AN175</f>
        <v>0</v>
      </c>
      <c r="BH175" s="233">
        <f>F175*G175</f>
        <v>0</v>
      </c>
      <c r="BI175" s="233"/>
      <c r="BJ175" s="233"/>
      <c r="BU175" s="233" t="e">
        <f>#REF!</f>
        <v>#REF!</v>
      </c>
      <c r="BV175" s="225" t="s">
        <v>2367</v>
      </c>
    </row>
    <row r="176" spans="1:74" ht="54" customHeight="1" x14ac:dyDescent="0.3">
      <c r="A176" s="241"/>
      <c r="B176" s="242" t="s">
        <v>165</v>
      </c>
      <c r="C176" s="530" t="s">
        <v>2368</v>
      </c>
      <c r="D176" s="531"/>
      <c r="E176" s="531"/>
      <c r="F176" s="531"/>
      <c r="G176" s="531"/>
      <c r="H176" s="531"/>
      <c r="I176" s="531"/>
      <c r="J176" s="531"/>
      <c r="K176" s="531"/>
      <c r="L176" s="531"/>
      <c r="M176" s="532"/>
    </row>
    <row r="177" spans="1:74" ht="14.4" x14ac:dyDescent="0.3">
      <c r="A177" s="239" t="s">
        <v>576</v>
      </c>
      <c r="B177" s="223" t="s">
        <v>943</v>
      </c>
      <c r="C177" s="521" t="s">
        <v>944</v>
      </c>
      <c r="D177" s="519"/>
      <c r="E177" s="223" t="s">
        <v>365</v>
      </c>
      <c r="F177" s="233">
        <v>1</v>
      </c>
      <c r="G177" s="311">
        <v>0</v>
      </c>
      <c r="H177" s="233">
        <f t="shared" ref="H177:H182" si="0">F177*AM177</f>
        <v>0</v>
      </c>
      <c r="I177" s="233">
        <f t="shared" ref="I177:I182" si="1">F177*AN177</f>
        <v>0</v>
      </c>
      <c r="J177" s="233">
        <f t="shared" ref="J177:J182" si="2">F177*G177</f>
        <v>0</v>
      </c>
      <c r="K177" s="233">
        <v>6.8000000000000005E-2</v>
      </c>
      <c r="L177" s="233">
        <f t="shared" ref="L177:L182" si="3">F177*K177</f>
        <v>6.8000000000000005E-2</v>
      </c>
      <c r="M177" s="240" t="s">
        <v>472</v>
      </c>
      <c r="X177" s="233">
        <f t="shared" ref="X177:X182" si="4">IF(AO177="5",BH177,0)</f>
        <v>0</v>
      </c>
      <c r="Z177" s="233">
        <f t="shared" ref="Z177:Z182" si="5">IF(AO177="1",BF177,0)</f>
        <v>0</v>
      </c>
      <c r="AA177" s="233">
        <f t="shared" ref="AA177:AA182" si="6">IF(AO177="1",BG177,0)</f>
        <v>0</v>
      </c>
      <c r="AB177" s="233">
        <f t="shared" ref="AB177:AB182" si="7">IF(AO177="7",BF177,0)</f>
        <v>0</v>
      </c>
      <c r="AC177" s="233">
        <f t="shared" ref="AC177:AC182" si="8">IF(AO177="7",BG177,0)</f>
        <v>0</v>
      </c>
      <c r="AD177" s="233">
        <f t="shared" ref="AD177:AD182" si="9">IF(AO177="2",BF177,0)</f>
        <v>0</v>
      </c>
      <c r="AE177" s="233">
        <f t="shared" ref="AE177:AE182" si="10">IF(AO177="2",BG177,0)</f>
        <v>0</v>
      </c>
      <c r="AF177" s="233">
        <f t="shared" ref="AF177:AF182" si="11">IF(AO177="0",BH177,0)</f>
        <v>0</v>
      </c>
      <c r="AG177" s="230" t="s">
        <v>154</v>
      </c>
      <c r="AH177" s="233">
        <f t="shared" ref="AH177:AH182" si="12">IF(AL177=0,J177,0)</f>
        <v>0</v>
      </c>
      <c r="AI177" s="233">
        <f t="shared" ref="AI177:AI182" si="13">IF(AL177=12,J177,0)</f>
        <v>0</v>
      </c>
      <c r="AJ177" s="233">
        <f t="shared" ref="AJ177:AJ182" si="14">IF(AL177=21,J177,0)</f>
        <v>0</v>
      </c>
      <c r="AL177" s="233">
        <v>12</v>
      </c>
      <c r="AM177" s="233">
        <f t="shared" ref="AM177:AM182" si="15">G177*1</f>
        <v>0</v>
      </c>
      <c r="AN177" s="233">
        <f t="shared" ref="AN177:AN182" si="16">G177*(1-1)</f>
        <v>0</v>
      </c>
      <c r="AO177" s="234" t="s">
        <v>453</v>
      </c>
      <c r="AT177" s="233">
        <f t="shared" ref="AT177:AT182" si="17">AU177+AV177</f>
        <v>0</v>
      </c>
      <c r="AU177" s="233">
        <f t="shared" ref="AU177:AU182" si="18">F177*AM177</f>
        <v>0</v>
      </c>
      <c r="AV177" s="233">
        <f t="shared" ref="AV177:AV182" si="19">F177*AN177</f>
        <v>0</v>
      </c>
      <c r="AW177" s="234" t="s">
        <v>454</v>
      </c>
      <c r="AX177" s="234" t="s">
        <v>455</v>
      </c>
      <c r="AY177" s="230" t="s">
        <v>164</v>
      </c>
      <c r="BA177" s="233">
        <f t="shared" ref="BA177:BA182" si="20">AU177+AV177</f>
        <v>0</v>
      </c>
      <c r="BB177" s="233">
        <f t="shared" ref="BB177:BB182" si="21">G177/(100-BC177)*100</f>
        <v>0</v>
      </c>
      <c r="BC177" s="233">
        <v>0</v>
      </c>
      <c r="BD177" s="233">
        <f t="shared" ref="BD177:BD182" si="22">L177</f>
        <v>6.8000000000000005E-2</v>
      </c>
      <c r="BF177" s="233">
        <f t="shared" ref="BF177:BF182" si="23">F177*AM177</f>
        <v>0</v>
      </c>
      <c r="BG177" s="233">
        <f t="shared" ref="BG177:BG182" si="24">F177*AN177</f>
        <v>0</v>
      </c>
      <c r="BH177" s="233">
        <f t="shared" ref="BH177:BH182" si="25">F177*G177</f>
        <v>0</v>
      </c>
      <c r="BI177" s="233"/>
      <c r="BJ177" s="233"/>
      <c r="BU177" s="233" t="e">
        <f>#REF!</f>
        <v>#REF!</v>
      </c>
      <c r="BV177" s="225" t="s">
        <v>944</v>
      </c>
    </row>
    <row r="178" spans="1:74" ht="14.4" x14ac:dyDescent="0.3">
      <c r="A178" s="239" t="s">
        <v>580</v>
      </c>
      <c r="B178" s="223" t="s">
        <v>949</v>
      </c>
      <c r="C178" s="521" t="s">
        <v>950</v>
      </c>
      <c r="D178" s="519"/>
      <c r="E178" s="223" t="s">
        <v>365</v>
      </c>
      <c r="F178" s="233">
        <v>1</v>
      </c>
      <c r="G178" s="311">
        <v>0</v>
      </c>
      <c r="H178" s="233">
        <f t="shared" si="0"/>
        <v>0</v>
      </c>
      <c r="I178" s="233">
        <f t="shared" si="1"/>
        <v>0</v>
      </c>
      <c r="J178" s="233">
        <f t="shared" si="2"/>
        <v>0</v>
      </c>
      <c r="K178" s="233">
        <v>0.58499999999999996</v>
      </c>
      <c r="L178" s="233">
        <f t="shared" si="3"/>
        <v>0.58499999999999996</v>
      </c>
      <c r="M178" s="240" t="s">
        <v>472</v>
      </c>
      <c r="X178" s="233">
        <f t="shared" si="4"/>
        <v>0</v>
      </c>
      <c r="Z178" s="233">
        <f t="shared" si="5"/>
        <v>0</v>
      </c>
      <c r="AA178" s="233">
        <f t="shared" si="6"/>
        <v>0</v>
      </c>
      <c r="AB178" s="233">
        <f t="shared" si="7"/>
        <v>0</v>
      </c>
      <c r="AC178" s="233">
        <f t="shared" si="8"/>
        <v>0</v>
      </c>
      <c r="AD178" s="233">
        <f t="shared" si="9"/>
        <v>0</v>
      </c>
      <c r="AE178" s="233">
        <f t="shared" si="10"/>
        <v>0</v>
      </c>
      <c r="AF178" s="233">
        <f t="shared" si="11"/>
        <v>0</v>
      </c>
      <c r="AG178" s="230" t="s">
        <v>154</v>
      </c>
      <c r="AH178" s="233">
        <f t="shared" si="12"/>
        <v>0</v>
      </c>
      <c r="AI178" s="233">
        <f t="shared" si="13"/>
        <v>0</v>
      </c>
      <c r="AJ178" s="233">
        <f t="shared" si="14"/>
        <v>0</v>
      </c>
      <c r="AL178" s="233">
        <v>12</v>
      </c>
      <c r="AM178" s="233">
        <f t="shared" si="15"/>
        <v>0</v>
      </c>
      <c r="AN178" s="233">
        <f t="shared" si="16"/>
        <v>0</v>
      </c>
      <c r="AO178" s="234" t="s">
        <v>453</v>
      </c>
      <c r="AT178" s="233">
        <f t="shared" si="17"/>
        <v>0</v>
      </c>
      <c r="AU178" s="233">
        <f t="shared" si="18"/>
        <v>0</v>
      </c>
      <c r="AV178" s="233">
        <f t="shared" si="19"/>
        <v>0</v>
      </c>
      <c r="AW178" s="234" t="s">
        <v>454</v>
      </c>
      <c r="AX178" s="234" t="s">
        <v>455</v>
      </c>
      <c r="AY178" s="230" t="s">
        <v>164</v>
      </c>
      <c r="BA178" s="233">
        <f t="shared" si="20"/>
        <v>0</v>
      </c>
      <c r="BB178" s="233">
        <f t="shared" si="21"/>
        <v>0</v>
      </c>
      <c r="BC178" s="233">
        <v>0</v>
      </c>
      <c r="BD178" s="233">
        <f t="shared" si="22"/>
        <v>0.58499999999999996</v>
      </c>
      <c r="BF178" s="233">
        <f t="shared" si="23"/>
        <v>0</v>
      </c>
      <c r="BG178" s="233">
        <f t="shared" si="24"/>
        <v>0</v>
      </c>
      <c r="BH178" s="233">
        <f t="shared" si="25"/>
        <v>0</v>
      </c>
      <c r="BI178" s="233"/>
      <c r="BJ178" s="233"/>
      <c r="BU178" s="233" t="e">
        <f>#REF!</f>
        <v>#REF!</v>
      </c>
      <c r="BV178" s="225" t="s">
        <v>950</v>
      </c>
    </row>
    <row r="179" spans="1:74" ht="14.4" x14ac:dyDescent="0.3">
      <c r="A179" s="239" t="s">
        <v>584</v>
      </c>
      <c r="B179" s="223" t="s">
        <v>953</v>
      </c>
      <c r="C179" s="521" t="s">
        <v>954</v>
      </c>
      <c r="D179" s="519"/>
      <c r="E179" s="223" t="s">
        <v>365</v>
      </c>
      <c r="F179" s="233">
        <v>1</v>
      </c>
      <c r="G179" s="311">
        <v>0</v>
      </c>
      <c r="H179" s="233">
        <f t="shared" si="0"/>
        <v>0</v>
      </c>
      <c r="I179" s="233">
        <f t="shared" si="1"/>
        <v>0</v>
      </c>
      <c r="J179" s="233">
        <f t="shared" si="2"/>
        <v>0</v>
      </c>
      <c r="K179" s="233">
        <v>1</v>
      </c>
      <c r="L179" s="233">
        <f t="shared" si="3"/>
        <v>1</v>
      </c>
      <c r="M179" s="240" t="s">
        <v>472</v>
      </c>
      <c r="X179" s="233">
        <f t="shared" si="4"/>
        <v>0</v>
      </c>
      <c r="Z179" s="233">
        <f t="shared" si="5"/>
        <v>0</v>
      </c>
      <c r="AA179" s="233">
        <f t="shared" si="6"/>
        <v>0</v>
      </c>
      <c r="AB179" s="233">
        <f t="shared" si="7"/>
        <v>0</v>
      </c>
      <c r="AC179" s="233">
        <f t="shared" si="8"/>
        <v>0</v>
      </c>
      <c r="AD179" s="233">
        <f t="shared" si="9"/>
        <v>0</v>
      </c>
      <c r="AE179" s="233">
        <f t="shared" si="10"/>
        <v>0</v>
      </c>
      <c r="AF179" s="233">
        <f t="shared" si="11"/>
        <v>0</v>
      </c>
      <c r="AG179" s="230" t="s">
        <v>154</v>
      </c>
      <c r="AH179" s="233">
        <f t="shared" si="12"/>
        <v>0</v>
      </c>
      <c r="AI179" s="233">
        <f t="shared" si="13"/>
        <v>0</v>
      </c>
      <c r="AJ179" s="233">
        <f t="shared" si="14"/>
        <v>0</v>
      </c>
      <c r="AL179" s="233">
        <v>12</v>
      </c>
      <c r="AM179" s="233">
        <f t="shared" si="15"/>
        <v>0</v>
      </c>
      <c r="AN179" s="233">
        <f t="shared" si="16"/>
        <v>0</v>
      </c>
      <c r="AO179" s="234" t="s">
        <v>453</v>
      </c>
      <c r="AT179" s="233">
        <f t="shared" si="17"/>
        <v>0</v>
      </c>
      <c r="AU179" s="233">
        <f t="shared" si="18"/>
        <v>0</v>
      </c>
      <c r="AV179" s="233">
        <f t="shared" si="19"/>
        <v>0</v>
      </c>
      <c r="AW179" s="234" t="s">
        <v>454</v>
      </c>
      <c r="AX179" s="234" t="s">
        <v>455</v>
      </c>
      <c r="AY179" s="230" t="s">
        <v>164</v>
      </c>
      <c r="BA179" s="233">
        <f t="shared" si="20"/>
        <v>0</v>
      </c>
      <c r="BB179" s="233">
        <f t="shared" si="21"/>
        <v>0</v>
      </c>
      <c r="BC179" s="233">
        <v>0</v>
      </c>
      <c r="BD179" s="233">
        <f t="shared" si="22"/>
        <v>1</v>
      </c>
      <c r="BF179" s="233">
        <f t="shared" si="23"/>
        <v>0</v>
      </c>
      <c r="BG179" s="233">
        <f t="shared" si="24"/>
        <v>0</v>
      </c>
      <c r="BH179" s="233">
        <f t="shared" si="25"/>
        <v>0</v>
      </c>
      <c r="BI179" s="233"/>
      <c r="BJ179" s="233"/>
      <c r="BU179" s="233" t="e">
        <f>#REF!</f>
        <v>#REF!</v>
      </c>
      <c r="BV179" s="225" t="s">
        <v>954</v>
      </c>
    </row>
    <row r="180" spans="1:74" ht="14.4" x14ac:dyDescent="0.3">
      <c r="A180" s="239" t="s">
        <v>585</v>
      </c>
      <c r="B180" s="223" t="s">
        <v>959</v>
      </c>
      <c r="C180" s="521" t="s">
        <v>960</v>
      </c>
      <c r="D180" s="519"/>
      <c r="E180" s="223" t="s">
        <v>365</v>
      </c>
      <c r="F180" s="233">
        <v>1</v>
      </c>
      <c r="G180" s="311">
        <v>0</v>
      </c>
      <c r="H180" s="233">
        <f t="shared" si="0"/>
        <v>0</v>
      </c>
      <c r="I180" s="233">
        <f t="shared" si="1"/>
        <v>0</v>
      </c>
      <c r="J180" s="233">
        <f t="shared" si="2"/>
        <v>0</v>
      </c>
      <c r="K180" s="233">
        <v>2.1</v>
      </c>
      <c r="L180" s="233">
        <f t="shared" si="3"/>
        <v>2.1</v>
      </c>
      <c r="M180" s="240" t="s">
        <v>472</v>
      </c>
      <c r="X180" s="233">
        <f t="shared" si="4"/>
        <v>0</v>
      </c>
      <c r="Z180" s="233">
        <f t="shared" si="5"/>
        <v>0</v>
      </c>
      <c r="AA180" s="233">
        <f t="shared" si="6"/>
        <v>0</v>
      </c>
      <c r="AB180" s="233">
        <f t="shared" si="7"/>
        <v>0</v>
      </c>
      <c r="AC180" s="233">
        <f t="shared" si="8"/>
        <v>0</v>
      </c>
      <c r="AD180" s="233">
        <f t="shared" si="9"/>
        <v>0</v>
      </c>
      <c r="AE180" s="233">
        <f t="shared" si="10"/>
        <v>0</v>
      </c>
      <c r="AF180" s="233">
        <f t="shared" si="11"/>
        <v>0</v>
      </c>
      <c r="AG180" s="230" t="s">
        <v>154</v>
      </c>
      <c r="AH180" s="233">
        <f t="shared" si="12"/>
        <v>0</v>
      </c>
      <c r="AI180" s="233">
        <f t="shared" si="13"/>
        <v>0</v>
      </c>
      <c r="AJ180" s="233">
        <f t="shared" si="14"/>
        <v>0</v>
      </c>
      <c r="AL180" s="233">
        <v>12</v>
      </c>
      <c r="AM180" s="233">
        <f t="shared" si="15"/>
        <v>0</v>
      </c>
      <c r="AN180" s="233">
        <f t="shared" si="16"/>
        <v>0</v>
      </c>
      <c r="AO180" s="234" t="s">
        <v>453</v>
      </c>
      <c r="AT180" s="233">
        <f t="shared" si="17"/>
        <v>0</v>
      </c>
      <c r="AU180" s="233">
        <f t="shared" si="18"/>
        <v>0</v>
      </c>
      <c r="AV180" s="233">
        <f t="shared" si="19"/>
        <v>0</v>
      </c>
      <c r="AW180" s="234" t="s">
        <v>454</v>
      </c>
      <c r="AX180" s="234" t="s">
        <v>455</v>
      </c>
      <c r="AY180" s="230" t="s">
        <v>164</v>
      </c>
      <c r="BA180" s="233">
        <f t="shared" si="20"/>
        <v>0</v>
      </c>
      <c r="BB180" s="233">
        <f t="shared" si="21"/>
        <v>0</v>
      </c>
      <c r="BC180" s="233">
        <v>0</v>
      </c>
      <c r="BD180" s="233">
        <f t="shared" si="22"/>
        <v>2.1</v>
      </c>
      <c r="BF180" s="233">
        <f t="shared" si="23"/>
        <v>0</v>
      </c>
      <c r="BG180" s="233">
        <f t="shared" si="24"/>
        <v>0</v>
      </c>
      <c r="BH180" s="233">
        <f t="shared" si="25"/>
        <v>0</v>
      </c>
      <c r="BI180" s="233"/>
      <c r="BJ180" s="233"/>
      <c r="BU180" s="233" t="e">
        <f>#REF!</f>
        <v>#REF!</v>
      </c>
      <c r="BV180" s="225" t="s">
        <v>960</v>
      </c>
    </row>
    <row r="181" spans="1:74" ht="14.4" x14ac:dyDescent="0.3">
      <c r="A181" s="239" t="s">
        <v>589</v>
      </c>
      <c r="B181" s="223" t="s">
        <v>961</v>
      </c>
      <c r="C181" s="521" t="s">
        <v>962</v>
      </c>
      <c r="D181" s="519"/>
      <c r="E181" s="223" t="s">
        <v>365</v>
      </c>
      <c r="F181" s="233">
        <v>2</v>
      </c>
      <c r="G181" s="311">
        <v>0</v>
      </c>
      <c r="H181" s="233">
        <f t="shared" si="0"/>
        <v>0</v>
      </c>
      <c r="I181" s="233">
        <f t="shared" si="1"/>
        <v>0</v>
      </c>
      <c r="J181" s="233">
        <f t="shared" si="2"/>
        <v>0</v>
      </c>
      <c r="K181" s="233">
        <v>2E-3</v>
      </c>
      <c r="L181" s="233">
        <f t="shared" si="3"/>
        <v>4.0000000000000001E-3</v>
      </c>
      <c r="M181" s="240" t="s">
        <v>472</v>
      </c>
      <c r="X181" s="233">
        <f t="shared" si="4"/>
        <v>0</v>
      </c>
      <c r="Z181" s="233">
        <f t="shared" si="5"/>
        <v>0</v>
      </c>
      <c r="AA181" s="233">
        <f t="shared" si="6"/>
        <v>0</v>
      </c>
      <c r="AB181" s="233">
        <f t="shared" si="7"/>
        <v>0</v>
      </c>
      <c r="AC181" s="233">
        <f t="shared" si="8"/>
        <v>0</v>
      </c>
      <c r="AD181" s="233">
        <f t="shared" si="9"/>
        <v>0</v>
      </c>
      <c r="AE181" s="233">
        <f t="shared" si="10"/>
        <v>0</v>
      </c>
      <c r="AF181" s="233">
        <f t="shared" si="11"/>
        <v>0</v>
      </c>
      <c r="AG181" s="230" t="s">
        <v>154</v>
      </c>
      <c r="AH181" s="233">
        <f t="shared" si="12"/>
        <v>0</v>
      </c>
      <c r="AI181" s="233">
        <f t="shared" si="13"/>
        <v>0</v>
      </c>
      <c r="AJ181" s="233">
        <f t="shared" si="14"/>
        <v>0</v>
      </c>
      <c r="AL181" s="233">
        <v>12</v>
      </c>
      <c r="AM181" s="233">
        <f t="shared" si="15"/>
        <v>0</v>
      </c>
      <c r="AN181" s="233">
        <f t="shared" si="16"/>
        <v>0</v>
      </c>
      <c r="AO181" s="234" t="s">
        <v>453</v>
      </c>
      <c r="AT181" s="233">
        <f t="shared" si="17"/>
        <v>0</v>
      </c>
      <c r="AU181" s="233">
        <f t="shared" si="18"/>
        <v>0</v>
      </c>
      <c r="AV181" s="233">
        <f t="shared" si="19"/>
        <v>0</v>
      </c>
      <c r="AW181" s="234" t="s">
        <v>454</v>
      </c>
      <c r="AX181" s="234" t="s">
        <v>455</v>
      </c>
      <c r="AY181" s="230" t="s">
        <v>164</v>
      </c>
      <c r="BA181" s="233">
        <f t="shared" si="20"/>
        <v>0</v>
      </c>
      <c r="BB181" s="233">
        <f t="shared" si="21"/>
        <v>0</v>
      </c>
      <c r="BC181" s="233">
        <v>0</v>
      </c>
      <c r="BD181" s="233">
        <f t="shared" si="22"/>
        <v>4.0000000000000001E-3</v>
      </c>
      <c r="BF181" s="233">
        <f t="shared" si="23"/>
        <v>0</v>
      </c>
      <c r="BG181" s="233">
        <f t="shared" si="24"/>
        <v>0</v>
      </c>
      <c r="BH181" s="233">
        <f t="shared" si="25"/>
        <v>0</v>
      </c>
      <c r="BI181" s="233"/>
      <c r="BJ181" s="233"/>
      <c r="BU181" s="233" t="e">
        <f>#REF!</f>
        <v>#REF!</v>
      </c>
      <c r="BV181" s="225" t="s">
        <v>962</v>
      </c>
    </row>
    <row r="182" spans="1:74" ht="14.4" x14ac:dyDescent="0.3">
      <c r="A182" s="239" t="s">
        <v>593</v>
      </c>
      <c r="B182" s="223" t="s">
        <v>966</v>
      </c>
      <c r="C182" s="521" t="s">
        <v>967</v>
      </c>
      <c r="D182" s="519"/>
      <c r="E182" s="223" t="s">
        <v>365</v>
      </c>
      <c r="F182" s="233">
        <v>1</v>
      </c>
      <c r="G182" s="311">
        <v>0</v>
      </c>
      <c r="H182" s="233">
        <f t="shared" si="0"/>
        <v>0</v>
      </c>
      <c r="I182" s="233">
        <f t="shared" si="1"/>
        <v>0</v>
      </c>
      <c r="J182" s="233">
        <f t="shared" si="2"/>
        <v>0</v>
      </c>
      <c r="K182" s="233">
        <v>0.158</v>
      </c>
      <c r="L182" s="233">
        <f t="shared" si="3"/>
        <v>0.158</v>
      </c>
      <c r="M182" s="240" t="s">
        <v>2369</v>
      </c>
      <c r="X182" s="233">
        <f t="shared" si="4"/>
        <v>0</v>
      </c>
      <c r="Z182" s="233">
        <f t="shared" si="5"/>
        <v>0</v>
      </c>
      <c r="AA182" s="233">
        <f t="shared" si="6"/>
        <v>0</v>
      </c>
      <c r="AB182" s="233">
        <f t="shared" si="7"/>
        <v>0</v>
      </c>
      <c r="AC182" s="233">
        <f t="shared" si="8"/>
        <v>0</v>
      </c>
      <c r="AD182" s="233">
        <f t="shared" si="9"/>
        <v>0</v>
      </c>
      <c r="AE182" s="233">
        <f t="shared" si="10"/>
        <v>0</v>
      </c>
      <c r="AF182" s="233">
        <f t="shared" si="11"/>
        <v>0</v>
      </c>
      <c r="AG182" s="230" t="s">
        <v>154</v>
      </c>
      <c r="AH182" s="233">
        <f t="shared" si="12"/>
        <v>0</v>
      </c>
      <c r="AI182" s="233">
        <f t="shared" si="13"/>
        <v>0</v>
      </c>
      <c r="AJ182" s="233">
        <f t="shared" si="14"/>
        <v>0</v>
      </c>
      <c r="AL182" s="233">
        <v>12</v>
      </c>
      <c r="AM182" s="233">
        <f t="shared" si="15"/>
        <v>0</v>
      </c>
      <c r="AN182" s="233">
        <f t="shared" si="16"/>
        <v>0</v>
      </c>
      <c r="AO182" s="234" t="s">
        <v>453</v>
      </c>
      <c r="AT182" s="233">
        <f t="shared" si="17"/>
        <v>0</v>
      </c>
      <c r="AU182" s="233">
        <f t="shared" si="18"/>
        <v>0</v>
      </c>
      <c r="AV182" s="233">
        <f t="shared" si="19"/>
        <v>0</v>
      </c>
      <c r="AW182" s="234" t="s">
        <v>454</v>
      </c>
      <c r="AX182" s="234" t="s">
        <v>455</v>
      </c>
      <c r="AY182" s="230" t="s">
        <v>164</v>
      </c>
      <c r="BA182" s="233">
        <f t="shared" si="20"/>
        <v>0</v>
      </c>
      <c r="BB182" s="233">
        <f t="shared" si="21"/>
        <v>0</v>
      </c>
      <c r="BC182" s="233">
        <v>0</v>
      </c>
      <c r="BD182" s="233">
        <f t="shared" si="22"/>
        <v>0.158</v>
      </c>
      <c r="BF182" s="233">
        <f t="shared" si="23"/>
        <v>0</v>
      </c>
      <c r="BG182" s="233">
        <f t="shared" si="24"/>
        <v>0</v>
      </c>
      <c r="BH182" s="233">
        <f t="shared" si="25"/>
        <v>0</v>
      </c>
      <c r="BI182" s="233"/>
      <c r="BJ182" s="233"/>
      <c r="BU182" s="233" t="e">
        <f>#REF!</f>
        <v>#REF!</v>
      </c>
      <c r="BV182" s="225" t="s">
        <v>967</v>
      </c>
    </row>
    <row r="183" spans="1:74" ht="27" customHeight="1" x14ac:dyDescent="0.3">
      <c r="A183" s="241"/>
      <c r="B183" s="242" t="s">
        <v>165</v>
      </c>
      <c r="C183" s="530" t="s">
        <v>968</v>
      </c>
      <c r="D183" s="531"/>
      <c r="E183" s="531"/>
      <c r="F183" s="531"/>
      <c r="G183" s="531"/>
      <c r="H183" s="531"/>
      <c r="I183" s="531"/>
      <c r="J183" s="531"/>
      <c r="K183" s="531"/>
      <c r="L183" s="531"/>
      <c r="M183" s="532"/>
    </row>
    <row r="184" spans="1:74" ht="14.4" x14ac:dyDescent="0.3">
      <c r="A184" s="239" t="s">
        <v>597</v>
      </c>
      <c r="B184" s="223" t="s">
        <v>992</v>
      </c>
      <c r="C184" s="521" t="s">
        <v>993</v>
      </c>
      <c r="D184" s="519"/>
      <c r="E184" s="223" t="s">
        <v>471</v>
      </c>
      <c r="F184" s="233">
        <v>1</v>
      </c>
      <c r="G184" s="311">
        <v>0</v>
      </c>
      <c r="H184" s="233">
        <f>F184*AM184</f>
        <v>0</v>
      </c>
      <c r="I184" s="233">
        <f>F184*AN184</f>
        <v>0</v>
      </c>
      <c r="J184" s="233">
        <f>F184*G184</f>
        <v>0</v>
      </c>
      <c r="K184" s="233">
        <v>0.06</v>
      </c>
      <c r="L184" s="233">
        <f>F184*K184</f>
        <v>0.06</v>
      </c>
      <c r="M184" s="240" t="s">
        <v>472</v>
      </c>
      <c r="X184" s="233">
        <f>IF(AO184="5",BH184,0)</f>
        <v>0</v>
      </c>
      <c r="Z184" s="233">
        <f>IF(AO184="1",BF184,0)</f>
        <v>0</v>
      </c>
      <c r="AA184" s="233">
        <f>IF(AO184="1",BG184,0)</f>
        <v>0</v>
      </c>
      <c r="AB184" s="233">
        <f>IF(AO184="7",BF184,0)</f>
        <v>0</v>
      </c>
      <c r="AC184" s="233">
        <f>IF(AO184="7",BG184,0)</f>
        <v>0</v>
      </c>
      <c r="AD184" s="233">
        <f>IF(AO184="2",BF184,0)</f>
        <v>0</v>
      </c>
      <c r="AE184" s="233">
        <f>IF(AO184="2",BG184,0)</f>
        <v>0</v>
      </c>
      <c r="AF184" s="233">
        <f>IF(AO184="0",BH184,0)</f>
        <v>0</v>
      </c>
      <c r="AG184" s="230" t="s">
        <v>154</v>
      </c>
      <c r="AH184" s="233">
        <f>IF(AL184=0,J184,0)</f>
        <v>0</v>
      </c>
      <c r="AI184" s="233">
        <f>IF(AL184=12,J184,0)</f>
        <v>0</v>
      </c>
      <c r="AJ184" s="233">
        <f>IF(AL184=21,J184,0)</f>
        <v>0</v>
      </c>
      <c r="AL184" s="233">
        <v>12</v>
      </c>
      <c r="AM184" s="233">
        <f>G184*1</f>
        <v>0</v>
      </c>
      <c r="AN184" s="233">
        <f>G184*(1-1)</f>
        <v>0</v>
      </c>
      <c r="AO184" s="234" t="s">
        <v>453</v>
      </c>
      <c r="AT184" s="233">
        <f>AU184+AV184</f>
        <v>0</v>
      </c>
      <c r="AU184" s="233">
        <f>F184*AM184</f>
        <v>0</v>
      </c>
      <c r="AV184" s="233">
        <f>F184*AN184</f>
        <v>0</v>
      </c>
      <c r="AW184" s="234" t="s">
        <v>454</v>
      </c>
      <c r="AX184" s="234" t="s">
        <v>455</v>
      </c>
      <c r="AY184" s="230" t="s">
        <v>164</v>
      </c>
      <c r="BA184" s="233">
        <f>AU184+AV184</f>
        <v>0</v>
      </c>
      <c r="BB184" s="233">
        <f>G184/(100-BC184)*100</f>
        <v>0</v>
      </c>
      <c r="BC184" s="233">
        <v>0</v>
      </c>
      <c r="BD184" s="233">
        <f>L184</f>
        <v>0.06</v>
      </c>
      <c r="BF184" s="233">
        <f>F184*AM184</f>
        <v>0</v>
      </c>
      <c r="BG184" s="233">
        <f>F184*AN184</f>
        <v>0</v>
      </c>
      <c r="BH184" s="233">
        <f>F184*G184</f>
        <v>0</v>
      </c>
      <c r="BI184" s="233"/>
      <c r="BJ184" s="233"/>
      <c r="BU184" s="233" t="e">
        <f>#REF!</f>
        <v>#REF!</v>
      </c>
      <c r="BV184" s="225" t="s">
        <v>993</v>
      </c>
    </row>
    <row r="185" spans="1:74" ht="40.5" customHeight="1" x14ac:dyDescent="0.3">
      <c r="A185" s="244"/>
      <c r="B185" s="245" t="s">
        <v>165</v>
      </c>
      <c r="C185" s="540" t="s">
        <v>1774</v>
      </c>
      <c r="D185" s="541"/>
      <c r="E185" s="541"/>
      <c r="F185" s="541"/>
      <c r="G185" s="541"/>
      <c r="H185" s="541"/>
      <c r="I185" s="541"/>
      <c r="J185" s="541"/>
      <c r="K185" s="541"/>
      <c r="L185" s="541"/>
      <c r="M185" s="542"/>
    </row>
    <row r="186" spans="1:74" ht="14.4" x14ac:dyDescent="0.3">
      <c r="H186" s="527" t="s">
        <v>423</v>
      </c>
      <c r="I186" s="527"/>
      <c r="J186" s="235">
        <f>J12+J23+J26+J39+J44+J65+J71+J74+J79+J82+J85+J88+J103+J106+J109+J120+J143+J146+J149+J156+J160</f>
        <v>0</v>
      </c>
    </row>
    <row r="187" spans="1:74" ht="14.4" x14ac:dyDescent="0.3">
      <c r="A187" s="236" t="s">
        <v>165</v>
      </c>
    </row>
    <row r="188" spans="1:74" ht="13.5" customHeight="1" x14ac:dyDescent="0.3">
      <c r="A188" s="521" t="s">
        <v>2370</v>
      </c>
      <c r="B188" s="519"/>
      <c r="C188" s="519"/>
      <c r="D188" s="519"/>
      <c r="E188" s="519"/>
      <c r="F188" s="519"/>
      <c r="G188" s="519"/>
      <c r="H188" s="519"/>
      <c r="I188" s="519"/>
      <c r="J188" s="519"/>
      <c r="K188" s="519"/>
      <c r="L188" s="519"/>
      <c r="M188" s="519"/>
    </row>
    <row r="189" spans="1:74" ht="15" customHeight="1" x14ac:dyDescent="0.3">
      <c r="A189" s="549" t="s">
        <v>2302</v>
      </c>
      <c r="B189" s="550"/>
      <c r="C189" s="550"/>
      <c r="D189" s="550"/>
      <c r="E189" s="550"/>
      <c r="F189" s="550"/>
      <c r="G189" s="550"/>
      <c r="H189" s="550"/>
      <c r="I189" s="550"/>
      <c r="J189" s="550"/>
      <c r="K189" s="550"/>
      <c r="L189" s="550"/>
      <c r="M189" s="550"/>
    </row>
  </sheetData>
  <sheetProtection algorithmName="SHA-512" hashValue="6KC13HLrgjFtLO9bSsKJ82YeTSnkXkxRO700rs6BuU/LVddqzHuctqXJydhyiyh/HJ3QHYfHU/UwuOnJY4uNOA==" saltValue="a8jLoYkWQ0U945A3Cn9O8A==" spinCount="100000" sheet="1" objects="1" scenarios="1" formatCells="0" formatColumns="0" formatRows="0" insertColumns="0" insertRows="0" insertHyperlinks="0"/>
  <mergeCells count="206">
    <mergeCell ref="A4:B5"/>
    <mergeCell ref="C4:D5"/>
    <mergeCell ref="E4:F5"/>
    <mergeCell ref="G4:G5"/>
    <mergeCell ref="H4:H5"/>
    <mergeCell ref="I4:M5"/>
    <mergeCell ref="A1:M1"/>
    <mergeCell ref="A2:B3"/>
    <mergeCell ref="C2:D3"/>
    <mergeCell ref="E2:F3"/>
    <mergeCell ref="G2:G3"/>
    <mergeCell ref="H2:H3"/>
    <mergeCell ref="I2:M3"/>
    <mergeCell ref="A8:B9"/>
    <mergeCell ref="C8:D9"/>
    <mergeCell ref="E8:F9"/>
    <mergeCell ref="G8:G9"/>
    <mergeCell ref="H8:H9"/>
    <mergeCell ref="I8:M9"/>
    <mergeCell ref="A6:B7"/>
    <mergeCell ref="C6:D7"/>
    <mergeCell ref="E6:F7"/>
    <mergeCell ref="G6:G7"/>
    <mergeCell ref="H6:H7"/>
    <mergeCell ref="I6:M7"/>
    <mergeCell ref="C14:M14"/>
    <mergeCell ref="C15:D15"/>
    <mergeCell ref="C16:M16"/>
    <mergeCell ref="C17:D17"/>
    <mergeCell ref="C18:M18"/>
    <mergeCell ref="C19:D19"/>
    <mergeCell ref="C10:D10"/>
    <mergeCell ref="H10:J10"/>
    <mergeCell ref="K10:L10"/>
    <mergeCell ref="C11:D11"/>
    <mergeCell ref="C12:D12"/>
    <mergeCell ref="C13:D13"/>
    <mergeCell ref="C26:D26"/>
    <mergeCell ref="C27:D27"/>
    <mergeCell ref="C28:M28"/>
    <mergeCell ref="C29:D29"/>
    <mergeCell ref="C30:M30"/>
    <mergeCell ref="C31:D31"/>
    <mergeCell ref="C20:M20"/>
    <mergeCell ref="C21:D21"/>
    <mergeCell ref="C22:M22"/>
    <mergeCell ref="C23:D23"/>
    <mergeCell ref="C24:D24"/>
    <mergeCell ref="C25:M25"/>
    <mergeCell ref="C38:M38"/>
    <mergeCell ref="C39:D39"/>
    <mergeCell ref="C40:D40"/>
    <mergeCell ref="C41:M41"/>
    <mergeCell ref="C42:D42"/>
    <mergeCell ref="C43:M43"/>
    <mergeCell ref="C32:M32"/>
    <mergeCell ref="C33:D33"/>
    <mergeCell ref="C34:M34"/>
    <mergeCell ref="C35:D35"/>
    <mergeCell ref="C36:M36"/>
    <mergeCell ref="C37:D37"/>
    <mergeCell ref="C50:M50"/>
    <mergeCell ref="C51:D51"/>
    <mergeCell ref="C52:M52"/>
    <mergeCell ref="C53:D53"/>
    <mergeCell ref="C54:M54"/>
    <mergeCell ref="C55:D55"/>
    <mergeCell ref="C44:D44"/>
    <mergeCell ref="C45:D45"/>
    <mergeCell ref="C46:M46"/>
    <mergeCell ref="C47:D47"/>
    <mergeCell ref="C48:M48"/>
    <mergeCell ref="C49:D49"/>
    <mergeCell ref="C62:M62"/>
    <mergeCell ref="C63:D63"/>
    <mergeCell ref="C64:M64"/>
    <mergeCell ref="C65:D65"/>
    <mergeCell ref="C66:D66"/>
    <mergeCell ref="C67:M67"/>
    <mergeCell ref="C56:M56"/>
    <mergeCell ref="C57:D57"/>
    <mergeCell ref="C58:M58"/>
    <mergeCell ref="C59:D59"/>
    <mergeCell ref="C60:M60"/>
    <mergeCell ref="C61:D61"/>
    <mergeCell ref="C74:D74"/>
    <mergeCell ref="C75:D75"/>
    <mergeCell ref="C76:M76"/>
    <mergeCell ref="C77:D77"/>
    <mergeCell ref="C78:M78"/>
    <mergeCell ref="C79:D79"/>
    <mergeCell ref="C68:D68"/>
    <mergeCell ref="C69:D69"/>
    <mergeCell ref="C70:M70"/>
    <mergeCell ref="C71:D71"/>
    <mergeCell ref="C72:D72"/>
    <mergeCell ref="C73:M73"/>
    <mergeCell ref="C86:D86"/>
    <mergeCell ref="C87:M87"/>
    <mergeCell ref="C88:D88"/>
    <mergeCell ref="C89:D89"/>
    <mergeCell ref="C90:M90"/>
    <mergeCell ref="C91:D91"/>
    <mergeCell ref="C80:D80"/>
    <mergeCell ref="C81:M81"/>
    <mergeCell ref="C82:D82"/>
    <mergeCell ref="C83:D83"/>
    <mergeCell ref="C84:M84"/>
    <mergeCell ref="C85:D85"/>
    <mergeCell ref="C98:M98"/>
    <mergeCell ref="C99:D99"/>
    <mergeCell ref="C100:M100"/>
    <mergeCell ref="C101:D101"/>
    <mergeCell ref="C102:M102"/>
    <mergeCell ref="C103:D103"/>
    <mergeCell ref="C92:M92"/>
    <mergeCell ref="C93:D93"/>
    <mergeCell ref="C94:M94"/>
    <mergeCell ref="C95:D95"/>
    <mergeCell ref="C96:M96"/>
    <mergeCell ref="C97:D97"/>
    <mergeCell ref="C110:D110"/>
    <mergeCell ref="C111:M111"/>
    <mergeCell ref="C112:D112"/>
    <mergeCell ref="C113:M113"/>
    <mergeCell ref="C114:D114"/>
    <mergeCell ref="C115:M115"/>
    <mergeCell ref="C104:D104"/>
    <mergeCell ref="C105:M105"/>
    <mergeCell ref="C106:D106"/>
    <mergeCell ref="C107:D107"/>
    <mergeCell ref="C108:M108"/>
    <mergeCell ref="C109:D109"/>
    <mergeCell ref="C122:M122"/>
    <mergeCell ref="C123:D123"/>
    <mergeCell ref="C124:M124"/>
    <mergeCell ref="C125:D125"/>
    <mergeCell ref="C126:M126"/>
    <mergeCell ref="C127:D127"/>
    <mergeCell ref="C116:D116"/>
    <mergeCell ref="C117:M117"/>
    <mergeCell ref="C118:D118"/>
    <mergeCell ref="C119:M119"/>
    <mergeCell ref="C120:D120"/>
    <mergeCell ref="C121:D121"/>
    <mergeCell ref="C134:M134"/>
    <mergeCell ref="C135:D135"/>
    <mergeCell ref="C136:M136"/>
    <mergeCell ref="C137:D137"/>
    <mergeCell ref="C138:M138"/>
    <mergeCell ref="C139:D139"/>
    <mergeCell ref="C128:M128"/>
    <mergeCell ref="C129:D129"/>
    <mergeCell ref="C130:M130"/>
    <mergeCell ref="C131:D131"/>
    <mergeCell ref="C132:M132"/>
    <mergeCell ref="C133:D133"/>
    <mergeCell ref="C146:D146"/>
    <mergeCell ref="C147:D147"/>
    <mergeCell ref="C148:M148"/>
    <mergeCell ref="C149:D149"/>
    <mergeCell ref="C150:D150"/>
    <mergeCell ref="C151:D151"/>
    <mergeCell ref="C140:M140"/>
    <mergeCell ref="C141:D141"/>
    <mergeCell ref="C142:M142"/>
    <mergeCell ref="C143:D143"/>
    <mergeCell ref="C144:D144"/>
    <mergeCell ref="C145:M145"/>
    <mergeCell ref="C158:D158"/>
    <mergeCell ref="C159:D159"/>
    <mergeCell ref="C160:D160"/>
    <mergeCell ref="C161:D161"/>
    <mergeCell ref="C162:M162"/>
    <mergeCell ref="C163:D163"/>
    <mergeCell ref="C152:M152"/>
    <mergeCell ref="C153:D153"/>
    <mergeCell ref="C154:M154"/>
    <mergeCell ref="C155:D155"/>
    <mergeCell ref="C156:D156"/>
    <mergeCell ref="C157:D157"/>
    <mergeCell ref="C170:M170"/>
    <mergeCell ref="C171:D171"/>
    <mergeCell ref="C172:M172"/>
    <mergeCell ref="C173:D173"/>
    <mergeCell ref="C174:M174"/>
    <mergeCell ref="C175:D175"/>
    <mergeCell ref="C164:M164"/>
    <mergeCell ref="C165:D165"/>
    <mergeCell ref="C166:M166"/>
    <mergeCell ref="C167:D167"/>
    <mergeCell ref="C168:M168"/>
    <mergeCell ref="C169:D169"/>
    <mergeCell ref="A189:M189"/>
    <mergeCell ref="C182:D182"/>
    <mergeCell ref="C183:M183"/>
    <mergeCell ref="C184:D184"/>
    <mergeCell ref="C185:M185"/>
    <mergeCell ref="H186:I186"/>
    <mergeCell ref="A188:M188"/>
    <mergeCell ref="C176:M176"/>
    <mergeCell ref="C177:D177"/>
    <mergeCell ref="C178:D178"/>
    <mergeCell ref="C179:D179"/>
    <mergeCell ref="C180:D180"/>
    <mergeCell ref="C181:D181"/>
  </mergeCells>
  <pageMargins left="0.78740157480314965" right="0.39370078740157483" top="0.39370078740157483" bottom="0.39370078740157483" header="0" footer="0.27559055118110237"/>
  <pageSetup scale="59" fitToHeight="0" orientation="landscape" r:id="rId1"/>
  <headerFooter>
    <oddFooter>&amp;L&amp;A&amp;C&amp;F&amp;Rstran &amp;N / strana &amp;P</oddFooter>
  </headerFooter>
  <rowBreaks count="6" manualBreakCount="6">
    <brk id="25" max="12" man="1"/>
    <brk id="50" max="12" man="1"/>
    <brk id="78" max="12" man="1"/>
    <brk id="108" max="12" man="1"/>
    <brk id="142" max="12" man="1"/>
    <brk id="174" max="12" man="1"/>
  </row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18F3B-48B0-45B8-9660-783269620B7B}">
  <sheetPr>
    <pageSetUpPr fitToPage="1"/>
  </sheetPr>
  <dimension ref="A1:BV213"/>
  <sheetViews>
    <sheetView tabSelected="1" view="pageBreakPreview" topLeftCell="B1" zoomScaleNormal="100" zoomScaleSheetLayoutView="100" workbookViewId="0">
      <pane ySplit="11" topLeftCell="A174" activePane="bottomLeft" state="frozen"/>
      <selection pane="bottomLeft" activeCell="C183" sqref="C183:D183"/>
    </sheetView>
  </sheetViews>
  <sheetFormatPr defaultColWidth="12.109375" defaultRowHeight="15" customHeight="1" x14ac:dyDescent="0.3"/>
  <cols>
    <col min="1" max="1" width="5.6640625" style="221" customWidth="1"/>
    <col min="2" max="2" width="16.6640625" style="221" customWidth="1"/>
    <col min="3" max="3" width="81.33203125" style="221" customWidth="1"/>
    <col min="4" max="4" width="12.6640625" style="221" customWidth="1"/>
    <col min="5" max="5" width="8.6640625" style="221" customWidth="1"/>
    <col min="6" max="6" width="10.6640625" style="221" customWidth="1"/>
    <col min="7" max="11" width="14.6640625" style="221" customWidth="1"/>
    <col min="12" max="12" width="11.6640625" style="221" customWidth="1"/>
    <col min="13" max="13" width="13.44140625" style="221" customWidth="1"/>
    <col min="14" max="73" width="12.109375" style="221"/>
    <col min="74" max="74" width="78.5546875" style="221" hidden="1" customWidth="1"/>
    <col min="75" max="16384" width="12.109375" style="221"/>
  </cols>
  <sheetData>
    <row r="1" spans="1:74" ht="39.9" customHeight="1" thickBot="1" x14ac:dyDescent="0.35">
      <c r="A1" s="523" t="s">
        <v>2303</v>
      </c>
      <c r="B1" s="524"/>
      <c r="C1" s="524"/>
      <c r="D1" s="524"/>
      <c r="E1" s="524"/>
      <c r="F1" s="524"/>
      <c r="G1" s="524"/>
      <c r="H1" s="524"/>
      <c r="I1" s="524"/>
      <c r="J1" s="524"/>
      <c r="K1" s="524"/>
      <c r="L1" s="524"/>
      <c r="M1" s="525"/>
      <c r="AQ1" s="222">
        <f>SUM(AH1:AH2)</f>
        <v>0</v>
      </c>
      <c r="AR1" s="222">
        <f>SUM(AI1:AI2)</f>
        <v>0</v>
      </c>
      <c r="AS1" s="222">
        <f>SUM(AJ1:AJ2)</f>
        <v>0</v>
      </c>
    </row>
    <row r="2" spans="1:74" ht="15" customHeight="1" x14ac:dyDescent="0.3">
      <c r="A2" s="601" t="s">
        <v>112</v>
      </c>
      <c r="B2" s="602"/>
      <c r="C2" s="603" t="s">
        <v>2181</v>
      </c>
      <c r="D2" s="555"/>
      <c r="E2" s="602" t="s">
        <v>113</v>
      </c>
      <c r="F2" s="602"/>
      <c r="G2" s="604" t="s">
        <v>1156</v>
      </c>
      <c r="H2" s="605" t="s">
        <v>457</v>
      </c>
      <c r="I2" s="605" t="s">
        <v>69</v>
      </c>
      <c r="J2" s="605"/>
      <c r="K2" s="605"/>
      <c r="L2" s="605"/>
      <c r="M2" s="606"/>
    </row>
    <row r="3" spans="1:74" ht="14.4" x14ac:dyDescent="0.3">
      <c r="A3" s="520"/>
      <c r="B3" s="519"/>
      <c r="C3" s="527"/>
      <c r="D3" s="527"/>
      <c r="E3" s="519"/>
      <c r="F3" s="519"/>
      <c r="G3" s="522"/>
      <c r="H3" s="551"/>
      <c r="I3" s="551"/>
      <c r="J3" s="551"/>
      <c r="K3" s="551"/>
      <c r="L3" s="551"/>
      <c r="M3" s="552"/>
    </row>
    <row r="4" spans="1:74" ht="15" customHeight="1" x14ac:dyDescent="0.3">
      <c r="A4" s="518" t="s">
        <v>115</v>
      </c>
      <c r="B4" s="519"/>
      <c r="C4" s="521" t="s">
        <v>2182</v>
      </c>
      <c r="D4" s="519"/>
      <c r="E4" s="519" t="s">
        <v>116</v>
      </c>
      <c r="F4" s="519"/>
      <c r="G4" s="522" t="s">
        <v>1156</v>
      </c>
      <c r="H4" s="551" t="s">
        <v>458</v>
      </c>
      <c r="I4" s="551" t="s">
        <v>1157</v>
      </c>
      <c r="J4" s="551"/>
      <c r="K4" s="551"/>
      <c r="L4" s="551"/>
      <c r="M4" s="552"/>
    </row>
    <row r="5" spans="1:74" ht="14.4" x14ac:dyDescent="0.3">
      <c r="A5" s="520"/>
      <c r="B5" s="519"/>
      <c r="C5" s="519"/>
      <c r="D5" s="519"/>
      <c r="E5" s="519"/>
      <c r="F5" s="519"/>
      <c r="G5" s="522"/>
      <c r="H5" s="551"/>
      <c r="I5" s="551"/>
      <c r="J5" s="551"/>
      <c r="K5" s="551"/>
      <c r="L5" s="551"/>
      <c r="M5" s="552"/>
    </row>
    <row r="6" spans="1:74" ht="15" customHeight="1" x14ac:dyDescent="0.3">
      <c r="A6" s="518" t="s">
        <v>117</v>
      </c>
      <c r="B6" s="519"/>
      <c r="C6" s="521" t="s">
        <v>459</v>
      </c>
      <c r="D6" s="519"/>
      <c r="E6" s="519" t="s">
        <v>119</v>
      </c>
      <c r="F6" s="519"/>
      <c r="G6" s="522" t="s">
        <v>1156</v>
      </c>
      <c r="H6" s="551" t="s">
        <v>460</v>
      </c>
      <c r="I6" s="551" t="s">
        <v>461</v>
      </c>
      <c r="J6" s="551"/>
      <c r="K6" s="551"/>
      <c r="L6" s="551"/>
      <c r="M6" s="552"/>
    </row>
    <row r="7" spans="1:74" ht="14.4" x14ac:dyDescent="0.3">
      <c r="A7" s="520"/>
      <c r="B7" s="519"/>
      <c r="C7" s="519"/>
      <c r="D7" s="519"/>
      <c r="E7" s="519"/>
      <c r="F7" s="519"/>
      <c r="G7" s="522"/>
      <c r="H7" s="551"/>
      <c r="I7" s="551"/>
      <c r="J7" s="551"/>
      <c r="K7" s="551"/>
      <c r="L7" s="551"/>
      <c r="M7" s="552"/>
    </row>
    <row r="8" spans="1:74" ht="15" customHeight="1" x14ac:dyDescent="0.3">
      <c r="A8" s="518" t="s">
        <v>120</v>
      </c>
      <c r="B8" s="519"/>
      <c r="C8" s="521" t="s">
        <v>2183</v>
      </c>
      <c r="D8" s="519"/>
      <c r="E8" s="519" t="s">
        <v>122</v>
      </c>
      <c r="F8" s="519"/>
      <c r="G8" s="658">
        <v>45505</v>
      </c>
      <c r="H8" s="551" t="s">
        <v>462</v>
      </c>
      <c r="I8" s="551" t="s">
        <v>1158</v>
      </c>
      <c r="J8" s="551"/>
      <c r="K8" s="551"/>
      <c r="L8" s="551"/>
      <c r="M8" s="552"/>
    </row>
    <row r="9" spans="1:74" thickBot="1" x14ac:dyDescent="0.35">
      <c r="A9" s="607"/>
      <c r="B9" s="533"/>
      <c r="C9" s="533"/>
      <c r="D9" s="533"/>
      <c r="E9" s="533"/>
      <c r="F9" s="533"/>
      <c r="G9" s="534"/>
      <c r="H9" s="553"/>
      <c r="I9" s="553"/>
      <c r="J9" s="553"/>
      <c r="K9" s="553"/>
      <c r="L9" s="553"/>
      <c r="M9" s="554"/>
    </row>
    <row r="10" spans="1:74" ht="14.4" x14ac:dyDescent="0.3">
      <c r="A10" s="246" t="s">
        <v>123</v>
      </c>
      <c r="B10" s="247" t="s">
        <v>124</v>
      </c>
      <c r="C10" s="555" t="s">
        <v>125</v>
      </c>
      <c r="D10" s="556"/>
      <c r="E10" s="247" t="s">
        <v>126</v>
      </c>
      <c r="F10" s="248" t="s">
        <v>127</v>
      </c>
      <c r="G10" s="249" t="s">
        <v>128</v>
      </c>
      <c r="H10" s="557" t="s">
        <v>129</v>
      </c>
      <c r="I10" s="558"/>
      <c r="J10" s="559"/>
      <c r="K10" s="558" t="s">
        <v>130</v>
      </c>
      <c r="L10" s="558"/>
      <c r="M10" s="250" t="s">
        <v>131</v>
      </c>
      <c r="BI10" s="229" t="s">
        <v>132</v>
      </c>
      <c r="BJ10" s="230" t="s">
        <v>133</v>
      </c>
      <c r="BU10" s="230" t="s">
        <v>134</v>
      </c>
    </row>
    <row r="11" spans="1:74" thickBot="1" x14ac:dyDescent="0.35">
      <c r="A11" s="251" t="s">
        <v>114</v>
      </c>
      <c r="B11" s="252" t="s">
        <v>114</v>
      </c>
      <c r="C11" s="528" t="s">
        <v>135</v>
      </c>
      <c r="D11" s="529"/>
      <c r="E11" s="252" t="s">
        <v>114</v>
      </c>
      <c r="F11" s="252" t="s">
        <v>114</v>
      </c>
      <c r="G11" s="253" t="s">
        <v>136</v>
      </c>
      <c r="H11" s="254" t="s">
        <v>137</v>
      </c>
      <c r="I11" s="255" t="s">
        <v>138</v>
      </c>
      <c r="J11" s="256" t="s">
        <v>139</v>
      </c>
      <c r="K11" s="255" t="s">
        <v>140</v>
      </c>
      <c r="L11" s="253" t="s">
        <v>139</v>
      </c>
      <c r="M11" s="257" t="s">
        <v>141</v>
      </c>
      <c r="X11" s="229" t="s">
        <v>142</v>
      </c>
      <c r="Y11" s="229" t="s">
        <v>143</v>
      </c>
      <c r="Z11" s="229" t="s">
        <v>144</v>
      </c>
      <c r="AA11" s="229" t="s">
        <v>145</v>
      </c>
      <c r="AB11" s="229" t="s">
        <v>146</v>
      </c>
      <c r="AC11" s="229" t="s">
        <v>147</v>
      </c>
      <c r="AD11" s="229" t="s">
        <v>148</v>
      </c>
      <c r="AE11" s="229" t="s">
        <v>149</v>
      </c>
      <c r="AF11" s="229" t="s">
        <v>150</v>
      </c>
      <c r="BF11" s="229" t="s">
        <v>151</v>
      </c>
      <c r="BG11" s="229" t="s">
        <v>152</v>
      </c>
      <c r="BH11" s="229" t="s">
        <v>153</v>
      </c>
    </row>
    <row r="12" spans="1:74" ht="14.4" x14ac:dyDescent="0.3">
      <c r="A12" s="239" t="s">
        <v>154</v>
      </c>
      <c r="B12" s="224" t="s">
        <v>468</v>
      </c>
      <c r="C12" s="526" t="s">
        <v>361</v>
      </c>
      <c r="D12" s="527"/>
      <c r="E12" s="223" t="s">
        <v>114</v>
      </c>
      <c r="F12" s="223" t="s">
        <v>114</v>
      </c>
      <c r="G12" s="223" t="s">
        <v>114</v>
      </c>
      <c r="H12" s="235">
        <f>SUM(H13:H14)</f>
        <v>0</v>
      </c>
      <c r="I12" s="235">
        <f>SUM(I13:I14)</f>
        <v>0</v>
      </c>
      <c r="J12" s="235">
        <f>SUM(J13:J14)</f>
        <v>0</v>
      </c>
      <c r="K12" s="230" t="s">
        <v>154</v>
      </c>
      <c r="L12" s="235">
        <f>SUM(L13:L14)</f>
        <v>0</v>
      </c>
      <c r="M12" s="243" t="s">
        <v>154</v>
      </c>
      <c r="AG12" s="229" t="s">
        <v>154</v>
      </c>
      <c r="AQ12" s="222">
        <f>SUM(AH13:AH14)</f>
        <v>0</v>
      </c>
      <c r="AR12" s="222">
        <f>SUM(AI13:AI14)</f>
        <v>0</v>
      </c>
      <c r="AS12" s="222">
        <f>SUM(AJ13:AJ14)</f>
        <v>0</v>
      </c>
    </row>
    <row r="13" spans="1:74" ht="14.4" x14ac:dyDescent="0.3">
      <c r="A13" s="239" t="s">
        <v>157</v>
      </c>
      <c r="B13" s="223" t="s">
        <v>2184</v>
      </c>
      <c r="C13" s="521" t="s">
        <v>2185</v>
      </c>
      <c r="D13" s="519"/>
      <c r="E13" s="223" t="s">
        <v>365</v>
      </c>
      <c r="F13" s="233">
        <v>1</v>
      </c>
      <c r="G13" s="311">
        <v>0</v>
      </c>
      <c r="H13" s="233">
        <f>F13*AM13</f>
        <v>0</v>
      </c>
      <c r="I13" s="233">
        <f>F13*AN13</f>
        <v>0</v>
      </c>
      <c r="J13" s="233">
        <f>F13*G13</f>
        <v>0</v>
      </c>
      <c r="K13" s="233">
        <v>0</v>
      </c>
      <c r="L13" s="233">
        <f>F13*K13</f>
        <v>0</v>
      </c>
      <c r="M13" s="240" t="s">
        <v>154</v>
      </c>
      <c r="X13" s="233">
        <f>IF(AO13="5",BH13,0)</f>
        <v>0</v>
      </c>
      <c r="Z13" s="233">
        <f>IF(AO13="1",BF13,0)</f>
        <v>0</v>
      </c>
      <c r="AA13" s="233">
        <f>IF(AO13="1",BG13,0)</f>
        <v>0</v>
      </c>
      <c r="AB13" s="233">
        <f>IF(AO13="7",BF13,0)</f>
        <v>0</v>
      </c>
      <c r="AC13" s="233">
        <f>IF(AO13="7",BG13,0)</f>
        <v>0</v>
      </c>
      <c r="AD13" s="233">
        <f>IF(AO13="2",BF13,0)</f>
        <v>0</v>
      </c>
      <c r="AE13" s="233">
        <f>IF(AO13="2",BG13,0)</f>
        <v>0</v>
      </c>
      <c r="AF13" s="233">
        <f>IF(AO13="0",BH13,0)</f>
        <v>0</v>
      </c>
      <c r="AG13" s="229" t="s">
        <v>154</v>
      </c>
      <c r="AH13" s="233">
        <f>IF(AL13=0,J13,0)</f>
        <v>0</v>
      </c>
      <c r="AI13" s="233">
        <f>IF(AL13=15,J13,0)</f>
        <v>0</v>
      </c>
      <c r="AJ13" s="233">
        <f>IF(AL13=21,J13,0)</f>
        <v>0</v>
      </c>
      <c r="AL13" s="233">
        <v>15</v>
      </c>
      <c r="AM13" s="233">
        <f>G13*0.043478261</f>
        <v>0</v>
      </c>
      <c r="AN13" s="233">
        <f>G13*(1-0.043478261)</f>
        <v>0</v>
      </c>
      <c r="AO13" s="234" t="s">
        <v>157</v>
      </c>
      <c r="AT13" s="233">
        <f>AU13+AV13</f>
        <v>0</v>
      </c>
      <c r="AU13" s="233">
        <f>F13*AM13</f>
        <v>0</v>
      </c>
      <c r="AV13" s="233">
        <f>F13*AN13</f>
        <v>0</v>
      </c>
      <c r="AW13" s="234" t="s">
        <v>473</v>
      </c>
      <c r="AX13" s="234" t="s">
        <v>467</v>
      </c>
      <c r="AY13" s="229" t="s">
        <v>164</v>
      </c>
      <c r="BA13" s="233">
        <f>AU13+AV13</f>
        <v>0</v>
      </c>
      <c r="BB13" s="233">
        <f>G13/(100-BC13)*100</f>
        <v>0</v>
      </c>
      <c r="BC13" s="233">
        <v>0</v>
      </c>
      <c r="BD13" s="233">
        <f>L13</f>
        <v>0</v>
      </c>
      <c r="BF13" s="233">
        <f>F13*AM13</f>
        <v>0</v>
      </c>
      <c r="BG13" s="233">
        <f>F13*AN13</f>
        <v>0</v>
      </c>
      <c r="BH13" s="233">
        <f>F13*G13</f>
        <v>0</v>
      </c>
      <c r="BI13" s="233"/>
      <c r="BJ13" s="233"/>
      <c r="BU13" s="233" t="e">
        <f>#REF!</f>
        <v>#REF!</v>
      </c>
      <c r="BV13" s="225" t="s">
        <v>2185</v>
      </c>
    </row>
    <row r="14" spans="1:74" ht="14.4" x14ac:dyDescent="0.3">
      <c r="A14" s="239" t="s">
        <v>166</v>
      </c>
      <c r="B14" s="223" t="s">
        <v>2186</v>
      </c>
      <c r="C14" s="521" t="s">
        <v>2187</v>
      </c>
      <c r="D14" s="519"/>
      <c r="E14" s="223" t="s">
        <v>471</v>
      </c>
      <c r="F14" s="233">
        <v>3</v>
      </c>
      <c r="G14" s="311">
        <v>0</v>
      </c>
      <c r="H14" s="233">
        <f>F14*AM14</f>
        <v>0</v>
      </c>
      <c r="I14" s="233">
        <f>F14*AN14</f>
        <v>0</v>
      </c>
      <c r="J14" s="233">
        <f>F14*G14</f>
        <v>0</v>
      </c>
      <c r="K14" s="233">
        <v>0</v>
      </c>
      <c r="L14" s="233">
        <f>F14*K14</f>
        <v>0</v>
      </c>
      <c r="M14" s="240" t="s">
        <v>472</v>
      </c>
      <c r="X14" s="233">
        <f>IF(AO14="5",BH14,0)</f>
        <v>0</v>
      </c>
      <c r="Z14" s="233">
        <f>IF(AO14="1",BF14,0)</f>
        <v>0</v>
      </c>
      <c r="AA14" s="233">
        <f>IF(AO14="1",BG14,0)</f>
        <v>0</v>
      </c>
      <c r="AB14" s="233">
        <f>IF(AO14="7",BF14,0)</f>
        <v>0</v>
      </c>
      <c r="AC14" s="233">
        <f>IF(AO14="7",BG14,0)</f>
        <v>0</v>
      </c>
      <c r="AD14" s="233">
        <f>IF(AO14="2",BF14,0)</f>
        <v>0</v>
      </c>
      <c r="AE14" s="233">
        <f>IF(AO14="2",BG14,0)</f>
        <v>0</v>
      </c>
      <c r="AF14" s="233">
        <f>IF(AO14="0",BH14,0)</f>
        <v>0</v>
      </c>
      <c r="AG14" s="229" t="s">
        <v>154</v>
      </c>
      <c r="AH14" s="233">
        <f>IF(AL14=0,J14,0)</f>
        <v>0</v>
      </c>
      <c r="AI14" s="233">
        <f>IF(AL14=15,J14,0)</f>
        <v>0</v>
      </c>
      <c r="AJ14" s="233">
        <f>IF(AL14=21,J14,0)</f>
        <v>0</v>
      </c>
      <c r="AL14" s="233">
        <v>15</v>
      </c>
      <c r="AM14" s="233">
        <f>G14*0.471186441</f>
        <v>0</v>
      </c>
      <c r="AN14" s="233">
        <f>G14*(1-0.471186441)</f>
        <v>0</v>
      </c>
      <c r="AO14" s="234" t="s">
        <v>157</v>
      </c>
      <c r="AT14" s="233">
        <f>AU14+AV14</f>
        <v>0</v>
      </c>
      <c r="AU14" s="233">
        <f>F14*AM14</f>
        <v>0</v>
      </c>
      <c r="AV14" s="233">
        <f>F14*AN14</f>
        <v>0</v>
      </c>
      <c r="AW14" s="234" t="s">
        <v>473</v>
      </c>
      <c r="AX14" s="234" t="s">
        <v>467</v>
      </c>
      <c r="AY14" s="229" t="s">
        <v>164</v>
      </c>
      <c r="BA14" s="233">
        <f>AU14+AV14</f>
        <v>0</v>
      </c>
      <c r="BB14" s="233">
        <f>G14/(100-BC14)*100</f>
        <v>0</v>
      </c>
      <c r="BC14" s="233">
        <v>0</v>
      </c>
      <c r="BD14" s="233">
        <f>L14</f>
        <v>0</v>
      </c>
      <c r="BF14" s="233">
        <f>F14*AM14</f>
        <v>0</v>
      </c>
      <c r="BG14" s="233">
        <f>F14*AN14</f>
        <v>0</v>
      </c>
      <c r="BH14" s="233">
        <f>F14*G14</f>
        <v>0</v>
      </c>
      <c r="BI14" s="233"/>
      <c r="BJ14" s="233"/>
      <c r="BU14" s="233" t="e">
        <f>#REF!</f>
        <v>#REF!</v>
      </c>
      <c r="BV14" s="225" t="s">
        <v>2187</v>
      </c>
    </row>
    <row r="15" spans="1:74" ht="40.5" customHeight="1" x14ac:dyDescent="0.3">
      <c r="A15" s="241"/>
      <c r="B15" s="242" t="s">
        <v>165</v>
      </c>
      <c r="C15" s="530" t="s">
        <v>2188</v>
      </c>
      <c r="D15" s="531"/>
      <c r="E15" s="531"/>
      <c r="F15" s="531"/>
      <c r="G15" s="531"/>
      <c r="H15" s="531"/>
      <c r="I15" s="531"/>
      <c r="J15" s="531"/>
      <c r="K15" s="531"/>
      <c r="L15" s="531"/>
      <c r="M15" s="532"/>
    </row>
    <row r="16" spans="1:74" ht="14.4" x14ac:dyDescent="0.3">
      <c r="A16" s="239" t="s">
        <v>154</v>
      </c>
      <c r="B16" s="224" t="s">
        <v>453</v>
      </c>
      <c r="C16" s="526" t="s">
        <v>463</v>
      </c>
      <c r="D16" s="527"/>
      <c r="E16" s="223" t="s">
        <v>114</v>
      </c>
      <c r="F16" s="223" t="s">
        <v>114</v>
      </c>
      <c r="G16" s="223" t="s">
        <v>114</v>
      </c>
      <c r="H16" s="235">
        <f>SUM(H17:H17)</f>
        <v>0</v>
      </c>
      <c r="I16" s="235">
        <f>SUM(I17:I17)</f>
        <v>0</v>
      </c>
      <c r="J16" s="235">
        <f>SUM(J17:J17)</f>
        <v>0</v>
      </c>
      <c r="K16" s="230" t="s">
        <v>154</v>
      </c>
      <c r="L16" s="235">
        <f>SUM(L17:L17)</f>
        <v>0</v>
      </c>
      <c r="M16" s="243" t="s">
        <v>154</v>
      </c>
      <c r="AG16" s="229" t="s">
        <v>154</v>
      </c>
      <c r="AQ16" s="222">
        <f>SUM(AH17:AH17)</f>
        <v>0</v>
      </c>
      <c r="AR16" s="222">
        <f>SUM(AI17:AI17)</f>
        <v>0</v>
      </c>
      <c r="AS16" s="222">
        <f>SUM(AJ17:AJ17)</f>
        <v>0</v>
      </c>
    </row>
    <row r="17" spans="1:74" ht="14.4" x14ac:dyDescent="0.3">
      <c r="A17" s="239" t="s">
        <v>169</v>
      </c>
      <c r="B17" s="223" t="s">
        <v>464</v>
      </c>
      <c r="C17" s="521" t="s">
        <v>465</v>
      </c>
      <c r="D17" s="519"/>
      <c r="E17" s="223" t="s">
        <v>466</v>
      </c>
      <c r="F17" s="233">
        <v>2</v>
      </c>
      <c r="G17" s="311">
        <v>0</v>
      </c>
      <c r="H17" s="233">
        <f>F17*AM17</f>
        <v>0</v>
      </c>
      <c r="I17" s="233">
        <f>F17*AN17</f>
        <v>0</v>
      </c>
      <c r="J17" s="233">
        <f>F17*G17</f>
        <v>0</v>
      </c>
      <c r="K17" s="233">
        <v>0</v>
      </c>
      <c r="L17" s="233">
        <f>F17*K17</f>
        <v>0</v>
      </c>
      <c r="M17" s="240" t="s">
        <v>154</v>
      </c>
      <c r="X17" s="233">
        <f>IF(AO17="5",BH17,0)</f>
        <v>0</v>
      </c>
      <c r="Z17" s="233">
        <f>IF(AO17="1",BF17,0)</f>
        <v>0</v>
      </c>
      <c r="AA17" s="233">
        <f>IF(AO17="1",BG17,0)</f>
        <v>0</v>
      </c>
      <c r="AB17" s="233">
        <f>IF(AO17="7",BF17,0)</f>
        <v>0</v>
      </c>
      <c r="AC17" s="233">
        <f>IF(AO17="7",BG17,0)</f>
        <v>0</v>
      </c>
      <c r="AD17" s="233">
        <f>IF(AO17="2",BF17,0)</f>
        <v>0</v>
      </c>
      <c r="AE17" s="233">
        <f>IF(AO17="2",BG17,0)</f>
        <v>0</v>
      </c>
      <c r="AF17" s="233">
        <f>IF(AO17="0",BH17,0)</f>
        <v>0</v>
      </c>
      <c r="AG17" s="229" t="s">
        <v>154</v>
      </c>
      <c r="AH17" s="233">
        <f>IF(AL17=0,J17,0)</f>
        <v>0</v>
      </c>
      <c r="AI17" s="233">
        <f>IF(AL17=15,J17,0)</f>
        <v>0</v>
      </c>
      <c r="AJ17" s="233">
        <f>IF(AL17=21,J17,0)</f>
        <v>0</v>
      </c>
      <c r="AL17" s="233">
        <v>15</v>
      </c>
      <c r="AM17" s="233">
        <f>G17*0.125865324</f>
        <v>0</v>
      </c>
      <c r="AN17" s="233">
        <f>G17*(1-0.125865324)</f>
        <v>0</v>
      </c>
      <c r="AO17" s="234" t="s">
        <v>157</v>
      </c>
      <c r="AT17" s="233">
        <f>AU17+AV17</f>
        <v>0</v>
      </c>
      <c r="AU17" s="233">
        <f>F17*AM17</f>
        <v>0</v>
      </c>
      <c r="AV17" s="233">
        <f>F17*AN17</f>
        <v>0</v>
      </c>
      <c r="AW17" s="234" t="s">
        <v>467</v>
      </c>
      <c r="AX17" s="234" t="s">
        <v>467</v>
      </c>
      <c r="AY17" s="229" t="s">
        <v>164</v>
      </c>
      <c r="BA17" s="233">
        <f>AU17+AV17</f>
        <v>0</v>
      </c>
      <c r="BB17" s="233">
        <f>G17/(100-BC17)*100</f>
        <v>0</v>
      </c>
      <c r="BC17" s="233">
        <v>0</v>
      </c>
      <c r="BD17" s="233">
        <f>L17</f>
        <v>0</v>
      </c>
      <c r="BF17" s="233">
        <f>F17*AM17</f>
        <v>0</v>
      </c>
      <c r="BG17" s="233">
        <f>F17*AN17</f>
        <v>0</v>
      </c>
      <c r="BH17" s="233">
        <f>F17*G17</f>
        <v>0</v>
      </c>
      <c r="BI17" s="233"/>
      <c r="BJ17" s="233">
        <v>0</v>
      </c>
      <c r="BU17" s="233" t="e">
        <f>#REF!</f>
        <v>#REF!</v>
      </c>
      <c r="BV17" s="225" t="s">
        <v>465</v>
      </c>
    </row>
    <row r="18" spans="1:74" ht="40.5" customHeight="1" x14ac:dyDescent="0.3">
      <c r="A18" s="241"/>
      <c r="B18" s="242" t="s">
        <v>165</v>
      </c>
      <c r="C18" s="530" t="s">
        <v>1485</v>
      </c>
      <c r="D18" s="531"/>
      <c r="E18" s="531"/>
      <c r="F18" s="531"/>
      <c r="G18" s="531"/>
      <c r="H18" s="531"/>
      <c r="I18" s="531"/>
      <c r="J18" s="531"/>
      <c r="K18" s="531"/>
      <c r="L18" s="531"/>
      <c r="M18" s="532"/>
    </row>
    <row r="19" spans="1:74" ht="14.4" x14ac:dyDescent="0.3">
      <c r="A19" s="239" t="s">
        <v>154</v>
      </c>
      <c r="B19" s="224" t="s">
        <v>155</v>
      </c>
      <c r="C19" s="526" t="s">
        <v>156</v>
      </c>
      <c r="D19" s="527"/>
      <c r="E19" s="223" t="s">
        <v>114</v>
      </c>
      <c r="F19" s="223" t="s">
        <v>114</v>
      </c>
      <c r="G19" s="223" t="s">
        <v>114</v>
      </c>
      <c r="H19" s="235">
        <f>SUM(H20:H30)</f>
        <v>0</v>
      </c>
      <c r="I19" s="235">
        <f>SUM(I20:I30)</f>
        <v>0</v>
      </c>
      <c r="J19" s="235">
        <f>SUM(J20:J30)</f>
        <v>0</v>
      </c>
      <c r="K19" s="230" t="s">
        <v>154</v>
      </c>
      <c r="L19" s="235">
        <f>SUM(L20:L30)</f>
        <v>75.924384099999997</v>
      </c>
      <c r="M19" s="243" t="s">
        <v>154</v>
      </c>
      <c r="AG19" s="229" t="s">
        <v>154</v>
      </c>
      <c r="AQ19" s="222">
        <f>SUM(AH20:AH30)</f>
        <v>0</v>
      </c>
      <c r="AR19" s="222">
        <f>SUM(AI20:AI30)</f>
        <v>0</v>
      </c>
      <c r="AS19" s="222">
        <f>SUM(AJ20:AJ30)</f>
        <v>0</v>
      </c>
    </row>
    <row r="20" spans="1:74" ht="14.4" x14ac:dyDescent="0.3">
      <c r="A20" s="239" t="s">
        <v>173</v>
      </c>
      <c r="B20" s="223" t="s">
        <v>167</v>
      </c>
      <c r="C20" s="521" t="s">
        <v>168</v>
      </c>
      <c r="D20" s="519"/>
      <c r="E20" s="223" t="s">
        <v>160</v>
      </c>
      <c r="F20" s="233">
        <v>2.2999999999999998</v>
      </c>
      <c r="G20" s="311">
        <v>0</v>
      </c>
      <c r="H20" s="233">
        <f>F20*AM20</f>
        <v>0</v>
      </c>
      <c r="I20" s="233">
        <f>F20*AN20</f>
        <v>0</v>
      </c>
      <c r="J20" s="233">
        <f>F20*G20</f>
        <v>0</v>
      </c>
      <c r="K20" s="233">
        <v>8.6899999999999998E-3</v>
      </c>
      <c r="L20" s="233">
        <f>F20*K20</f>
        <v>1.9986999999999998E-2</v>
      </c>
      <c r="M20" s="240" t="s">
        <v>472</v>
      </c>
      <c r="X20" s="233">
        <f>IF(AO20="5",BH20,0)</f>
        <v>0</v>
      </c>
      <c r="Z20" s="233">
        <f>IF(AO20="1",BF20,0)</f>
        <v>0</v>
      </c>
      <c r="AA20" s="233">
        <f>IF(AO20="1",BG20,0)</f>
        <v>0</v>
      </c>
      <c r="AB20" s="233">
        <f>IF(AO20="7",BF20,0)</f>
        <v>0</v>
      </c>
      <c r="AC20" s="233">
        <f>IF(AO20="7",BG20,0)</f>
        <v>0</v>
      </c>
      <c r="AD20" s="233">
        <f>IF(AO20="2",BF20,0)</f>
        <v>0</v>
      </c>
      <c r="AE20" s="233">
        <f>IF(AO20="2",BG20,0)</f>
        <v>0</v>
      </c>
      <c r="AF20" s="233">
        <f>IF(AO20="0",BH20,0)</f>
        <v>0</v>
      </c>
      <c r="AG20" s="229" t="s">
        <v>154</v>
      </c>
      <c r="AH20" s="233">
        <f>IF(AL20=0,J20,0)</f>
        <v>0</v>
      </c>
      <c r="AI20" s="233">
        <f>IF(AL20=15,J20,0)</f>
        <v>0</v>
      </c>
      <c r="AJ20" s="233">
        <f>IF(AL20=21,J20,0)</f>
        <v>0</v>
      </c>
      <c r="AL20" s="233">
        <v>15</v>
      </c>
      <c r="AM20" s="233">
        <f>G20*0.061948586</f>
        <v>0</v>
      </c>
      <c r="AN20" s="233">
        <f>G20*(1-0.061948586)</f>
        <v>0</v>
      </c>
      <c r="AO20" s="234" t="s">
        <v>157</v>
      </c>
      <c r="AT20" s="233">
        <f>AU20+AV20</f>
        <v>0</v>
      </c>
      <c r="AU20" s="233">
        <f>F20*AM20</f>
        <v>0</v>
      </c>
      <c r="AV20" s="233">
        <f>F20*AN20</f>
        <v>0</v>
      </c>
      <c r="AW20" s="234" t="s">
        <v>162</v>
      </c>
      <c r="AX20" s="234" t="s">
        <v>163</v>
      </c>
      <c r="AY20" s="229" t="s">
        <v>164</v>
      </c>
      <c r="BA20" s="233">
        <f>AU20+AV20</f>
        <v>0</v>
      </c>
      <c r="BB20" s="233">
        <f>G20/(100-BC20)*100</f>
        <v>0</v>
      </c>
      <c r="BC20" s="233">
        <v>0</v>
      </c>
      <c r="BD20" s="233">
        <f>L20</f>
        <v>1.9986999999999998E-2</v>
      </c>
      <c r="BF20" s="233">
        <f>F20*AM20</f>
        <v>0</v>
      </c>
      <c r="BG20" s="233">
        <f>F20*AN20</f>
        <v>0</v>
      </c>
      <c r="BH20" s="233">
        <f>F20*G20</f>
        <v>0</v>
      </c>
      <c r="BI20" s="233"/>
      <c r="BJ20" s="233">
        <v>11</v>
      </c>
      <c r="BU20" s="233" t="e">
        <f>#REF!</f>
        <v>#REF!</v>
      </c>
      <c r="BV20" s="225" t="s">
        <v>168</v>
      </c>
    </row>
    <row r="21" spans="1:74" ht="40.5" customHeight="1" x14ac:dyDescent="0.3">
      <c r="A21" s="241"/>
      <c r="B21" s="242" t="s">
        <v>165</v>
      </c>
      <c r="C21" s="530" t="s">
        <v>2189</v>
      </c>
      <c r="D21" s="531"/>
      <c r="E21" s="531"/>
      <c r="F21" s="531"/>
      <c r="G21" s="531"/>
      <c r="H21" s="531"/>
      <c r="I21" s="531"/>
      <c r="J21" s="531"/>
      <c r="K21" s="531"/>
      <c r="L21" s="531"/>
      <c r="M21" s="532"/>
    </row>
    <row r="22" spans="1:74" ht="14.4" x14ac:dyDescent="0.3">
      <c r="A22" s="239" t="s">
        <v>177</v>
      </c>
      <c r="B22" s="223" t="s">
        <v>158</v>
      </c>
      <c r="C22" s="521" t="s">
        <v>159</v>
      </c>
      <c r="D22" s="519"/>
      <c r="E22" s="223" t="s">
        <v>160</v>
      </c>
      <c r="F22" s="233">
        <v>3.45</v>
      </c>
      <c r="G22" s="311">
        <v>0</v>
      </c>
      <c r="H22" s="233">
        <f>F22*AM22</f>
        <v>0</v>
      </c>
      <c r="I22" s="233">
        <f>F22*AN22</f>
        <v>0</v>
      </c>
      <c r="J22" s="233">
        <f>F22*G22</f>
        <v>0</v>
      </c>
      <c r="K22" s="233">
        <v>2.478E-2</v>
      </c>
      <c r="L22" s="233">
        <f>F22*K22</f>
        <v>8.5490999999999998E-2</v>
      </c>
      <c r="M22" s="240" t="s">
        <v>472</v>
      </c>
      <c r="X22" s="233">
        <f>IF(AO22="5",BH22,0)</f>
        <v>0</v>
      </c>
      <c r="Z22" s="233">
        <f>IF(AO22="1",BF22,0)</f>
        <v>0</v>
      </c>
      <c r="AA22" s="233">
        <f>IF(AO22="1",BG22,0)</f>
        <v>0</v>
      </c>
      <c r="AB22" s="233">
        <f>IF(AO22="7",BF22,0)</f>
        <v>0</v>
      </c>
      <c r="AC22" s="233">
        <f>IF(AO22="7",BG22,0)</f>
        <v>0</v>
      </c>
      <c r="AD22" s="233">
        <f>IF(AO22="2",BF22,0)</f>
        <v>0</v>
      </c>
      <c r="AE22" s="233">
        <f>IF(AO22="2",BG22,0)</f>
        <v>0</v>
      </c>
      <c r="AF22" s="233">
        <f>IF(AO22="0",BH22,0)</f>
        <v>0</v>
      </c>
      <c r="AG22" s="229" t="s">
        <v>154</v>
      </c>
      <c r="AH22" s="233">
        <f>IF(AL22=0,J22,0)</f>
        <v>0</v>
      </c>
      <c r="AI22" s="233">
        <f>IF(AL22=15,J22,0)</f>
        <v>0</v>
      </c>
      <c r="AJ22" s="233">
        <f>IF(AL22=21,J22,0)</f>
        <v>0</v>
      </c>
      <c r="AL22" s="233">
        <v>15</v>
      </c>
      <c r="AM22" s="233">
        <f>G22*0.05757633</f>
        <v>0</v>
      </c>
      <c r="AN22" s="233">
        <f>G22*(1-0.05757633)</f>
        <v>0</v>
      </c>
      <c r="AO22" s="234" t="s">
        <v>157</v>
      </c>
      <c r="AT22" s="233">
        <f>AU22+AV22</f>
        <v>0</v>
      </c>
      <c r="AU22" s="233">
        <f>F22*AM22</f>
        <v>0</v>
      </c>
      <c r="AV22" s="233">
        <f>F22*AN22</f>
        <v>0</v>
      </c>
      <c r="AW22" s="234" t="s">
        <v>162</v>
      </c>
      <c r="AX22" s="234" t="s">
        <v>163</v>
      </c>
      <c r="AY22" s="229" t="s">
        <v>164</v>
      </c>
      <c r="BA22" s="233">
        <f>AU22+AV22</f>
        <v>0</v>
      </c>
      <c r="BB22" s="233">
        <f>G22/(100-BC22)*100</f>
        <v>0</v>
      </c>
      <c r="BC22" s="233">
        <v>0</v>
      </c>
      <c r="BD22" s="233">
        <f>L22</f>
        <v>8.5490999999999998E-2</v>
      </c>
      <c r="BF22" s="233">
        <f>F22*AM22</f>
        <v>0</v>
      </c>
      <c r="BG22" s="233">
        <f>F22*AN22</f>
        <v>0</v>
      </c>
      <c r="BH22" s="233">
        <f>F22*G22</f>
        <v>0</v>
      </c>
      <c r="BI22" s="233"/>
      <c r="BJ22" s="233">
        <v>11</v>
      </c>
      <c r="BU22" s="233" t="e">
        <f>#REF!</f>
        <v>#REF!</v>
      </c>
      <c r="BV22" s="225" t="s">
        <v>159</v>
      </c>
    </row>
    <row r="23" spans="1:74" ht="40.5" customHeight="1" x14ac:dyDescent="0.3">
      <c r="A23" s="241"/>
      <c r="B23" s="242" t="s">
        <v>165</v>
      </c>
      <c r="C23" s="530" t="s">
        <v>2190</v>
      </c>
      <c r="D23" s="531"/>
      <c r="E23" s="531"/>
      <c r="F23" s="531"/>
      <c r="G23" s="531"/>
      <c r="H23" s="531"/>
      <c r="I23" s="531"/>
      <c r="J23" s="531"/>
      <c r="K23" s="531"/>
      <c r="L23" s="531"/>
      <c r="M23" s="532"/>
    </row>
    <row r="24" spans="1:74" ht="14.4" x14ac:dyDescent="0.3">
      <c r="A24" s="239" t="s">
        <v>181</v>
      </c>
      <c r="B24" s="223" t="s">
        <v>884</v>
      </c>
      <c r="C24" s="521" t="s">
        <v>885</v>
      </c>
      <c r="D24" s="519"/>
      <c r="E24" s="223" t="s">
        <v>172</v>
      </c>
      <c r="F24" s="233">
        <v>48</v>
      </c>
      <c r="G24" s="311">
        <v>0</v>
      </c>
      <c r="H24" s="233">
        <f>F24*AM24</f>
        <v>0</v>
      </c>
      <c r="I24" s="233">
        <f>F24*AN24</f>
        <v>0</v>
      </c>
      <c r="J24" s="233">
        <f>F24*G24</f>
        <v>0</v>
      </c>
      <c r="K24" s="233">
        <v>4.0000000000000003E-5</v>
      </c>
      <c r="L24" s="233">
        <f>F24*K24</f>
        <v>1.9200000000000003E-3</v>
      </c>
      <c r="M24" s="240" t="s">
        <v>472</v>
      </c>
      <c r="X24" s="233">
        <f>IF(AO24="5",BH24,0)</f>
        <v>0</v>
      </c>
      <c r="Z24" s="233">
        <f>IF(AO24="1",BF24,0)</f>
        <v>0</v>
      </c>
      <c r="AA24" s="233">
        <f>IF(AO24="1",BG24,0)</f>
        <v>0</v>
      </c>
      <c r="AB24" s="233">
        <f>IF(AO24="7",BF24,0)</f>
        <v>0</v>
      </c>
      <c r="AC24" s="233">
        <f>IF(AO24="7",BG24,0)</f>
        <v>0</v>
      </c>
      <c r="AD24" s="233">
        <f>IF(AO24="2",BF24,0)</f>
        <v>0</v>
      </c>
      <c r="AE24" s="233">
        <f>IF(AO24="2",BG24,0)</f>
        <v>0</v>
      </c>
      <c r="AF24" s="233">
        <f>IF(AO24="0",BH24,0)</f>
        <v>0</v>
      </c>
      <c r="AG24" s="229" t="s">
        <v>154</v>
      </c>
      <c r="AH24" s="233">
        <f>IF(AL24=0,J24,0)</f>
        <v>0</v>
      </c>
      <c r="AI24" s="233">
        <f>IF(AL24=15,J24,0)</f>
        <v>0</v>
      </c>
      <c r="AJ24" s="233">
        <f>IF(AL24=21,J24,0)</f>
        <v>0</v>
      </c>
      <c r="AL24" s="233">
        <v>15</v>
      </c>
      <c r="AM24" s="233">
        <f>G24*0.005024155</f>
        <v>0</v>
      </c>
      <c r="AN24" s="233">
        <f>G24*(1-0.005024155)</f>
        <v>0</v>
      </c>
      <c r="AO24" s="234" t="s">
        <v>157</v>
      </c>
      <c r="AT24" s="233">
        <f>AU24+AV24</f>
        <v>0</v>
      </c>
      <c r="AU24" s="233">
        <f>F24*AM24</f>
        <v>0</v>
      </c>
      <c r="AV24" s="233">
        <f>F24*AN24</f>
        <v>0</v>
      </c>
      <c r="AW24" s="234" t="s">
        <v>162</v>
      </c>
      <c r="AX24" s="234" t="s">
        <v>163</v>
      </c>
      <c r="AY24" s="229" t="s">
        <v>164</v>
      </c>
      <c r="BA24" s="233">
        <f>AU24+AV24</f>
        <v>0</v>
      </c>
      <c r="BB24" s="233">
        <f>G24/(100-BC24)*100</f>
        <v>0</v>
      </c>
      <c r="BC24" s="233">
        <v>0</v>
      </c>
      <c r="BD24" s="233">
        <f>L24</f>
        <v>1.9200000000000003E-3</v>
      </c>
      <c r="BF24" s="233">
        <f>F24*AM24</f>
        <v>0</v>
      </c>
      <c r="BG24" s="233">
        <f>F24*AN24</f>
        <v>0</v>
      </c>
      <c r="BH24" s="233">
        <f>F24*G24</f>
        <v>0</v>
      </c>
      <c r="BI24" s="233"/>
      <c r="BJ24" s="233">
        <v>11</v>
      </c>
      <c r="BU24" s="233" t="e">
        <f>#REF!</f>
        <v>#REF!</v>
      </c>
      <c r="BV24" s="225" t="s">
        <v>885</v>
      </c>
    </row>
    <row r="25" spans="1:74" ht="40.5" customHeight="1" x14ac:dyDescent="0.3">
      <c r="A25" s="241"/>
      <c r="B25" s="242" t="s">
        <v>165</v>
      </c>
      <c r="C25" s="530" t="s">
        <v>2191</v>
      </c>
      <c r="D25" s="531"/>
      <c r="E25" s="531"/>
      <c r="F25" s="531"/>
      <c r="G25" s="531"/>
      <c r="H25" s="531"/>
      <c r="I25" s="531"/>
      <c r="J25" s="531"/>
      <c r="K25" s="531"/>
      <c r="L25" s="531"/>
      <c r="M25" s="532"/>
    </row>
    <row r="26" spans="1:74" ht="14.4" x14ac:dyDescent="0.3">
      <c r="A26" s="239" t="s">
        <v>184</v>
      </c>
      <c r="B26" s="223" t="s">
        <v>886</v>
      </c>
      <c r="C26" s="521" t="s">
        <v>887</v>
      </c>
      <c r="D26" s="519"/>
      <c r="E26" s="223" t="s">
        <v>176</v>
      </c>
      <c r="F26" s="233">
        <v>6</v>
      </c>
      <c r="G26" s="311">
        <v>0</v>
      </c>
      <c r="H26" s="233">
        <f>F26*AM26</f>
        <v>0</v>
      </c>
      <c r="I26" s="233">
        <f>F26*AN26</f>
        <v>0</v>
      </c>
      <c r="J26" s="233">
        <f>F26*G26</f>
        <v>0</v>
      </c>
      <c r="K26" s="233">
        <v>0</v>
      </c>
      <c r="L26" s="233">
        <f>F26*K26</f>
        <v>0</v>
      </c>
      <c r="M26" s="240" t="s">
        <v>472</v>
      </c>
      <c r="X26" s="233">
        <f>IF(AO26="5",BH26,0)</f>
        <v>0</v>
      </c>
      <c r="Z26" s="233">
        <f>IF(AO26="1",BF26,0)</f>
        <v>0</v>
      </c>
      <c r="AA26" s="233">
        <f>IF(AO26="1",BG26,0)</f>
        <v>0</v>
      </c>
      <c r="AB26" s="233">
        <f>IF(AO26="7",BF26,0)</f>
        <v>0</v>
      </c>
      <c r="AC26" s="233">
        <f>IF(AO26="7",BG26,0)</f>
        <v>0</v>
      </c>
      <c r="AD26" s="233">
        <f>IF(AO26="2",BF26,0)</f>
        <v>0</v>
      </c>
      <c r="AE26" s="233">
        <f>IF(AO26="2",BG26,0)</f>
        <v>0</v>
      </c>
      <c r="AF26" s="233">
        <f>IF(AO26="0",BH26,0)</f>
        <v>0</v>
      </c>
      <c r="AG26" s="229" t="s">
        <v>154</v>
      </c>
      <c r="AH26" s="233">
        <f>IF(AL26=0,J26,0)</f>
        <v>0</v>
      </c>
      <c r="AI26" s="233">
        <f>IF(AL26=15,J26,0)</f>
        <v>0</v>
      </c>
      <c r="AJ26" s="233">
        <f>IF(AL26=21,J26,0)</f>
        <v>0</v>
      </c>
      <c r="AL26" s="233">
        <v>15</v>
      </c>
      <c r="AM26" s="233">
        <f>G26*0</f>
        <v>0</v>
      </c>
      <c r="AN26" s="233">
        <f>G26*(1-0)</f>
        <v>0</v>
      </c>
      <c r="AO26" s="234" t="s">
        <v>157</v>
      </c>
      <c r="AT26" s="233">
        <f>AU26+AV26</f>
        <v>0</v>
      </c>
      <c r="AU26" s="233">
        <f>F26*AM26</f>
        <v>0</v>
      </c>
      <c r="AV26" s="233">
        <f>F26*AN26</f>
        <v>0</v>
      </c>
      <c r="AW26" s="234" t="s">
        <v>162</v>
      </c>
      <c r="AX26" s="234" t="s">
        <v>163</v>
      </c>
      <c r="AY26" s="229" t="s">
        <v>164</v>
      </c>
      <c r="BA26" s="233">
        <f>AU26+AV26</f>
        <v>0</v>
      </c>
      <c r="BB26" s="233">
        <f>G26/(100-BC26)*100</f>
        <v>0</v>
      </c>
      <c r="BC26" s="233">
        <v>0</v>
      </c>
      <c r="BD26" s="233">
        <f>L26</f>
        <v>0</v>
      </c>
      <c r="BF26" s="233">
        <f>F26*AM26</f>
        <v>0</v>
      </c>
      <c r="BG26" s="233">
        <f>F26*AN26</f>
        <v>0</v>
      </c>
      <c r="BH26" s="233">
        <f>F26*G26</f>
        <v>0</v>
      </c>
      <c r="BI26" s="233"/>
      <c r="BJ26" s="233">
        <v>11</v>
      </c>
      <c r="BU26" s="233" t="e">
        <f>#REF!</f>
        <v>#REF!</v>
      </c>
      <c r="BV26" s="225" t="s">
        <v>887</v>
      </c>
    </row>
    <row r="27" spans="1:74" ht="40.5" customHeight="1" x14ac:dyDescent="0.3">
      <c r="A27" s="241"/>
      <c r="B27" s="242" t="s">
        <v>165</v>
      </c>
      <c r="C27" s="530" t="s">
        <v>2192</v>
      </c>
      <c r="D27" s="531"/>
      <c r="E27" s="531"/>
      <c r="F27" s="531"/>
      <c r="G27" s="531"/>
      <c r="H27" s="531"/>
      <c r="I27" s="531"/>
      <c r="J27" s="531"/>
      <c r="K27" s="531"/>
      <c r="L27" s="531"/>
      <c r="M27" s="532"/>
    </row>
    <row r="28" spans="1:74" ht="14.4" x14ac:dyDescent="0.3">
      <c r="A28" s="239" t="s">
        <v>187</v>
      </c>
      <c r="B28" s="223" t="s">
        <v>178</v>
      </c>
      <c r="C28" s="521" t="s">
        <v>179</v>
      </c>
      <c r="D28" s="519"/>
      <c r="E28" s="223" t="s">
        <v>180</v>
      </c>
      <c r="F28" s="233">
        <v>59.11</v>
      </c>
      <c r="G28" s="311">
        <v>0</v>
      </c>
      <c r="H28" s="233">
        <f>F28*AM28</f>
        <v>0</v>
      </c>
      <c r="I28" s="233">
        <f>F28*AN28</f>
        <v>0</v>
      </c>
      <c r="J28" s="233">
        <f>F28*G28</f>
        <v>0</v>
      </c>
      <c r="K28" s="233">
        <v>0.90051000000000003</v>
      </c>
      <c r="L28" s="233">
        <f>F28*K28</f>
        <v>53.229146100000001</v>
      </c>
      <c r="M28" s="240" t="s">
        <v>472</v>
      </c>
      <c r="X28" s="233">
        <f>IF(AO28="5",BH28,0)</f>
        <v>0</v>
      </c>
      <c r="Z28" s="233">
        <f>IF(AO28="1",BF28,0)</f>
        <v>0</v>
      </c>
      <c r="AA28" s="233">
        <f>IF(AO28="1",BG28,0)</f>
        <v>0</v>
      </c>
      <c r="AB28" s="233">
        <f>IF(AO28="7",BF28,0)</f>
        <v>0</v>
      </c>
      <c r="AC28" s="233">
        <f>IF(AO28="7",BG28,0)</f>
        <v>0</v>
      </c>
      <c r="AD28" s="233">
        <f>IF(AO28="2",BF28,0)</f>
        <v>0</v>
      </c>
      <c r="AE28" s="233">
        <f>IF(AO28="2",BG28,0)</f>
        <v>0</v>
      </c>
      <c r="AF28" s="233">
        <f>IF(AO28="0",BH28,0)</f>
        <v>0</v>
      </c>
      <c r="AG28" s="229" t="s">
        <v>154</v>
      </c>
      <c r="AH28" s="233">
        <f>IF(AL28=0,J28,0)</f>
        <v>0</v>
      </c>
      <c r="AI28" s="233">
        <f>IF(AL28=15,J28,0)</f>
        <v>0</v>
      </c>
      <c r="AJ28" s="233">
        <f>IF(AL28=21,J28,0)</f>
        <v>0</v>
      </c>
      <c r="AL28" s="233">
        <v>15</v>
      </c>
      <c r="AM28" s="233">
        <f>G28*0.021948365</f>
        <v>0</v>
      </c>
      <c r="AN28" s="233">
        <f>G28*(1-0.021948365)</f>
        <v>0</v>
      </c>
      <c r="AO28" s="234" t="s">
        <v>157</v>
      </c>
      <c r="AT28" s="233">
        <f>AU28+AV28</f>
        <v>0</v>
      </c>
      <c r="AU28" s="233">
        <f>F28*AM28</f>
        <v>0</v>
      </c>
      <c r="AV28" s="233">
        <f>F28*AN28</f>
        <v>0</v>
      </c>
      <c r="AW28" s="234" t="s">
        <v>162</v>
      </c>
      <c r="AX28" s="234" t="s">
        <v>163</v>
      </c>
      <c r="AY28" s="229" t="s">
        <v>164</v>
      </c>
      <c r="BA28" s="233">
        <f>AU28+AV28</f>
        <v>0</v>
      </c>
      <c r="BB28" s="233">
        <f>G28/(100-BC28)*100</f>
        <v>0</v>
      </c>
      <c r="BC28" s="233">
        <v>0</v>
      </c>
      <c r="BD28" s="233">
        <f>L28</f>
        <v>53.229146100000001</v>
      </c>
      <c r="BF28" s="233">
        <f>F28*AM28</f>
        <v>0</v>
      </c>
      <c r="BG28" s="233">
        <f>F28*AN28</f>
        <v>0</v>
      </c>
      <c r="BH28" s="233">
        <f>F28*G28</f>
        <v>0</v>
      </c>
      <c r="BI28" s="233"/>
      <c r="BJ28" s="233">
        <v>11</v>
      </c>
      <c r="BU28" s="233" t="e">
        <f>#REF!</f>
        <v>#REF!</v>
      </c>
      <c r="BV28" s="225" t="s">
        <v>179</v>
      </c>
    </row>
    <row r="29" spans="1:74" ht="162" customHeight="1" x14ac:dyDescent="0.3">
      <c r="A29" s="241"/>
      <c r="B29" s="242" t="s">
        <v>165</v>
      </c>
      <c r="C29" s="530" t="s">
        <v>2193</v>
      </c>
      <c r="D29" s="531"/>
      <c r="E29" s="531"/>
      <c r="F29" s="531"/>
      <c r="G29" s="531"/>
      <c r="H29" s="531"/>
      <c r="I29" s="531"/>
      <c r="J29" s="531"/>
      <c r="K29" s="531"/>
      <c r="L29" s="531"/>
      <c r="M29" s="532"/>
    </row>
    <row r="30" spans="1:74" ht="14.4" x14ac:dyDescent="0.3">
      <c r="A30" s="239" t="s">
        <v>193</v>
      </c>
      <c r="B30" s="223" t="s">
        <v>476</v>
      </c>
      <c r="C30" s="521" t="s">
        <v>477</v>
      </c>
      <c r="D30" s="519"/>
      <c r="E30" s="223" t="s">
        <v>180</v>
      </c>
      <c r="F30" s="233">
        <v>57.04</v>
      </c>
      <c r="G30" s="311">
        <v>0</v>
      </c>
      <c r="H30" s="233">
        <f>F30*AM30</f>
        <v>0</v>
      </c>
      <c r="I30" s="233">
        <f>F30*AN30</f>
        <v>0</v>
      </c>
      <c r="J30" s="233">
        <f>F30*G30</f>
        <v>0</v>
      </c>
      <c r="K30" s="233">
        <v>0.39600000000000002</v>
      </c>
      <c r="L30" s="233">
        <f>F30*K30</f>
        <v>22.58784</v>
      </c>
      <c r="M30" s="240" t="s">
        <v>472</v>
      </c>
      <c r="X30" s="233">
        <f>IF(AO30="5",BH30,0)</f>
        <v>0</v>
      </c>
      <c r="Z30" s="233">
        <f>IF(AO30="1",BF30,0)</f>
        <v>0</v>
      </c>
      <c r="AA30" s="233">
        <f>IF(AO30="1",BG30,0)</f>
        <v>0</v>
      </c>
      <c r="AB30" s="233">
        <f>IF(AO30="7",BF30,0)</f>
        <v>0</v>
      </c>
      <c r="AC30" s="233">
        <f>IF(AO30="7",BG30,0)</f>
        <v>0</v>
      </c>
      <c r="AD30" s="233">
        <f>IF(AO30="2",BF30,0)</f>
        <v>0</v>
      </c>
      <c r="AE30" s="233">
        <f>IF(AO30="2",BG30,0)</f>
        <v>0</v>
      </c>
      <c r="AF30" s="233">
        <f>IF(AO30="0",BH30,0)</f>
        <v>0</v>
      </c>
      <c r="AG30" s="229" t="s">
        <v>154</v>
      </c>
      <c r="AH30" s="233">
        <f>IF(AL30=0,J30,0)</f>
        <v>0</v>
      </c>
      <c r="AI30" s="233">
        <f>IF(AL30=15,J30,0)</f>
        <v>0</v>
      </c>
      <c r="AJ30" s="233">
        <f>IF(AL30=21,J30,0)</f>
        <v>0</v>
      </c>
      <c r="AL30" s="233">
        <v>15</v>
      </c>
      <c r="AM30" s="233">
        <f>G30*0</f>
        <v>0</v>
      </c>
      <c r="AN30" s="233">
        <f>G30*(1-0)</f>
        <v>0</v>
      </c>
      <c r="AO30" s="234" t="s">
        <v>157</v>
      </c>
      <c r="AT30" s="233">
        <f>AU30+AV30</f>
        <v>0</v>
      </c>
      <c r="AU30" s="233">
        <f>F30*AM30</f>
        <v>0</v>
      </c>
      <c r="AV30" s="233">
        <f>F30*AN30</f>
        <v>0</v>
      </c>
      <c r="AW30" s="234" t="s">
        <v>162</v>
      </c>
      <c r="AX30" s="234" t="s">
        <v>163</v>
      </c>
      <c r="AY30" s="229" t="s">
        <v>164</v>
      </c>
      <c r="BA30" s="233">
        <f>AU30+AV30</f>
        <v>0</v>
      </c>
      <c r="BB30" s="233">
        <f>G30/(100-BC30)*100</f>
        <v>0</v>
      </c>
      <c r="BC30" s="233">
        <v>0</v>
      </c>
      <c r="BD30" s="233">
        <f>L30</f>
        <v>22.58784</v>
      </c>
      <c r="BF30" s="233">
        <f>F30*AM30</f>
        <v>0</v>
      </c>
      <c r="BG30" s="233">
        <f>F30*AN30</f>
        <v>0</v>
      </c>
      <c r="BH30" s="233">
        <f>F30*G30</f>
        <v>0</v>
      </c>
      <c r="BI30" s="233"/>
      <c r="BJ30" s="233">
        <v>11</v>
      </c>
      <c r="BU30" s="233" t="e">
        <f>#REF!</f>
        <v>#REF!</v>
      </c>
      <c r="BV30" s="225" t="s">
        <v>477</v>
      </c>
    </row>
    <row r="31" spans="1:74" ht="67.5" customHeight="1" x14ac:dyDescent="0.3">
      <c r="A31" s="241"/>
      <c r="B31" s="242" t="s">
        <v>165</v>
      </c>
      <c r="C31" s="530" t="s">
        <v>2194</v>
      </c>
      <c r="D31" s="531"/>
      <c r="E31" s="531"/>
      <c r="F31" s="531"/>
      <c r="G31" s="531"/>
      <c r="H31" s="531"/>
      <c r="I31" s="531"/>
      <c r="J31" s="531"/>
      <c r="K31" s="531"/>
      <c r="L31" s="531"/>
      <c r="M31" s="532"/>
    </row>
    <row r="32" spans="1:74" ht="14.4" x14ac:dyDescent="0.3">
      <c r="A32" s="239" t="s">
        <v>154</v>
      </c>
      <c r="B32" s="224" t="s">
        <v>191</v>
      </c>
      <c r="C32" s="526" t="s">
        <v>192</v>
      </c>
      <c r="D32" s="527"/>
      <c r="E32" s="223" t="s">
        <v>114</v>
      </c>
      <c r="F32" s="223" t="s">
        <v>114</v>
      </c>
      <c r="G32" s="223" t="s">
        <v>114</v>
      </c>
      <c r="H32" s="235">
        <f>SUM(H33:H35)</f>
        <v>0</v>
      </c>
      <c r="I32" s="235">
        <f>SUM(I33:I35)</f>
        <v>0</v>
      </c>
      <c r="J32" s="235">
        <f>SUM(J33:J35)</f>
        <v>0</v>
      </c>
      <c r="K32" s="230" t="s">
        <v>154</v>
      </c>
      <c r="L32" s="235">
        <f>SUM(L33:L35)</f>
        <v>0</v>
      </c>
      <c r="M32" s="243" t="s">
        <v>154</v>
      </c>
      <c r="AG32" s="229" t="s">
        <v>154</v>
      </c>
      <c r="AQ32" s="222">
        <f>SUM(AH33:AH35)</f>
        <v>0</v>
      </c>
      <c r="AR32" s="222">
        <f>SUM(AI33:AI35)</f>
        <v>0</v>
      </c>
      <c r="AS32" s="222">
        <f>SUM(AJ33:AJ35)</f>
        <v>0</v>
      </c>
    </row>
    <row r="33" spans="1:74" ht="14.4" x14ac:dyDescent="0.3">
      <c r="A33" s="239" t="s">
        <v>198</v>
      </c>
      <c r="B33" s="223" t="s">
        <v>199</v>
      </c>
      <c r="C33" s="521" t="s">
        <v>200</v>
      </c>
      <c r="D33" s="519"/>
      <c r="E33" s="223" t="s">
        <v>196</v>
      </c>
      <c r="F33" s="233">
        <v>1</v>
      </c>
      <c r="G33" s="311">
        <v>0</v>
      </c>
      <c r="H33" s="233">
        <f>F33*AM33</f>
        <v>0</v>
      </c>
      <c r="I33" s="233">
        <f>F33*AN33</f>
        <v>0</v>
      </c>
      <c r="J33" s="233">
        <f>F33*G33</f>
        <v>0</v>
      </c>
      <c r="K33" s="233">
        <v>0</v>
      </c>
      <c r="L33" s="233">
        <f>F33*K33</f>
        <v>0</v>
      </c>
      <c r="M33" s="240" t="s">
        <v>472</v>
      </c>
      <c r="X33" s="233">
        <f>IF(AO33="5",BH33,0)</f>
        <v>0</v>
      </c>
      <c r="Z33" s="233">
        <f>IF(AO33="1",BF33,0)</f>
        <v>0</v>
      </c>
      <c r="AA33" s="233">
        <f>IF(AO33="1",BG33,0)</f>
        <v>0</v>
      </c>
      <c r="AB33" s="233">
        <f>IF(AO33="7",BF33,0)</f>
        <v>0</v>
      </c>
      <c r="AC33" s="233">
        <f>IF(AO33="7",BG33,0)</f>
        <v>0</v>
      </c>
      <c r="AD33" s="233">
        <f>IF(AO33="2",BF33,0)</f>
        <v>0</v>
      </c>
      <c r="AE33" s="233">
        <f>IF(AO33="2",BG33,0)</f>
        <v>0</v>
      </c>
      <c r="AF33" s="233">
        <f>IF(AO33="0",BH33,0)</f>
        <v>0</v>
      </c>
      <c r="AG33" s="229" t="s">
        <v>154</v>
      </c>
      <c r="AH33" s="233">
        <f>IF(AL33=0,J33,0)</f>
        <v>0</v>
      </c>
      <c r="AI33" s="233">
        <f>IF(AL33=15,J33,0)</f>
        <v>0</v>
      </c>
      <c r="AJ33" s="233">
        <f>IF(AL33=21,J33,0)</f>
        <v>0</v>
      </c>
      <c r="AL33" s="233">
        <v>15</v>
      </c>
      <c r="AM33" s="233">
        <f>G33*0</f>
        <v>0</v>
      </c>
      <c r="AN33" s="233">
        <f>G33*(1-0)</f>
        <v>0</v>
      </c>
      <c r="AO33" s="234" t="s">
        <v>157</v>
      </c>
      <c r="AT33" s="233">
        <f>AU33+AV33</f>
        <v>0</v>
      </c>
      <c r="AU33" s="233">
        <f>F33*AM33</f>
        <v>0</v>
      </c>
      <c r="AV33" s="233">
        <f>F33*AN33</f>
        <v>0</v>
      </c>
      <c r="AW33" s="234" t="s">
        <v>197</v>
      </c>
      <c r="AX33" s="234" t="s">
        <v>163</v>
      </c>
      <c r="AY33" s="229" t="s">
        <v>164</v>
      </c>
      <c r="BA33" s="233">
        <f>AU33+AV33</f>
        <v>0</v>
      </c>
      <c r="BB33" s="233">
        <f>G33/(100-BC33)*100</f>
        <v>0</v>
      </c>
      <c r="BC33" s="233">
        <v>0</v>
      </c>
      <c r="BD33" s="233">
        <f>L33</f>
        <v>0</v>
      </c>
      <c r="BF33" s="233">
        <f>F33*AM33</f>
        <v>0</v>
      </c>
      <c r="BG33" s="233">
        <f>F33*AN33</f>
        <v>0</v>
      </c>
      <c r="BH33" s="233">
        <f>F33*G33</f>
        <v>0</v>
      </c>
      <c r="BI33" s="233"/>
      <c r="BJ33" s="233">
        <v>12</v>
      </c>
      <c r="BU33" s="233" t="e">
        <f>#REF!</f>
        <v>#REF!</v>
      </c>
      <c r="BV33" s="225" t="s">
        <v>200</v>
      </c>
    </row>
    <row r="34" spans="1:74" ht="13.5" customHeight="1" x14ac:dyDescent="0.3">
      <c r="A34" s="241"/>
      <c r="B34" s="242" t="s">
        <v>165</v>
      </c>
      <c r="C34" s="530" t="s">
        <v>480</v>
      </c>
      <c r="D34" s="531"/>
      <c r="E34" s="531"/>
      <c r="F34" s="531"/>
      <c r="G34" s="531"/>
      <c r="H34" s="531"/>
      <c r="I34" s="531"/>
      <c r="J34" s="531"/>
      <c r="K34" s="531"/>
      <c r="L34" s="531"/>
      <c r="M34" s="532"/>
    </row>
    <row r="35" spans="1:74" ht="14.4" x14ac:dyDescent="0.3">
      <c r="A35" s="239" t="s">
        <v>155</v>
      </c>
      <c r="B35" s="223" t="s">
        <v>194</v>
      </c>
      <c r="C35" s="521" t="s">
        <v>195</v>
      </c>
      <c r="D35" s="519"/>
      <c r="E35" s="223" t="s">
        <v>196</v>
      </c>
      <c r="F35" s="233">
        <v>1.1399999999999999</v>
      </c>
      <c r="G35" s="311">
        <v>0</v>
      </c>
      <c r="H35" s="233">
        <f>F35*AM35</f>
        <v>0</v>
      </c>
      <c r="I35" s="233">
        <f>F35*AN35</f>
        <v>0</v>
      </c>
      <c r="J35" s="233">
        <f>F35*G35</f>
        <v>0</v>
      </c>
      <c r="K35" s="233">
        <v>0</v>
      </c>
      <c r="L35" s="233">
        <f>F35*K35</f>
        <v>0</v>
      </c>
      <c r="M35" s="240" t="s">
        <v>472</v>
      </c>
      <c r="X35" s="233">
        <f>IF(AO35="5",BH35,0)</f>
        <v>0</v>
      </c>
      <c r="Z35" s="233">
        <f>IF(AO35="1",BF35,0)</f>
        <v>0</v>
      </c>
      <c r="AA35" s="233">
        <f>IF(AO35="1",BG35,0)</f>
        <v>0</v>
      </c>
      <c r="AB35" s="233">
        <f>IF(AO35="7",BF35,0)</f>
        <v>0</v>
      </c>
      <c r="AC35" s="233">
        <f>IF(AO35="7",BG35,0)</f>
        <v>0</v>
      </c>
      <c r="AD35" s="233">
        <f>IF(AO35="2",BF35,0)</f>
        <v>0</v>
      </c>
      <c r="AE35" s="233">
        <f>IF(AO35="2",BG35,0)</f>
        <v>0</v>
      </c>
      <c r="AF35" s="233">
        <f>IF(AO35="0",BH35,0)</f>
        <v>0</v>
      </c>
      <c r="AG35" s="229" t="s">
        <v>154</v>
      </c>
      <c r="AH35" s="233">
        <f>IF(AL35=0,J35,0)</f>
        <v>0</v>
      </c>
      <c r="AI35" s="233">
        <f>IF(AL35=15,J35,0)</f>
        <v>0</v>
      </c>
      <c r="AJ35" s="233">
        <f>IF(AL35=21,J35,0)</f>
        <v>0</v>
      </c>
      <c r="AL35" s="233">
        <v>15</v>
      </c>
      <c r="AM35" s="233">
        <f>G35*0</f>
        <v>0</v>
      </c>
      <c r="AN35" s="233">
        <f>G35*(1-0)</f>
        <v>0</v>
      </c>
      <c r="AO35" s="234" t="s">
        <v>157</v>
      </c>
      <c r="AT35" s="233">
        <f>AU35+AV35</f>
        <v>0</v>
      </c>
      <c r="AU35" s="233">
        <f>F35*AM35</f>
        <v>0</v>
      </c>
      <c r="AV35" s="233">
        <f>F35*AN35</f>
        <v>0</v>
      </c>
      <c r="AW35" s="234" t="s">
        <v>197</v>
      </c>
      <c r="AX35" s="234" t="s">
        <v>163</v>
      </c>
      <c r="AY35" s="229" t="s">
        <v>164</v>
      </c>
      <c r="BA35" s="233">
        <f>AU35+AV35</f>
        <v>0</v>
      </c>
      <c r="BB35" s="233">
        <f>G35/(100-BC35)*100</f>
        <v>0</v>
      </c>
      <c r="BC35" s="233">
        <v>0</v>
      </c>
      <c r="BD35" s="233">
        <f>L35</f>
        <v>0</v>
      </c>
      <c r="BF35" s="233">
        <f>F35*AM35</f>
        <v>0</v>
      </c>
      <c r="BG35" s="233">
        <f>F35*AN35</f>
        <v>0</v>
      </c>
      <c r="BH35" s="233">
        <f>F35*G35</f>
        <v>0</v>
      </c>
      <c r="BI35" s="233"/>
      <c r="BJ35" s="233">
        <v>12</v>
      </c>
      <c r="BU35" s="233" t="e">
        <f>#REF!</f>
        <v>#REF!</v>
      </c>
      <c r="BV35" s="225" t="s">
        <v>195</v>
      </c>
    </row>
    <row r="36" spans="1:74" ht="40.5" customHeight="1" x14ac:dyDescent="0.3">
      <c r="A36" s="244"/>
      <c r="B36" s="245" t="s">
        <v>165</v>
      </c>
      <c r="C36" s="540" t="s">
        <v>2195</v>
      </c>
      <c r="D36" s="541"/>
      <c r="E36" s="541"/>
      <c r="F36" s="541"/>
      <c r="G36" s="541"/>
      <c r="H36" s="541"/>
      <c r="I36" s="541"/>
      <c r="J36" s="541"/>
      <c r="K36" s="541"/>
      <c r="L36" s="541"/>
      <c r="M36" s="542"/>
    </row>
    <row r="37" spans="1:74" ht="14.4" x14ac:dyDescent="0.3">
      <c r="A37" s="237" t="s">
        <v>154</v>
      </c>
      <c r="B37" s="260" t="s">
        <v>201</v>
      </c>
      <c r="C37" s="545" t="s">
        <v>202</v>
      </c>
      <c r="D37" s="546"/>
      <c r="E37" s="238" t="s">
        <v>114</v>
      </c>
      <c r="F37" s="238" t="s">
        <v>114</v>
      </c>
      <c r="G37" s="238" t="s">
        <v>114</v>
      </c>
      <c r="H37" s="261">
        <f>SUM(H38:H52)</f>
        <v>0</v>
      </c>
      <c r="I37" s="261">
        <f>SUM(I38:I52)</f>
        <v>0</v>
      </c>
      <c r="J37" s="261">
        <f>SUM(J38:J52)</f>
        <v>0</v>
      </c>
      <c r="K37" s="262" t="s">
        <v>154</v>
      </c>
      <c r="L37" s="261">
        <f>SUM(L38:L52)</f>
        <v>0</v>
      </c>
      <c r="M37" s="263" t="s">
        <v>154</v>
      </c>
      <c r="AG37" s="229" t="s">
        <v>154</v>
      </c>
      <c r="AQ37" s="222">
        <f>SUM(AH38:AH52)</f>
        <v>0</v>
      </c>
      <c r="AR37" s="222">
        <f>SUM(AI38:AI52)</f>
        <v>0</v>
      </c>
      <c r="AS37" s="222">
        <f>SUM(AJ38:AJ52)</f>
        <v>0</v>
      </c>
    </row>
    <row r="38" spans="1:74" ht="14.4" x14ac:dyDescent="0.3">
      <c r="A38" s="239" t="s">
        <v>191</v>
      </c>
      <c r="B38" s="223" t="s">
        <v>203</v>
      </c>
      <c r="C38" s="521" t="s">
        <v>204</v>
      </c>
      <c r="D38" s="519"/>
      <c r="E38" s="223" t="s">
        <v>196</v>
      </c>
      <c r="F38" s="233">
        <v>92.13</v>
      </c>
      <c r="G38" s="311">
        <v>0</v>
      </c>
      <c r="H38" s="233">
        <f>F38*AM38</f>
        <v>0</v>
      </c>
      <c r="I38" s="233">
        <f>F38*AN38</f>
        <v>0</v>
      </c>
      <c r="J38" s="233">
        <f>F38*G38</f>
        <v>0</v>
      </c>
      <c r="K38" s="233">
        <v>0</v>
      </c>
      <c r="L38" s="233">
        <f>F38*K38</f>
        <v>0</v>
      </c>
      <c r="M38" s="240" t="s">
        <v>472</v>
      </c>
      <c r="X38" s="233">
        <f>IF(AO38="5",BH38,0)</f>
        <v>0</v>
      </c>
      <c r="Z38" s="233">
        <f>IF(AO38="1",BF38,0)</f>
        <v>0</v>
      </c>
      <c r="AA38" s="233">
        <f>IF(AO38="1",BG38,0)</f>
        <v>0</v>
      </c>
      <c r="AB38" s="233">
        <f>IF(AO38="7",BF38,0)</f>
        <v>0</v>
      </c>
      <c r="AC38" s="233">
        <f>IF(AO38="7",BG38,0)</f>
        <v>0</v>
      </c>
      <c r="AD38" s="233">
        <f>IF(AO38="2",BF38,0)</f>
        <v>0</v>
      </c>
      <c r="AE38" s="233">
        <f>IF(AO38="2",BG38,0)</f>
        <v>0</v>
      </c>
      <c r="AF38" s="233">
        <f>IF(AO38="0",BH38,0)</f>
        <v>0</v>
      </c>
      <c r="AG38" s="229" t="s">
        <v>154</v>
      </c>
      <c r="AH38" s="233">
        <f>IF(AL38=0,J38,0)</f>
        <v>0</v>
      </c>
      <c r="AI38" s="233">
        <f>IF(AL38=15,J38,0)</f>
        <v>0</v>
      </c>
      <c r="AJ38" s="233">
        <f>IF(AL38=21,J38,0)</f>
        <v>0</v>
      </c>
      <c r="AL38" s="233">
        <v>15</v>
      </c>
      <c r="AM38" s="233">
        <f>G38*0</f>
        <v>0</v>
      </c>
      <c r="AN38" s="233">
        <f>G38*(1-0)</f>
        <v>0</v>
      </c>
      <c r="AO38" s="234" t="s">
        <v>157</v>
      </c>
      <c r="AT38" s="233">
        <f>AU38+AV38</f>
        <v>0</v>
      </c>
      <c r="AU38" s="233">
        <f>F38*AM38</f>
        <v>0</v>
      </c>
      <c r="AV38" s="233">
        <f>F38*AN38</f>
        <v>0</v>
      </c>
      <c r="AW38" s="234" t="s">
        <v>205</v>
      </c>
      <c r="AX38" s="234" t="s">
        <v>163</v>
      </c>
      <c r="AY38" s="229" t="s">
        <v>164</v>
      </c>
      <c r="BA38" s="233">
        <f>AU38+AV38</f>
        <v>0</v>
      </c>
      <c r="BB38" s="233">
        <f>G38/(100-BC38)*100</f>
        <v>0</v>
      </c>
      <c r="BC38" s="233">
        <v>0</v>
      </c>
      <c r="BD38" s="233">
        <f>L38</f>
        <v>0</v>
      </c>
      <c r="BF38" s="233">
        <f>F38*AM38</f>
        <v>0</v>
      </c>
      <c r="BG38" s="233">
        <f>F38*AN38</f>
        <v>0</v>
      </c>
      <c r="BH38" s="233">
        <f>F38*G38</f>
        <v>0</v>
      </c>
      <c r="BI38" s="233"/>
      <c r="BJ38" s="233">
        <v>13</v>
      </c>
      <c r="BU38" s="233" t="e">
        <f>#REF!</f>
        <v>#REF!</v>
      </c>
      <c r="BV38" s="225" t="s">
        <v>204</v>
      </c>
    </row>
    <row r="39" spans="1:74" ht="81" customHeight="1" x14ac:dyDescent="0.3">
      <c r="A39" s="241"/>
      <c r="B39" s="242" t="s">
        <v>165</v>
      </c>
      <c r="C39" s="530" t="s">
        <v>2196</v>
      </c>
      <c r="D39" s="531"/>
      <c r="E39" s="531"/>
      <c r="F39" s="531"/>
      <c r="G39" s="531"/>
      <c r="H39" s="531"/>
      <c r="I39" s="531"/>
      <c r="J39" s="531"/>
      <c r="K39" s="531"/>
      <c r="L39" s="531"/>
      <c r="M39" s="532"/>
    </row>
    <row r="40" spans="1:74" ht="14.4" x14ac:dyDescent="0.3">
      <c r="A40" s="239" t="s">
        <v>201</v>
      </c>
      <c r="B40" s="223" t="s">
        <v>206</v>
      </c>
      <c r="C40" s="521" t="s">
        <v>481</v>
      </c>
      <c r="D40" s="519"/>
      <c r="E40" s="223" t="s">
        <v>196</v>
      </c>
      <c r="F40" s="233">
        <v>46.06</v>
      </c>
      <c r="G40" s="311">
        <v>0</v>
      </c>
      <c r="H40" s="233">
        <f>F40*AM40</f>
        <v>0</v>
      </c>
      <c r="I40" s="233">
        <f>F40*AN40</f>
        <v>0</v>
      </c>
      <c r="J40" s="233">
        <f>F40*G40</f>
        <v>0</v>
      </c>
      <c r="K40" s="233">
        <v>0</v>
      </c>
      <c r="L40" s="233">
        <f>F40*K40</f>
        <v>0</v>
      </c>
      <c r="M40" s="240" t="s">
        <v>472</v>
      </c>
      <c r="X40" s="233">
        <f>IF(AO40="5",BH40,0)</f>
        <v>0</v>
      </c>
      <c r="Z40" s="233">
        <f>IF(AO40="1",BF40,0)</f>
        <v>0</v>
      </c>
      <c r="AA40" s="233">
        <f>IF(AO40="1",BG40,0)</f>
        <v>0</v>
      </c>
      <c r="AB40" s="233">
        <f>IF(AO40="7",BF40,0)</f>
        <v>0</v>
      </c>
      <c r="AC40" s="233">
        <f>IF(AO40="7",BG40,0)</f>
        <v>0</v>
      </c>
      <c r="AD40" s="233">
        <f>IF(AO40="2",BF40,0)</f>
        <v>0</v>
      </c>
      <c r="AE40" s="233">
        <f>IF(AO40="2",BG40,0)</f>
        <v>0</v>
      </c>
      <c r="AF40" s="233">
        <f>IF(AO40="0",BH40,0)</f>
        <v>0</v>
      </c>
      <c r="AG40" s="229" t="s">
        <v>154</v>
      </c>
      <c r="AH40" s="233">
        <f>IF(AL40=0,J40,0)</f>
        <v>0</v>
      </c>
      <c r="AI40" s="233">
        <f>IF(AL40=15,J40,0)</f>
        <v>0</v>
      </c>
      <c r="AJ40" s="233">
        <f>IF(AL40=21,J40,0)</f>
        <v>0</v>
      </c>
      <c r="AL40" s="233">
        <v>15</v>
      </c>
      <c r="AM40" s="233">
        <f>G40*0</f>
        <v>0</v>
      </c>
      <c r="AN40" s="233">
        <f>G40*(1-0)</f>
        <v>0</v>
      </c>
      <c r="AO40" s="234" t="s">
        <v>157</v>
      </c>
      <c r="AT40" s="233">
        <f>AU40+AV40</f>
        <v>0</v>
      </c>
      <c r="AU40" s="233">
        <f>F40*AM40</f>
        <v>0</v>
      </c>
      <c r="AV40" s="233">
        <f>F40*AN40</f>
        <v>0</v>
      </c>
      <c r="AW40" s="234" t="s">
        <v>205</v>
      </c>
      <c r="AX40" s="234" t="s">
        <v>163</v>
      </c>
      <c r="AY40" s="229" t="s">
        <v>164</v>
      </c>
      <c r="BA40" s="233">
        <f>AU40+AV40</f>
        <v>0</v>
      </c>
      <c r="BB40" s="233">
        <f>G40/(100-BC40)*100</f>
        <v>0</v>
      </c>
      <c r="BC40" s="233">
        <v>0</v>
      </c>
      <c r="BD40" s="233">
        <f>L40</f>
        <v>0</v>
      </c>
      <c r="BF40" s="233">
        <f>F40*AM40</f>
        <v>0</v>
      </c>
      <c r="BG40" s="233">
        <f>F40*AN40</f>
        <v>0</v>
      </c>
      <c r="BH40" s="233">
        <f>F40*G40</f>
        <v>0</v>
      </c>
      <c r="BI40" s="233"/>
      <c r="BJ40" s="233">
        <v>13</v>
      </c>
      <c r="BU40" s="233" t="e">
        <f>#REF!</f>
        <v>#REF!</v>
      </c>
      <c r="BV40" s="225" t="s">
        <v>481</v>
      </c>
    </row>
    <row r="41" spans="1:74" ht="40.5" customHeight="1" x14ac:dyDescent="0.3">
      <c r="A41" s="241"/>
      <c r="B41" s="242" t="s">
        <v>165</v>
      </c>
      <c r="C41" s="530" t="s">
        <v>2197</v>
      </c>
      <c r="D41" s="531"/>
      <c r="E41" s="531"/>
      <c r="F41" s="531"/>
      <c r="G41" s="531"/>
      <c r="H41" s="531"/>
      <c r="I41" s="531"/>
      <c r="J41" s="531"/>
      <c r="K41" s="531"/>
      <c r="L41" s="531"/>
      <c r="M41" s="532"/>
    </row>
    <row r="42" spans="1:74" ht="14.4" x14ac:dyDescent="0.3">
      <c r="A42" s="239" t="s">
        <v>210</v>
      </c>
      <c r="B42" s="223" t="s">
        <v>208</v>
      </c>
      <c r="C42" s="521" t="s">
        <v>209</v>
      </c>
      <c r="D42" s="519"/>
      <c r="E42" s="223" t="s">
        <v>196</v>
      </c>
      <c r="F42" s="233">
        <v>61.42</v>
      </c>
      <c r="G42" s="311">
        <v>0</v>
      </c>
      <c r="H42" s="233">
        <f>F42*AM42</f>
        <v>0</v>
      </c>
      <c r="I42" s="233">
        <f>F42*AN42</f>
        <v>0</v>
      </c>
      <c r="J42" s="233">
        <f>F42*G42</f>
        <v>0</v>
      </c>
      <c r="K42" s="233">
        <v>0</v>
      </c>
      <c r="L42" s="233">
        <f>F42*K42</f>
        <v>0</v>
      </c>
      <c r="M42" s="240" t="s">
        <v>472</v>
      </c>
      <c r="X42" s="233">
        <f>IF(AO42="5",BH42,0)</f>
        <v>0</v>
      </c>
      <c r="Z42" s="233">
        <f>IF(AO42="1",BF42,0)</f>
        <v>0</v>
      </c>
      <c r="AA42" s="233">
        <f>IF(AO42="1",BG42,0)</f>
        <v>0</v>
      </c>
      <c r="AB42" s="233">
        <f>IF(AO42="7",BF42,0)</f>
        <v>0</v>
      </c>
      <c r="AC42" s="233">
        <f>IF(AO42="7",BG42,0)</f>
        <v>0</v>
      </c>
      <c r="AD42" s="233">
        <f>IF(AO42="2",BF42,0)</f>
        <v>0</v>
      </c>
      <c r="AE42" s="233">
        <f>IF(AO42="2",BG42,0)</f>
        <v>0</v>
      </c>
      <c r="AF42" s="233">
        <f>IF(AO42="0",BH42,0)</f>
        <v>0</v>
      </c>
      <c r="AG42" s="229" t="s">
        <v>154</v>
      </c>
      <c r="AH42" s="233">
        <f>IF(AL42=0,J42,0)</f>
        <v>0</v>
      </c>
      <c r="AI42" s="233">
        <f>IF(AL42=15,J42,0)</f>
        <v>0</v>
      </c>
      <c r="AJ42" s="233">
        <f>IF(AL42=21,J42,0)</f>
        <v>0</v>
      </c>
      <c r="AL42" s="233">
        <v>15</v>
      </c>
      <c r="AM42" s="233">
        <f>G42*0</f>
        <v>0</v>
      </c>
      <c r="AN42" s="233">
        <f>G42*(1-0)</f>
        <v>0</v>
      </c>
      <c r="AO42" s="234" t="s">
        <v>157</v>
      </c>
      <c r="AT42" s="233">
        <f>AU42+AV42</f>
        <v>0</v>
      </c>
      <c r="AU42" s="233">
        <f>F42*AM42</f>
        <v>0</v>
      </c>
      <c r="AV42" s="233">
        <f>F42*AN42</f>
        <v>0</v>
      </c>
      <c r="AW42" s="234" t="s">
        <v>205</v>
      </c>
      <c r="AX42" s="234" t="s">
        <v>163</v>
      </c>
      <c r="AY42" s="229" t="s">
        <v>164</v>
      </c>
      <c r="BA42" s="233">
        <f>AU42+AV42</f>
        <v>0</v>
      </c>
      <c r="BB42" s="233">
        <f>G42/(100-BC42)*100</f>
        <v>0</v>
      </c>
      <c r="BC42" s="233">
        <v>0</v>
      </c>
      <c r="BD42" s="233">
        <f>L42</f>
        <v>0</v>
      </c>
      <c r="BF42" s="233">
        <f>F42*AM42</f>
        <v>0</v>
      </c>
      <c r="BG42" s="233">
        <f>F42*AN42</f>
        <v>0</v>
      </c>
      <c r="BH42" s="233">
        <f>F42*G42</f>
        <v>0</v>
      </c>
      <c r="BI42" s="233"/>
      <c r="BJ42" s="233">
        <v>13</v>
      </c>
      <c r="BU42" s="233" t="e">
        <f>#REF!</f>
        <v>#REF!</v>
      </c>
      <c r="BV42" s="225" t="s">
        <v>209</v>
      </c>
    </row>
    <row r="43" spans="1:74" ht="81" customHeight="1" x14ac:dyDescent="0.3">
      <c r="A43" s="241"/>
      <c r="B43" s="242" t="s">
        <v>165</v>
      </c>
      <c r="C43" s="530" t="s">
        <v>2198</v>
      </c>
      <c r="D43" s="531"/>
      <c r="E43" s="531"/>
      <c r="F43" s="531"/>
      <c r="G43" s="531"/>
      <c r="H43" s="531"/>
      <c r="I43" s="531"/>
      <c r="J43" s="531"/>
      <c r="K43" s="531"/>
      <c r="L43" s="531"/>
      <c r="M43" s="532"/>
    </row>
    <row r="44" spans="1:74" ht="14.4" x14ac:dyDescent="0.3">
      <c r="A44" s="239" t="s">
        <v>161</v>
      </c>
      <c r="B44" s="223" t="s">
        <v>211</v>
      </c>
      <c r="C44" s="521" t="s">
        <v>482</v>
      </c>
      <c r="D44" s="519"/>
      <c r="E44" s="223" t="s">
        <v>196</v>
      </c>
      <c r="F44" s="233">
        <v>15.36</v>
      </c>
      <c r="G44" s="311">
        <v>0</v>
      </c>
      <c r="H44" s="233">
        <f>F44*AM44</f>
        <v>0</v>
      </c>
      <c r="I44" s="233">
        <f>F44*AN44</f>
        <v>0</v>
      </c>
      <c r="J44" s="233">
        <f>F44*G44</f>
        <v>0</v>
      </c>
      <c r="K44" s="233">
        <v>0</v>
      </c>
      <c r="L44" s="233">
        <f>F44*K44</f>
        <v>0</v>
      </c>
      <c r="M44" s="240" t="s">
        <v>472</v>
      </c>
      <c r="X44" s="233">
        <f>IF(AO44="5",BH44,0)</f>
        <v>0</v>
      </c>
      <c r="Z44" s="233">
        <f>IF(AO44="1",BF44,0)</f>
        <v>0</v>
      </c>
      <c r="AA44" s="233">
        <f>IF(AO44="1",BG44,0)</f>
        <v>0</v>
      </c>
      <c r="AB44" s="233">
        <f>IF(AO44="7",BF44,0)</f>
        <v>0</v>
      </c>
      <c r="AC44" s="233">
        <f>IF(AO44="7",BG44,0)</f>
        <v>0</v>
      </c>
      <c r="AD44" s="233">
        <f>IF(AO44="2",BF44,0)</f>
        <v>0</v>
      </c>
      <c r="AE44" s="233">
        <f>IF(AO44="2",BG44,0)</f>
        <v>0</v>
      </c>
      <c r="AF44" s="233">
        <f>IF(AO44="0",BH44,0)</f>
        <v>0</v>
      </c>
      <c r="AG44" s="229" t="s">
        <v>154</v>
      </c>
      <c r="AH44" s="233">
        <f>IF(AL44=0,J44,0)</f>
        <v>0</v>
      </c>
      <c r="AI44" s="233">
        <f>IF(AL44=15,J44,0)</f>
        <v>0</v>
      </c>
      <c r="AJ44" s="233">
        <f>IF(AL44=21,J44,0)</f>
        <v>0</v>
      </c>
      <c r="AL44" s="233">
        <v>15</v>
      </c>
      <c r="AM44" s="233">
        <f>G44*0</f>
        <v>0</v>
      </c>
      <c r="AN44" s="233">
        <f>G44*(1-0)</f>
        <v>0</v>
      </c>
      <c r="AO44" s="234" t="s">
        <v>157</v>
      </c>
      <c r="AT44" s="233">
        <f>AU44+AV44</f>
        <v>0</v>
      </c>
      <c r="AU44" s="233">
        <f>F44*AM44</f>
        <v>0</v>
      </c>
      <c r="AV44" s="233">
        <f>F44*AN44</f>
        <v>0</v>
      </c>
      <c r="AW44" s="234" t="s">
        <v>205</v>
      </c>
      <c r="AX44" s="234" t="s">
        <v>163</v>
      </c>
      <c r="AY44" s="229" t="s">
        <v>164</v>
      </c>
      <c r="BA44" s="233">
        <f>AU44+AV44</f>
        <v>0</v>
      </c>
      <c r="BB44" s="233">
        <f>G44/(100-BC44)*100</f>
        <v>0</v>
      </c>
      <c r="BC44" s="233">
        <v>0</v>
      </c>
      <c r="BD44" s="233">
        <f>L44</f>
        <v>0</v>
      </c>
      <c r="BF44" s="233">
        <f>F44*AM44</f>
        <v>0</v>
      </c>
      <c r="BG44" s="233">
        <f>F44*AN44</f>
        <v>0</v>
      </c>
      <c r="BH44" s="233">
        <f>F44*G44</f>
        <v>0</v>
      </c>
      <c r="BI44" s="233"/>
      <c r="BJ44" s="233">
        <v>13</v>
      </c>
      <c r="BU44" s="233" t="e">
        <f>#REF!</f>
        <v>#REF!</v>
      </c>
      <c r="BV44" s="225" t="s">
        <v>482</v>
      </c>
    </row>
    <row r="45" spans="1:74" ht="40.5" customHeight="1" x14ac:dyDescent="0.3">
      <c r="A45" s="241"/>
      <c r="B45" s="242" t="s">
        <v>165</v>
      </c>
      <c r="C45" s="530" t="s">
        <v>2199</v>
      </c>
      <c r="D45" s="531"/>
      <c r="E45" s="531"/>
      <c r="F45" s="531"/>
      <c r="G45" s="531"/>
      <c r="H45" s="531"/>
      <c r="I45" s="531"/>
      <c r="J45" s="531"/>
      <c r="K45" s="531"/>
      <c r="L45" s="531"/>
      <c r="M45" s="532"/>
    </row>
    <row r="46" spans="1:74" ht="14.4" x14ac:dyDescent="0.3">
      <c r="A46" s="239" t="s">
        <v>215</v>
      </c>
      <c r="B46" s="223" t="s">
        <v>213</v>
      </c>
      <c r="C46" s="521" t="s">
        <v>214</v>
      </c>
      <c r="D46" s="519"/>
      <c r="E46" s="223" t="s">
        <v>196</v>
      </c>
      <c r="F46" s="233">
        <v>1</v>
      </c>
      <c r="G46" s="311">
        <v>0</v>
      </c>
      <c r="H46" s="233">
        <f>F46*AM46</f>
        <v>0</v>
      </c>
      <c r="I46" s="233">
        <f>F46*AN46</f>
        <v>0</v>
      </c>
      <c r="J46" s="233">
        <f>F46*G46</f>
        <v>0</v>
      </c>
      <c r="K46" s="233">
        <v>0</v>
      </c>
      <c r="L46" s="233">
        <f>F46*K46</f>
        <v>0</v>
      </c>
      <c r="M46" s="240" t="s">
        <v>472</v>
      </c>
      <c r="X46" s="233">
        <f>IF(AO46="5",BH46,0)</f>
        <v>0</v>
      </c>
      <c r="Z46" s="233">
        <f>IF(AO46="1",BF46,0)</f>
        <v>0</v>
      </c>
      <c r="AA46" s="233">
        <f>IF(AO46="1",BG46,0)</f>
        <v>0</v>
      </c>
      <c r="AB46" s="233">
        <f>IF(AO46="7",BF46,0)</f>
        <v>0</v>
      </c>
      <c r="AC46" s="233">
        <f>IF(AO46="7",BG46,0)</f>
        <v>0</v>
      </c>
      <c r="AD46" s="233">
        <f>IF(AO46="2",BF46,0)</f>
        <v>0</v>
      </c>
      <c r="AE46" s="233">
        <f>IF(AO46="2",BG46,0)</f>
        <v>0</v>
      </c>
      <c r="AF46" s="233">
        <f>IF(AO46="0",BH46,0)</f>
        <v>0</v>
      </c>
      <c r="AG46" s="229" t="s">
        <v>154</v>
      </c>
      <c r="AH46" s="233">
        <f>IF(AL46=0,J46,0)</f>
        <v>0</v>
      </c>
      <c r="AI46" s="233">
        <f>IF(AL46=15,J46,0)</f>
        <v>0</v>
      </c>
      <c r="AJ46" s="233">
        <f>IF(AL46=21,J46,0)</f>
        <v>0</v>
      </c>
      <c r="AL46" s="233">
        <v>15</v>
      </c>
      <c r="AM46" s="233">
        <f>G46*0</f>
        <v>0</v>
      </c>
      <c r="AN46" s="233">
        <f>G46*(1-0)</f>
        <v>0</v>
      </c>
      <c r="AO46" s="234" t="s">
        <v>157</v>
      </c>
      <c r="AT46" s="233">
        <f>AU46+AV46</f>
        <v>0</v>
      </c>
      <c r="AU46" s="233">
        <f>F46*AM46</f>
        <v>0</v>
      </c>
      <c r="AV46" s="233">
        <f>F46*AN46</f>
        <v>0</v>
      </c>
      <c r="AW46" s="234" t="s">
        <v>205</v>
      </c>
      <c r="AX46" s="234" t="s">
        <v>163</v>
      </c>
      <c r="AY46" s="229" t="s">
        <v>164</v>
      </c>
      <c r="BA46" s="233">
        <f>AU46+AV46</f>
        <v>0</v>
      </c>
      <c r="BB46" s="233">
        <f>G46/(100-BC46)*100</f>
        <v>0</v>
      </c>
      <c r="BC46" s="233">
        <v>0</v>
      </c>
      <c r="BD46" s="233">
        <f>L46</f>
        <v>0</v>
      </c>
      <c r="BF46" s="233">
        <f>F46*AM46</f>
        <v>0</v>
      </c>
      <c r="BG46" s="233">
        <f>F46*AN46</f>
        <v>0</v>
      </c>
      <c r="BH46" s="233">
        <f>F46*G46</f>
        <v>0</v>
      </c>
      <c r="BI46" s="233"/>
      <c r="BJ46" s="233">
        <v>13</v>
      </c>
      <c r="BU46" s="233" t="e">
        <f>#REF!</f>
        <v>#REF!</v>
      </c>
      <c r="BV46" s="225" t="s">
        <v>214</v>
      </c>
    </row>
    <row r="47" spans="1:74" ht="81" customHeight="1" x14ac:dyDescent="0.3">
      <c r="A47" s="241"/>
      <c r="B47" s="242" t="s">
        <v>165</v>
      </c>
      <c r="C47" s="530" t="s">
        <v>2200</v>
      </c>
      <c r="D47" s="531"/>
      <c r="E47" s="531"/>
      <c r="F47" s="531"/>
      <c r="G47" s="531"/>
      <c r="H47" s="531"/>
      <c r="I47" s="531"/>
      <c r="J47" s="531"/>
      <c r="K47" s="531"/>
      <c r="L47" s="531"/>
      <c r="M47" s="532"/>
    </row>
    <row r="48" spans="1:74" ht="14.4" x14ac:dyDescent="0.3">
      <c r="A48" s="239" t="s">
        <v>220</v>
      </c>
      <c r="B48" s="223" t="s">
        <v>216</v>
      </c>
      <c r="C48" s="521" t="s">
        <v>217</v>
      </c>
      <c r="D48" s="519"/>
      <c r="E48" s="223" t="s">
        <v>196</v>
      </c>
      <c r="F48" s="233">
        <v>0.5</v>
      </c>
      <c r="G48" s="311">
        <v>0</v>
      </c>
      <c r="H48" s="233">
        <f>F48*AM48</f>
        <v>0</v>
      </c>
      <c r="I48" s="233">
        <f>F48*AN48</f>
        <v>0</v>
      </c>
      <c r="J48" s="233">
        <f>F48*G48</f>
        <v>0</v>
      </c>
      <c r="K48" s="233">
        <v>0</v>
      </c>
      <c r="L48" s="233">
        <f>F48*K48</f>
        <v>0</v>
      </c>
      <c r="M48" s="240" t="s">
        <v>472</v>
      </c>
      <c r="X48" s="233">
        <f>IF(AO48="5",BH48,0)</f>
        <v>0</v>
      </c>
      <c r="Z48" s="233">
        <f>IF(AO48="1",BF48,0)</f>
        <v>0</v>
      </c>
      <c r="AA48" s="233">
        <f>IF(AO48="1",BG48,0)</f>
        <v>0</v>
      </c>
      <c r="AB48" s="233">
        <f>IF(AO48="7",BF48,0)</f>
        <v>0</v>
      </c>
      <c r="AC48" s="233">
        <f>IF(AO48="7",BG48,0)</f>
        <v>0</v>
      </c>
      <c r="AD48" s="233">
        <f>IF(AO48="2",BF48,0)</f>
        <v>0</v>
      </c>
      <c r="AE48" s="233">
        <f>IF(AO48="2",BG48,0)</f>
        <v>0</v>
      </c>
      <c r="AF48" s="233">
        <f>IF(AO48="0",BH48,0)</f>
        <v>0</v>
      </c>
      <c r="AG48" s="229" t="s">
        <v>154</v>
      </c>
      <c r="AH48" s="233">
        <f>IF(AL48=0,J48,0)</f>
        <v>0</v>
      </c>
      <c r="AI48" s="233">
        <f>IF(AL48=15,J48,0)</f>
        <v>0</v>
      </c>
      <c r="AJ48" s="233">
        <f>IF(AL48=21,J48,0)</f>
        <v>0</v>
      </c>
      <c r="AL48" s="233">
        <v>15</v>
      </c>
      <c r="AM48" s="233">
        <f>G48*0</f>
        <v>0</v>
      </c>
      <c r="AN48" s="233">
        <f>G48*(1-0)</f>
        <v>0</v>
      </c>
      <c r="AO48" s="234" t="s">
        <v>157</v>
      </c>
      <c r="AT48" s="233">
        <f>AU48+AV48</f>
        <v>0</v>
      </c>
      <c r="AU48" s="233">
        <f>F48*AM48</f>
        <v>0</v>
      </c>
      <c r="AV48" s="233">
        <f>F48*AN48</f>
        <v>0</v>
      </c>
      <c r="AW48" s="234" t="s">
        <v>205</v>
      </c>
      <c r="AX48" s="234" t="s">
        <v>163</v>
      </c>
      <c r="AY48" s="229" t="s">
        <v>164</v>
      </c>
      <c r="BA48" s="233">
        <f>AU48+AV48</f>
        <v>0</v>
      </c>
      <c r="BB48" s="233">
        <f>G48/(100-BC48)*100</f>
        <v>0</v>
      </c>
      <c r="BC48" s="233">
        <v>0</v>
      </c>
      <c r="BD48" s="233">
        <f>L48</f>
        <v>0</v>
      </c>
      <c r="BF48" s="233">
        <f>F48*AM48</f>
        <v>0</v>
      </c>
      <c r="BG48" s="233">
        <f>F48*AN48</f>
        <v>0</v>
      </c>
      <c r="BH48" s="233">
        <f>F48*G48</f>
        <v>0</v>
      </c>
      <c r="BI48" s="233"/>
      <c r="BJ48" s="233">
        <v>13</v>
      </c>
      <c r="BU48" s="233" t="e">
        <f>#REF!</f>
        <v>#REF!</v>
      </c>
      <c r="BV48" s="225" t="s">
        <v>217</v>
      </c>
    </row>
    <row r="49" spans="1:74" ht="13.5" customHeight="1" x14ac:dyDescent="0.3">
      <c r="A49" s="241"/>
      <c r="B49" s="242" t="s">
        <v>165</v>
      </c>
      <c r="C49" s="530" t="s">
        <v>218</v>
      </c>
      <c r="D49" s="531"/>
      <c r="E49" s="531"/>
      <c r="F49" s="531"/>
      <c r="G49" s="531"/>
      <c r="H49" s="531"/>
      <c r="I49" s="531"/>
      <c r="J49" s="531"/>
      <c r="K49" s="531"/>
      <c r="L49" s="531"/>
      <c r="M49" s="532"/>
    </row>
    <row r="50" spans="1:74" ht="14.4" x14ac:dyDescent="0.3">
      <c r="A50" s="239" t="s">
        <v>224</v>
      </c>
      <c r="B50" s="223" t="s">
        <v>483</v>
      </c>
      <c r="C50" s="521" t="s">
        <v>484</v>
      </c>
      <c r="D50" s="519"/>
      <c r="E50" s="223" t="s">
        <v>196</v>
      </c>
      <c r="F50" s="233">
        <v>7.48</v>
      </c>
      <c r="G50" s="311">
        <v>0</v>
      </c>
      <c r="H50" s="233">
        <f>F50*AM50</f>
        <v>0</v>
      </c>
      <c r="I50" s="233">
        <f>F50*AN50</f>
        <v>0</v>
      </c>
      <c r="J50" s="233">
        <f>F50*G50</f>
        <v>0</v>
      </c>
      <c r="K50" s="233">
        <v>0</v>
      </c>
      <c r="L50" s="233">
        <f>F50*K50</f>
        <v>0</v>
      </c>
      <c r="M50" s="240" t="s">
        <v>472</v>
      </c>
      <c r="X50" s="233">
        <f>IF(AO50="5",BH50,0)</f>
        <v>0</v>
      </c>
      <c r="Z50" s="233">
        <f>IF(AO50="1",BF50,0)</f>
        <v>0</v>
      </c>
      <c r="AA50" s="233">
        <f>IF(AO50="1",BG50,0)</f>
        <v>0</v>
      </c>
      <c r="AB50" s="233">
        <f>IF(AO50="7",BF50,0)</f>
        <v>0</v>
      </c>
      <c r="AC50" s="233">
        <f>IF(AO50="7",BG50,0)</f>
        <v>0</v>
      </c>
      <c r="AD50" s="233">
        <f>IF(AO50="2",BF50,0)</f>
        <v>0</v>
      </c>
      <c r="AE50" s="233">
        <f>IF(AO50="2",BG50,0)</f>
        <v>0</v>
      </c>
      <c r="AF50" s="233">
        <f>IF(AO50="0",BH50,0)</f>
        <v>0</v>
      </c>
      <c r="AG50" s="229" t="s">
        <v>154</v>
      </c>
      <c r="AH50" s="233">
        <f>IF(AL50=0,J50,0)</f>
        <v>0</v>
      </c>
      <c r="AI50" s="233">
        <f>IF(AL50=15,J50,0)</f>
        <v>0</v>
      </c>
      <c r="AJ50" s="233">
        <f>IF(AL50=21,J50,0)</f>
        <v>0</v>
      </c>
      <c r="AL50" s="233">
        <v>15</v>
      </c>
      <c r="AM50" s="233">
        <f>G50*0</f>
        <v>0</v>
      </c>
      <c r="AN50" s="233">
        <f>G50*(1-0)</f>
        <v>0</v>
      </c>
      <c r="AO50" s="234" t="s">
        <v>157</v>
      </c>
      <c r="AT50" s="233">
        <f>AU50+AV50</f>
        <v>0</v>
      </c>
      <c r="AU50" s="233">
        <f>F50*AM50</f>
        <v>0</v>
      </c>
      <c r="AV50" s="233">
        <f>F50*AN50</f>
        <v>0</v>
      </c>
      <c r="AW50" s="234" t="s">
        <v>205</v>
      </c>
      <c r="AX50" s="234" t="s">
        <v>163</v>
      </c>
      <c r="AY50" s="229" t="s">
        <v>164</v>
      </c>
      <c r="BA50" s="233">
        <f>AU50+AV50</f>
        <v>0</v>
      </c>
      <c r="BB50" s="233">
        <f>G50/(100-BC50)*100</f>
        <v>0</v>
      </c>
      <c r="BC50" s="233">
        <v>0</v>
      </c>
      <c r="BD50" s="233">
        <f>L50</f>
        <v>0</v>
      </c>
      <c r="BF50" s="233">
        <f>F50*AM50</f>
        <v>0</v>
      </c>
      <c r="BG50" s="233">
        <f>F50*AN50</f>
        <v>0</v>
      </c>
      <c r="BH50" s="233">
        <f>F50*G50</f>
        <v>0</v>
      </c>
      <c r="BI50" s="233"/>
      <c r="BJ50" s="233">
        <v>13</v>
      </c>
      <c r="BU50" s="233" t="e">
        <f>#REF!</f>
        <v>#REF!</v>
      </c>
      <c r="BV50" s="225" t="s">
        <v>484</v>
      </c>
    </row>
    <row r="51" spans="1:74" ht="40.5" customHeight="1" x14ac:dyDescent="0.3">
      <c r="A51" s="241"/>
      <c r="B51" s="242" t="s">
        <v>165</v>
      </c>
      <c r="C51" s="530" t="s">
        <v>2201</v>
      </c>
      <c r="D51" s="531"/>
      <c r="E51" s="531"/>
      <c r="F51" s="531"/>
      <c r="G51" s="531"/>
      <c r="H51" s="531"/>
      <c r="I51" s="531"/>
      <c r="J51" s="531"/>
      <c r="K51" s="531"/>
      <c r="L51" s="531"/>
      <c r="M51" s="532"/>
    </row>
    <row r="52" spans="1:74" ht="14.4" x14ac:dyDescent="0.3">
      <c r="A52" s="239" t="s">
        <v>228</v>
      </c>
      <c r="B52" s="223" t="s">
        <v>888</v>
      </c>
      <c r="C52" s="521" t="s">
        <v>889</v>
      </c>
      <c r="D52" s="519"/>
      <c r="E52" s="223" t="s">
        <v>196</v>
      </c>
      <c r="F52" s="233">
        <v>48.8</v>
      </c>
      <c r="G52" s="311">
        <v>0</v>
      </c>
      <c r="H52" s="233">
        <f>F52*AM52</f>
        <v>0</v>
      </c>
      <c r="I52" s="233">
        <f>F52*AN52</f>
        <v>0</v>
      </c>
      <c r="J52" s="233">
        <f>F52*G52</f>
        <v>0</v>
      </c>
      <c r="K52" s="233">
        <v>0</v>
      </c>
      <c r="L52" s="233">
        <f>F52*K52</f>
        <v>0</v>
      </c>
      <c r="M52" s="240" t="s">
        <v>472</v>
      </c>
      <c r="X52" s="233">
        <f>IF(AO52="5",BH52,0)</f>
        <v>0</v>
      </c>
      <c r="Z52" s="233">
        <f>IF(AO52="1",BF52,0)</f>
        <v>0</v>
      </c>
      <c r="AA52" s="233">
        <f>IF(AO52="1",BG52,0)</f>
        <v>0</v>
      </c>
      <c r="AB52" s="233">
        <f>IF(AO52="7",BF52,0)</f>
        <v>0</v>
      </c>
      <c r="AC52" s="233">
        <f>IF(AO52="7",BG52,0)</f>
        <v>0</v>
      </c>
      <c r="AD52" s="233">
        <f>IF(AO52="2",BF52,0)</f>
        <v>0</v>
      </c>
      <c r="AE52" s="233">
        <f>IF(AO52="2",BG52,0)</f>
        <v>0</v>
      </c>
      <c r="AF52" s="233">
        <f>IF(AO52="0",BH52,0)</f>
        <v>0</v>
      </c>
      <c r="AG52" s="229" t="s">
        <v>154</v>
      </c>
      <c r="AH52" s="233">
        <f>IF(AL52=0,J52,0)</f>
        <v>0</v>
      </c>
      <c r="AI52" s="233">
        <f>IF(AL52=15,J52,0)</f>
        <v>0</v>
      </c>
      <c r="AJ52" s="233">
        <f>IF(AL52=21,J52,0)</f>
        <v>0</v>
      </c>
      <c r="AL52" s="233">
        <v>15</v>
      </c>
      <c r="AM52" s="233">
        <f>G52*0</f>
        <v>0</v>
      </c>
      <c r="AN52" s="233">
        <f>G52*(1-0)</f>
        <v>0</v>
      </c>
      <c r="AO52" s="234" t="s">
        <v>157</v>
      </c>
      <c r="AT52" s="233">
        <f>AU52+AV52</f>
        <v>0</v>
      </c>
      <c r="AU52" s="233">
        <f>F52*AM52</f>
        <v>0</v>
      </c>
      <c r="AV52" s="233">
        <f>F52*AN52</f>
        <v>0</v>
      </c>
      <c r="AW52" s="234" t="s">
        <v>205</v>
      </c>
      <c r="AX52" s="234" t="s">
        <v>163</v>
      </c>
      <c r="AY52" s="229" t="s">
        <v>164</v>
      </c>
      <c r="BA52" s="233">
        <f>AU52+AV52</f>
        <v>0</v>
      </c>
      <c r="BB52" s="233">
        <f>G52/(100-BC52)*100</f>
        <v>0</v>
      </c>
      <c r="BC52" s="233">
        <v>0</v>
      </c>
      <c r="BD52" s="233">
        <f>L52</f>
        <v>0</v>
      </c>
      <c r="BF52" s="233">
        <f>F52*AM52</f>
        <v>0</v>
      </c>
      <c r="BG52" s="233">
        <f>F52*AN52</f>
        <v>0</v>
      </c>
      <c r="BH52" s="233">
        <f>F52*G52</f>
        <v>0</v>
      </c>
      <c r="BI52" s="233"/>
      <c r="BJ52" s="233">
        <v>13</v>
      </c>
      <c r="BU52" s="233" t="e">
        <f>#REF!</f>
        <v>#REF!</v>
      </c>
      <c r="BV52" s="225" t="s">
        <v>889</v>
      </c>
    </row>
    <row r="53" spans="1:74" ht="40.5" customHeight="1" x14ac:dyDescent="0.3">
      <c r="A53" s="241"/>
      <c r="B53" s="242" t="s">
        <v>165</v>
      </c>
      <c r="C53" s="530" t="s">
        <v>2202</v>
      </c>
      <c r="D53" s="531"/>
      <c r="E53" s="531"/>
      <c r="F53" s="531"/>
      <c r="G53" s="531"/>
      <c r="H53" s="531"/>
      <c r="I53" s="531"/>
      <c r="J53" s="531"/>
      <c r="K53" s="531"/>
      <c r="L53" s="531"/>
      <c r="M53" s="532"/>
    </row>
    <row r="54" spans="1:74" ht="14.4" x14ac:dyDescent="0.3">
      <c r="A54" s="239" t="s">
        <v>154</v>
      </c>
      <c r="B54" s="224" t="s">
        <v>161</v>
      </c>
      <c r="C54" s="526" t="s">
        <v>219</v>
      </c>
      <c r="D54" s="527"/>
      <c r="E54" s="223" t="s">
        <v>114</v>
      </c>
      <c r="F54" s="223" t="s">
        <v>114</v>
      </c>
      <c r="G54" s="223" t="s">
        <v>114</v>
      </c>
      <c r="H54" s="235">
        <f>SUM(H55:H57)</f>
        <v>0</v>
      </c>
      <c r="I54" s="235">
        <f>SUM(I55:I57)</f>
        <v>0</v>
      </c>
      <c r="J54" s="235">
        <f>SUM(J55:J57)</f>
        <v>0</v>
      </c>
      <c r="K54" s="230" t="s">
        <v>154</v>
      </c>
      <c r="L54" s="235">
        <f>SUM(L55:L57)</f>
        <v>0.15672640000000002</v>
      </c>
      <c r="M54" s="243" t="s">
        <v>154</v>
      </c>
      <c r="AG54" s="229" t="s">
        <v>154</v>
      </c>
      <c r="AQ54" s="222">
        <f>SUM(AH55:AH57)</f>
        <v>0</v>
      </c>
      <c r="AR54" s="222">
        <f>SUM(AI55:AI57)</f>
        <v>0</v>
      </c>
      <c r="AS54" s="222">
        <f>SUM(AJ55:AJ57)</f>
        <v>0</v>
      </c>
    </row>
    <row r="55" spans="1:74" ht="14.4" x14ac:dyDescent="0.3">
      <c r="A55" s="239" t="s">
        <v>232</v>
      </c>
      <c r="B55" s="223" t="s">
        <v>221</v>
      </c>
      <c r="C55" s="521" t="s">
        <v>222</v>
      </c>
      <c r="D55" s="519"/>
      <c r="E55" s="223" t="s">
        <v>180</v>
      </c>
      <c r="F55" s="233">
        <v>182.24</v>
      </c>
      <c r="G55" s="311">
        <v>0</v>
      </c>
      <c r="H55" s="233">
        <f>F55*AM55</f>
        <v>0</v>
      </c>
      <c r="I55" s="233">
        <f>F55*AN55</f>
        <v>0</v>
      </c>
      <c r="J55" s="233">
        <f>F55*G55</f>
        <v>0</v>
      </c>
      <c r="K55" s="233">
        <v>8.5999999999999998E-4</v>
      </c>
      <c r="L55" s="233">
        <f>F55*K55</f>
        <v>0.15672640000000002</v>
      </c>
      <c r="M55" s="240" t="s">
        <v>472</v>
      </c>
      <c r="X55" s="233">
        <f>IF(AO55="5",BH55,0)</f>
        <v>0</v>
      </c>
      <c r="Z55" s="233">
        <f>IF(AO55="1",BF55,0)</f>
        <v>0</v>
      </c>
      <c r="AA55" s="233">
        <f>IF(AO55="1",BG55,0)</f>
        <v>0</v>
      </c>
      <c r="AB55" s="233">
        <f>IF(AO55="7",BF55,0)</f>
        <v>0</v>
      </c>
      <c r="AC55" s="233">
        <f>IF(AO55="7",BG55,0)</f>
        <v>0</v>
      </c>
      <c r="AD55" s="233">
        <f>IF(AO55="2",BF55,0)</f>
        <v>0</v>
      </c>
      <c r="AE55" s="233">
        <f>IF(AO55="2",BG55,0)</f>
        <v>0</v>
      </c>
      <c r="AF55" s="233">
        <f>IF(AO55="0",BH55,0)</f>
        <v>0</v>
      </c>
      <c r="AG55" s="229" t="s">
        <v>154</v>
      </c>
      <c r="AH55" s="233">
        <f>IF(AL55=0,J55,0)</f>
        <v>0</v>
      </c>
      <c r="AI55" s="233">
        <f>IF(AL55=15,J55,0)</f>
        <v>0</v>
      </c>
      <c r="AJ55" s="233">
        <f>IF(AL55=21,J55,0)</f>
        <v>0</v>
      </c>
      <c r="AL55" s="233">
        <v>15</v>
      </c>
      <c r="AM55" s="233">
        <f>G55*0.088676782</f>
        <v>0</v>
      </c>
      <c r="AN55" s="233">
        <f>G55*(1-0.088676782)</f>
        <v>0</v>
      </c>
      <c r="AO55" s="234" t="s">
        <v>157</v>
      </c>
      <c r="AT55" s="233">
        <f>AU55+AV55</f>
        <v>0</v>
      </c>
      <c r="AU55" s="233">
        <f>F55*AM55</f>
        <v>0</v>
      </c>
      <c r="AV55" s="233">
        <f>F55*AN55</f>
        <v>0</v>
      </c>
      <c r="AW55" s="234" t="s">
        <v>223</v>
      </c>
      <c r="AX55" s="234" t="s">
        <v>163</v>
      </c>
      <c r="AY55" s="229" t="s">
        <v>164</v>
      </c>
      <c r="BA55" s="233">
        <f>AU55+AV55</f>
        <v>0</v>
      </c>
      <c r="BB55" s="233">
        <f>G55/(100-BC55)*100</f>
        <v>0</v>
      </c>
      <c r="BC55" s="233">
        <v>0</v>
      </c>
      <c r="BD55" s="233">
        <f>L55</f>
        <v>0.15672640000000002</v>
      </c>
      <c r="BF55" s="233">
        <f>F55*AM55</f>
        <v>0</v>
      </c>
      <c r="BG55" s="233">
        <f>F55*AN55</f>
        <v>0</v>
      </c>
      <c r="BH55" s="233">
        <f>F55*G55</f>
        <v>0</v>
      </c>
      <c r="BI55" s="233"/>
      <c r="BJ55" s="233">
        <v>15</v>
      </c>
      <c r="BU55" s="233" t="e">
        <f>#REF!</f>
        <v>#REF!</v>
      </c>
      <c r="BV55" s="225" t="s">
        <v>222</v>
      </c>
    </row>
    <row r="56" spans="1:74" ht="40.5" customHeight="1" x14ac:dyDescent="0.3">
      <c r="A56" s="241"/>
      <c r="B56" s="242" t="s">
        <v>165</v>
      </c>
      <c r="C56" s="530" t="s">
        <v>2203</v>
      </c>
      <c r="D56" s="531"/>
      <c r="E56" s="531"/>
      <c r="F56" s="531"/>
      <c r="G56" s="531"/>
      <c r="H56" s="531"/>
      <c r="I56" s="531"/>
      <c r="J56" s="531"/>
      <c r="K56" s="531"/>
      <c r="L56" s="531"/>
      <c r="M56" s="532"/>
    </row>
    <row r="57" spans="1:74" ht="14.4" x14ac:dyDescent="0.3">
      <c r="A57" s="239" t="s">
        <v>235</v>
      </c>
      <c r="B57" s="223" t="s">
        <v>225</v>
      </c>
      <c r="C57" s="521" t="s">
        <v>226</v>
      </c>
      <c r="D57" s="519"/>
      <c r="E57" s="223" t="s">
        <v>180</v>
      </c>
      <c r="F57" s="233">
        <v>182.24</v>
      </c>
      <c r="G57" s="311">
        <v>0</v>
      </c>
      <c r="H57" s="233">
        <f>F57*AM57</f>
        <v>0</v>
      </c>
      <c r="I57" s="233">
        <f>F57*AN57</f>
        <v>0</v>
      </c>
      <c r="J57" s="233">
        <f>F57*G57</f>
        <v>0</v>
      </c>
      <c r="K57" s="233">
        <v>0</v>
      </c>
      <c r="L57" s="233">
        <f>F57*K57</f>
        <v>0</v>
      </c>
      <c r="M57" s="240" t="s">
        <v>472</v>
      </c>
      <c r="X57" s="233">
        <f>IF(AO57="5",BH57,0)</f>
        <v>0</v>
      </c>
      <c r="Z57" s="233">
        <f>IF(AO57="1",BF57,0)</f>
        <v>0</v>
      </c>
      <c r="AA57" s="233">
        <f>IF(AO57="1",BG57,0)</f>
        <v>0</v>
      </c>
      <c r="AB57" s="233">
        <f>IF(AO57="7",BF57,0)</f>
        <v>0</v>
      </c>
      <c r="AC57" s="233">
        <f>IF(AO57="7",BG57,0)</f>
        <v>0</v>
      </c>
      <c r="AD57" s="233">
        <f>IF(AO57="2",BF57,0)</f>
        <v>0</v>
      </c>
      <c r="AE57" s="233">
        <f>IF(AO57="2",BG57,0)</f>
        <v>0</v>
      </c>
      <c r="AF57" s="233">
        <f>IF(AO57="0",BH57,0)</f>
        <v>0</v>
      </c>
      <c r="AG57" s="229" t="s">
        <v>154</v>
      </c>
      <c r="AH57" s="233">
        <f>IF(AL57=0,J57,0)</f>
        <v>0</v>
      </c>
      <c r="AI57" s="233">
        <f>IF(AL57=15,J57,0)</f>
        <v>0</v>
      </c>
      <c r="AJ57" s="233">
        <f>IF(AL57=21,J57,0)</f>
        <v>0</v>
      </c>
      <c r="AL57" s="233">
        <v>15</v>
      </c>
      <c r="AM57" s="233">
        <f>G57*0</f>
        <v>0</v>
      </c>
      <c r="AN57" s="233">
        <f>G57*(1-0)</f>
        <v>0</v>
      </c>
      <c r="AO57" s="234" t="s">
        <v>157</v>
      </c>
      <c r="AT57" s="233">
        <f>AU57+AV57</f>
        <v>0</v>
      </c>
      <c r="AU57" s="233">
        <f>F57*AM57</f>
        <v>0</v>
      </c>
      <c r="AV57" s="233">
        <f>F57*AN57</f>
        <v>0</v>
      </c>
      <c r="AW57" s="234" t="s">
        <v>223</v>
      </c>
      <c r="AX57" s="234" t="s">
        <v>163</v>
      </c>
      <c r="AY57" s="229" t="s">
        <v>164</v>
      </c>
      <c r="BA57" s="233">
        <f>AU57+AV57</f>
        <v>0</v>
      </c>
      <c r="BB57" s="233">
        <f>G57/(100-BC57)*100</f>
        <v>0</v>
      </c>
      <c r="BC57" s="233">
        <v>0</v>
      </c>
      <c r="BD57" s="233">
        <f>L57</f>
        <v>0</v>
      </c>
      <c r="BF57" s="233">
        <f>F57*AM57</f>
        <v>0</v>
      </c>
      <c r="BG57" s="233">
        <f>F57*AN57</f>
        <v>0</v>
      </c>
      <c r="BH57" s="233">
        <f>F57*G57</f>
        <v>0</v>
      </c>
      <c r="BI57" s="233"/>
      <c r="BJ57" s="233">
        <v>15</v>
      </c>
      <c r="BU57" s="233" t="e">
        <f>#REF!</f>
        <v>#REF!</v>
      </c>
      <c r="BV57" s="225" t="s">
        <v>226</v>
      </c>
    </row>
    <row r="58" spans="1:74" ht="40.5" customHeight="1" x14ac:dyDescent="0.3">
      <c r="A58" s="241"/>
      <c r="B58" s="242" t="s">
        <v>165</v>
      </c>
      <c r="C58" s="530" t="s">
        <v>2204</v>
      </c>
      <c r="D58" s="531"/>
      <c r="E58" s="531"/>
      <c r="F58" s="531"/>
      <c r="G58" s="531"/>
      <c r="H58" s="531"/>
      <c r="I58" s="531"/>
      <c r="J58" s="531"/>
      <c r="K58" s="531"/>
      <c r="L58" s="531"/>
      <c r="M58" s="532"/>
    </row>
    <row r="59" spans="1:74" ht="14.4" x14ac:dyDescent="0.3">
      <c r="A59" s="239" t="s">
        <v>154</v>
      </c>
      <c r="B59" s="224" t="s">
        <v>215</v>
      </c>
      <c r="C59" s="526" t="s">
        <v>227</v>
      </c>
      <c r="D59" s="527"/>
      <c r="E59" s="223" t="s">
        <v>114</v>
      </c>
      <c r="F59" s="223" t="s">
        <v>114</v>
      </c>
      <c r="G59" s="223" t="s">
        <v>114</v>
      </c>
      <c r="H59" s="235">
        <f>SUM(H60:H74)</f>
        <v>0</v>
      </c>
      <c r="I59" s="235">
        <f>SUM(I60:I74)</f>
        <v>0</v>
      </c>
      <c r="J59" s="235">
        <f>SUM(J60:J74)</f>
        <v>0</v>
      </c>
      <c r="K59" s="230" t="s">
        <v>154</v>
      </c>
      <c r="L59" s="235">
        <f>SUM(L60:L74)</f>
        <v>0</v>
      </c>
      <c r="M59" s="243" t="s">
        <v>154</v>
      </c>
      <c r="AG59" s="229" t="s">
        <v>154</v>
      </c>
      <c r="AQ59" s="222">
        <f>SUM(AH60:AH74)</f>
        <v>0</v>
      </c>
      <c r="AR59" s="222">
        <f>SUM(AI60:AI74)</f>
        <v>0</v>
      </c>
      <c r="AS59" s="222">
        <f>SUM(AJ60:AJ74)</f>
        <v>0</v>
      </c>
    </row>
    <row r="60" spans="1:74" ht="14.4" x14ac:dyDescent="0.3">
      <c r="A60" s="239" t="s">
        <v>238</v>
      </c>
      <c r="B60" s="223" t="s">
        <v>997</v>
      </c>
      <c r="C60" s="521" t="s">
        <v>998</v>
      </c>
      <c r="D60" s="519"/>
      <c r="E60" s="223" t="s">
        <v>196</v>
      </c>
      <c r="F60" s="233">
        <v>3.31</v>
      </c>
      <c r="G60" s="311">
        <v>0</v>
      </c>
      <c r="H60" s="233">
        <f>F60*AM60</f>
        <v>0</v>
      </c>
      <c r="I60" s="233">
        <f>F60*AN60</f>
        <v>0</v>
      </c>
      <c r="J60" s="233">
        <f>F60*G60</f>
        <v>0</v>
      </c>
      <c r="K60" s="233">
        <v>0</v>
      </c>
      <c r="L60" s="233">
        <f>F60*K60</f>
        <v>0</v>
      </c>
      <c r="M60" s="240" t="s">
        <v>472</v>
      </c>
      <c r="X60" s="233">
        <f>IF(AO60="5",BH60,0)</f>
        <v>0</v>
      </c>
      <c r="Z60" s="233">
        <f>IF(AO60="1",BF60,0)</f>
        <v>0</v>
      </c>
      <c r="AA60" s="233">
        <f>IF(AO60="1",BG60,0)</f>
        <v>0</v>
      </c>
      <c r="AB60" s="233">
        <f>IF(AO60="7",BF60,0)</f>
        <v>0</v>
      </c>
      <c r="AC60" s="233">
        <f>IF(AO60="7",BG60,0)</f>
        <v>0</v>
      </c>
      <c r="AD60" s="233">
        <f>IF(AO60="2",BF60,0)</f>
        <v>0</v>
      </c>
      <c r="AE60" s="233">
        <f>IF(AO60="2",BG60,0)</f>
        <v>0</v>
      </c>
      <c r="AF60" s="233">
        <f>IF(AO60="0",BH60,0)</f>
        <v>0</v>
      </c>
      <c r="AG60" s="229" t="s">
        <v>154</v>
      </c>
      <c r="AH60" s="233">
        <f>IF(AL60=0,J60,0)</f>
        <v>0</v>
      </c>
      <c r="AI60" s="233">
        <f>IF(AL60=15,J60,0)</f>
        <v>0</v>
      </c>
      <c r="AJ60" s="233">
        <f>IF(AL60=21,J60,0)</f>
        <v>0</v>
      </c>
      <c r="AL60" s="233">
        <v>15</v>
      </c>
      <c r="AM60" s="233">
        <f>G60*0</f>
        <v>0</v>
      </c>
      <c r="AN60" s="233">
        <f>G60*(1-0)</f>
        <v>0</v>
      </c>
      <c r="AO60" s="234" t="s">
        <v>157</v>
      </c>
      <c r="AT60" s="233">
        <f>AU60+AV60</f>
        <v>0</v>
      </c>
      <c r="AU60" s="233">
        <f>F60*AM60</f>
        <v>0</v>
      </c>
      <c r="AV60" s="233">
        <f>F60*AN60</f>
        <v>0</v>
      </c>
      <c r="AW60" s="234" t="s">
        <v>231</v>
      </c>
      <c r="AX60" s="234" t="s">
        <v>163</v>
      </c>
      <c r="AY60" s="229" t="s">
        <v>164</v>
      </c>
      <c r="BA60" s="233">
        <f>AU60+AV60</f>
        <v>0</v>
      </c>
      <c r="BB60" s="233">
        <f>G60/(100-BC60)*100</f>
        <v>0</v>
      </c>
      <c r="BC60" s="233">
        <v>0</v>
      </c>
      <c r="BD60" s="233">
        <f>L60</f>
        <v>0</v>
      </c>
      <c r="BF60" s="233">
        <f>F60*AM60</f>
        <v>0</v>
      </c>
      <c r="BG60" s="233">
        <f>F60*AN60</f>
        <v>0</v>
      </c>
      <c r="BH60" s="233">
        <f>F60*G60</f>
        <v>0</v>
      </c>
      <c r="BI60" s="233"/>
      <c r="BJ60" s="233">
        <v>16</v>
      </c>
      <c r="BU60" s="233" t="e">
        <f>#REF!</f>
        <v>#REF!</v>
      </c>
      <c r="BV60" s="225" t="s">
        <v>998</v>
      </c>
    </row>
    <row r="61" spans="1:74" ht="54" customHeight="1" x14ac:dyDescent="0.3">
      <c r="A61" s="241"/>
      <c r="B61" s="242" t="s">
        <v>165</v>
      </c>
      <c r="C61" s="530" t="s">
        <v>2205</v>
      </c>
      <c r="D61" s="531"/>
      <c r="E61" s="531"/>
      <c r="F61" s="531"/>
      <c r="G61" s="531"/>
      <c r="H61" s="531"/>
      <c r="I61" s="531"/>
      <c r="J61" s="531"/>
      <c r="K61" s="531"/>
      <c r="L61" s="531"/>
      <c r="M61" s="532"/>
    </row>
    <row r="62" spans="1:74" ht="14.4" x14ac:dyDescent="0.3">
      <c r="A62" s="239" t="s">
        <v>241</v>
      </c>
      <c r="B62" s="223" t="s">
        <v>999</v>
      </c>
      <c r="C62" s="521" t="s">
        <v>1000</v>
      </c>
      <c r="D62" s="519"/>
      <c r="E62" s="223" t="s">
        <v>196</v>
      </c>
      <c r="F62" s="233">
        <v>0.1</v>
      </c>
      <c r="G62" s="311">
        <v>0</v>
      </c>
      <c r="H62" s="233">
        <f>F62*AM62</f>
        <v>0</v>
      </c>
      <c r="I62" s="233">
        <f>F62*AN62</f>
        <v>0</v>
      </c>
      <c r="J62" s="233">
        <f>F62*G62</f>
        <v>0</v>
      </c>
      <c r="K62" s="233">
        <v>0</v>
      </c>
      <c r="L62" s="233">
        <f>F62*K62</f>
        <v>0</v>
      </c>
      <c r="M62" s="240" t="s">
        <v>472</v>
      </c>
      <c r="X62" s="233">
        <f>IF(AO62="5",BH62,0)</f>
        <v>0</v>
      </c>
      <c r="Z62" s="233">
        <f>IF(AO62="1",BF62,0)</f>
        <v>0</v>
      </c>
      <c r="AA62" s="233">
        <f>IF(AO62="1",BG62,0)</f>
        <v>0</v>
      </c>
      <c r="AB62" s="233">
        <f>IF(AO62="7",BF62,0)</f>
        <v>0</v>
      </c>
      <c r="AC62" s="233">
        <f>IF(AO62="7",BG62,0)</f>
        <v>0</v>
      </c>
      <c r="AD62" s="233">
        <f>IF(AO62="2",BF62,0)</f>
        <v>0</v>
      </c>
      <c r="AE62" s="233">
        <f>IF(AO62="2",BG62,0)</f>
        <v>0</v>
      </c>
      <c r="AF62" s="233">
        <f>IF(AO62="0",BH62,0)</f>
        <v>0</v>
      </c>
      <c r="AG62" s="229" t="s">
        <v>154</v>
      </c>
      <c r="AH62" s="233">
        <f>IF(AL62=0,J62,0)</f>
        <v>0</v>
      </c>
      <c r="AI62" s="233">
        <f>IF(AL62=15,J62,0)</f>
        <v>0</v>
      </c>
      <c r="AJ62" s="233">
        <f>IF(AL62=21,J62,0)</f>
        <v>0</v>
      </c>
      <c r="AL62" s="233">
        <v>15</v>
      </c>
      <c r="AM62" s="233">
        <f>G62*0</f>
        <v>0</v>
      </c>
      <c r="AN62" s="233">
        <f>G62*(1-0)</f>
        <v>0</v>
      </c>
      <c r="AO62" s="234" t="s">
        <v>157</v>
      </c>
      <c r="AT62" s="233">
        <f>AU62+AV62</f>
        <v>0</v>
      </c>
      <c r="AU62" s="233">
        <f>F62*AM62</f>
        <v>0</v>
      </c>
      <c r="AV62" s="233">
        <f>F62*AN62</f>
        <v>0</v>
      </c>
      <c r="AW62" s="234" t="s">
        <v>231</v>
      </c>
      <c r="AX62" s="234" t="s">
        <v>163</v>
      </c>
      <c r="AY62" s="229" t="s">
        <v>164</v>
      </c>
      <c r="BA62" s="233">
        <f>AU62+AV62</f>
        <v>0</v>
      </c>
      <c r="BB62" s="233">
        <f>G62/(100-BC62)*100</f>
        <v>0</v>
      </c>
      <c r="BC62" s="233">
        <v>0</v>
      </c>
      <c r="BD62" s="233">
        <f>L62</f>
        <v>0</v>
      </c>
      <c r="BF62" s="233">
        <f>F62*AM62</f>
        <v>0</v>
      </c>
      <c r="BG62" s="233">
        <f>F62*AN62</f>
        <v>0</v>
      </c>
      <c r="BH62" s="233">
        <f>F62*G62</f>
        <v>0</v>
      </c>
      <c r="BI62" s="233"/>
      <c r="BJ62" s="233">
        <v>16</v>
      </c>
      <c r="BU62" s="233" t="e">
        <f>#REF!</f>
        <v>#REF!</v>
      </c>
      <c r="BV62" s="225" t="s">
        <v>1000</v>
      </c>
    </row>
    <row r="63" spans="1:74" ht="67.5" customHeight="1" x14ac:dyDescent="0.3">
      <c r="A63" s="241"/>
      <c r="B63" s="242" t="s">
        <v>165</v>
      </c>
      <c r="C63" s="530" t="s">
        <v>2206</v>
      </c>
      <c r="D63" s="531"/>
      <c r="E63" s="531"/>
      <c r="F63" s="531"/>
      <c r="G63" s="531"/>
      <c r="H63" s="531"/>
      <c r="I63" s="531"/>
      <c r="J63" s="531"/>
      <c r="K63" s="531"/>
      <c r="L63" s="531"/>
      <c r="M63" s="532"/>
    </row>
    <row r="64" spans="1:74" ht="14.4" x14ac:dyDescent="0.3">
      <c r="A64" s="239" t="s">
        <v>244</v>
      </c>
      <c r="B64" s="223" t="s">
        <v>503</v>
      </c>
      <c r="C64" s="521" t="s">
        <v>237</v>
      </c>
      <c r="D64" s="519"/>
      <c r="E64" s="223" t="s">
        <v>196</v>
      </c>
      <c r="F64" s="233">
        <v>55.24</v>
      </c>
      <c r="G64" s="311">
        <v>0</v>
      </c>
      <c r="H64" s="233">
        <f>F64*AM64</f>
        <v>0</v>
      </c>
      <c r="I64" s="233">
        <f>F64*AN64</f>
        <v>0</v>
      </c>
      <c r="J64" s="233">
        <f>F64*G64</f>
        <v>0</v>
      </c>
      <c r="K64" s="233">
        <v>0</v>
      </c>
      <c r="L64" s="233">
        <f>F64*K64</f>
        <v>0</v>
      </c>
      <c r="M64" s="240" t="s">
        <v>472</v>
      </c>
      <c r="X64" s="233">
        <f>IF(AO64="5",BH64,0)</f>
        <v>0</v>
      </c>
      <c r="Z64" s="233">
        <f>IF(AO64="1",BF64,0)</f>
        <v>0</v>
      </c>
      <c r="AA64" s="233">
        <f>IF(AO64="1",BG64,0)</f>
        <v>0</v>
      </c>
      <c r="AB64" s="233">
        <f>IF(AO64="7",BF64,0)</f>
        <v>0</v>
      </c>
      <c r="AC64" s="233">
        <f>IF(AO64="7",BG64,0)</f>
        <v>0</v>
      </c>
      <c r="AD64" s="233">
        <f>IF(AO64="2",BF64,0)</f>
        <v>0</v>
      </c>
      <c r="AE64" s="233">
        <f>IF(AO64="2",BG64,0)</f>
        <v>0</v>
      </c>
      <c r="AF64" s="233">
        <f>IF(AO64="0",BH64,0)</f>
        <v>0</v>
      </c>
      <c r="AG64" s="229" t="s">
        <v>154</v>
      </c>
      <c r="AH64" s="233">
        <f>IF(AL64=0,J64,0)</f>
        <v>0</v>
      </c>
      <c r="AI64" s="233">
        <f>IF(AL64=15,J64,0)</f>
        <v>0</v>
      </c>
      <c r="AJ64" s="233">
        <f>IF(AL64=21,J64,0)</f>
        <v>0</v>
      </c>
      <c r="AL64" s="233">
        <v>15</v>
      </c>
      <c r="AM64" s="233">
        <f>G64*0</f>
        <v>0</v>
      </c>
      <c r="AN64" s="233">
        <f>G64*(1-0)</f>
        <v>0</v>
      </c>
      <c r="AO64" s="234" t="s">
        <v>157</v>
      </c>
      <c r="AT64" s="233">
        <f>AU64+AV64</f>
        <v>0</v>
      </c>
      <c r="AU64" s="233">
        <f>F64*AM64</f>
        <v>0</v>
      </c>
      <c r="AV64" s="233">
        <f>F64*AN64</f>
        <v>0</v>
      </c>
      <c r="AW64" s="234" t="s">
        <v>231</v>
      </c>
      <c r="AX64" s="234" t="s">
        <v>163</v>
      </c>
      <c r="AY64" s="229" t="s">
        <v>164</v>
      </c>
      <c r="BA64" s="233">
        <f>AU64+AV64</f>
        <v>0</v>
      </c>
      <c r="BB64" s="233">
        <f>G64/(100-BC64)*100</f>
        <v>0</v>
      </c>
      <c r="BC64" s="233">
        <v>0</v>
      </c>
      <c r="BD64" s="233">
        <f>L64</f>
        <v>0</v>
      </c>
      <c r="BF64" s="233">
        <f>F64*AM64</f>
        <v>0</v>
      </c>
      <c r="BG64" s="233">
        <f>F64*AN64</f>
        <v>0</v>
      </c>
      <c r="BH64" s="233">
        <f>F64*G64</f>
        <v>0</v>
      </c>
      <c r="BI64" s="233"/>
      <c r="BJ64" s="233">
        <v>16</v>
      </c>
      <c r="BU64" s="233" t="e">
        <f>#REF!</f>
        <v>#REF!</v>
      </c>
      <c r="BV64" s="225" t="s">
        <v>237</v>
      </c>
    </row>
    <row r="65" spans="1:74" ht="67.5" customHeight="1" x14ac:dyDescent="0.3">
      <c r="A65" s="244"/>
      <c r="B65" s="245" t="s">
        <v>165</v>
      </c>
      <c r="C65" s="540" t="s">
        <v>2207</v>
      </c>
      <c r="D65" s="541"/>
      <c r="E65" s="541"/>
      <c r="F65" s="541"/>
      <c r="G65" s="541"/>
      <c r="H65" s="541"/>
      <c r="I65" s="541"/>
      <c r="J65" s="541"/>
      <c r="K65" s="541"/>
      <c r="L65" s="541"/>
      <c r="M65" s="542"/>
    </row>
    <row r="66" spans="1:74" ht="14.4" x14ac:dyDescent="0.3">
      <c r="A66" s="237" t="s">
        <v>247</v>
      </c>
      <c r="B66" s="238" t="s">
        <v>504</v>
      </c>
      <c r="C66" s="543" t="s">
        <v>240</v>
      </c>
      <c r="D66" s="544"/>
      <c r="E66" s="238" t="s">
        <v>196</v>
      </c>
      <c r="F66" s="258">
        <v>773.36</v>
      </c>
      <c r="G66" s="311">
        <v>0</v>
      </c>
      <c r="H66" s="258">
        <f>F66*AM66</f>
        <v>0</v>
      </c>
      <c r="I66" s="258">
        <f>F66*AN66</f>
        <v>0</v>
      </c>
      <c r="J66" s="258">
        <f>F66*G66</f>
        <v>0</v>
      </c>
      <c r="K66" s="258">
        <v>0</v>
      </c>
      <c r="L66" s="258">
        <f>F66*K66</f>
        <v>0</v>
      </c>
      <c r="M66" s="259" t="s">
        <v>472</v>
      </c>
      <c r="X66" s="233">
        <f>IF(AO66="5",BH66,0)</f>
        <v>0</v>
      </c>
      <c r="Z66" s="233">
        <f>IF(AO66="1",BF66,0)</f>
        <v>0</v>
      </c>
      <c r="AA66" s="233">
        <f>IF(AO66="1",BG66,0)</f>
        <v>0</v>
      </c>
      <c r="AB66" s="233">
        <f>IF(AO66="7",BF66,0)</f>
        <v>0</v>
      </c>
      <c r="AC66" s="233">
        <f>IF(AO66="7",BG66,0)</f>
        <v>0</v>
      </c>
      <c r="AD66" s="233">
        <f>IF(AO66="2",BF66,0)</f>
        <v>0</v>
      </c>
      <c r="AE66" s="233">
        <f>IF(AO66="2",BG66,0)</f>
        <v>0</v>
      </c>
      <c r="AF66" s="233">
        <f>IF(AO66="0",BH66,0)</f>
        <v>0</v>
      </c>
      <c r="AG66" s="229" t="s">
        <v>154</v>
      </c>
      <c r="AH66" s="233">
        <f>IF(AL66=0,J66,0)</f>
        <v>0</v>
      </c>
      <c r="AI66" s="233">
        <f>IF(AL66=15,J66,0)</f>
        <v>0</v>
      </c>
      <c r="AJ66" s="233">
        <f>IF(AL66=21,J66,0)</f>
        <v>0</v>
      </c>
      <c r="AL66" s="233">
        <v>15</v>
      </c>
      <c r="AM66" s="233">
        <f>G66*0</f>
        <v>0</v>
      </c>
      <c r="AN66" s="233">
        <f>G66*(1-0)</f>
        <v>0</v>
      </c>
      <c r="AO66" s="234" t="s">
        <v>157</v>
      </c>
      <c r="AT66" s="233">
        <f>AU66+AV66</f>
        <v>0</v>
      </c>
      <c r="AU66" s="233">
        <f>F66*AM66</f>
        <v>0</v>
      </c>
      <c r="AV66" s="233">
        <f>F66*AN66</f>
        <v>0</v>
      </c>
      <c r="AW66" s="234" t="s">
        <v>231</v>
      </c>
      <c r="AX66" s="234" t="s">
        <v>163</v>
      </c>
      <c r="AY66" s="229" t="s">
        <v>164</v>
      </c>
      <c r="BA66" s="233">
        <f>AU66+AV66</f>
        <v>0</v>
      </c>
      <c r="BB66" s="233">
        <f>G66/(100-BC66)*100</f>
        <v>0</v>
      </c>
      <c r="BC66" s="233">
        <v>0</v>
      </c>
      <c r="BD66" s="233">
        <f>L66</f>
        <v>0</v>
      </c>
      <c r="BF66" s="233">
        <f>F66*AM66</f>
        <v>0</v>
      </c>
      <c r="BG66" s="233">
        <f>F66*AN66</f>
        <v>0</v>
      </c>
      <c r="BH66" s="233">
        <f>F66*G66</f>
        <v>0</v>
      </c>
      <c r="BI66" s="233"/>
      <c r="BJ66" s="233">
        <v>16</v>
      </c>
      <c r="BU66" s="233" t="e">
        <f>#REF!</f>
        <v>#REF!</v>
      </c>
      <c r="BV66" s="225" t="s">
        <v>240</v>
      </c>
    </row>
    <row r="67" spans="1:74" ht="54" customHeight="1" x14ac:dyDescent="0.3">
      <c r="A67" s="241"/>
      <c r="B67" s="242" t="s">
        <v>165</v>
      </c>
      <c r="C67" s="530" t="s">
        <v>2208</v>
      </c>
      <c r="D67" s="531"/>
      <c r="E67" s="531"/>
      <c r="F67" s="531"/>
      <c r="G67" s="531"/>
      <c r="H67" s="531"/>
      <c r="I67" s="531"/>
      <c r="J67" s="531"/>
      <c r="K67" s="531"/>
      <c r="L67" s="531"/>
      <c r="M67" s="532"/>
    </row>
    <row r="68" spans="1:74" ht="14.4" x14ac:dyDescent="0.3">
      <c r="A68" s="239" t="s">
        <v>250</v>
      </c>
      <c r="B68" s="223" t="s">
        <v>505</v>
      </c>
      <c r="C68" s="521" t="s">
        <v>243</v>
      </c>
      <c r="D68" s="519"/>
      <c r="E68" s="223" t="s">
        <v>196</v>
      </c>
      <c r="F68" s="233">
        <v>1.5</v>
      </c>
      <c r="G68" s="311">
        <v>0</v>
      </c>
      <c r="H68" s="233">
        <f>F68*AM68</f>
        <v>0</v>
      </c>
      <c r="I68" s="233">
        <f>F68*AN68</f>
        <v>0</v>
      </c>
      <c r="J68" s="233">
        <f>F68*G68</f>
        <v>0</v>
      </c>
      <c r="K68" s="233">
        <v>0</v>
      </c>
      <c r="L68" s="233">
        <f>F68*K68</f>
        <v>0</v>
      </c>
      <c r="M68" s="240" t="s">
        <v>472</v>
      </c>
      <c r="X68" s="233">
        <f>IF(AO68="5",BH68,0)</f>
        <v>0</v>
      </c>
      <c r="Z68" s="233">
        <f>IF(AO68="1",BF68,0)</f>
        <v>0</v>
      </c>
      <c r="AA68" s="233">
        <f>IF(AO68="1",BG68,0)</f>
        <v>0</v>
      </c>
      <c r="AB68" s="233">
        <f>IF(AO68="7",BF68,0)</f>
        <v>0</v>
      </c>
      <c r="AC68" s="233">
        <f>IF(AO68="7",BG68,0)</f>
        <v>0</v>
      </c>
      <c r="AD68" s="233">
        <f>IF(AO68="2",BF68,0)</f>
        <v>0</v>
      </c>
      <c r="AE68" s="233">
        <f>IF(AO68="2",BG68,0)</f>
        <v>0</v>
      </c>
      <c r="AF68" s="233">
        <f>IF(AO68="0",BH68,0)</f>
        <v>0</v>
      </c>
      <c r="AG68" s="229" t="s">
        <v>154</v>
      </c>
      <c r="AH68" s="233">
        <f>IF(AL68=0,J68,0)</f>
        <v>0</v>
      </c>
      <c r="AI68" s="233">
        <f>IF(AL68=15,J68,0)</f>
        <v>0</v>
      </c>
      <c r="AJ68" s="233">
        <f>IF(AL68=21,J68,0)</f>
        <v>0</v>
      </c>
      <c r="AL68" s="233">
        <v>15</v>
      </c>
      <c r="AM68" s="233">
        <f>G68*0</f>
        <v>0</v>
      </c>
      <c r="AN68" s="233">
        <f>G68*(1-0)</f>
        <v>0</v>
      </c>
      <c r="AO68" s="234" t="s">
        <v>157</v>
      </c>
      <c r="AT68" s="233">
        <f>AU68+AV68</f>
        <v>0</v>
      </c>
      <c r="AU68" s="233">
        <f>F68*AM68</f>
        <v>0</v>
      </c>
      <c r="AV68" s="233">
        <f>F68*AN68</f>
        <v>0</v>
      </c>
      <c r="AW68" s="234" t="s">
        <v>231</v>
      </c>
      <c r="AX68" s="234" t="s">
        <v>163</v>
      </c>
      <c r="AY68" s="229" t="s">
        <v>164</v>
      </c>
      <c r="BA68" s="233">
        <f>AU68+AV68</f>
        <v>0</v>
      </c>
      <c r="BB68" s="233">
        <f>G68/(100-BC68)*100</f>
        <v>0</v>
      </c>
      <c r="BC68" s="233">
        <v>0</v>
      </c>
      <c r="BD68" s="233">
        <f>L68</f>
        <v>0</v>
      </c>
      <c r="BF68" s="233">
        <f>F68*AM68</f>
        <v>0</v>
      </c>
      <c r="BG68" s="233">
        <f>F68*AN68</f>
        <v>0</v>
      </c>
      <c r="BH68" s="233">
        <f>F68*G68</f>
        <v>0</v>
      </c>
      <c r="BI68" s="233"/>
      <c r="BJ68" s="233">
        <v>16</v>
      </c>
      <c r="BU68" s="233" t="e">
        <f>#REF!</f>
        <v>#REF!</v>
      </c>
      <c r="BV68" s="225" t="s">
        <v>243</v>
      </c>
    </row>
    <row r="69" spans="1:74" ht="54" customHeight="1" x14ac:dyDescent="0.3">
      <c r="A69" s="241"/>
      <c r="B69" s="242" t="s">
        <v>165</v>
      </c>
      <c r="C69" s="530" t="s">
        <v>2209</v>
      </c>
      <c r="D69" s="531"/>
      <c r="E69" s="531"/>
      <c r="F69" s="531"/>
      <c r="G69" s="531"/>
      <c r="H69" s="531"/>
      <c r="I69" s="531"/>
      <c r="J69" s="531"/>
      <c r="K69" s="531"/>
      <c r="L69" s="531"/>
      <c r="M69" s="532"/>
    </row>
    <row r="70" spans="1:74" ht="14.4" x14ac:dyDescent="0.3">
      <c r="A70" s="239" t="s">
        <v>253</v>
      </c>
      <c r="B70" s="223" t="s">
        <v>506</v>
      </c>
      <c r="C70" s="521" t="s">
        <v>246</v>
      </c>
      <c r="D70" s="519"/>
      <c r="E70" s="223" t="s">
        <v>196</v>
      </c>
      <c r="F70" s="233">
        <v>21</v>
      </c>
      <c r="G70" s="311">
        <v>0</v>
      </c>
      <c r="H70" s="233">
        <f>F70*AM70</f>
        <v>0</v>
      </c>
      <c r="I70" s="233">
        <f>F70*AN70</f>
        <v>0</v>
      </c>
      <c r="J70" s="233">
        <f>F70*G70</f>
        <v>0</v>
      </c>
      <c r="K70" s="233">
        <v>0</v>
      </c>
      <c r="L70" s="233">
        <f>F70*K70</f>
        <v>0</v>
      </c>
      <c r="M70" s="240" t="s">
        <v>472</v>
      </c>
      <c r="X70" s="233">
        <f>IF(AO70="5",BH70,0)</f>
        <v>0</v>
      </c>
      <c r="Z70" s="233">
        <f>IF(AO70="1",BF70,0)</f>
        <v>0</v>
      </c>
      <c r="AA70" s="233">
        <f>IF(AO70="1",BG70,0)</f>
        <v>0</v>
      </c>
      <c r="AB70" s="233">
        <f>IF(AO70="7",BF70,0)</f>
        <v>0</v>
      </c>
      <c r="AC70" s="233">
        <f>IF(AO70="7",BG70,0)</f>
        <v>0</v>
      </c>
      <c r="AD70" s="233">
        <f>IF(AO70="2",BF70,0)</f>
        <v>0</v>
      </c>
      <c r="AE70" s="233">
        <f>IF(AO70="2",BG70,0)</f>
        <v>0</v>
      </c>
      <c r="AF70" s="233">
        <f>IF(AO70="0",BH70,0)</f>
        <v>0</v>
      </c>
      <c r="AG70" s="229" t="s">
        <v>154</v>
      </c>
      <c r="AH70" s="233">
        <f>IF(AL70=0,J70,0)</f>
        <v>0</v>
      </c>
      <c r="AI70" s="233">
        <f>IF(AL70=15,J70,0)</f>
        <v>0</v>
      </c>
      <c r="AJ70" s="233">
        <f>IF(AL70=21,J70,0)</f>
        <v>0</v>
      </c>
      <c r="AL70" s="233">
        <v>15</v>
      </c>
      <c r="AM70" s="233">
        <f>G70*0</f>
        <v>0</v>
      </c>
      <c r="AN70" s="233">
        <f>G70*(1-0)</f>
        <v>0</v>
      </c>
      <c r="AO70" s="234" t="s">
        <v>157</v>
      </c>
      <c r="AT70" s="233">
        <f>AU70+AV70</f>
        <v>0</v>
      </c>
      <c r="AU70" s="233">
        <f>F70*AM70</f>
        <v>0</v>
      </c>
      <c r="AV70" s="233">
        <f>F70*AN70</f>
        <v>0</v>
      </c>
      <c r="AW70" s="234" t="s">
        <v>231</v>
      </c>
      <c r="AX70" s="234" t="s">
        <v>163</v>
      </c>
      <c r="AY70" s="229" t="s">
        <v>164</v>
      </c>
      <c r="BA70" s="233">
        <f>AU70+AV70</f>
        <v>0</v>
      </c>
      <c r="BB70" s="233">
        <f>G70/(100-BC70)*100</f>
        <v>0</v>
      </c>
      <c r="BC70" s="233">
        <v>0</v>
      </c>
      <c r="BD70" s="233">
        <f>L70</f>
        <v>0</v>
      </c>
      <c r="BF70" s="233">
        <f>F70*AM70</f>
        <v>0</v>
      </c>
      <c r="BG70" s="233">
        <f>F70*AN70</f>
        <v>0</v>
      </c>
      <c r="BH70" s="233">
        <f>F70*G70</f>
        <v>0</v>
      </c>
      <c r="BI70" s="233"/>
      <c r="BJ70" s="233">
        <v>16</v>
      </c>
      <c r="BU70" s="233" t="e">
        <f>#REF!</f>
        <v>#REF!</v>
      </c>
      <c r="BV70" s="225" t="s">
        <v>246</v>
      </c>
    </row>
    <row r="71" spans="1:74" ht="54" customHeight="1" x14ac:dyDescent="0.3">
      <c r="A71" s="241"/>
      <c r="B71" s="242" t="s">
        <v>165</v>
      </c>
      <c r="C71" s="530" t="s">
        <v>2210</v>
      </c>
      <c r="D71" s="531"/>
      <c r="E71" s="531"/>
      <c r="F71" s="531"/>
      <c r="G71" s="531"/>
      <c r="H71" s="531"/>
      <c r="I71" s="531"/>
      <c r="J71" s="531"/>
      <c r="K71" s="531"/>
      <c r="L71" s="531"/>
      <c r="M71" s="532"/>
    </row>
    <row r="72" spans="1:74" ht="14.4" x14ac:dyDescent="0.3">
      <c r="A72" s="239" t="s">
        <v>256</v>
      </c>
      <c r="B72" s="223" t="s">
        <v>248</v>
      </c>
      <c r="C72" s="521" t="s">
        <v>249</v>
      </c>
      <c r="D72" s="519"/>
      <c r="E72" s="223" t="s">
        <v>196</v>
      </c>
      <c r="F72" s="233">
        <v>110.48</v>
      </c>
      <c r="G72" s="311">
        <v>0</v>
      </c>
      <c r="H72" s="233">
        <f>F72*AM72</f>
        <v>0</v>
      </c>
      <c r="I72" s="233">
        <f>F72*AN72</f>
        <v>0</v>
      </c>
      <c r="J72" s="233">
        <f>F72*G72</f>
        <v>0</v>
      </c>
      <c r="K72" s="233">
        <v>0</v>
      </c>
      <c r="L72" s="233">
        <f>F72*K72</f>
        <v>0</v>
      </c>
      <c r="M72" s="240" t="s">
        <v>472</v>
      </c>
      <c r="X72" s="233">
        <f>IF(AO72="5",BH72,0)</f>
        <v>0</v>
      </c>
      <c r="Z72" s="233">
        <f>IF(AO72="1",BF72,0)</f>
        <v>0</v>
      </c>
      <c r="AA72" s="233">
        <f>IF(AO72="1",BG72,0)</f>
        <v>0</v>
      </c>
      <c r="AB72" s="233">
        <f>IF(AO72="7",BF72,0)</f>
        <v>0</v>
      </c>
      <c r="AC72" s="233">
        <f>IF(AO72="7",BG72,0)</f>
        <v>0</v>
      </c>
      <c r="AD72" s="233">
        <f>IF(AO72="2",BF72,0)</f>
        <v>0</v>
      </c>
      <c r="AE72" s="233">
        <f>IF(AO72="2",BG72,0)</f>
        <v>0</v>
      </c>
      <c r="AF72" s="233">
        <f>IF(AO72="0",BH72,0)</f>
        <v>0</v>
      </c>
      <c r="AG72" s="229" t="s">
        <v>154</v>
      </c>
      <c r="AH72" s="233">
        <f>IF(AL72=0,J72,0)</f>
        <v>0</v>
      </c>
      <c r="AI72" s="233">
        <f>IF(AL72=15,J72,0)</f>
        <v>0</v>
      </c>
      <c r="AJ72" s="233">
        <f>IF(AL72=21,J72,0)</f>
        <v>0</v>
      </c>
      <c r="AL72" s="233">
        <v>15</v>
      </c>
      <c r="AM72" s="233">
        <f>G72*0</f>
        <v>0</v>
      </c>
      <c r="AN72" s="233">
        <f>G72*(1-0)</f>
        <v>0</v>
      </c>
      <c r="AO72" s="234" t="s">
        <v>157</v>
      </c>
      <c r="AT72" s="233">
        <f>AU72+AV72</f>
        <v>0</v>
      </c>
      <c r="AU72" s="233">
        <f>F72*AM72</f>
        <v>0</v>
      </c>
      <c r="AV72" s="233">
        <f>F72*AN72</f>
        <v>0</v>
      </c>
      <c r="AW72" s="234" t="s">
        <v>231</v>
      </c>
      <c r="AX72" s="234" t="s">
        <v>163</v>
      </c>
      <c r="AY72" s="229" t="s">
        <v>164</v>
      </c>
      <c r="BA72" s="233">
        <f>AU72+AV72</f>
        <v>0</v>
      </c>
      <c r="BB72" s="233">
        <f>G72/(100-BC72)*100</f>
        <v>0</v>
      </c>
      <c r="BC72" s="233">
        <v>0</v>
      </c>
      <c r="BD72" s="233">
        <f>L72</f>
        <v>0</v>
      </c>
      <c r="BF72" s="233">
        <f>F72*AM72</f>
        <v>0</v>
      </c>
      <c r="BG72" s="233">
        <f>F72*AN72</f>
        <v>0</v>
      </c>
      <c r="BH72" s="233">
        <f>F72*G72</f>
        <v>0</v>
      </c>
      <c r="BI72" s="233"/>
      <c r="BJ72" s="233">
        <v>16</v>
      </c>
      <c r="BU72" s="233" t="e">
        <f>#REF!</f>
        <v>#REF!</v>
      </c>
      <c r="BV72" s="225" t="s">
        <v>249</v>
      </c>
    </row>
    <row r="73" spans="1:74" ht="40.5" customHeight="1" x14ac:dyDescent="0.3">
      <c r="A73" s="241"/>
      <c r="B73" s="242" t="s">
        <v>165</v>
      </c>
      <c r="C73" s="530" t="s">
        <v>2211</v>
      </c>
      <c r="D73" s="531"/>
      <c r="E73" s="531"/>
      <c r="F73" s="531"/>
      <c r="G73" s="531"/>
      <c r="H73" s="531"/>
      <c r="I73" s="531"/>
      <c r="J73" s="531"/>
      <c r="K73" s="531"/>
      <c r="L73" s="531"/>
      <c r="M73" s="532"/>
    </row>
    <row r="74" spans="1:74" ht="14.4" x14ac:dyDescent="0.3">
      <c r="A74" s="239" t="s">
        <v>260</v>
      </c>
      <c r="B74" s="223" t="s">
        <v>251</v>
      </c>
      <c r="C74" s="521" t="s">
        <v>252</v>
      </c>
      <c r="D74" s="519"/>
      <c r="E74" s="223" t="s">
        <v>196</v>
      </c>
      <c r="F74" s="233">
        <v>110.48</v>
      </c>
      <c r="G74" s="311">
        <v>0</v>
      </c>
      <c r="H74" s="233">
        <f>F74*AM74</f>
        <v>0</v>
      </c>
      <c r="I74" s="233">
        <f>F74*AN74</f>
        <v>0</v>
      </c>
      <c r="J74" s="233">
        <f>F74*G74</f>
        <v>0</v>
      </c>
      <c r="K74" s="233">
        <v>0</v>
      </c>
      <c r="L74" s="233">
        <f>F74*K74</f>
        <v>0</v>
      </c>
      <c r="M74" s="240" t="s">
        <v>472</v>
      </c>
      <c r="X74" s="233">
        <f>IF(AO74="5",BH74,0)</f>
        <v>0</v>
      </c>
      <c r="Z74" s="233">
        <f>IF(AO74="1",BF74,0)</f>
        <v>0</v>
      </c>
      <c r="AA74" s="233">
        <f>IF(AO74="1",BG74,0)</f>
        <v>0</v>
      </c>
      <c r="AB74" s="233">
        <f>IF(AO74="7",BF74,0)</f>
        <v>0</v>
      </c>
      <c r="AC74" s="233">
        <f>IF(AO74="7",BG74,0)</f>
        <v>0</v>
      </c>
      <c r="AD74" s="233">
        <f>IF(AO74="2",BF74,0)</f>
        <v>0</v>
      </c>
      <c r="AE74" s="233">
        <f>IF(AO74="2",BG74,0)</f>
        <v>0</v>
      </c>
      <c r="AF74" s="233">
        <f>IF(AO74="0",BH74,0)</f>
        <v>0</v>
      </c>
      <c r="AG74" s="229" t="s">
        <v>154</v>
      </c>
      <c r="AH74" s="233">
        <f>IF(AL74=0,J74,0)</f>
        <v>0</v>
      </c>
      <c r="AI74" s="233">
        <f>IF(AL74=15,J74,0)</f>
        <v>0</v>
      </c>
      <c r="AJ74" s="233">
        <f>IF(AL74=21,J74,0)</f>
        <v>0</v>
      </c>
      <c r="AL74" s="233">
        <v>15</v>
      </c>
      <c r="AM74" s="233">
        <f>G74*0</f>
        <v>0</v>
      </c>
      <c r="AN74" s="233">
        <f>G74*(1-0)</f>
        <v>0</v>
      </c>
      <c r="AO74" s="234" t="s">
        <v>157</v>
      </c>
      <c r="AT74" s="233">
        <f>AU74+AV74</f>
        <v>0</v>
      </c>
      <c r="AU74" s="233">
        <f>F74*AM74</f>
        <v>0</v>
      </c>
      <c r="AV74" s="233">
        <f>F74*AN74</f>
        <v>0</v>
      </c>
      <c r="AW74" s="234" t="s">
        <v>231</v>
      </c>
      <c r="AX74" s="234" t="s">
        <v>163</v>
      </c>
      <c r="AY74" s="229" t="s">
        <v>164</v>
      </c>
      <c r="BA74" s="233">
        <f>AU74+AV74</f>
        <v>0</v>
      </c>
      <c r="BB74" s="233">
        <f>G74/(100-BC74)*100</f>
        <v>0</v>
      </c>
      <c r="BC74" s="233">
        <v>0</v>
      </c>
      <c r="BD74" s="233">
        <f>L74</f>
        <v>0</v>
      </c>
      <c r="BF74" s="233">
        <f>F74*AM74</f>
        <v>0</v>
      </c>
      <c r="BG74" s="233">
        <f>F74*AN74</f>
        <v>0</v>
      </c>
      <c r="BH74" s="233">
        <f>F74*G74</f>
        <v>0</v>
      </c>
      <c r="BI74" s="233"/>
      <c r="BJ74" s="233">
        <v>16</v>
      </c>
      <c r="BU74" s="233" t="e">
        <f>#REF!</f>
        <v>#REF!</v>
      </c>
      <c r="BV74" s="225" t="s">
        <v>252</v>
      </c>
    </row>
    <row r="75" spans="1:74" ht="40.5" customHeight="1" x14ac:dyDescent="0.3">
      <c r="A75" s="241"/>
      <c r="B75" s="242" t="s">
        <v>165</v>
      </c>
      <c r="C75" s="530" t="s">
        <v>2212</v>
      </c>
      <c r="D75" s="531"/>
      <c r="E75" s="531"/>
      <c r="F75" s="531"/>
      <c r="G75" s="531"/>
      <c r="H75" s="531"/>
      <c r="I75" s="531"/>
      <c r="J75" s="531"/>
      <c r="K75" s="531"/>
      <c r="L75" s="531"/>
      <c r="M75" s="532"/>
    </row>
    <row r="76" spans="1:74" ht="14.4" x14ac:dyDescent="0.3">
      <c r="A76" s="239" t="s">
        <v>154</v>
      </c>
      <c r="B76" s="224" t="s">
        <v>220</v>
      </c>
      <c r="C76" s="526" t="s">
        <v>259</v>
      </c>
      <c r="D76" s="527"/>
      <c r="E76" s="223" t="s">
        <v>114</v>
      </c>
      <c r="F76" s="223" t="s">
        <v>114</v>
      </c>
      <c r="G76" s="223" t="s">
        <v>114</v>
      </c>
      <c r="H76" s="235">
        <f>SUM(H77:H80)</f>
        <v>0</v>
      </c>
      <c r="I76" s="235">
        <f>SUM(I77:I80)</f>
        <v>0</v>
      </c>
      <c r="J76" s="235">
        <f>SUM(J77:J80)</f>
        <v>0</v>
      </c>
      <c r="K76" s="230" t="s">
        <v>154</v>
      </c>
      <c r="L76" s="235">
        <f>SUM(L77:L80)</f>
        <v>36.907000000000004</v>
      </c>
      <c r="M76" s="243" t="s">
        <v>154</v>
      </c>
      <c r="AG76" s="229" t="s">
        <v>154</v>
      </c>
      <c r="AQ76" s="222">
        <f>SUM(AH77:AH80)</f>
        <v>0</v>
      </c>
      <c r="AR76" s="222">
        <f>SUM(AI77:AI80)</f>
        <v>0</v>
      </c>
      <c r="AS76" s="222">
        <f>SUM(AJ77:AJ80)</f>
        <v>0</v>
      </c>
    </row>
    <row r="77" spans="1:74" ht="14.4" x14ac:dyDescent="0.3">
      <c r="A77" s="239" t="s">
        <v>264</v>
      </c>
      <c r="B77" s="223" t="s">
        <v>261</v>
      </c>
      <c r="C77" s="521" t="s">
        <v>262</v>
      </c>
      <c r="D77" s="519"/>
      <c r="E77" s="223" t="s">
        <v>196</v>
      </c>
      <c r="F77" s="233">
        <v>21.71</v>
      </c>
      <c r="G77" s="311">
        <v>0</v>
      </c>
      <c r="H77" s="233">
        <f>F77*AM77</f>
        <v>0</v>
      </c>
      <c r="I77" s="233">
        <f>F77*AN77</f>
        <v>0</v>
      </c>
      <c r="J77" s="233">
        <f>F77*G77</f>
        <v>0</v>
      </c>
      <c r="K77" s="233">
        <v>1.7</v>
      </c>
      <c r="L77" s="233">
        <f>F77*K77</f>
        <v>36.907000000000004</v>
      </c>
      <c r="M77" s="240" t="s">
        <v>472</v>
      </c>
      <c r="X77" s="233">
        <f>IF(AO77="5",BH77,0)</f>
        <v>0</v>
      </c>
      <c r="Z77" s="233">
        <f>IF(AO77="1",BF77,0)</f>
        <v>0</v>
      </c>
      <c r="AA77" s="233">
        <f>IF(AO77="1",BG77,0)</f>
        <v>0</v>
      </c>
      <c r="AB77" s="233">
        <f>IF(AO77="7",BF77,0)</f>
        <v>0</v>
      </c>
      <c r="AC77" s="233">
        <f>IF(AO77="7",BG77,0)</f>
        <v>0</v>
      </c>
      <c r="AD77" s="233">
        <f>IF(AO77="2",BF77,0)</f>
        <v>0</v>
      </c>
      <c r="AE77" s="233">
        <f>IF(AO77="2",BG77,0)</f>
        <v>0</v>
      </c>
      <c r="AF77" s="233">
        <f>IF(AO77="0",BH77,0)</f>
        <v>0</v>
      </c>
      <c r="AG77" s="229" t="s">
        <v>154</v>
      </c>
      <c r="AH77" s="233">
        <f>IF(AL77=0,J77,0)</f>
        <v>0</v>
      </c>
      <c r="AI77" s="233">
        <f>IF(AL77=15,J77,0)</f>
        <v>0</v>
      </c>
      <c r="AJ77" s="233">
        <f>IF(AL77=21,J77,0)</f>
        <v>0</v>
      </c>
      <c r="AL77" s="233">
        <v>15</v>
      </c>
      <c r="AM77" s="233">
        <f>G77*0.512974961</f>
        <v>0</v>
      </c>
      <c r="AN77" s="233">
        <f>G77*(1-0.512974961)</f>
        <v>0</v>
      </c>
      <c r="AO77" s="234" t="s">
        <v>157</v>
      </c>
      <c r="AT77" s="233">
        <f>AU77+AV77</f>
        <v>0</v>
      </c>
      <c r="AU77" s="233">
        <f>F77*AM77</f>
        <v>0</v>
      </c>
      <c r="AV77" s="233">
        <f>F77*AN77</f>
        <v>0</v>
      </c>
      <c r="AW77" s="234" t="s">
        <v>263</v>
      </c>
      <c r="AX77" s="234" t="s">
        <v>163</v>
      </c>
      <c r="AY77" s="229" t="s">
        <v>164</v>
      </c>
      <c r="BA77" s="233">
        <f>AU77+AV77</f>
        <v>0</v>
      </c>
      <c r="BB77" s="233">
        <f>G77/(100-BC77)*100</f>
        <v>0</v>
      </c>
      <c r="BC77" s="233">
        <v>0</v>
      </c>
      <c r="BD77" s="233">
        <f>L77</f>
        <v>36.907000000000004</v>
      </c>
      <c r="BF77" s="233">
        <f>F77*AM77</f>
        <v>0</v>
      </c>
      <c r="BG77" s="233">
        <f>F77*AN77</f>
        <v>0</v>
      </c>
      <c r="BH77" s="233">
        <f>F77*G77</f>
        <v>0</v>
      </c>
      <c r="BI77" s="233"/>
      <c r="BJ77" s="233">
        <v>17</v>
      </c>
      <c r="BU77" s="233" t="e">
        <f>#REF!</f>
        <v>#REF!</v>
      </c>
      <c r="BV77" s="225" t="s">
        <v>262</v>
      </c>
    </row>
    <row r="78" spans="1:74" ht="67.5" customHeight="1" x14ac:dyDescent="0.3">
      <c r="A78" s="241"/>
      <c r="B78" s="242" t="s">
        <v>165</v>
      </c>
      <c r="C78" s="530" t="s">
        <v>2213</v>
      </c>
      <c r="D78" s="531"/>
      <c r="E78" s="531"/>
      <c r="F78" s="531"/>
      <c r="G78" s="531"/>
      <c r="H78" s="531"/>
      <c r="I78" s="531"/>
      <c r="J78" s="531"/>
      <c r="K78" s="531"/>
      <c r="L78" s="531"/>
      <c r="M78" s="532"/>
    </row>
    <row r="79" spans="1:74" ht="14.4" x14ac:dyDescent="0.3">
      <c r="A79" s="239" t="s">
        <v>267</v>
      </c>
      <c r="B79" s="223" t="s">
        <v>265</v>
      </c>
      <c r="C79" s="521" t="s">
        <v>266</v>
      </c>
      <c r="D79" s="519"/>
      <c r="E79" s="223" t="s">
        <v>196</v>
      </c>
      <c r="F79" s="233">
        <v>21.71</v>
      </c>
      <c r="G79" s="311">
        <v>0</v>
      </c>
      <c r="H79" s="233">
        <f>F79*AM79</f>
        <v>0</v>
      </c>
      <c r="I79" s="233">
        <f>F79*AN79</f>
        <v>0</v>
      </c>
      <c r="J79" s="233">
        <f>F79*G79</f>
        <v>0</v>
      </c>
      <c r="K79" s="233">
        <v>0</v>
      </c>
      <c r="L79" s="233">
        <f>F79*K79</f>
        <v>0</v>
      </c>
      <c r="M79" s="240" t="s">
        <v>472</v>
      </c>
      <c r="X79" s="233">
        <f>IF(AO79="5",BH79,0)</f>
        <v>0</v>
      </c>
      <c r="Z79" s="233">
        <f>IF(AO79="1",BF79,0)</f>
        <v>0</v>
      </c>
      <c r="AA79" s="233">
        <f>IF(AO79="1",BG79,0)</f>
        <v>0</v>
      </c>
      <c r="AB79" s="233">
        <f>IF(AO79="7",BF79,0)</f>
        <v>0</v>
      </c>
      <c r="AC79" s="233">
        <f>IF(AO79="7",BG79,0)</f>
        <v>0</v>
      </c>
      <c r="AD79" s="233">
        <f>IF(AO79="2",BF79,0)</f>
        <v>0</v>
      </c>
      <c r="AE79" s="233">
        <f>IF(AO79="2",BG79,0)</f>
        <v>0</v>
      </c>
      <c r="AF79" s="233">
        <f>IF(AO79="0",BH79,0)</f>
        <v>0</v>
      </c>
      <c r="AG79" s="229" t="s">
        <v>154</v>
      </c>
      <c r="AH79" s="233">
        <f>IF(AL79=0,J79,0)</f>
        <v>0</v>
      </c>
      <c r="AI79" s="233">
        <f>IF(AL79=15,J79,0)</f>
        <v>0</v>
      </c>
      <c r="AJ79" s="233">
        <f>IF(AL79=21,J79,0)</f>
        <v>0</v>
      </c>
      <c r="AL79" s="233">
        <v>15</v>
      </c>
      <c r="AM79" s="233">
        <f>G79*0</f>
        <v>0</v>
      </c>
      <c r="AN79" s="233">
        <f>G79*(1-0)</f>
        <v>0</v>
      </c>
      <c r="AO79" s="234" t="s">
        <v>157</v>
      </c>
      <c r="AT79" s="233">
        <f>AU79+AV79</f>
        <v>0</v>
      </c>
      <c r="AU79" s="233">
        <f>F79*AM79</f>
        <v>0</v>
      </c>
      <c r="AV79" s="233">
        <f>F79*AN79</f>
        <v>0</v>
      </c>
      <c r="AW79" s="234" t="s">
        <v>263</v>
      </c>
      <c r="AX79" s="234" t="s">
        <v>163</v>
      </c>
      <c r="AY79" s="229" t="s">
        <v>164</v>
      </c>
      <c r="BA79" s="233">
        <f>AU79+AV79</f>
        <v>0</v>
      </c>
      <c r="BB79" s="233">
        <f>G79/(100-BC79)*100</f>
        <v>0</v>
      </c>
      <c r="BC79" s="233">
        <v>0</v>
      </c>
      <c r="BD79" s="233">
        <f>L79</f>
        <v>0</v>
      </c>
      <c r="BF79" s="233">
        <f>F79*AM79</f>
        <v>0</v>
      </c>
      <c r="BG79" s="233">
        <f>F79*AN79</f>
        <v>0</v>
      </c>
      <c r="BH79" s="233">
        <f>F79*G79</f>
        <v>0</v>
      </c>
      <c r="BI79" s="233"/>
      <c r="BJ79" s="233">
        <v>17</v>
      </c>
      <c r="BU79" s="233" t="e">
        <f>#REF!</f>
        <v>#REF!</v>
      </c>
      <c r="BV79" s="225" t="s">
        <v>266</v>
      </c>
    </row>
    <row r="80" spans="1:74" ht="14.4" x14ac:dyDescent="0.3">
      <c r="A80" s="239" t="s">
        <v>271</v>
      </c>
      <c r="B80" s="223" t="s">
        <v>268</v>
      </c>
      <c r="C80" s="521" t="s">
        <v>269</v>
      </c>
      <c r="D80" s="519"/>
      <c r="E80" s="223" t="s">
        <v>196</v>
      </c>
      <c r="F80" s="233">
        <v>76.599999999999994</v>
      </c>
      <c r="G80" s="311">
        <v>0</v>
      </c>
      <c r="H80" s="233">
        <f>F80*AM80</f>
        <v>0</v>
      </c>
      <c r="I80" s="233">
        <f>F80*AN80</f>
        <v>0</v>
      </c>
      <c r="J80" s="233">
        <f>F80*G80</f>
        <v>0</v>
      </c>
      <c r="K80" s="233">
        <v>0</v>
      </c>
      <c r="L80" s="233">
        <f>F80*K80</f>
        <v>0</v>
      </c>
      <c r="M80" s="240" t="s">
        <v>472</v>
      </c>
      <c r="X80" s="233">
        <f>IF(AO80="5",BH80,0)</f>
        <v>0</v>
      </c>
      <c r="Z80" s="233">
        <f>IF(AO80="1",BF80,0)</f>
        <v>0</v>
      </c>
      <c r="AA80" s="233">
        <f>IF(AO80="1",BG80,0)</f>
        <v>0</v>
      </c>
      <c r="AB80" s="233">
        <f>IF(AO80="7",BF80,0)</f>
        <v>0</v>
      </c>
      <c r="AC80" s="233">
        <f>IF(AO80="7",BG80,0)</f>
        <v>0</v>
      </c>
      <c r="AD80" s="233">
        <f>IF(AO80="2",BF80,0)</f>
        <v>0</v>
      </c>
      <c r="AE80" s="233">
        <f>IF(AO80="2",BG80,0)</f>
        <v>0</v>
      </c>
      <c r="AF80" s="233">
        <f>IF(AO80="0",BH80,0)</f>
        <v>0</v>
      </c>
      <c r="AG80" s="229" t="s">
        <v>154</v>
      </c>
      <c r="AH80" s="233">
        <f>IF(AL80=0,J80,0)</f>
        <v>0</v>
      </c>
      <c r="AI80" s="233">
        <f>IF(AL80=15,J80,0)</f>
        <v>0</v>
      </c>
      <c r="AJ80" s="233">
        <f>IF(AL80=21,J80,0)</f>
        <v>0</v>
      </c>
      <c r="AL80" s="233">
        <v>15</v>
      </c>
      <c r="AM80" s="233">
        <f>G80*0</f>
        <v>0</v>
      </c>
      <c r="AN80" s="233">
        <f>G80*(1-0)</f>
        <v>0</v>
      </c>
      <c r="AO80" s="234" t="s">
        <v>157</v>
      </c>
      <c r="AT80" s="233">
        <f>AU80+AV80</f>
        <v>0</v>
      </c>
      <c r="AU80" s="233">
        <f>F80*AM80</f>
        <v>0</v>
      </c>
      <c r="AV80" s="233">
        <f>F80*AN80</f>
        <v>0</v>
      </c>
      <c r="AW80" s="234" t="s">
        <v>263</v>
      </c>
      <c r="AX80" s="234" t="s">
        <v>163</v>
      </c>
      <c r="AY80" s="229" t="s">
        <v>164</v>
      </c>
      <c r="BA80" s="233">
        <f>AU80+AV80</f>
        <v>0</v>
      </c>
      <c r="BB80" s="233">
        <f>G80/(100-BC80)*100</f>
        <v>0</v>
      </c>
      <c r="BC80" s="233">
        <v>0</v>
      </c>
      <c r="BD80" s="233">
        <f>L80</f>
        <v>0</v>
      </c>
      <c r="BF80" s="233">
        <f>F80*AM80</f>
        <v>0</v>
      </c>
      <c r="BG80" s="233">
        <f>F80*AN80</f>
        <v>0</v>
      </c>
      <c r="BH80" s="233">
        <f>F80*G80</f>
        <v>0</v>
      </c>
      <c r="BI80" s="233"/>
      <c r="BJ80" s="233">
        <v>17</v>
      </c>
      <c r="BU80" s="233" t="e">
        <f>#REF!</f>
        <v>#REF!</v>
      </c>
      <c r="BV80" s="225" t="s">
        <v>269</v>
      </c>
    </row>
    <row r="81" spans="1:74" ht="67.5" customHeight="1" x14ac:dyDescent="0.3">
      <c r="A81" s="241"/>
      <c r="B81" s="242" t="s">
        <v>165</v>
      </c>
      <c r="C81" s="530" t="s">
        <v>2214</v>
      </c>
      <c r="D81" s="531"/>
      <c r="E81" s="531"/>
      <c r="F81" s="531"/>
      <c r="G81" s="531"/>
      <c r="H81" s="531"/>
      <c r="I81" s="531"/>
      <c r="J81" s="531"/>
      <c r="K81" s="531"/>
      <c r="L81" s="531"/>
      <c r="M81" s="532"/>
    </row>
    <row r="82" spans="1:74" ht="14.4" x14ac:dyDescent="0.3">
      <c r="A82" s="239" t="s">
        <v>154</v>
      </c>
      <c r="B82" s="224" t="s">
        <v>224</v>
      </c>
      <c r="C82" s="526" t="s">
        <v>270</v>
      </c>
      <c r="D82" s="527"/>
      <c r="E82" s="223" t="s">
        <v>114</v>
      </c>
      <c r="F82" s="223" t="s">
        <v>114</v>
      </c>
      <c r="G82" s="223" t="s">
        <v>114</v>
      </c>
      <c r="H82" s="235">
        <f>SUM(H83:H83)</f>
        <v>0</v>
      </c>
      <c r="I82" s="235">
        <f>SUM(I83:I83)</f>
        <v>0</v>
      </c>
      <c r="J82" s="235">
        <f>SUM(J83:J83)</f>
        <v>0</v>
      </c>
      <c r="K82" s="230" t="s">
        <v>154</v>
      </c>
      <c r="L82" s="235">
        <f>SUM(L83:L83)</f>
        <v>1.716E-4</v>
      </c>
      <c r="M82" s="243" t="s">
        <v>154</v>
      </c>
      <c r="AG82" s="229" t="s">
        <v>154</v>
      </c>
      <c r="AQ82" s="222">
        <f>SUM(AH83:AH83)</f>
        <v>0</v>
      </c>
      <c r="AR82" s="222">
        <f>SUM(AI83:AI83)</f>
        <v>0</v>
      </c>
      <c r="AS82" s="222">
        <f>SUM(AJ83:AJ83)</f>
        <v>0</v>
      </c>
    </row>
    <row r="83" spans="1:74" ht="14.4" x14ac:dyDescent="0.3">
      <c r="A83" s="239" t="s">
        <v>276</v>
      </c>
      <c r="B83" s="223" t="s">
        <v>980</v>
      </c>
      <c r="C83" s="521" t="s">
        <v>273</v>
      </c>
      <c r="D83" s="519"/>
      <c r="E83" s="223" t="s">
        <v>180</v>
      </c>
      <c r="F83" s="233">
        <v>5.72</v>
      </c>
      <c r="G83" s="311">
        <v>0</v>
      </c>
      <c r="H83" s="233">
        <f>F83*AM83</f>
        <v>0</v>
      </c>
      <c r="I83" s="233">
        <f>F83*AN83</f>
        <v>0</v>
      </c>
      <c r="J83" s="233">
        <f>F83*G83</f>
        <v>0</v>
      </c>
      <c r="K83" s="233">
        <v>3.0000000000000001E-5</v>
      </c>
      <c r="L83" s="233">
        <f>F83*K83</f>
        <v>1.716E-4</v>
      </c>
      <c r="M83" s="240" t="s">
        <v>472</v>
      </c>
      <c r="X83" s="233">
        <f>IF(AO83="5",BH83,0)</f>
        <v>0</v>
      </c>
      <c r="Z83" s="233">
        <f>IF(AO83="1",BF83,0)</f>
        <v>0</v>
      </c>
      <c r="AA83" s="233">
        <f>IF(AO83="1",BG83,0)</f>
        <v>0</v>
      </c>
      <c r="AB83" s="233">
        <f>IF(AO83="7",BF83,0)</f>
        <v>0</v>
      </c>
      <c r="AC83" s="233">
        <f>IF(AO83="7",BG83,0)</f>
        <v>0</v>
      </c>
      <c r="AD83" s="233">
        <f>IF(AO83="2",BF83,0)</f>
        <v>0</v>
      </c>
      <c r="AE83" s="233">
        <f>IF(AO83="2",BG83,0)</f>
        <v>0</v>
      </c>
      <c r="AF83" s="233">
        <f>IF(AO83="0",BH83,0)</f>
        <v>0</v>
      </c>
      <c r="AG83" s="229" t="s">
        <v>154</v>
      </c>
      <c r="AH83" s="233">
        <f>IF(AL83=0,J83,0)</f>
        <v>0</v>
      </c>
      <c r="AI83" s="233">
        <f>IF(AL83=15,J83,0)</f>
        <v>0</v>
      </c>
      <c r="AJ83" s="233">
        <f>IF(AL83=21,J83,0)</f>
        <v>0</v>
      </c>
      <c r="AL83" s="233">
        <v>15</v>
      </c>
      <c r="AM83" s="233">
        <f>G83*0.041717293</f>
        <v>0</v>
      </c>
      <c r="AN83" s="233">
        <f>G83*(1-0.041717293)</f>
        <v>0</v>
      </c>
      <c r="AO83" s="234" t="s">
        <v>157</v>
      </c>
      <c r="AT83" s="233">
        <f>AU83+AV83</f>
        <v>0</v>
      </c>
      <c r="AU83" s="233">
        <f>F83*AM83</f>
        <v>0</v>
      </c>
      <c r="AV83" s="233">
        <f>F83*AN83</f>
        <v>0</v>
      </c>
      <c r="AW83" s="234" t="s">
        <v>274</v>
      </c>
      <c r="AX83" s="234" t="s">
        <v>163</v>
      </c>
      <c r="AY83" s="229" t="s">
        <v>164</v>
      </c>
      <c r="BA83" s="233">
        <f>AU83+AV83</f>
        <v>0</v>
      </c>
      <c r="BB83" s="233">
        <f>G83/(100-BC83)*100</f>
        <v>0</v>
      </c>
      <c r="BC83" s="233">
        <v>0</v>
      </c>
      <c r="BD83" s="233">
        <f>L83</f>
        <v>1.716E-4</v>
      </c>
      <c r="BF83" s="233">
        <f>F83*AM83</f>
        <v>0</v>
      </c>
      <c r="BG83" s="233">
        <f>F83*AN83</f>
        <v>0</v>
      </c>
      <c r="BH83" s="233">
        <f>F83*G83</f>
        <v>0</v>
      </c>
      <c r="BI83" s="233"/>
      <c r="BJ83" s="233">
        <v>18</v>
      </c>
      <c r="BU83" s="233" t="e">
        <f>#REF!</f>
        <v>#REF!</v>
      </c>
      <c r="BV83" s="225" t="s">
        <v>273</v>
      </c>
    </row>
    <row r="84" spans="1:74" ht="40.5" customHeight="1" x14ac:dyDescent="0.3">
      <c r="A84" s="241"/>
      <c r="B84" s="242" t="s">
        <v>165</v>
      </c>
      <c r="C84" s="530" t="s">
        <v>2215</v>
      </c>
      <c r="D84" s="531"/>
      <c r="E84" s="531"/>
      <c r="F84" s="531"/>
      <c r="G84" s="531"/>
      <c r="H84" s="531"/>
      <c r="I84" s="531"/>
      <c r="J84" s="531"/>
      <c r="K84" s="531"/>
      <c r="L84" s="531"/>
      <c r="M84" s="532"/>
    </row>
    <row r="85" spans="1:74" ht="14.4" x14ac:dyDescent="0.3">
      <c r="A85" s="239" t="s">
        <v>154</v>
      </c>
      <c r="B85" s="224" t="s">
        <v>228</v>
      </c>
      <c r="C85" s="526" t="s">
        <v>275</v>
      </c>
      <c r="D85" s="527"/>
      <c r="E85" s="223" t="s">
        <v>114</v>
      </c>
      <c r="F85" s="223" t="s">
        <v>114</v>
      </c>
      <c r="G85" s="223" t="s">
        <v>114</v>
      </c>
      <c r="H85" s="235">
        <f>SUM(H86:H88)</f>
        <v>0</v>
      </c>
      <c r="I85" s="235">
        <f>SUM(I86:I88)</f>
        <v>0</v>
      </c>
      <c r="J85" s="235">
        <f>SUM(J86:J88)</f>
        <v>0</v>
      </c>
      <c r="K85" s="230" t="s">
        <v>154</v>
      </c>
      <c r="L85" s="235">
        <f>SUM(L86:L88)</f>
        <v>0</v>
      </c>
      <c r="M85" s="243" t="s">
        <v>154</v>
      </c>
      <c r="AG85" s="229" t="s">
        <v>154</v>
      </c>
      <c r="AQ85" s="222">
        <f>SUM(AH86:AH88)</f>
        <v>0</v>
      </c>
      <c r="AR85" s="222">
        <f>SUM(AI86:AI88)</f>
        <v>0</v>
      </c>
      <c r="AS85" s="222">
        <f>SUM(AJ86:AJ88)</f>
        <v>0</v>
      </c>
    </row>
    <row r="86" spans="1:74" ht="14.4" x14ac:dyDescent="0.3">
      <c r="A86" s="239" t="s">
        <v>281</v>
      </c>
      <c r="B86" s="223" t="s">
        <v>277</v>
      </c>
      <c r="C86" s="521" t="s">
        <v>278</v>
      </c>
      <c r="D86" s="519"/>
      <c r="E86" s="223" t="s">
        <v>196</v>
      </c>
      <c r="F86" s="233">
        <v>55.24</v>
      </c>
      <c r="G86" s="311">
        <v>0</v>
      </c>
      <c r="H86" s="233">
        <f>F86*AM86</f>
        <v>0</v>
      </c>
      <c r="I86" s="233">
        <f>F86*AN86</f>
        <v>0</v>
      </c>
      <c r="J86" s="233">
        <f>F86*G86</f>
        <v>0</v>
      </c>
      <c r="K86" s="233">
        <v>0</v>
      </c>
      <c r="L86" s="233">
        <f>F86*K86</f>
        <v>0</v>
      </c>
      <c r="M86" s="240" t="s">
        <v>472</v>
      </c>
      <c r="X86" s="233">
        <f>IF(AO86="5",BH86,0)</f>
        <v>0</v>
      </c>
      <c r="Z86" s="233">
        <f>IF(AO86="1",BF86,0)</f>
        <v>0</v>
      </c>
      <c r="AA86" s="233">
        <f>IF(AO86="1",BG86,0)</f>
        <v>0</v>
      </c>
      <c r="AB86" s="233">
        <f>IF(AO86="7",BF86,0)</f>
        <v>0</v>
      </c>
      <c r="AC86" s="233">
        <f>IF(AO86="7",BG86,0)</f>
        <v>0</v>
      </c>
      <c r="AD86" s="233">
        <f>IF(AO86="2",BF86,0)</f>
        <v>0</v>
      </c>
      <c r="AE86" s="233">
        <f>IF(AO86="2",BG86,0)</f>
        <v>0</v>
      </c>
      <c r="AF86" s="233">
        <f>IF(AO86="0",BH86,0)</f>
        <v>0</v>
      </c>
      <c r="AG86" s="229" t="s">
        <v>154</v>
      </c>
      <c r="AH86" s="233">
        <f>IF(AL86=0,J86,0)</f>
        <v>0</v>
      </c>
      <c r="AI86" s="233">
        <f>IF(AL86=15,J86,0)</f>
        <v>0</v>
      </c>
      <c r="AJ86" s="233">
        <f>IF(AL86=21,J86,0)</f>
        <v>0</v>
      </c>
      <c r="AL86" s="233">
        <v>15</v>
      </c>
      <c r="AM86" s="233">
        <f>G86*0</f>
        <v>0</v>
      </c>
      <c r="AN86" s="233">
        <f>G86*(1-0)</f>
        <v>0</v>
      </c>
      <c r="AO86" s="234" t="s">
        <v>157</v>
      </c>
      <c r="AT86" s="233">
        <f>AU86+AV86</f>
        <v>0</v>
      </c>
      <c r="AU86" s="233">
        <f>F86*AM86</f>
        <v>0</v>
      </c>
      <c r="AV86" s="233">
        <f>F86*AN86</f>
        <v>0</v>
      </c>
      <c r="AW86" s="234" t="s">
        <v>279</v>
      </c>
      <c r="AX86" s="234" t="s">
        <v>163</v>
      </c>
      <c r="AY86" s="229" t="s">
        <v>164</v>
      </c>
      <c r="BA86" s="233">
        <f>AU86+AV86</f>
        <v>0</v>
      </c>
      <c r="BB86" s="233">
        <f>G86/(100-BC86)*100</f>
        <v>0</v>
      </c>
      <c r="BC86" s="233">
        <v>0</v>
      </c>
      <c r="BD86" s="233">
        <f>L86</f>
        <v>0</v>
      </c>
      <c r="BF86" s="233">
        <f>F86*AM86</f>
        <v>0</v>
      </c>
      <c r="BG86" s="233">
        <f>F86*AN86</f>
        <v>0</v>
      </c>
      <c r="BH86" s="233">
        <f>F86*G86</f>
        <v>0</v>
      </c>
      <c r="BI86" s="233"/>
      <c r="BJ86" s="233">
        <v>19</v>
      </c>
      <c r="BU86" s="233" t="e">
        <f>#REF!</f>
        <v>#REF!</v>
      </c>
      <c r="BV86" s="225" t="s">
        <v>278</v>
      </c>
    </row>
    <row r="87" spans="1:74" ht="27" customHeight="1" x14ac:dyDescent="0.3">
      <c r="A87" s="241"/>
      <c r="B87" s="242" t="s">
        <v>165</v>
      </c>
      <c r="C87" s="530" t="s">
        <v>2216</v>
      </c>
      <c r="D87" s="531"/>
      <c r="E87" s="531"/>
      <c r="F87" s="531"/>
      <c r="G87" s="531"/>
      <c r="H87" s="531"/>
      <c r="I87" s="531"/>
      <c r="J87" s="531"/>
      <c r="K87" s="531"/>
      <c r="L87" s="531"/>
      <c r="M87" s="532"/>
    </row>
    <row r="88" spans="1:74" ht="14.4" x14ac:dyDescent="0.3">
      <c r="A88" s="239" t="s">
        <v>285</v>
      </c>
      <c r="B88" s="223" t="s">
        <v>282</v>
      </c>
      <c r="C88" s="521" t="s">
        <v>283</v>
      </c>
      <c r="D88" s="519"/>
      <c r="E88" s="223" t="s">
        <v>196</v>
      </c>
      <c r="F88" s="233">
        <v>1.5</v>
      </c>
      <c r="G88" s="311">
        <v>0</v>
      </c>
      <c r="H88" s="233">
        <f>F88*AM88</f>
        <v>0</v>
      </c>
      <c r="I88" s="233">
        <f>F88*AN88</f>
        <v>0</v>
      </c>
      <c r="J88" s="233">
        <f>F88*G88</f>
        <v>0</v>
      </c>
      <c r="K88" s="233">
        <v>0</v>
      </c>
      <c r="L88" s="233">
        <f>F88*K88</f>
        <v>0</v>
      </c>
      <c r="M88" s="240" t="s">
        <v>472</v>
      </c>
      <c r="X88" s="233">
        <f>IF(AO88="5",BH88,0)</f>
        <v>0</v>
      </c>
      <c r="Z88" s="233">
        <f>IF(AO88="1",BF88,0)</f>
        <v>0</v>
      </c>
      <c r="AA88" s="233">
        <f>IF(AO88="1",BG88,0)</f>
        <v>0</v>
      </c>
      <c r="AB88" s="233">
        <f>IF(AO88="7",BF88,0)</f>
        <v>0</v>
      </c>
      <c r="AC88" s="233">
        <f>IF(AO88="7",BG88,0)</f>
        <v>0</v>
      </c>
      <c r="AD88" s="233">
        <f>IF(AO88="2",BF88,0)</f>
        <v>0</v>
      </c>
      <c r="AE88" s="233">
        <f>IF(AO88="2",BG88,0)</f>
        <v>0</v>
      </c>
      <c r="AF88" s="233">
        <f>IF(AO88="0",BH88,0)</f>
        <v>0</v>
      </c>
      <c r="AG88" s="229" t="s">
        <v>154</v>
      </c>
      <c r="AH88" s="233">
        <f>IF(AL88=0,J88,0)</f>
        <v>0</v>
      </c>
      <c r="AI88" s="233">
        <f>IF(AL88=15,J88,0)</f>
        <v>0</v>
      </c>
      <c r="AJ88" s="233">
        <f>IF(AL88=21,J88,0)</f>
        <v>0</v>
      </c>
      <c r="AL88" s="233">
        <v>15</v>
      </c>
      <c r="AM88" s="233">
        <f>G88*0</f>
        <v>0</v>
      </c>
      <c r="AN88" s="233">
        <f>G88*(1-0)</f>
        <v>0</v>
      </c>
      <c r="AO88" s="234" t="s">
        <v>157</v>
      </c>
      <c r="AT88" s="233">
        <f>AU88+AV88</f>
        <v>0</v>
      </c>
      <c r="AU88" s="233">
        <f>F88*AM88</f>
        <v>0</v>
      </c>
      <c r="AV88" s="233">
        <f>F88*AN88</f>
        <v>0</v>
      </c>
      <c r="AW88" s="234" t="s">
        <v>279</v>
      </c>
      <c r="AX88" s="234" t="s">
        <v>163</v>
      </c>
      <c r="AY88" s="229" t="s">
        <v>164</v>
      </c>
      <c r="BA88" s="233">
        <f>AU88+AV88</f>
        <v>0</v>
      </c>
      <c r="BB88" s="233">
        <f>G88/(100-BC88)*100</f>
        <v>0</v>
      </c>
      <c r="BC88" s="233">
        <v>0</v>
      </c>
      <c r="BD88" s="233">
        <f>L88</f>
        <v>0</v>
      </c>
      <c r="BF88" s="233">
        <f>F88*AM88</f>
        <v>0</v>
      </c>
      <c r="BG88" s="233">
        <f>F88*AN88</f>
        <v>0</v>
      </c>
      <c r="BH88" s="233">
        <f>F88*G88</f>
        <v>0</v>
      </c>
      <c r="BI88" s="233"/>
      <c r="BJ88" s="233">
        <v>19</v>
      </c>
      <c r="BU88" s="233" t="e">
        <f>#REF!</f>
        <v>#REF!</v>
      </c>
      <c r="BV88" s="225" t="s">
        <v>283</v>
      </c>
    </row>
    <row r="89" spans="1:74" ht="27" customHeight="1" x14ac:dyDescent="0.3">
      <c r="A89" s="241"/>
      <c r="B89" s="242" t="s">
        <v>165</v>
      </c>
      <c r="C89" s="530" t="s">
        <v>2217</v>
      </c>
      <c r="D89" s="531"/>
      <c r="E89" s="531"/>
      <c r="F89" s="531"/>
      <c r="G89" s="531"/>
      <c r="H89" s="531"/>
      <c r="I89" s="531"/>
      <c r="J89" s="531"/>
      <c r="K89" s="531"/>
      <c r="L89" s="531"/>
      <c r="M89" s="532"/>
    </row>
    <row r="90" spans="1:74" ht="14.4" x14ac:dyDescent="0.3">
      <c r="A90" s="239" t="s">
        <v>154</v>
      </c>
      <c r="B90" s="224" t="s">
        <v>235</v>
      </c>
      <c r="C90" s="526" t="s">
        <v>284</v>
      </c>
      <c r="D90" s="527"/>
      <c r="E90" s="223" t="s">
        <v>114</v>
      </c>
      <c r="F90" s="223" t="s">
        <v>114</v>
      </c>
      <c r="G90" s="223" t="s">
        <v>114</v>
      </c>
      <c r="H90" s="235">
        <f>SUM(H91:H95)</f>
        <v>0</v>
      </c>
      <c r="I90" s="235">
        <f>SUM(I91:I95)</f>
        <v>0</v>
      </c>
      <c r="J90" s="235">
        <f>SUM(J91:J95)</f>
        <v>0</v>
      </c>
      <c r="K90" s="230" t="s">
        <v>154</v>
      </c>
      <c r="L90" s="235">
        <f>SUM(L91:L95)</f>
        <v>11.873072000000001</v>
      </c>
      <c r="M90" s="243" t="s">
        <v>154</v>
      </c>
      <c r="AG90" s="229" t="s">
        <v>154</v>
      </c>
      <c r="AQ90" s="222">
        <f>SUM(AH91:AH95)</f>
        <v>0</v>
      </c>
      <c r="AR90" s="222">
        <f>SUM(AI91:AI95)</f>
        <v>0</v>
      </c>
      <c r="AS90" s="222">
        <f>SUM(AJ91:AJ95)</f>
        <v>0</v>
      </c>
    </row>
    <row r="91" spans="1:74" ht="14.4" x14ac:dyDescent="0.3">
      <c r="A91" s="239" t="s">
        <v>290</v>
      </c>
      <c r="B91" s="223" t="s">
        <v>507</v>
      </c>
      <c r="C91" s="521" t="s">
        <v>287</v>
      </c>
      <c r="D91" s="519"/>
      <c r="E91" s="223" t="s">
        <v>180</v>
      </c>
      <c r="F91" s="233">
        <v>67.92</v>
      </c>
      <c r="G91" s="311">
        <v>0</v>
      </c>
      <c r="H91" s="233">
        <f>F91*AM91</f>
        <v>0</v>
      </c>
      <c r="I91" s="233">
        <f>F91*AN91</f>
        <v>0</v>
      </c>
      <c r="J91" s="233">
        <f>F91*G91</f>
        <v>0</v>
      </c>
      <c r="K91" s="233">
        <v>0</v>
      </c>
      <c r="L91" s="233">
        <f>F91*K91</f>
        <v>0</v>
      </c>
      <c r="M91" s="240" t="s">
        <v>472</v>
      </c>
      <c r="X91" s="233">
        <f>IF(AO91="5",BH91,0)</f>
        <v>0</v>
      </c>
      <c r="Z91" s="233">
        <f>IF(AO91="1",BF91,0)</f>
        <v>0</v>
      </c>
      <c r="AA91" s="233">
        <f>IF(AO91="1",BG91,0)</f>
        <v>0</v>
      </c>
      <c r="AB91" s="233">
        <f>IF(AO91="7",BF91,0)</f>
        <v>0</v>
      </c>
      <c r="AC91" s="233">
        <f>IF(AO91="7",BG91,0)</f>
        <v>0</v>
      </c>
      <c r="AD91" s="233">
        <f>IF(AO91="2",BF91,0)</f>
        <v>0</v>
      </c>
      <c r="AE91" s="233">
        <f>IF(AO91="2",BG91,0)</f>
        <v>0</v>
      </c>
      <c r="AF91" s="233">
        <f>IF(AO91="0",BH91,0)</f>
        <v>0</v>
      </c>
      <c r="AG91" s="229" t="s">
        <v>154</v>
      </c>
      <c r="AH91" s="233">
        <f>IF(AL91=0,J91,0)</f>
        <v>0</v>
      </c>
      <c r="AI91" s="233">
        <f>IF(AL91=15,J91,0)</f>
        <v>0</v>
      </c>
      <c r="AJ91" s="233">
        <f>IF(AL91=21,J91,0)</f>
        <v>0</v>
      </c>
      <c r="AL91" s="233">
        <v>15</v>
      </c>
      <c r="AM91" s="233">
        <f>G91*0</f>
        <v>0</v>
      </c>
      <c r="AN91" s="233">
        <f>G91*(1-0)</f>
        <v>0</v>
      </c>
      <c r="AO91" s="234" t="s">
        <v>157</v>
      </c>
      <c r="AT91" s="233">
        <f>AU91+AV91</f>
        <v>0</v>
      </c>
      <c r="AU91" s="233">
        <f>F91*AM91</f>
        <v>0</v>
      </c>
      <c r="AV91" s="233">
        <f>F91*AN91</f>
        <v>0</v>
      </c>
      <c r="AW91" s="234" t="s">
        <v>288</v>
      </c>
      <c r="AX91" s="234" t="s">
        <v>289</v>
      </c>
      <c r="AY91" s="229" t="s">
        <v>164</v>
      </c>
      <c r="BA91" s="233">
        <f>AU91+AV91</f>
        <v>0</v>
      </c>
      <c r="BB91" s="233">
        <f>G91/(100-BC91)*100</f>
        <v>0</v>
      </c>
      <c r="BC91" s="233">
        <v>0</v>
      </c>
      <c r="BD91" s="233">
        <f>L91</f>
        <v>0</v>
      </c>
      <c r="BF91" s="233">
        <f>F91*AM91</f>
        <v>0</v>
      </c>
      <c r="BG91" s="233">
        <f>F91*AN91</f>
        <v>0</v>
      </c>
      <c r="BH91" s="233">
        <f>F91*G91</f>
        <v>0</v>
      </c>
      <c r="BI91" s="233"/>
      <c r="BJ91" s="233">
        <v>21</v>
      </c>
      <c r="BU91" s="233" t="e">
        <f>#REF!</f>
        <v>#REF!</v>
      </c>
      <c r="BV91" s="225" t="s">
        <v>287</v>
      </c>
    </row>
    <row r="92" spans="1:74" ht="40.5" customHeight="1" x14ac:dyDescent="0.3">
      <c r="A92" s="241"/>
      <c r="B92" s="242" t="s">
        <v>165</v>
      </c>
      <c r="C92" s="530" t="s">
        <v>2218</v>
      </c>
      <c r="D92" s="531"/>
      <c r="E92" s="531"/>
      <c r="F92" s="531"/>
      <c r="G92" s="531"/>
      <c r="H92" s="531"/>
      <c r="I92" s="531"/>
      <c r="J92" s="531"/>
      <c r="K92" s="531"/>
      <c r="L92" s="531"/>
      <c r="M92" s="532"/>
    </row>
    <row r="93" spans="1:74" ht="14.4" x14ac:dyDescent="0.3">
      <c r="A93" s="239" t="s">
        <v>294</v>
      </c>
      <c r="B93" s="223" t="s">
        <v>1001</v>
      </c>
      <c r="C93" s="521" t="s">
        <v>292</v>
      </c>
      <c r="D93" s="519"/>
      <c r="E93" s="223" t="s">
        <v>160</v>
      </c>
      <c r="F93" s="233">
        <v>27.2</v>
      </c>
      <c r="G93" s="311">
        <v>0</v>
      </c>
      <c r="H93" s="233">
        <f>F93*AM93</f>
        <v>0</v>
      </c>
      <c r="I93" s="233">
        <f>F93*AN93</f>
        <v>0</v>
      </c>
      <c r="J93" s="233">
        <f>F93*G93</f>
        <v>0</v>
      </c>
      <c r="K93" s="233">
        <v>0.43651000000000001</v>
      </c>
      <c r="L93" s="233">
        <f>F93*K93</f>
        <v>11.873072000000001</v>
      </c>
      <c r="M93" s="240" t="s">
        <v>472</v>
      </c>
      <c r="X93" s="233">
        <f>IF(AO93="5",BH93,0)</f>
        <v>0</v>
      </c>
      <c r="Z93" s="233">
        <f>IF(AO93="1",BF93,0)</f>
        <v>0</v>
      </c>
      <c r="AA93" s="233">
        <f>IF(AO93="1",BG93,0)</f>
        <v>0</v>
      </c>
      <c r="AB93" s="233">
        <f>IF(AO93="7",BF93,0)</f>
        <v>0</v>
      </c>
      <c r="AC93" s="233">
        <f>IF(AO93="7",BG93,0)</f>
        <v>0</v>
      </c>
      <c r="AD93" s="233">
        <f>IF(AO93="2",BF93,0)</f>
        <v>0</v>
      </c>
      <c r="AE93" s="233">
        <f>IF(AO93="2",BG93,0)</f>
        <v>0</v>
      </c>
      <c r="AF93" s="233">
        <f>IF(AO93="0",BH93,0)</f>
        <v>0</v>
      </c>
      <c r="AG93" s="229" t="s">
        <v>154</v>
      </c>
      <c r="AH93" s="233">
        <f>IF(AL93=0,J93,0)</f>
        <v>0</v>
      </c>
      <c r="AI93" s="233">
        <f>IF(AL93=15,J93,0)</f>
        <v>0</v>
      </c>
      <c r="AJ93" s="233">
        <f>IF(AL93=21,J93,0)</f>
        <v>0</v>
      </c>
      <c r="AL93" s="233">
        <v>15</v>
      </c>
      <c r="AM93" s="233">
        <f>G93*0.446327077</f>
        <v>0</v>
      </c>
      <c r="AN93" s="233">
        <f>G93*(1-0.446327077)</f>
        <v>0</v>
      </c>
      <c r="AO93" s="234" t="s">
        <v>157</v>
      </c>
      <c r="AT93" s="233">
        <f>AU93+AV93</f>
        <v>0</v>
      </c>
      <c r="AU93" s="233">
        <f>F93*AM93</f>
        <v>0</v>
      </c>
      <c r="AV93" s="233">
        <f>F93*AN93</f>
        <v>0</v>
      </c>
      <c r="AW93" s="234" t="s">
        <v>288</v>
      </c>
      <c r="AX93" s="234" t="s">
        <v>289</v>
      </c>
      <c r="AY93" s="229" t="s">
        <v>164</v>
      </c>
      <c r="BA93" s="233">
        <f>AU93+AV93</f>
        <v>0</v>
      </c>
      <c r="BB93" s="233">
        <f>G93/(100-BC93)*100</f>
        <v>0</v>
      </c>
      <c r="BC93" s="233">
        <v>0</v>
      </c>
      <c r="BD93" s="233">
        <f>L93</f>
        <v>11.873072000000001</v>
      </c>
      <c r="BF93" s="233">
        <f>F93*AM93</f>
        <v>0</v>
      </c>
      <c r="BG93" s="233">
        <f>F93*AN93</f>
        <v>0</v>
      </c>
      <c r="BH93" s="233">
        <f>F93*G93</f>
        <v>0</v>
      </c>
      <c r="BI93" s="233"/>
      <c r="BJ93" s="233">
        <v>21</v>
      </c>
      <c r="BU93" s="233" t="e">
        <f>#REF!</f>
        <v>#REF!</v>
      </c>
      <c r="BV93" s="225" t="s">
        <v>292</v>
      </c>
    </row>
    <row r="94" spans="1:74" ht="54" customHeight="1" x14ac:dyDescent="0.3">
      <c r="A94" s="241"/>
      <c r="B94" s="242" t="s">
        <v>165</v>
      </c>
      <c r="C94" s="530" t="s">
        <v>2219</v>
      </c>
      <c r="D94" s="531"/>
      <c r="E94" s="531"/>
      <c r="F94" s="531"/>
      <c r="G94" s="531"/>
      <c r="H94" s="531"/>
      <c r="I94" s="531"/>
      <c r="J94" s="531"/>
      <c r="K94" s="531"/>
      <c r="L94" s="531"/>
      <c r="M94" s="532"/>
    </row>
    <row r="95" spans="1:74" ht="14.4" x14ac:dyDescent="0.3">
      <c r="A95" s="239" t="s">
        <v>300</v>
      </c>
      <c r="B95" s="223" t="s">
        <v>414</v>
      </c>
      <c r="C95" s="521" t="s">
        <v>415</v>
      </c>
      <c r="D95" s="519"/>
      <c r="E95" s="223" t="s">
        <v>380</v>
      </c>
      <c r="F95" s="233">
        <v>11.87</v>
      </c>
      <c r="G95" s="311">
        <v>0</v>
      </c>
      <c r="H95" s="233">
        <f>F95*AM95</f>
        <v>0</v>
      </c>
      <c r="I95" s="233">
        <f>F95*AN95</f>
        <v>0</v>
      </c>
      <c r="J95" s="233">
        <f>F95*G95</f>
        <v>0</v>
      </c>
      <c r="K95" s="233">
        <v>0</v>
      </c>
      <c r="L95" s="233">
        <f>F95*K95</f>
        <v>0</v>
      </c>
      <c r="M95" s="240" t="s">
        <v>472</v>
      </c>
      <c r="X95" s="233">
        <f>IF(AO95="5",BH95,0)</f>
        <v>0</v>
      </c>
      <c r="Z95" s="233">
        <f>IF(AO95="1",BF95,0)</f>
        <v>0</v>
      </c>
      <c r="AA95" s="233">
        <f>IF(AO95="1",BG95,0)</f>
        <v>0</v>
      </c>
      <c r="AB95" s="233">
        <f>IF(AO95="7",BF95,0)</f>
        <v>0</v>
      </c>
      <c r="AC95" s="233">
        <f>IF(AO95="7",BG95,0)</f>
        <v>0</v>
      </c>
      <c r="AD95" s="233">
        <f>IF(AO95="2",BF95,0)</f>
        <v>0</v>
      </c>
      <c r="AE95" s="233">
        <f>IF(AO95="2",BG95,0)</f>
        <v>0</v>
      </c>
      <c r="AF95" s="233">
        <f>IF(AO95="0",BH95,0)</f>
        <v>0</v>
      </c>
      <c r="AG95" s="229" t="s">
        <v>154</v>
      </c>
      <c r="AH95" s="233">
        <f>IF(AL95=0,J95,0)</f>
        <v>0</v>
      </c>
      <c r="AI95" s="233">
        <f>IF(AL95=15,J95,0)</f>
        <v>0</v>
      </c>
      <c r="AJ95" s="233">
        <f>IF(AL95=21,J95,0)</f>
        <v>0</v>
      </c>
      <c r="AL95" s="233">
        <v>15</v>
      </c>
      <c r="AM95" s="233">
        <f>G95*0</f>
        <v>0</v>
      </c>
      <c r="AN95" s="233">
        <f>G95*(1-0)</f>
        <v>0</v>
      </c>
      <c r="AO95" s="234" t="s">
        <v>177</v>
      </c>
      <c r="AT95" s="233">
        <f>AU95+AV95</f>
        <v>0</v>
      </c>
      <c r="AU95" s="233">
        <f>F95*AM95</f>
        <v>0</v>
      </c>
      <c r="AV95" s="233">
        <f>F95*AN95</f>
        <v>0</v>
      </c>
      <c r="AW95" s="234" t="s">
        <v>288</v>
      </c>
      <c r="AX95" s="234" t="s">
        <v>289</v>
      </c>
      <c r="AY95" s="229" t="s">
        <v>164</v>
      </c>
      <c r="BA95" s="233">
        <f>AU95+AV95</f>
        <v>0</v>
      </c>
      <c r="BB95" s="233">
        <f>G95/(100-BC95)*100</f>
        <v>0</v>
      </c>
      <c r="BC95" s="233">
        <v>0</v>
      </c>
      <c r="BD95" s="233">
        <f>L95</f>
        <v>0</v>
      </c>
      <c r="BF95" s="233">
        <f>F95*AM95</f>
        <v>0</v>
      </c>
      <c r="BG95" s="233">
        <f>F95*AN95</f>
        <v>0</v>
      </c>
      <c r="BH95" s="233">
        <f>F95*G95</f>
        <v>0</v>
      </c>
      <c r="BI95" s="233"/>
      <c r="BJ95" s="233">
        <v>21</v>
      </c>
      <c r="BU95" s="233" t="e">
        <f>#REF!</f>
        <v>#REF!</v>
      </c>
      <c r="BV95" s="225" t="s">
        <v>415</v>
      </c>
    </row>
    <row r="96" spans="1:74" ht="14.4" x14ac:dyDescent="0.3">
      <c r="A96" s="239" t="s">
        <v>154</v>
      </c>
      <c r="B96" s="224" t="s">
        <v>241</v>
      </c>
      <c r="C96" s="526" t="s">
        <v>2220</v>
      </c>
      <c r="D96" s="527"/>
      <c r="E96" s="223" t="s">
        <v>114</v>
      </c>
      <c r="F96" s="223" t="s">
        <v>114</v>
      </c>
      <c r="G96" s="223" t="s">
        <v>114</v>
      </c>
      <c r="H96" s="235">
        <f>SUM(H97:H97)</f>
        <v>0</v>
      </c>
      <c r="I96" s="235">
        <f>SUM(I97:I97)</f>
        <v>0</v>
      </c>
      <c r="J96" s="235">
        <f>SUM(J97:J97)</f>
        <v>0</v>
      </c>
      <c r="K96" s="230" t="s">
        <v>154</v>
      </c>
      <c r="L96" s="235">
        <f>SUM(L97:L97)</f>
        <v>20.479217999999999</v>
      </c>
      <c r="M96" s="243" t="s">
        <v>154</v>
      </c>
      <c r="AG96" s="229" t="s">
        <v>154</v>
      </c>
      <c r="AQ96" s="222">
        <f>SUM(AH97:AH97)</f>
        <v>0</v>
      </c>
      <c r="AR96" s="222">
        <f>SUM(AI97:AI97)</f>
        <v>0</v>
      </c>
      <c r="AS96" s="222">
        <f>SUM(AJ97:AJ97)</f>
        <v>0</v>
      </c>
    </row>
    <row r="97" spans="1:74" ht="14.4" x14ac:dyDescent="0.3">
      <c r="A97" s="239" t="s">
        <v>307</v>
      </c>
      <c r="B97" s="223" t="s">
        <v>2221</v>
      </c>
      <c r="C97" s="521" t="s">
        <v>2222</v>
      </c>
      <c r="D97" s="519"/>
      <c r="E97" s="223" t="s">
        <v>196</v>
      </c>
      <c r="F97" s="233">
        <v>10.210000000000001</v>
      </c>
      <c r="G97" s="311">
        <v>0</v>
      </c>
      <c r="H97" s="233">
        <f>F97*AM97</f>
        <v>0</v>
      </c>
      <c r="I97" s="233">
        <f>F97*AN97</f>
        <v>0</v>
      </c>
      <c r="J97" s="233">
        <f>F97*G97</f>
        <v>0</v>
      </c>
      <c r="K97" s="233">
        <v>2.0057999999999998</v>
      </c>
      <c r="L97" s="233">
        <f>F97*K97</f>
        <v>20.479217999999999</v>
      </c>
      <c r="M97" s="240" t="s">
        <v>472</v>
      </c>
      <c r="X97" s="233">
        <f>IF(AO97="5",BH97,0)</f>
        <v>0</v>
      </c>
      <c r="Z97" s="233">
        <f>IF(AO97="1",BF97,0)</f>
        <v>0</v>
      </c>
      <c r="AA97" s="233">
        <f>IF(AO97="1",BG97,0)</f>
        <v>0</v>
      </c>
      <c r="AB97" s="233">
        <f>IF(AO97="7",BF97,0)</f>
        <v>0</v>
      </c>
      <c r="AC97" s="233">
        <f>IF(AO97="7",BG97,0)</f>
        <v>0</v>
      </c>
      <c r="AD97" s="233">
        <f>IF(AO97="2",BF97,0)</f>
        <v>0</v>
      </c>
      <c r="AE97" s="233">
        <f>IF(AO97="2",BG97,0)</f>
        <v>0</v>
      </c>
      <c r="AF97" s="233">
        <f>IF(AO97="0",BH97,0)</f>
        <v>0</v>
      </c>
      <c r="AG97" s="229" t="s">
        <v>154</v>
      </c>
      <c r="AH97" s="233">
        <f>IF(AL97=0,J97,0)</f>
        <v>0</v>
      </c>
      <c r="AI97" s="233">
        <f>IF(AL97=15,J97,0)</f>
        <v>0</v>
      </c>
      <c r="AJ97" s="233">
        <f>IF(AL97=21,J97,0)</f>
        <v>0</v>
      </c>
      <c r="AL97" s="233">
        <v>15</v>
      </c>
      <c r="AM97" s="233">
        <f>G97*0.805077748</f>
        <v>0</v>
      </c>
      <c r="AN97" s="233">
        <f>G97*(1-0.805077748)</f>
        <v>0</v>
      </c>
      <c r="AO97" s="234" t="s">
        <v>157</v>
      </c>
      <c r="AT97" s="233">
        <f>AU97+AV97</f>
        <v>0</v>
      </c>
      <c r="AU97" s="233">
        <f>F97*AM97</f>
        <v>0</v>
      </c>
      <c r="AV97" s="233">
        <f>F97*AN97</f>
        <v>0</v>
      </c>
      <c r="AW97" s="234" t="s">
        <v>2223</v>
      </c>
      <c r="AX97" s="234" t="s">
        <v>289</v>
      </c>
      <c r="AY97" s="229" t="s">
        <v>164</v>
      </c>
      <c r="BA97" s="233">
        <f>AU97+AV97</f>
        <v>0</v>
      </c>
      <c r="BB97" s="233">
        <f>G97/(100-BC97)*100</f>
        <v>0</v>
      </c>
      <c r="BC97" s="233">
        <v>0</v>
      </c>
      <c r="BD97" s="233">
        <f>L97</f>
        <v>20.479217999999999</v>
      </c>
      <c r="BF97" s="233">
        <f>F97*AM97</f>
        <v>0</v>
      </c>
      <c r="BG97" s="233">
        <f>F97*AN97</f>
        <v>0</v>
      </c>
      <c r="BH97" s="233">
        <f>F97*G97</f>
        <v>0</v>
      </c>
      <c r="BI97" s="233"/>
      <c r="BJ97" s="233">
        <v>23</v>
      </c>
      <c r="BU97" s="233" t="e">
        <f>#REF!</f>
        <v>#REF!</v>
      </c>
      <c r="BV97" s="225" t="s">
        <v>2222</v>
      </c>
    </row>
    <row r="98" spans="1:74" ht="40.5" customHeight="1" x14ac:dyDescent="0.3">
      <c r="A98" s="244"/>
      <c r="B98" s="245" t="s">
        <v>165</v>
      </c>
      <c r="C98" s="540" t="s">
        <v>2224</v>
      </c>
      <c r="D98" s="541"/>
      <c r="E98" s="541"/>
      <c r="F98" s="541"/>
      <c r="G98" s="541"/>
      <c r="H98" s="541"/>
      <c r="I98" s="541"/>
      <c r="J98" s="541"/>
      <c r="K98" s="541"/>
      <c r="L98" s="541"/>
      <c r="M98" s="542"/>
    </row>
    <row r="99" spans="1:74" ht="14.4" x14ac:dyDescent="0.3">
      <c r="A99" s="237" t="s">
        <v>154</v>
      </c>
      <c r="B99" s="260" t="s">
        <v>253</v>
      </c>
      <c r="C99" s="545" t="s">
        <v>293</v>
      </c>
      <c r="D99" s="546"/>
      <c r="E99" s="238" t="s">
        <v>114</v>
      </c>
      <c r="F99" s="238" t="s">
        <v>114</v>
      </c>
      <c r="G99" s="238" t="s">
        <v>114</v>
      </c>
      <c r="H99" s="261">
        <f>SUM(H100:H104)</f>
        <v>0</v>
      </c>
      <c r="I99" s="261">
        <f>SUM(I100:I104)</f>
        <v>0</v>
      </c>
      <c r="J99" s="261">
        <f>SUM(J100:J104)</f>
        <v>0</v>
      </c>
      <c r="K99" s="262" t="s">
        <v>154</v>
      </c>
      <c r="L99" s="261">
        <f>SUM(L100:L104)</f>
        <v>18.445544700000003</v>
      </c>
      <c r="M99" s="263" t="s">
        <v>154</v>
      </c>
      <c r="AG99" s="229" t="s">
        <v>154</v>
      </c>
      <c r="AQ99" s="222">
        <f>SUM(AH100:AH104)</f>
        <v>0</v>
      </c>
      <c r="AR99" s="222">
        <f>SUM(AI100:AI104)</f>
        <v>0</v>
      </c>
      <c r="AS99" s="222">
        <f>SUM(AJ100:AJ104)</f>
        <v>0</v>
      </c>
    </row>
    <row r="100" spans="1:74" ht="14.4" x14ac:dyDescent="0.3">
      <c r="A100" s="239" t="s">
        <v>312</v>
      </c>
      <c r="B100" s="223" t="s">
        <v>295</v>
      </c>
      <c r="C100" s="521" t="s">
        <v>2225</v>
      </c>
      <c r="D100" s="519"/>
      <c r="E100" s="223" t="s">
        <v>196</v>
      </c>
      <c r="F100" s="233">
        <v>6.48</v>
      </c>
      <c r="G100" s="311">
        <v>0</v>
      </c>
      <c r="H100" s="233">
        <f>F100*AM100</f>
        <v>0</v>
      </c>
      <c r="I100" s="233">
        <f>F100*AN100</f>
        <v>0</v>
      </c>
      <c r="J100" s="233">
        <f>F100*G100</f>
        <v>0</v>
      </c>
      <c r="K100" s="233">
        <v>2.5251399999999999</v>
      </c>
      <c r="L100" s="233">
        <f>F100*K100</f>
        <v>16.362907200000002</v>
      </c>
      <c r="M100" s="240" t="s">
        <v>472</v>
      </c>
      <c r="X100" s="233">
        <f>IF(AO100="5",BH100,0)</f>
        <v>0</v>
      </c>
      <c r="Z100" s="233">
        <f>IF(AO100="1",BF100,0)</f>
        <v>0</v>
      </c>
      <c r="AA100" s="233">
        <f>IF(AO100="1",BG100,0)</f>
        <v>0</v>
      </c>
      <c r="AB100" s="233">
        <f>IF(AO100="7",BF100,0)</f>
        <v>0</v>
      </c>
      <c r="AC100" s="233">
        <f>IF(AO100="7",BG100,0)</f>
        <v>0</v>
      </c>
      <c r="AD100" s="233">
        <f>IF(AO100="2",BF100,0)</f>
        <v>0</v>
      </c>
      <c r="AE100" s="233">
        <f>IF(AO100="2",BG100,0)</f>
        <v>0</v>
      </c>
      <c r="AF100" s="233">
        <f>IF(AO100="0",BH100,0)</f>
        <v>0</v>
      </c>
      <c r="AG100" s="229" t="s">
        <v>154</v>
      </c>
      <c r="AH100" s="233">
        <f>IF(AL100=0,J100,0)</f>
        <v>0</v>
      </c>
      <c r="AI100" s="233">
        <f>IF(AL100=15,J100,0)</f>
        <v>0</v>
      </c>
      <c r="AJ100" s="233">
        <f>IF(AL100=21,J100,0)</f>
        <v>0</v>
      </c>
      <c r="AL100" s="233">
        <v>15</v>
      </c>
      <c r="AM100" s="233">
        <f>G100*0.845416703</f>
        <v>0</v>
      </c>
      <c r="AN100" s="233">
        <f>G100*(1-0.845416703)</f>
        <v>0</v>
      </c>
      <c r="AO100" s="234" t="s">
        <v>157</v>
      </c>
      <c r="AT100" s="233">
        <f>AU100+AV100</f>
        <v>0</v>
      </c>
      <c r="AU100" s="233">
        <f>F100*AM100</f>
        <v>0</v>
      </c>
      <c r="AV100" s="233">
        <f>F100*AN100</f>
        <v>0</v>
      </c>
      <c r="AW100" s="234" t="s">
        <v>297</v>
      </c>
      <c r="AX100" s="234" t="s">
        <v>289</v>
      </c>
      <c r="AY100" s="229" t="s">
        <v>164</v>
      </c>
      <c r="BA100" s="233">
        <f>AU100+AV100</f>
        <v>0</v>
      </c>
      <c r="BB100" s="233">
        <f>G100/(100-BC100)*100</f>
        <v>0</v>
      </c>
      <c r="BC100" s="233">
        <v>0</v>
      </c>
      <c r="BD100" s="233">
        <f>L100</f>
        <v>16.362907200000002</v>
      </c>
      <c r="BF100" s="233">
        <f>F100*AM100</f>
        <v>0</v>
      </c>
      <c r="BG100" s="233">
        <f>F100*AN100</f>
        <v>0</v>
      </c>
      <c r="BH100" s="233">
        <f>F100*G100</f>
        <v>0</v>
      </c>
      <c r="BI100" s="233"/>
      <c r="BJ100" s="233">
        <v>27</v>
      </c>
      <c r="BU100" s="233" t="e">
        <f>#REF!</f>
        <v>#REF!</v>
      </c>
      <c r="BV100" s="225" t="s">
        <v>2225</v>
      </c>
    </row>
    <row r="101" spans="1:74" ht="40.5" customHeight="1" x14ac:dyDescent="0.3">
      <c r="A101" s="241"/>
      <c r="B101" s="242" t="s">
        <v>165</v>
      </c>
      <c r="C101" s="530" t="s">
        <v>2226</v>
      </c>
      <c r="D101" s="531"/>
      <c r="E101" s="531"/>
      <c r="F101" s="531"/>
      <c r="G101" s="531"/>
      <c r="H101" s="531"/>
      <c r="I101" s="531"/>
      <c r="J101" s="531"/>
      <c r="K101" s="531"/>
      <c r="L101" s="531"/>
      <c r="M101" s="532"/>
    </row>
    <row r="102" spans="1:74" ht="14.4" x14ac:dyDescent="0.3">
      <c r="A102" s="239" t="s">
        <v>315</v>
      </c>
      <c r="B102" s="223" t="s">
        <v>2227</v>
      </c>
      <c r="C102" s="521" t="s">
        <v>2228</v>
      </c>
      <c r="D102" s="519"/>
      <c r="E102" s="223" t="s">
        <v>380</v>
      </c>
      <c r="F102" s="233">
        <v>0.11</v>
      </c>
      <c r="G102" s="311">
        <v>0</v>
      </c>
      <c r="H102" s="233">
        <f>F102*AM102</f>
        <v>0</v>
      </c>
      <c r="I102" s="233">
        <f>F102*AN102</f>
        <v>0</v>
      </c>
      <c r="J102" s="233">
        <f>F102*G102</f>
        <v>0</v>
      </c>
      <c r="K102" s="233">
        <v>1.0275300000000001</v>
      </c>
      <c r="L102" s="233">
        <f>F102*K102</f>
        <v>0.11302830000000001</v>
      </c>
      <c r="M102" s="240" t="s">
        <v>472</v>
      </c>
      <c r="X102" s="233">
        <f>IF(AO102="5",BH102,0)</f>
        <v>0</v>
      </c>
      <c r="Z102" s="233">
        <f>IF(AO102="1",BF102,0)</f>
        <v>0</v>
      </c>
      <c r="AA102" s="233">
        <f>IF(AO102="1",BG102,0)</f>
        <v>0</v>
      </c>
      <c r="AB102" s="233">
        <f>IF(AO102="7",BF102,0)</f>
        <v>0</v>
      </c>
      <c r="AC102" s="233">
        <f>IF(AO102="7",BG102,0)</f>
        <v>0</v>
      </c>
      <c r="AD102" s="233">
        <f>IF(AO102="2",BF102,0)</f>
        <v>0</v>
      </c>
      <c r="AE102" s="233">
        <f>IF(AO102="2",BG102,0)</f>
        <v>0</v>
      </c>
      <c r="AF102" s="233">
        <f>IF(AO102="0",BH102,0)</f>
        <v>0</v>
      </c>
      <c r="AG102" s="229" t="s">
        <v>154</v>
      </c>
      <c r="AH102" s="233">
        <f>IF(AL102=0,J102,0)</f>
        <v>0</v>
      </c>
      <c r="AI102" s="233">
        <f>IF(AL102=15,J102,0)</f>
        <v>0</v>
      </c>
      <c r="AJ102" s="233">
        <f>IF(AL102=21,J102,0)</f>
        <v>0</v>
      </c>
      <c r="AL102" s="233">
        <v>15</v>
      </c>
      <c r="AM102" s="233">
        <f>G102*0.733138858</f>
        <v>0</v>
      </c>
      <c r="AN102" s="233">
        <f>G102*(1-0.733138858)</f>
        <v>0</v>
      </c>
      <c r="AO102" s="234" t="s">
        <v>157</v>
      </c>
      <c r="AT102" s="233">
        <f>AU102+AV102</f>
        <v>0</v>
      </c>
      <c r="AU102" s="233">
        <f>F102*AM102</f>
        <v>0</v>
      </c>
      <c r="AV102" s="233">
        <f>F102*AN102</f>
        <v>0</v>
      </c>
      <c r="AW102" s="234" t="s">
        <v>297</v>
      </c>
      <c r="AX102" s="234" t="s">
        <v>289</v>
      </c>
      <c r="AY102" s="229" t="s">
        <v>164</v>
      </c>
      <c r="BA102" s="233">
        <f>AU102+AV102</f>
        <v>0</v>
      </c>
      <c r="BB102" s="233">
        <f>G102/(100-BC102)*100</f>
        <v>0</v>
      </c>
      <c r="BC102" s="233">
        <v>0</v>
      </c>
      <c r="BD102" s="233">
        <f>L102</f>
        <v>0.11302830000000001</v>
      </c>
      <c r="BF102" s="233">
        <f>F102*AM102</f>
        <v>0</v>
      </c>
      <c r="BG102" s="233">
        <f>F102*AN102</f>
        <v>0</v>
      </c>
      <c r="BH102" s="233">
        <f>F102*G102</f>
        <v>0</v>
      </c>
      <c r="BI102" s="233"/>
      <c r="BJ102" s="233">
        <v>27</v>
      </c>
      <c r="BU102" s="233" t="e">
        <f>#REF!</f>
        <v>#REF!</v>
      </c>
      <c r="BV102" s="225" t="s">
        <v>2228</v>
      </c>
    </row>
    <row r="103" spans="1:74" ht="40.5" customHeight="1" x14ac:dyDescent="0.3">
      <c r="A103" s="241"/>
      <c r="B103" s="242" t="s">
        <v>165</v>
      </c>
      <c r="C103" s="530" t="s">
        <v>2229</v>
      </c>
      <c r="D103" s="531"/>
      <c r="E103" s="531"/>
      <c r="F103" s="531"/>
      <c r="G103" s="531"/>
      <c r="H103" s="531"/>
      <c r="I103" s="531"/>
      <c r="J103" s="531"/>
      <c r="K103" s="531"/>
      <c r="L103" s="531"/>
      <c r="M103" s="532"/>
    </row>
    <row r="104" spans="1:74" ht="14.4" x14ac:dyDescent="0.3">
      <c r="A104" s="239" t="s">
        <v>318</v>
      </c>
      <c r="B104" s="223" t="s">
        <v>890</v>
      </c>
      <c r="C104" s="521" t="s">
        <v>296</v>
      </c>
      <c r="D104" s="519"/>
      <c r="E104" s="223" t="s">
        <v>196</v>
      </c>
      <c r="F104" s="233">
        <v>0.78</v>
      </c>
      <c r="G104" s="311">
        <v>0</v>
      </c>
      <c r="H104" s="233">
        <f>F104*AM104</f>
        <v>0</v>
      </c>
      <c r="I104" s="233">
        <f>F104*AN104</f>
        <v>0</v>
      </c>
      <c r="J104" s="233">
        <f>F104*G104</f>
        <v>0</v>
      </c>
      <c r="K104" s="233">
        <v>2.5251399999999999</v>
      </c>
      <c r="L104" s="233">
        <f>F104*K104</f>
        <v>1.9696092000000001</v>
      </c>
      <c r="M104" s="240" t="s">
        <v>472</v>
      </c>
      <c r="X104" s="233">
        <f>IF(AO104="5",BH104,0)</f>
        <v>0</v>
      </c>
      <c r="Z104" s="233">
        <f>IF(AO104="1",BF104,0)</f>
        <v>0</v>
      </c>
      <c r="AA104" s="233">
        <f>IF(AO104="1",BG104,0)</f>
        <v>0</v>
      </c>
      <c r="AB104" s="233">
        <f>IF(AO104="7",BF104,0)</f>
        <v>0</v>
      </c>
      <c r="AC104" s="233">
        <f>IF(AO104="7",BG104,0)</f>
        <v>0</v>
      </c>
      <c r="AD104" s="233">
        <f>IF(AO104="2",BF104,0)</f>
        <v>0</v>
      </c>
      <c r="AE104" s="233">
        <f>IF(AO104="2",BG104,0)</f>
        <v>0</v>
      </c>
      <c r="AF104" s="233">
        <f>IF(AO104="0",BH104,0)</f>
        <v>0</v>
      </c>
      <c r="AG104" s="229" t="s">
        <v>154</v>
      </c>
      <c r="AH104" s="233">
        <f>IF(AL104=0,J104,0)</f>
        <v>0</v>
      </c>
      <c r="AI104" s="233">
        <f>IF(AL104=15,J104,0)</f>
        <v>0</v>
      </c>
      <c r="AJ104" s="233">
        <f>IF(AL104=21,J104,0)</f>
        <v>0</v>
      </c>
      <c r="AL104" s="233">
        <v>15</v>
      </c>
      <c r="AM104" s="233">
        <f>G104*0.848041841</f>
        <v>0</v>
      </c>
      <c r="AN104" s="233">
        <f>G104*(1-0.848041841)</f>
        <v>0</v>
      </c>
      <c r="AO104" s="234" t="s">
        <v>157</v>
      </c>
      <c r="AT104" s="233">
        <f>AU104+AV104</f>
        <v>0</v>
      </c>
      <c r="AU104" s="233">
        <f>F104*AM104</f>
        <v>0</v>
      </c>
      <c r="AV104" s="233">
        <f>F104*AN104</f>
        <v>0</v>
      </c>
      <c r="AW104" s="234" t="s">
        <v>297</v>
      </c>
      <c r="AX104" s="234" t="s">
        <v>289</v>
      </c>
      <c r="AY104" s="229" t="s">
        <v>164</v>
      </c>
      <c r="BA104" s="233">
        <f>AU104+AV104</f>
        <v>0</v>
      </c>
      <c r="BB104" s="233">
        <f>G104/(100-BC104)*100</f>
        <v>0</v>
      </c>
      <c r="BC104" s="233">
        <v>0</v>
      </c>
      <c r="BD104" s="233">
        <f>L104</f>
        <v>1.9696092000000001</v>
      </c>
      <c r="BF104" s="233">
        <f>F104*AM104</f>
        <v>0</v>
      </c>
      <c r="BG104" s="233">
        <f>F104*AN104</f>
        <v>0</v>
      </c>
      <c r="BH104" s="233">
        <f>F104*G104</f>
        <v>0</v>
      </c>
      <c r="BI104" s="233"/>
      <c r="BJ104" s="233">
        <v>27</v>
      </c>
      <c r="BU104" s="233" t="e">
        <f>#REF!</f>
        <v>#REF!</v>
      </c>
      <c r="BV104" s="225" t="s">
        <v>296</v>
      </c>
    </row>
    <row r="105" spans="1:74" ht="40.5" customHeight="1" x14ac:dyDescent="0.3">
      <c r="A105" s="241"/>
      <c r="B105" s="242" t="s">
        <v>165</v>
      </c>
      <c r="C105" s="530" t="s">
        <v>2230</v>
      </c>
      <c r="D105" s="531"/>
      <c r="E105" s="531"/>
      <c r="F105" s="531"/>
      <c r="G105" s="531"/>
      <c r="H105" s="531"/>
      <c r="I105" s="531"/>
      <c r="J105" s="531"/>
      <c r="K105" s="531"/>
      <c r="L105" s="531"/>
      <c r="M105" s="532"/>
    </row>
    <row r="106" spans="1:74" ht="14.4" x14ac:dyDescent="0.3">
      <c r="A106" s="239" t="s">
        <v>154</v>
      </c>
      <c r="B106" s="224" t="s">
        <v>298</v>
      </c>
      <c r="C106" s="526" t="s">
        <v>299</v>
      </c>
      <c r="D106" s="527"/>
      <c r="E106" s="223" t="s">
        <v>114</v>
      </c>
      <c r="F106" s="223" t="s">
        <v>114</v>
      </c>
      <c r="G106" s="223" t="s">
        <v>114</v>
      </c>
      <c r="H106" s="235">
        <f>SUM(H107:H107)</f>
        <v>0</v>
      </c>
      <c r="I106" s="235">
        <f>SUM(I107:I107)</f>
        <v>0</v>
      </c>
      <c r="J106" s="235">
        <f>SUM(J107:J107)</f>
        <v>0</v>
      </c>
      <c r="K106" s="230" t="s">
        <v>154</v>
      </c>
      <c r="L106" s="235">
        <f>SUM(L107:L107)</f>
        <v>19.266946300000001</v>
      </c>
      <c r="M106" s="243" t="s">
        <v>154</v>
      </c>
      <c r="AG106" s="229" t="s">
        <v>154</v>
      </c>
      <c r="AQ106" s="222">
        <f>SUM(AH107:AH107)</f>
        <v>0</v>
      </c>
      <c r="AR106" s="222">
        <f>SUM(AI107:AI107)</f>
        <v>0</v>
      </c>
      <c r="AS106" s="222">
        <f>SUM(AJ107:AJ107)</f>
        <v>0</v>
      </c>
    </row>
    <row r="107" spans="1:74" ht="14.4" x14ac:dyDescent="0.3">
      <c r="A107" s="239" t="s">
        <v>319</v>
      </c>
      <c r="B107" s="223" t="s">
        <v>301</v>
      </c>
      <c r="C107" s="521" t="s">
        <v>2231</v>
      </c>
      <c r="D107" s="519"/>
      <c r="E107" s="223" t="s">
        <v>196</v>
      </c>
      <c r="F107" s="233">
        <v>10.19</v>
      </c>
      <c r="G107" s="311">
        <v>0</v>
      </c>
      <c r="H107" s="233">
        <f>F107*AM107</f>
        <v>0</v>
      </c>
      <c r="I107" s="233">
        <f>F107*AN107</f>
        <v>0</v>
      </c>
      <c r="J107" s="233">
        <f>F107*G107</f>
        <v>0</v>
      </c>
      <c r="K107" s="233">
        <v>1.8907700000000001</v>
      </c>
      <c r="L107" s="233">
        <f>F107*K107</f>
        <v>19.266946300000001</v>
      </c>
      <c r="M107" s="240" t="s">
        <v>472</v>
      </c>
      <c r="X107" s="233">
        <f>IF(AO107="5",BH107,0)</f>
        <v>0</v>
      </c>
      <c r="Z107" s="233">
        <f>IF(AO107="1",BF107,0)</f>
        <v>0</v>
      </c>
      <c r="AA107" s="233">
        <f>IF(AO107="1",BG107,0)</f>
        <v>0</v>
      </c>
      <c r="AB107" s="233">
        <f>IF(AO107="7",BF107,0)</f>
        <v>0</v>
      </c>
      <c r="AC107" s="233">
        <f>IF(AO107="7",BG107,0)</f>
        <v>0</v>
      </c>
      <c r="AD107" s="233">
        <f>IF(AO107="2",BF107,0)</f>
        <v>0</v>
      </c>
      <c r="AE107" s="233">
        <f>IF(AO107="2",BG107,0)</f>
        <v>0</v>
      </c>
      <c r="AF107" s="233">
        <f>IF(AO107="0",BH107,0)</f>
        <v>0</v>
      </c>
      <c r="AG107" s="229" t="s">
        <v>154</v>
      </c>
      <c r="AH107" s="233">
        <f>IF(AL107=0,J107,0)</f>
        <v>0</v>
      </c>
      <c r="AI107" s="233">
        <f>IF(AL107=15,J107,0)</f>
        <v>0</v>
      </c>
      <c r="AJ107" s="233">
        <f>IF(AL107=21,J107,0)</f>
        <v>0</v>
      </c>
      <c r="AL107" s="233">
        <v>15</v>
      </c>
      <c r="AM107" s="233">
        <f>G107*0.487585929</f>
        <v>0</v>
      </c>
      <c r="AN107" s="233">
        <f>G107*(1-0.487585929)</f>
        <v>0</v>
      </c>
      <c r="AO107" s="234" t="s">
        <v>157</v>
      </c>
      <c r="AT107" s="233">
        <f>AU107+AV107</f>
        <v>0</v>
      </c>
      <c r="AU107" s="233">
        <f>F107*AM107</f>
        <v>0</v>
      </c>
      <c r="AV107" s="233">
        <f>F107*AN107</f>
        <v>0</v>
      </c>
      <c r="AW107" s="234" t="s">
        <v>303</v>
      </c>
      <c r="AX107" s="234" t="s">
        <v>304</v>
      </c>
      <c r="AY107" s="229" t="s">
        <v>164</v>
      </c>
      <c r="BA107" s="233">
        <f>AU107+AV107</f>
        <v>0</v>
      </c>
      <c r="BB107" s="233">
        <f>G107/(100-BC107)*100</f>
        <v>0</v>
      </c>
      <c r="BC107" s="233">
        <v>0</v>
      </c>
      <c r="BD107" s="233">
        <f>L107</f>
        <v>19.266946300000001</v>
      </c>
      <c r="BF107" s="233">
        <f>F107*AM107</f>
        <v>0</v>
      </c>
      <c r="BG107" s="233">
        <f>F107*AN107</f>
        <v>0</v>
      </c>
      <c r="BH107" s="233">
        <f>F107*G107</f>
        <v>0</v>
      </c>
      <c r="BI107" s="233"/>
      <c r="BJ107" s="233">
        <v>45</v>
      </c>
      <c r="BU107" s="233" t="e">
        <f>#REF!</f>
        <v>#REF!</v>
      </c>
      <c r="BV107" s="225" t="s">
        <v>2231</v>
      </c>
    </row>
    <row r="108" spans="1:74" ht="40.5" customHeight="1" x14ac:dyDescent="0.3">
      <c r="A108" s="241"/>
      <c r="B108" s="242" t="s">
        <v>165</v>
      </c>
      <c r="C108" s="530" t="s">
        <v>2232</v>
      </c>
      <c r="D108" s="531"/>
      <c r="E108" s="531"/>
      <c r="F108" s="531"/>
      <c r="G108" s="531"/>
      <c r="H108" s="531"/>
      <c r="I108" s="531"/>
      <c r="J108" s="531"/>
      <c r="K108" s="531"/>
      <c r="L108" s="531"/>
      <c r="M108" s="532"/>
    </row>
    <row r="109" spans="1:74" ht="14.4" x14ac:dyDescent="0.3">
      <c r="A109" s="239" t="s">
        <v>154</v>
      </c>
      <c r="B109" s="224" t="s">
        <v>305</v>
      </c>
      <c r="C109" s="526" t="s">
        <v>306</v>
      </c>
      <c r="D109" s="527"/>
      <c r="E109" s="223" t="s">
        <v>114</v>
      </c>
      <c r="F109" s="223" t="s">
        <v>114</v>
      </c>
      <c r="G109" s="223" t="s">
        <v>114</v>
      </c>
      <c r="H109" s="235">
        <f>SUM(H110:H120)</f>
        <v>0</v>
      </c>
      <c r="I109" s="235">
        <f>SUM(I110:I120)</f>
        <v>0</v>
      </c>
      <c r="J109" s="235">
        <f>SUM(J110:J120)</f>
        <v>0</v>
      </c>
      <c r="K109" s="230" t="s">
        <v>154</v>
      </c>
      <c r="L109" s="235">
        <f>SUM(L110:L120)</f>
        <v>157.74388279999999</v>
      </c>
      <c r="M109" s="243" t="s">
        <v>154</v>
      </c>
      <c r="AG109" s="229" t="s">
        <v>154</v>
      </c>
      <c r="AQ109" s="222">
        <f>SUM(AH110:AH120)</f>
        <v>0</v>
      </c>
      <c r="AR109" s="222">
        <f>SUM(AI110:AI120)</f>
        <v>0</v>
      </c>
      <c r="AS109" s="222">
        <f>SUM(AJ110:AJ120)</f>
        <v>0</v>
      </c>
    </row>
    <row r="110" spans="1:74" ht="14.4" x14ac:dyDescent="0.3">
      <c r="A110" s="239" t="s">
        <v>322</v>
      </c>
      <c r="B110" s="223" t="s">
        <v>308</v>
      </c>
      <c r="C110" s="521" t="s">
        <v>309</v>
      </c>
      <c r="D110" s="519"/>
      <c r="E110" s="223" t="s">
        <v>180</v>
      </c>
      <c r="F110" s="233">
        <v>59.89</v>
      </c>
      <c r="G110" s="311">
        <v>0</v>
      </c>
      <c r="H110" s="233">
        <f>F110*AM110</f>
        <v>0</v>
      </c>
      <c r="I110" s="233">
        <f>F110*AN110</f>
        <v>0</v>
      </c>
      <c r="J110" s="233">
        <f>F110*G110</f>
        <v>0</v>
      </c>
      <c r="K110" s="233">
        <v>0.4284</v>
      </c>
      <c r="L110" s="233">
        <f>F110*K110</f>
        <v>25.656876</v>
      </c>
      <c r="M110" s="240" t="s">
        <v>472</v>
      </c>
      <c r="X110" s="233">
        <f>IF(AO110="5",BH110,0)</f>
        <v>0</v>
      </c>
      <c r="Z110" s="233">
        <f>IF(AO110="1",BF110,0)</f>
        <v>0</v>
      </c>
      <c r="AA110" s="233">
        <f>IF(AO110="1",BG110,0)</f>
        <v>0</v>
      </c>
      <c r="AB110" s="233">
        <f>IF(AO110="7",BF110,0)</f>
        <v>0</v>
      </c>
      <c r="AC110" s="233">
        <f>IF(AO110="7",BG110,0)</f>
        <v>0</v>
      </c>
      <c r="AD110" s="233">
        <f>IF(AO110="2",BF110,0)</f>
        <v>0</v>
      </c>
      <c r="AE110" s="233">
        <f>IF(AO110="2",BG110,0)</f>
        <v>0</v>
      </c>
      <c r="AF110" s="233">
        <f>IF(AO110="0",BH110,0)</f>
        <v>0</v>
      </c>
      <c r="AG110" s="229" t="s">
        <v>154</v>
      </c>
      <c r="AH110" s="233">
        <f>IF(AL110=0,J110,0)</f>
        <v>0</v>
      </c>
      <c r="AI110" s="233">
        <f>IF(AL110=15,J110,0)</f>
        <v>0</v>
      </c>
      <c r="AJ110" s="233">
        <f>IF(AL110=21,J110,0)</f>
        <v>0</v>
      </c>
      <c r="AL110" s="233">
        <v>15</v>
      </c>
      <c r="AM110" s="233">
        <f>G110*0.848954943</f>
        <v>0</v>
      </c>
      <c r="AN110" s="233">
        <f>G110*(1-0.848954943)</f>
        <v>0</v>
      </c>
      <c r="AO110" s="234" t="s">
        <v>157</v>
      </c>
      <c r="AT110" s="233">
        <f>AU110+AV110</f>
        <v>0</v>
      </c>
      <c r="AU110" s="233">
        <f>F110*AM110</f>
        <v>0</v>
      </c>
      <c r="AV110" s="233">
        <f>F110*AN110</f>
        <v>0</v>
      </c>
      <c r="AW110" s="234" t="s">
        <v>310</v>
      </c>
      <c r="AX110" s="234" t="s">
        <v>311</v>
      </c>
      <c r="AY110" s="229" t="s">
        <v>164</v>
      </c>
      <c r="BA110" s="233">
        <f>AU110+AV110</f>
        <v>0</v>
      </c>
      <c r="BB110" s="233">
        <f>G110/(100-BC110)*100</f>
        <v>0</v>
      </c>
      <c r="BC110" s="233">
        <v>0</v>
      </c>
      <c r="BD110" s="233">
        <f>L110</f>
        <v>25.656876</v>
      </c>
      <c r="BF110" s="233">
        <f>F110*AM110</f>
        <v>0</v>
      </c>
      <c r="BG110" s="233">
        <f>F110*AN110</f>
        <v>0</v>
      </c>
      <c r="BH110" s="233">
        <f>F110*G110</f>
        <v>0</v>
      </c>
      <c r="BI110" s="233"/>
      <c r="BJ110" s="233">
        <v>56</v>
      </c>
      <c r="BU110" s="233" t="e">
        <f>#REF!</f>
        <v>#REF!</v>
      </c>
      <c r="BV110" s="225" t="s">
        <v>309</v>
      </c>
    </row>
    <row r="111" spans="1:74" ht="40.5" customHeight="1" x14ac:dyDescent="0.3">
      <c r="A111" s="241"/>
      <c r="B111" s="242" t="s">
        <v>165</v>
      </c>
      <c r="C111" s="530" t="s">
        <v>2233</v>
      </c>
      <c r="D111" s="531"/>
      <c r="E111" s="531"/>
      <c r="F111" s="531"/>
      <c r="G111" s="531"/>
      <c r="H111" s="531"/>
      <c r="I111" s="531"/>
      <c r="J111" s="531"/>
      <c r="K111" s="531"/>
      <c r="L111" s="531"/>
      <c r="M111" s="532"/>
    </row>
    <row r="112" spans="1:74" ht="14.4" x14ac:dyDescent="0.3">
      <c r="A112" s="239" t="s">
        <v>298</v>
      </c>
      <c r="B112" s="223" t="s">
        <v>313</v>
      </c>
      <c r="C112" s="521" t="s">
        <v>314</v>
      </c>
      <c r="D112" s="519"/>
      <c r="E112" s="223" t="s">
        <v>180</v>
      </c>
      <c r="F112" s="233">
        <v>59.89</v>
      </c>
      <c r="G112" s="311">
        <v>0</v>
      </c>
      <c r="H112" s="233">
        <f>F112*AM112</f>
        <v>0</v>
      </c>
      <c r="I112" s="233">
        <f>F112*AN112</f>
        <v>0</v>
      </c>
      <c r="J112" s="233">
        <f>F112*G112</f>
        <v>0</v>
      </c>
      <c r="K112" s="233">
        <v>0.60104000000000002</v>
      </c>
      <c r="L112" s="233">
        <f>F112*K112</f>
        <v>35.9962856</v>
      </c>
      <c r="M112" s="240" t="s">
        <v>472</v>
      </c>
      <c r="X112" s="233">
        <f>IF(AO112="5",BH112,0)</f>
        <v>0</v>
      </c>
      <c r="Z112" s="233">
        <f>IF(AO112="1",BF112,0)</f>
        <v>0</v>
      </c>
      <c r="AA112" s="233">
        <f>IF(AO112="1",BG112,0)</f>
        <v>0</v>
      </c>
      <c r="AB112" s="233">
        <f>IF(AO112="7",BF112,0)</f>
        <v>0</v>
      </c>
      <c r="AC112" s="233">
        <f>IF(AO112="7",BG112,0)</f>
        <v>0</v>
      </c>
      <c r="AD112" s="233">
        <f>IF(AO112="2",BF112,0)</f>
        <v>0</v>
      </c>
      <c r="AE112" s="233">
        <f>IF(AO112="2",BG112,0)</f>
        <v>0</v>
      </c>
      <c r="AF112" s="233">
        <f>IF(AO112="0",BH112,0)</f>
        <v>0</v>
      </c>
      <c r="AG112" s="229" t="s">
        <v>154</v>
      </c>
      <c r="AH112" s="233">
        <f>IF(AL112=0,J112,0)</f>
        <v>0</v>
      </c>
      <c r="AI112" s="233">
        <f>IF(AL112=15,J112,0)</f>
        <v>0</v>
      </c>
      <c r="AJ112" s="233">
        <f>IF(AL112=21,J112,0)</f>
        <v>0</v>
      </c>
      <c r="AL112" s="233">
        <v>15</v>
      </c>
      <c r="AM112" s="233">
        <f>G112*0.833066026</f>
        <v>0</v>
      </c>
      <c r="AN112" s="233">
        <f>G112*(1-0.833066026)</f>
        <v>0</v>
      </c>
      <c r="AO112" s="234" t="s">
        <v>157</v>
      </c>
      <c r="AT112" s="233">
        <f>AU112+AV112</f>
        <v>0</v>
      </c>
      <c r="AU112" s="233">
        <f>F112*AM112</f>
        <v>0</v>
      </c>
      <c r="AV112" s="233">
        <f>F112*AN112</f>
        <v>0</v>
      </c>
      <c r="AW112" s="234" t="s">
        <v>310</v>
      </c>
      <c r="AX112" s="234" t="s">
        <v>311</v>
      </c>
      <c r="AY112" s="229" t="s">
        <v>164</v>
      </c>
      <c r="BA112" s="233">
        <f>AU112+AV112</f>
        <v>0</v>
      </c>
      <c r="BB112" s="233">
        <f>G112/(100-BC112)*100</f>
        <v>0</v>
      </c>
      <c r="BC112" s="233">
        <v>0</v>
      </c>
      <c r="BD112" s="233">
        <f>L112</f>
        <v>35.9962856</v>
      </c>
      <c r="BF112" s="233">
        <f>F112*AM112</f>
        <v>0</v>
      </c>
      <c r="BG112" s="233">
        <f>F112*AN112</f>
        <v>0</v>
      </c>
      <c r="BH112" s="233">
        <f>F112*G112</f>
        <v>0</v>
      </c>
      <c r="BI112" s="233"/>
      <c r="BJ112" s="233">
        <v>56</v>
      </c>
      <c r="BU112" s="233" t="e">
        <f>#REF!</f>
        <v>#REF!</v>
      </c>
      <c r="BV112" s="225" t="s">
        <v>314</v>
      </c>
    </row>
    <row r="113" spans="1:74" ht="40.5" customHeight="1" x14ac:dyDescent="0.3">
      <c r="A113" s="241"/>
      <c r="B113" s="242" t="s">
        <v>165</v>
      </c>
      <c r="C113" s="530" t="s">
        <v>2234</v>
      </c>
      <c r="D113" s="531"/>
      <c r="E113" s="531"/>
      <c r="F113" s="531"/>
      <c r="G113" s="531"/>
      <c r="H113" s="531"/>
      <c r="I113" s="531"/>
      <c r="J113" s="531"/>
      <c r="K113" s="531"/>
      <c r="L113" s="531"/>
      <c r="M113" s="532"/>
    </row>
    <row r="114" spans="1:74" ht="14.4" x14ac:dyDescent="0.3">
      <c r="A114" s="239" t="s">
        <v>327</v>
      </c>
      <c r="B114" s="223" t="s">
        <v>316</v>
      </c>
      <c r="C114" s="521" t="s">
        <v>317</v>
      </c>
      <c r="D114" s="519"/>
      <c r="E114" s="223" t="s">
        <v>180</v>
      </c>
      <c r="F114" s="233">
        <v>59.89</v>
      </c>
      <c r="G114" s="311">
        <v>0</v>
      </c>
      <c r="H114" s="233">
        <f>F114*AM114</f>
        <v>0</v>
      </c>
      <c r="I114" s="233">
        <f>F114*AN114</f>
        <v>0</v>
      </c>
      <c r="J114" s="233">
        <f>F114*G114</f>
        <v>0</v>
      </c>
      <c r="K114" s="233">
        <v>0.48574000000000001</v>
      </c>
      <c r="L114" s="233">
        <f>F114*K114</f>
        <v>29.0909686</v>
      </c>
      <c r="M114" s="240" t="s">
        <v>472</v>
      </c>
      <c r="X114" s="233">
        <f>IF(AO114="5",BH114,0)</f>
        <v>0</v>
      </c>
      <c r="Z114" s="233">
        <f>IF(AO114="1",BF114,0)</f>
        <v>0</v>
      </c>
      <c r="AA114" s="233">
        <f>IF(AO114="1",BG114,0)</f>
        <v>0</v>
      </c>
      <c r="AB114" s="233">
        <f>IF(AO114="7",BF114,0)</f>
        <v>0</v>
      </c>
      <c r="AC114" s="233">
        <f>IF(AO114="7",BG114,0)</f>
        <v>0</v>
      </c>
      <c r="AD114" s="233">
        <f>IF(AO114="2",BF114,0)</f>
        <v>0</v>
      </c>
      <c r="AE114" s="233">
        <f>IF(AO114="2",BG114,0)</f>
        <v>0</v>
      </c>
      <c r="AF114" s="233">
        <f>IF(AO114="0",BH114,0)</f>
        <v>0</v>
      </c>
      <c r="AG114" s="229" t="s">
        <v>154</v>
      </c>
      <c r="AH114" s="233">
        <f>IF(AL114=0,J114,0)</f>
        <v>0</v>
      </c>
      <c r="AI114" s="233">
        <f>IF(AL114=15,J114,0)</f>
        <v>0</v>
      </c>
      <c r="AJ114" s="233">
        <f>IF(AL114=21,J114,0)</f>
        <v>0</v>
      </c>
      <c r="AL114" s="233">
        <v>15</v>
      </c>
      <c r="AM114" s="233">
        <f>G114*0.813417576</f>
        <v>0</v>
      </c>
      <c r="AN114" s="233">
        <f>G114*(1-0.813417576)</f>
        <v>0</v>
      </c>
      <c r="AO114" s="234" t="s">
        <v>157</v>
      </c>
      <c r="AT114" s="233">
        <f>AU114+AV114</f>
        <v>0</v>
      </c>
      <c r="AU114" s="233">
        <f>F114*AM114</f>
        <v>0</v>
      </c>
      <c r="AV114" s="233">
        <f>F114*AN114</f>
        <v>0</v>
      </c>
      <c r="AW114" s="234" t="s">
        <v>310</v>
      </c>
      <c r="AX114" s="234" t="s">
        <v>311</v>
      </c>
      <c r="AY114" s="229" t="s">
        <v>164</v>
      </c>
      <c r="BA114" s="233">
        <f>AU114+AV114</f>
        <v>0</v>
      </c>
      <c r="BB114" s="233">
        <f>G114/(100-BC114)*100</f>
        <v>0</v>
      </c>
      <c r="BC114" s="233">
        <v>0</v>
      </c>
      <c r="BD114" s="233">
        <f>L114</f>
        <v>29.0909686</v>
      </c>
      <c r="BF114" s="233">
        <f>F114*AM114</f>
        <v>0</v>
      </c>
      <c r="BG114" s="233">
        <f>F114*AN114</f>
        <v>0</v>
      </c>
      <c r="BH114" s="233">
        <f>F114*G114</f>
        <v>0</v>
      </c>
      <c r="BI114" s="233"/>
      <c r="BJ114" s="233">
        <v>56</v>
      </c>
      <c r="BU114" s="233" t="e">
        <f>#REF!</f>
        <v>#REF!</v>
      </c>
      <c r="BV114" s="225" t="s">
        <v>317</v>
      </c>
    </row>
    <row r="115" spans="1:74" ht="40.5" customHeight="1" x14ac:dyDescent="0.3">
      <c r="A115" s="241"/>
      <c r="B115" s="242" t="s">
        <v>165</v>
      </c>
      <c r="C115" s="530" t="s">
        <v>2235</v>
      </c>
      <c r="D115" s="531"/>
      <c r="E115" s="531"/>
      <c r="F115" s="531"/>
      <c r="G115" s="531"/>
      <c r="H115" s="531"/>
      <c r="I115" s="531"/>
      <c r="J115" s="531"/>
      <c r="K115" s="531"/>
      <c r="L115" s="531"/>
      <c r="M115" s="532"/>
    </row>
    <row r="116" spans="1:74" ht="14.4" x14ac:dyDescent="0.3">
      <c r="A116" s="239" t="s">
        <v>329</v>
      </c>
      <c r="B116" s="223" t="s">
        <v>316</v>
      </c>
      <c r="C116" s="521" t="s">
        <v>317</v>
      </c>
      <c r="D116" s="519"/>
      <c r="E116" s="223" t="s">
        <v>180</v>
      </c>
      <c r="F116" s="233">
        <v>59.89</v>
      </c>
      <c r="G116" s="311">
        <v>0</v>
      </c>
      <c r="H116" s="233">
        <f>F116*AM116</f>
        <v>0</v>
      </c>
      <c r="I116" s="233">
        <f>F116*AN116</f>
        <v>0</v>
      </c>
      <c r="J116" s="233">
        <f>F116*G116</f>
        <v>0</v>
      </c>
      <c r="K116" s="233">
        <v>0.48574000000000001</v>
      </c>
      <c r="L116" s="233">
        <f>F116*K116</f>
        <v>29.0909686</v>
      </c>
      <c r="M116" s="240" t="s">
        <v>472</v>
      </c>
      <c r="X116" s="233">
        <f>IF(AO116="5",BH116,0)</f>
        <v>0</v>
      </c>
      <c r="Z116" s="233">
        <f>IF(AO116="1",BF116,0)</f>
        <v>0</v>
      </c>
      <c r="AA116" s="233">
        <f>IF(AO116="1",BG116,0)</f>
        <v>0</v>
      </c>
      <c r="AB116" s="233">
        <f>IF(AO116="7",BF116,0)</f>
        <v>0</v>
      </c>
      <c r="AC116" s="233">
        <f>IF(AO116="7",BG116,0)</f>
        <v>0</v>
      </c>
      <c r="AD116" s="233">
        <f>IF(AO116="2",BF116,0)</f>
        <v>0</v>
      </c>
      <c r="AE116" s="233">
        <f>IF(AO116="2",BG116,0)</f>
        <v>0</v>
      </c>
      <c r="AF116" s="233">
        <f>IF(AO116="0",BH116,0)</f>
        <v>0</v>
      </c>
      <c r="AG116" s="229" t="s">
        <v>154</v>
      </c>
      <c r="AH116" s="233">
        <f>IF(AL116=0,J116,0)</f>
        <v>0</v>
      </c>
      <c r="AI116" s="233">
        <f>IF(AL116=15,J116,0)</f>
        <v>0</v>
      </c>
      <c r="AJ116" s="233">
        <f>IF(AL116=21,J116,0)</f>
        <v>0</v>
      </c>
      <c r="AL116" s="233">
        <v>15</v>
      </c>
      <c r="AM116" s="233">
        <f>G116*0.813417576</f>
        <v>0</v>
      </c>
      <c r="AN116" s="233">
        <f>G116*(1-0.813417576)</f>
        <v>0</v>
      </c>
      <c r="AO116" s="234" t="s">
        <v>157</v>
      </c>
      <c r="AT116" s="233">
        <f>AU116+AV116</f>
        <v>0</v>
      </c>
      <c r="AU116" s="233">
        <f>F116*AM116</f>
        <v>0</v>
      </c>
      <c r="AV116" s="233">
        <f>F116*AN116</f>
        <v>0</v>
      </c>
      <c r="AW116" s="234" t="s">
        <v>310</v>
      </c>
      <c r="AX116" s="234" t="s">
        <v>311</v>
      </c>
      <c r="AY116" s="229" t="s">
        <v>164</v>
      </c>
      <c r="BA116" s="233">
        <f>AU116+AV116</f>
        <v>0</v>
      </c>
      <c r="BB116" s="233">
        <f>G116/(100-BC116)*100</f>
        <v>0</v>
      </c>
      <c r="BC116" s="233">
        <v>0</v>
      </c>
      <c r="BD116" s="233">
        <f>L116</f>
        <v>29.0909686</v>
      </c>
      <c r="BF116" s="233">
        <f>F116*AM116</f>
        <v>0</v>
      </c>
      <c r="BG116" s="233">
        <f>F116*AN116</f>
        <v>0</v>
      </c>
      <c r="BH116" s="233">
        <f>F116*G116</f>
        <v>0</v>
      </c>
      <c r="BI116" s="233"/>
      <c r="BJ116" s="233">
        <v>56</v>
      </c>
      <c r="BU116" s="233" t="e">
        <f>#REF!</f>
        <v>#REF!</v>
      </c>
      <c r="BV116" s="225" t="s">
        <v>317</v>
      </c>
    </row>
    <row r="117" spans="1:74" ht="40.5" customHeight="1" x14ac:dyDescent="0.3">
      <c r="A117" s="241"/>
      <c r="B117" s="242" t="s">
        <v>165</v>
      </c>
      <c r="C117" s="530" t="s">
        <v>2236</v>
      </c>
      <c r="D117" s="531"/>
      <c r="E117" s="531"/>
      <c r="F117" s="531"/>
      <c r="G117" s="531"/>
      <c r="H117" s="531"/>
      <c r="I117" s="531"/>
      <c r="J117" s="531"/>
      <c r="K117" s="531"/>
      <c r="L117" s="531"/>
      <c r="M117" s="532"/>
    </row>
    <row r="118" spans="1:74" ht="14.4" x14ac:dyDescent="0.3">
      <c r="A118" s="239" t="s">
        <v>332</v>
      </c>
      <c r="B118" s="223" t="s">
        <v>320</v>
      </c>
      <c r="C118" s="521" t="s">
        <v>321</v>
      </c>
      <c r="D118" s="519"/>
      <c r="E118" s="223" t="s">
        <v>180</v>
      </c>
      <c r="F118" s="233">
        <v>57.04</v>
      </c>
      <c r="G118" s="311">
        <v>0</v>
      </c>
      <c r="H118" s="233">
        <f>F118*AM118</f>
        <v>0</v>
      </c>
      <c r="I118" s="233">
        <f>F118*AN118</f>
        <v>0</v>
      </c>
      <c r="J118" s="233">
        <f>F118*G118</f>
        <v>0</v>
      </c>
      <c r="K118" s="233">
        <v>0.4536</v>
      </c>
      <c r="L118" s="233">
        <f>F118*K118</f>
        <v>25.873343999999999</v>
      </c>
      <c r="M118" s="240" t="s">
        <v>472</v>
      </c>
      <c r="X118" s="233">
        <f>IF(AO118="5",BH118,0)</f>
        <v>0</v>
      </c>
      <c r="Z118" s="233">
        <f>IF(AO118="1",BF118,0)</f>
        <v>0</v>
      </c>
      <c r="AA118" s="233">
        <f>IF(AO118="1",BG118,0)</f>
        <v>0</v>
      </c>
      <c r="AB118" s="233">
        <f>IF(AO118="7",BF118,0)</f>
        <v>0</v>
      </c>
      <c r="AC118" s="233">
        <f>IF(AO118="7",BG118,0)</f>
        <v>0</v>
      </c>
      <c r="AD118" s="233">
        <f>IF(AO118="2",BF118,0)</f>
        <v>0</v>
      </c>
      <c r="AE118" s="233">
        <f>IF(AO118="2",BG118,0)</f>
        <v>0</v>
      </c>
      <c r="AF118" s="233">
        <f>IF(AO118="0",BH118,0)</f>
        <v>0</v>
      </c>
      <c r="AG118" s="229" t="s">
        <v>154</v>
      </c>
      <c r="AH118" s="233">
        <f>IF(AL118=0,J118,0)</f>
        <v>0</v>
      </c>
      <c r="AI118" s="233">
        <f>IF(AL118=15,J118,0)</f>
        <v>0</v>
      </c>
      <c r="AJ118" s="233">
        <f>IF(AL118=21,J118,0)</f>
        <v>0</v>
      </c>
      <c r="AL118" s="233">
        <v>15</v>
      </c>
      <c r="AM118" s="233">
        <f>G118*0.844019371</f>
        <v>0</v>
      </c>
      <c r="AN118" s="233">
        <f>G118*(1-0.844019371)</f>
        <v>0</v>
      </c>
      <c r="AO118" s="234" t="s">
        <v>157</v>
      </c>
      <c r="AT118" s="233">
        <f>AU118+AV118</f>
        <v>0</v>
      </c>
      <c r="AU118" s="233">
        <f>F118*AM118</f>
        <v>0</v>
      </c>
      <c r="AV118" s="233">
        <f>F118*AN118</f>
        <v>0</v>
      </c>
      <c r="AW118" s="234" t="s">
        <v>310</v>
      </c>
      <c r="AX118" s="234" t="s">
        <v>311</v>
      </c>
      <c r="AY118" s="229" t="s">
        <v>164</v>
      </c>
      <c r="BA118" s="233">
        <f>AU118+AV118</f>
        <v>0</v>
      </c>
      <c r="BB118" s="233">
        <f>G118/(100-BC118)*100</f>
        <v>0</v>
      </c>
      <c r="BC118" s="233">
        <v>0</v>
      </c>
      <c r="BD118" s="233">
        <f>L118</f>
        <v>25.873343999999999</v>
      </c>
      <c r="BF118" s="233">
        <f>F118*AM118</f>
        <v>0</v>
      </c>
      <c r="BG118" s="233">
        <f>F118*AN118</f>
        <v>0</v>
      </c>
      <c r="BH118" s="233">
        <f>F118*G118</f>
        <v>0</v>
      </c>
      <c r="BI118" s="233"/>
      <c r="BJ118" s="233">
        <v>56</v>
      </c>
      <c r="BU118" s="233" t="e">
        <f>#REF!</f>
        <v>#REF!</v>
      </c>
      <c r="BV118" s="225" t="s">
        <v>321</v>
      </c>
    </row>
    <row r="119" spans="1:74" ht="40.5" customHeight="1" x14ac:dyDescent="0.3">
      <c r="A119" s="241"/>
      <c r="B119" s="242" t="s">
        <v>165</v>
      </c>
      <c r="C119" s="530" t="s">
        <v>2237</v>
      </c>
      <c r="D119" s="531"/>
      <c r="E119" s="531"/>
      <c r="F119" s="531"/>
      <c r="G119" s="531"/>
      <c r="H119" s="531"/>
      <c r="I119" s="531"/>
      <c r="J119" s="531"/>
      <c r="K119" s="531"/>
      <c r="L119" s="531"/>
      <c r="M119" s="532"/>
    </row>
    <row r="120" spans="1:74" ht="14.4" x14ac:dyDescent="0.3">
      <c r="A120" s="239" t="s">
        <v>337</v>
      </c>
      <c r="B120" s="223" t="s">
        <v>323</v>
      </c>
      <c r="C120" s="521" t="s">
        <v>324</v>
      </c>
      <c r="D120" s="519"/>
      <c r="E120" s="223" t="s">
        <v>180</v>
      </c>
      <c r="F120" s="233">
        <v>57.04</v>
      </c>
      <c r="G120" s="311">
        <v>0</v>
      </c>
      <c r="H120" s="233">
        <f>F120*AM120</f>
        <v>0</v>
      </c>
      <c r="I120" s="233">
        <f>F120*AN120</f>
        <v>0</v>
      </c>
      <c r="J120" s="233">
        <f>F120*G120</f>
        <v>0</v>
      </c>
      <c r="K120" s="233">
        <v>0.21099999999999999</v>
      </c>
      <c r="L120" s="233">
        <f>F120*K120</f>
        <v>12.035439999999999</v>
      </c>
      <c r="M120" s="240" t="s">
        <v>472</v>
      </c>
      <c r="X120" s="233">
        <f>IF(AO120="5",BH120,0)</f>
        <v>0</v>
      </c>
      <c r="Z120" s="233">
        <f>IF(AO120="1",BF120,0)</f>
        <v>0</v>
      </c>
      <c r="AA120" s="233">
        <f>IF(AO120="1",BG120,0)</f>
        <v>0</v>
      </c>
      <c r="AB120" s="233">
        <f>IF(AO120="7",BF120,0)</f>
        <v>0</v>
      </c>
      <c r="AC120" s="233">
        <f>IF(AO120="7",BG120,0)</f>
        <v>0</v>
      </c>
      <c r="AD120" s="233">
        <f>IF(AO120="2",BF120,0)</f>
        <v>0</v>
      </c>
      <c r="AE120" s="233">
        <f>IF(AO120="2",BG120,0)</f>
        <v>0</v>
      </c>
      <c r="AF120" s="233">
        <f>IF(AO120="0",BH120,0)</f>
        <v>0</v>
      </c>
      <c r="AG120" s="229" t="s">
        <v>154</v>
      </c>
      <c r="AH120" s="233">
        <f>IF(AL120=0,J120,0)</f>
        <v>0</v>
      </c>
      <c r="AI120" s="233">
        <f>IF(AL120=15,J120,0)</f>
        <v>0</v>
      </c>
      <c r="AJ120" s="233">
        <f>IF(AL120=21,J120,0)</f>
        <v>0</v>
      </c>
      <c r="AL120" s="233">
        <v>15</v>
      </c>
      <c r="AM120" s="233">
        <f>G120*0.593031476</f>
        <v>0</v>
      </c>
      <c r="AN120" s="233">
        <f>G120*(1-0.593031476)</f>
        <v>0</v>
      </c>
      <c r="AO120" s="234" t="s">
        <v>157</v>
      </c>
      <c r="AT120" s="233">
        <f>AU120+AV120</f>
        <v>0</v>
      </c>
      <c r="AU120" s="233">
        <f>F120*AM120</f>
        <v>0</v>
      </c>
      <c r="AV120" s="233">
        <f>F120*AN120</f>
        <v>0</v>
      </c>
      <c r="AW120" s="234" t="s">
        <v>310</v>
      </c>
      <c r="AX120" s="234" t="s">
        <v>311</v>
      </c>
      <c r="AY120" s="229" t="s">
        <v>164</v>
      </c>
      <c r="BA120" s="233">
        <f>AU120+AV120</f>
        <v>0</v>
      </c>
      <c r="BB120" s="233">
        <f>G120/(100-BC120)*100</f>
        <v>0</v>
      </c>
      <c r="BC120" s="233">
        <v>0</v>
      </c>
      <c r="BD120" s="233">
        <f>L120</f>
        <v>12.035439999999999</v>
      </c>
      <c r="BF120" s="233">
        <f>F120*AM120</f>
        <v>0</v>
      </c>
      <c r="BG120" s="233">
        <f>F120*AN120</f>
        <v>0</v>
      </c>
      <c r="BH120" s="233">
        <f>F120*G120</f>
        <v>0</v>
      </c>
      <c r="BI120" s="233"/>
      <c r="BJ120" s="233">
        <v>56</v>
      </c>
      <c r="BU120" s="233" t="e">
        <f>#REF!</f>
        <v>#REF!</v>
      </c>
      <c r="BV120" s="225" t="s">
        <v>324</v>
      </c>
    </row>
    <row r="121" spans="1:74" ht="40.5" customHeight="1" x14ac:dyDescent="0.3">
      <c r="A121" s="241"/>
      <c r="B121" s="242" t="s">
        <v>165</v>
      </c>
      <c r="C121" s="530" t="s">
        <v>2238</v>
      </c>
      <c r="D121" s="531"/>
      <c r="E121" s="531"/>
      <c r="F121" s="531"/>
      <c r="G121" s="531"/>
      <c r="H121" s="531"/>
      <c r="I121" s="531"/>
      <c r="J121" s="531"/>
      <c r="K121" s="531"/>
      <c r="L121" s="531"/>
      <c r="M121" s="532"/>
    </row>
    <row r="122" spans="1:74" ht="14.4" x14ac:dyDescent="0.3">
      <c r="A122" s="239" t="s">
        <v>154</v>
      </c>
      <c r="B122" s="224" t="s">
        <v>335</v>
      </c>
      <c r="C122" s="526" t="s">
        <v>336</v>
      </c>
      <c r="D122" s="527"/>
      <c r="E122" s="223" t="s">
        <v>114</v>
      </c>
      <c r="F122" s="223" t="s">
        <v>114</v>
      </c>
      <c r="G122" s="223" t="s">
        <v>114</v>
      </c>
      <c r="H122" s="235">
        <f>SUM(H123:H123)</f>
        <v>0</v>
      </c>
      <c r="I122" s="235">
        <f>SUM(I123:I123)</f>
        <v>0</v>
      </c>
      <c r="J122" s="235">
        <f>SUM(J123:J123)</f>
        <v>0</v>
      </c>
      <c r="K122" s="230" t="s">
        <v>154</v>
      </c>
      <c r="L122" s="235">
        <f>SUM(L123:L123)</f>
        <v>3.9927999999999998E-2</v>
      </c>
      <c r="M122" s="243" t="s">
        <v>154</v>
      </c>
      <c r="AG122" s="229" t="s">
        <v>154</v>
      </c>
      <c r="AQ122" s="222">
        <f>SUM(AH123:AH123)</f>
        <v>0</v>
      </c>
      <c r="AR122" s="222">
        <f>SUM(AI123:AI123)</f>
        <v>0</v>
      </c>
      <c r="AS122" s="222">
        <f>SUM(AJ123:AJ123)</f>
        <v>0</v>
      </c>
    </row>
    <row r="123" spans="1:74" ht="14.4" x14ac:dyDescent="0.3">
      <c r="A123" s="239" t="s">
        <v>341</v>
      </c>
      <c r="B123" s="223" t="s">
        <v>342</v>
      </c>
      <c r="C123" s="521" t="s">
        <v>427</v>
      </c>
      <c r="D123" s="519"/>
      <c r="E123" s="223" t="s">
        <v>180</v>
      </c>
      <c r="F123" s="233">
        <v>57.04</v>
      </c>
      <c r="G123" s="311">
        <v>0</v>
      </c>
      <c r="H123" s="233">
        <f>F123*AM123</f>
        <v>0</v>
      </c>
      <c r="I123" s="233">
        <f>F123*AN123</f>
        <v>0</v>
      </c>
      <c r="J123" s="233">
        <f>F123*G123</f>
        <v>0</v>
      </c>
      <c r="K123" s="233">
        <v>6.9999999999999999E-4</v>
      </c>
      <c r="L123" s="233">
        <f>F123*K123</f>
        <v>3.9927999999999998E-2</v>
      </c>
      <c r="M123" s="240" t="s">
        <v>472</v>
      </c>
      <c r="X123" s="233">
        <f>IF(AO123="5",BH123,0)</f>
        <v>0</v>
      </c>
      <c r="Z123" s="233">
        <f>IF(AO123="1",BF123,0)</f>
        <v>0</v>
      </c>
      <c r="AA123" s="233">
        <f>IF(AO123="1",BG123,0)</f>
        <v>0</v>
      </c>
      <c r="AB123" s="233">
        <f>IF(AO123="7",BF123,0)</f>
        <v>0</v>
      </c>
      <c r="AC123" s="233">
        <f>IF(AO123="7",BG123,0)</f>
        <v>0</v>
      </c>
      <c r="AD123" s="233">
        <f>IF(AO123="2",BF123,0)</f>
        <v>0</v>
      </c>
      <c r="AE123" s="233">
        <f>IF(AO123="2",BG123,0)</f>
        <v>0</v>
      </c>
      <c r="AF123" s="233">
        <f>IF(AO123="0",BH123,0)</f>
        <v>0</v>
      </c>
      <c r="AG123" s="229" t="s">
        <v>154</v>
      </c>
      <c r="AH123" s="233">
        <f>IF(AL123=0,J123,0)</f>
        <v>0</v>
      </c>
      <c r="AI123" s="233">
        <f>IF(AL123=15,J123,0)</f>
        <v>0</v>
      </c>
      <c r="AJ123" s="233">
        <f>IF(AL123=21,J123,0)</f>
        <v>0</v>
      </c>
      <c r="AL123" s="233">
        <v>15</v>
      </c>
      <c r="AM123" s="233">
        <f>G123*0.929566284</f>
        <v>0</v>
      </c>
      <c r="AN123" s="233">
        <f>G123*(1-0.929566284)</f>
        <v>0</v>
      </c>
      <c r="AO123" s="234" t="s">
        <v>157</v>
      </c>
      <c r="AT123" s="233">
        <f>AU123+AV123</f>
        <v>0</v>
      </c>
      <c r="AU123" s="233">
        <f>F123*AM123</f>
        <v>0</v>
      </c>
      <c r="AV123" s="233">
        <f>F123*AN123</f>
        <v>0</v>
      </c>
      <c r="AW123" s="234" t="s">
        <v>340</v>
      </c>
      <c r="AX123" s="234" t="s">
        <v>311</v>
      </c>
      <c r="AY123" s="229" t="s">
        <v>164</v>
      </c>
      <c r="BA123" s="233">
        <f>AU123+AV123</f>
        <v>0</v>
      </c>
      <c r="BB123" s="233">
        <f>G123/(100-BC123)*100</f>
        <v>0</v>
      </c>
      <c r="BC123" s="233">
        <v>0</v>
      </c>
      <c r="BD123" s="233">
        <f>L123</f>
        <v>3.9927999999999998E-2</v>
      </c>
      <c r="BF123" s="233">
        <f>F123*AM123</f>
        <v>0</v>
      </c>
      <c r="BG123" s="233">
        <f>F123*AN123</f>
        <v>0</v>
      </c>
      <c r="BH123" s="233">
        <f>F123*G123</f>
        <v>0</v>
      </c>
      <c r="BI123" s="233"/>
      <c r="BJ123" s="233">
        <v>57</v>
      </c>
      <c r="BU123" s="233" t="e">
        <f>#REF!</f>
        <v>#REF!</v>
      </c>
      <c r="BV123" s="225" t="s">
        <v>427</v>
      </c>
    </row>
    <row r="124" spans="1:74" ht="40.5" customHeight="1" x14ac:dyDescent="0.3">
      <c r="A124" s="241"/>
      <c r="B124" s="242" t="s">
        <v>165</v>
      </c>
      <c r="C124" s="530" t="s">
        <v>2239</v>
      </c>
      <c r="D124" s="531"/>
      <c r="E124" s="531"/>
      <c r="F124" s="531"/>
      <c r="G124" s="531"/>
      <c r="H124" s="531"/>
      <c r="I124" s="531"/>
      <c r="J124" s="531"/>
      <c r="K124" s="531"/>
      <c r="L124" s="531"/>
      <c r="M124" s="532"/>
    </row>
    <row r="125" spans="1:74" ht="14.4" x14ac:dyDescent="0.3">
      <c r="A125" s="239" t="s">
        <v>154</v>
      </c>
      <c r="B125" s="224" t="s">
        <v>539</v>
      </c>
      <c r="C125" s="526" t="s">
        <v>540</v>
      </c>
      <c r="D125" s="527"/>
      <c r="E125" s="223" t="s">
        <v>114</v>
      </c>
      <c r="F125" s="223" t="s">
        <v>114</v>
      </c>
      <c r="G125" s="223" t="s">
        <v>114</v>
      </c>
      <c r="H125" s="235">
        <f>SUM(H126:H132)</f>
        <v>0</v>
      </c>
      <c r="I125" s="235">
        <f>SUM(I126:I132)</f>
        <v>0</v>
      </c>
      <c r="J125" s="235">
        <f>SUM(J126:J132)</f>
        <v>0</v>
      </c>
      <c r="K125" s="230" t="s">
        <v>154</v>
      </c>
      <c r="L125" s="235">
        <f>SUM(L126:L132)</f>
        <v>8.119999999999999E-4</v>
      </c>
      <c r="M125" s="243" t="s">
        <v>154</v>
      </c>
      <c r="AG125" s="229" t="s">
        <v>154</v>
      </c>
      <c r="AQ125" s="222">
        <f>SUM(AH126:AH132)</f>
        <v>0</v>
      </c>
      <c r="AR125" s="222">
        <f>SUM(AI126:AI132)</f>
        <v>0</v>
      </c>
      <c r="AS125" s="222">
        <f>SUM(AJ126:AJ132)</f>
        <v>0</v>
      </c>
    </row>
    <row r="126" spans="1:74" ht="14.4" x14ac:dyDescent="0.3">
      <c r="A126" s="239" t="s">
        <v>346</v>
      </c>
      <c r="B126" s="223" t="s">
        <v>2240</v>
      </c>
      <c r="C126" s="521" t="s">
        <v>2241</v>
      </c>
      <c r="D126" s="519"/>
      <c r="E126" s="223" t="s">
        <v>160</v>
      </c>
      <c r="F126" s="233">
        <v>27.2</v>
      </c>
      <c r="G126" s="311">
        <v>0</v>
      </c>
      <c r="H126" s="233">
        <f>F126*AM126</f>
        <v>0</v>
      </c>
      <c r="I126" s="233">
        <f>F126*AN126</f>
        <v>0</v>
      </c>
      <c r="J126" s="233">
        <f>F126*G126</f>
        <v>0</v>
      </c>
      <c r="K126" s="233">
        <v>1.0000000000000001E-5</v>
      </c>
      <c r="L126" s="233">
        <f>F126*K126</f>
        <v>2.72E-4</v>
      </c>
      <c r="M126" s="240" t="s">
        <v>472</v>
      </c>
      <c r="X126" s="233">
        <f>IF(AO126="5",BH126,0)</f>
        <v>0</v>
      </c>
      <c r="Z126" s="233">
        <f>IF(AO126="1",BF126,0)</f>
        <v>0</v>
      </c>
      <c r="AA126" s="233">
        <f>IF(AO126="1",BG126,0)</f>
        <v>0</v>
      </c>
      <c r="AB126" s="233">
        <f>IF(AO126="7",BF126,0)</f>
        <v>0</v>
      </c>
      <c r="AC126" s="233">
        <f>IF(AO126="7",BG126,0)</f>
        <v>0</v>
      </c>
      <c r="AD126" s="233">
        <f>IF(AO126="2",BF126,0)</f>
        <v>0</v>
      </c>
      <c r="AE126" s="233">
        <f>IF(AO126="2",BG126,0)</f>
        <v>0</v>
      </c>
      <c r="AF126" s="233">
        <f>IF(AO126="0",BH126,0)</f>
        <v>0</v>
      </c>
      <c r="AG126" s="229" t="s">
        <v>154</v>
      </c>
      <c r="AH126" s="233">
        <f>IF(AL126=0,J126,0)</f>
        <v>0</v>
      </c>
      <c r="AI126" s="233">
        <f>IF(AL126=15,J126,0)</f>
        <v>0</v>
      </c>
      <c r="AJ126" s="233">
        <f>IF(AL126=21,J126,0)</f>
        <v>0</v>
      </c>
      <c r="AL126" s="233">
        <v>15</v>
      </c>
      <c r="AM126" s="233">
        <f>G126*0.006300766</f>
        <v>0</v>
      </c>
      <c r="AN126" s="233">
        <f>G126*(1-0.006300766)</f>
        <v>0</v>
      </c>
      <c r="AO126" s="234" t="s">
        <v>157</v>
      </c>
      <c r="AT126" s="233">
        <f>AU126+AV126</f>
        <v>0</v>
      </c>
      <c r="AU126" s="233">
        <f>F126*AM126</f>
        <v>0</v>
      </c>
      <c r="AV126" s="233">
        <f>F126*AN126</f>
        <v>0</v>
      </c>
      <c r="AW126" s="234" t="s">
        <v>543</v>
      </c>
      <c r="AX126" s="234" t="s">
        <v>356</v>
      </c>
      <c r="AY126" s="229" t="s">
        <v>164</v>
      </c>
      <c r="BA126" s="233">
        <f>AU126+AV126</f>
        <v>0</v>
      </c>
      <c r="BB126" s="233">
        <f>G126/(100-BC126)*100</f>
        <v>0</v>
      </c>
      <c r="BC126" s="233">
        <v>0</v>
      </c>
      <c r="BD126" s="233">
        <f>L126</f>
        <v>2.72E-4</v>
      </c>
      <c r="BF126" s="233">
        <f>F126*AM126</f>
        <v>0</v>
      </c>
      <c r="BG126" s="233">
        <f>F126*AN126</f>
        <v>0</v>
      </c>
      <c r="BH126" s="233">
        <f>F126*G126</f>
        <v>0</v>
      </c>
      <c r="BI126" s="233"/>
      <c r="BJ126" s="233">
        <v>87</v>
      </c>
      <c r="BU126" s="233" t="e">
        <f>#REF!</f>
        <v>#REF!</v>
      </c>
      <c r="BV126" s="225" t="s">
        <v>2241</v>
      </c>
    </row>
    <row r="127" spans="1:74" ht="54" customHeight="1" x14ac:dyDescent="0.3">
      <c r="A127" s="241"/>
      <c r="B127" s="242" t="s">
        <v>165</v>
      </c>
      <c r="C127" s="530" t="s">
        <v>2242</v>
      </c>
      <c r="D127" s="531"/>
      <c r="E127" s="531"/>
      <c r="F127" s="531"/>
      <c r="G127" s="531"/>
      <c r="H127" s="531"/>
      <c r="I127" s="531"/>
      <c r="J127" s="531"/>
      <c r="K127" s="531"/>
      <c r="L127" s="531"/>
      <c r="M127" s="532"/>
    </row>
    <row r="128" spans="1:74" ht="14.4" x14ac:dyDescent="0.3">
      <c r="A128" s="239" t="s">
        <v>352</v>
      </c>
      <c r="B128" s="223" t="s">
        <v>2243</v>
      </c>
      <c r="C128" s="521" t="s">
        <v>2244</v>
      </c>
      <c r="D128" s="519"/>
      <c r="E128" s="223" t="s">
        <v>365</v>
      </c>
      <c r="F128" s="233">
        <v>1</v>
      </c>
      <c r="G128" s="311">
        <v>0</v>
      </c>
      <c r="H128" s="233">
        <f>F128*AM128</f>
        <v>0</v>
      </c>
      <c r="I128" s="233">
        <f>F128*AN128</f>
        <v>0</v>
      </c>
      <c r="J128" s="233">
        <f>F128*G128</f>
        <v>0</v>
      </c>
      <c r="K128" s="233">
        <v>1E-4</v>
      </c>
      <c r="L128" s="233">
        <f>F128*K128</f>
        <v>1E-4</v>
      </c>
      <c r="M128" s="240" t="s">
        <v>472</v>
      </c>
      <c r="X128" s="233">
        <f>IF(AO128="5",BH128,0)</f>
        <v>0</v>
      </c>
      <c r="Z128" s="233">
        <f>IF(AO128="1",BF128,0)</f>
        <v>0</v>
      </c>
      <c r="AA128" s="233">
        <f>IF(AO128="1",BG128,0)</f>
        <v>0</v>
      </c>
      <c r="AB128" s="233">
        <f>IF(AO128="7",BF128,0)</f>
        <v>0</v>
      </c>
      <c r="AC128" s="233">
        <f>IF(AO128="7",BG128,0)</f>
        <v>0</v>
      </c>
      <c r="AD128" s="233">
        <f>IF(AO128="2",BF128,0)</f>
        <v>0</v>
      </c>
      <c r="AE128" s="233">
        <f>IF(AO128="2",BG128,0)</f>
        <v>0</v>
      </c>
      <c r="AF128" s="233">
        <f>IF(AO128="0",BH128,0)</f>
        <v>0</v>
      </c>
      <c r="AG128" s="229" t="s">
        <v>154</v>
      </c>
      <c r="AH128" s="233">
        <f>IF(AL128=0,J128,0)</f>
        <v>0</v>
      </c>
      <c r="AI128" s="233">
        <f>IF(AL128=15,J128,0)</f>
        <v>0</v>
      </c>
      <c r="AJ128" s="233">
        <f>IF(AL128=21,J128,0)</f>
        <v>0</v>
      </c>
      <c r="AL128" s="233">
        <v>15</v>
      </c>
      <c r="AM128" s="233">
        <f>G128*0.013146853</f>
        <v>0</v>
      </c>
      <c r="AN128" s="233">
        <f>G128*(1-0.013146853)</f>
        <v>0</v>
      </c>
      <c r="AO128" s="234" t="s">
        <v>157</v>
      </c>
      <c r="AT128" s="233">
        <f>AU128+AV128</f>
        <v>0</v>
      </c>
      <c r="AU128" s="233">
        <f>F128*AM128</f>
        <v>0</v>
      </c>
      <c r="AV128" s="233">
        <f>F128*AN128</f>
        <v>0</v>
      </c>
      <c r="AW128" s="234" t="s">
        <v>543</v>
      </c>
      <c r="AX128" s="234" t="s">
        <v>356</v>
      </c>
      <c r="AY128" s="229" t="s">
        <v>164</v>
      </c>
      <c r="BA128" s="233">
        <f>AU128+AV128</f>
        <v>0</v>
      </c>
      <c r="BB128" s="233">
        <f>G128/(100-BC128)*100</f>
        <v>0</v>
      </c>
      <c r="BC128" s="233">
        <v>0</v>
      </c>
      <c r="BD128" s="233">
        <f>L128</f>
        <v>1E-4</v>
      </c>
      <c r="BF128" s="233">
        <f>F128*AM128</f>
        <v>0</v>
      </c>
      <c r="BG128" s="233">
        <f>F128*AN128</f>
        <v>0</v>
      </c>
      <c r="BH128" s="233">
        <f>F128*G128</f>
        <v>0</v>
      </c>
      <c r="BI128" s="233"/>
      <c r="BJ128" s="233">
        <v>87</v>
      </c>
      <c r="BU128" s="233" t="e">
        <f>#REF!</f>
        <v>#REF!</v>
      </c>
      <c r="BV128" s="225" t="s">
        <v>2244</v>
      </c>
    </row>
    <row r="129" spans="1:74" ht="54" customHeight="1" x14ac:dyDescent="0.3">
      <c r="A129" s="241"/>
      <c r="B129" s="242" t="s">
        <v>165</v>
      </c>
      <c r="C129" s="530" t="s">
        <v>1755</v>
      </c>
      <c r="D129" s="531"/>
      <c r="E129" s="531"/>
      <c r="F129" s="531"/>
      <c r="G129" s="531"/>
      <c r="H129" s="531"/>
      <c r="I129" s="531"/>
      <c r="J129" s="531"/>
      <c r="K129" s="531"/>
      <c r="L129" s="531"/>
      <c r="M129" s="532"/>
    </row>
    <row r="130" spans="1:74" ht="14.4" x14ac:dyDescent="0.3">
      <c r="A130" s="239" t="s">
        <v>357</v>
      </c>
      <c r="B130" s="223" t="s">
        <v>2245</v>
      </c>
      <c r="C130" s="521" t="s">
        <v>2246</v>
      </c>
      <c r="D130" s="519"/>
      <c r="E130" s="223" t="s">
        <v>365</v>
      </c>
      <c r="F130" s="233">
        <v>3</v>
      </c>
      <c r="G130" s="311">
        <v>0</v>
      </c>
      <c r="H130" s="233">
        <f>F130*AM130</f>
        <v>0</v>
      </c>
      <c r="I130" s="233">
        <f>F130*AN130</f>
        <v>0</v>
      </c>
      <c r="J130" s="233">
        <f>F130*G130</f>
        <v>0</v>
      </c>
      <c r="K130" s="233">
        <v>1.2999999999999999E-4</v>
      </c>
      <c r="L130" s="233">
        <f>F130*K130</f>
        <v>3.8999999999999994E-4</v>
      </c>
      <c r="M130" s="240" t="s">
        <v>472</v>
      </c>
      <c r="X130" s="233">
        <f>IF(AO130="5",BH130,0)</f>
        <v>0</v>
      </c>
      <c r="Z130" s="233">
        <f>IF(AO130="1",BF130,0)</f>
        <v>0</v>
      </c>
      <c r="AA130" s="233">
        <f>IF(AO130="1",BG130,0)</f>
        <v>0</v>
      </c>
      <c r="AB130" s="233">
        <f>IF(AO130="7",BF130,0)</f>
        <v>0</v>
      </c>
      <c r="AC130" s="233">
        <f>IF(AO130="7",BG130,0)</f>
        <v>0</v>
      </c>
      <c r="AD130" s="233">
        <f>IF(AO130="2",BF130,0)</f>
        <v>0</v>
      </c>
      <c r="AE130" s="233">
        <f>IF(AO130="2",BG130,0)</f>
        <v>0</v>
      </c>
      <c r="AF130" s="233">
        <f>IF(AO130="0",BH130,0)</f>
        <v>0</v>
      </c>
      <c r="AG130" s="229" t="s">
        <v>154</v>
      </c>
      <c r="AH130" s="233">
        <f>IF(AL130=0,J130,0)</f>
        <v>0</v>
      </c>
      <c r="AI130" s="233">
        <f>IF(AL130=15,J130,0)</f>
        <v>0</v>
      </c>
      <c r="AJ130" s="233">
        <f>IF(AL130=21,J130,0)</f>
        <v>0</v>
      </c>
      <c r="AL130" s="233">
        <v>15</v>
      </c>
      <c r="AM130" s="233">
        <f>G130*0.014136253</f>
        <v>0</v>
      </c>
      <c r="AN130" s="233">
        <f>G130*(1-0.014136253)</f>
        <v>0</v>
      </c>
      <c r="AO130" s="234" t="s">
        <v>157</v>
      </c>
      <c r="AT130" s="233">
        <f>AU130+AV130</f>
        <v>0</v>
      </c>
      <c r="AU130" s="233">
        <f>F130*AM130</f>
        <v>0</v>
      </c>
      <c r="AV130" s="233">
        <f>F130*AN130</f>
        <v>0</v>
      </c>
      <c r="AW130" s="234" t="s">
        <v>543</v>
      </c>
      <c r="AX130" s="234" t="s">
        <v>356</v>
      </c>
      <c r="AY130" s="229" t="s">
        <v>164</v>
      </c>
      <c r="BA130" s="233">
        <f>AU130+AV130</f>
        <v>0</v>
      </c>
      <c r="BB130" s="233">
        <f>G130/(100-BC130)*100</f>
        <v>0</v>
      </c>
      <c r="BC130" s="233">
        <v>0</v>
      </c>
      <c r="BD130" s="233">
        <f>L130</f>
        <v>3.8999999999999994E-4</v>
      </c>
      <c r="BF130" s="233">
        <f>F130*AM130</f>
        <v>0</v>
      </c>
      <c r="BG130" s="233">
        <f>F130*AN130</f>
        <v>0</v>
      </c>
      <c r="BH130" s="233">
        <f>F130*G130</f>
        <v>0</v>
      </c>
      <c r="BI130" s="233"/>
      <c r="BJ130" s="233">
        <v>87</v>
      </c>
      <c r="BU130" s="233" t="e">
        <f>#REF!</f>
        <v>#REF!</v>
      </c>
      <c r="BV130" s="225" t="s">
        <v>2246</v>
      </c>
    </row>
    <row r="131" spans="1:74" ht="40.5" customHeight="1" x14ac:dyDescent="0.3">
      <c r="A131" s="241"/>
      <c r="B131" s="242" t="s">
        <v>165</v>
      </c>
      <c r="C131" s="530" t="s">
        <v>2247</v>
      </c>
      <c r="D131" s="531"/>
      <c r="E131" s="531"/>
      <c r="F131" s="531"/>
      <c r="G131" s="531"/>
      <c r="H131" s="531"/>
      <c r="I131" s="531"/>
      <c r="J131" s="531"/>
      <c r="K131" s="531"/>
      <c r="L131" s="531"/>
      <c r="M131" s="532"/>
    </row>
    <row r="132" spans="1:74" ht="14.4" x14ac:dyDescent="0.3">
      <c r="A132" s="239" t="s">
        <v>362</v>
      </c>
      <c r="B132" s="223" t="s">
        <v>900</v>
      </c>
      <c r="C132" s="521" t="s">
        <v>2248</v>
      </c>
      <c r="D132" s="519"/>
      <c r="E132" s="223" t="s">
        <v>365</v>
      </c>
      <c r="F132" s="233">
        <v>1</v>
      </c>
      <c r="G132" s="311">
        <v>0</v>
      </c>
      <c r="H132" s="233">
        <f>F132*AM132</f>
        <v>0</v>
      </c>
      <c r="I132" s="233">
        <f>F132*AN132</f>
        <v>0</v>
      </c>
      <c r="J132" s="233">
        <f>F132*G132</f>
        <v>0</v>
      </c>
      <c r="K132" s="233">
        <v>5.0000000000000002E-5</v>
      </c>
      <c r="L132" s="233">
        <f>F132*K132</f>
        <v>5.0000000000000002E-5</v>
      </c>
      <c r="M132" s="240" t="s">
        <v>472</v>
      </c>
      <c r="X132" s="233">
        <f>IF(AO132="5",BH132,0)</f>
        <v>0</v>
      </c>
      <c r="Z132" s="233">
        <f>IF(AO132="1",BF132,0)</f>
        <v>0</v>
      </c>
      <c r="AA132" s="233">
        <f>IF(AO132="1",BG132,0)</f>
        <v>0</v>
      </c>
      <c r="AB132" s="233">
        <f>IF(AO132="7",BF132,0)</f>
        <v>0</v>
      </c>
      <c r="AC132" s="233">
        <f>IF(AO132="7",BG132,0)</f>
        <v>0</v>
      </c>
      <c r="AD132" s="233">
        <f>IF(AO132="2",BF132,0)</f>
        <v>0</v>
      </c>
      <c r="AE132" s="233">
        <f>IF(AO132="2",BG132,0)</f>
        <v>0</v>
      </c>
      <c r="AF132" s="233">
        <f>IF(AO132="0",BH132,0)</f>
        <v>0</v>
      </c>
      <c r="AG132" s="229" t="s">
        <v>154</v>
      </c>
      <c r="AH132" s="233">
        <f>IF(AL132=0,J132,0)</f>
        <v>0</v>
      </c>
      <c r="AI132" s="233">
        <f>IF(AL132=15,J132,0)</f>
        <v>0</v>
      </c>
      <c r="AJ132" s="233">
        <f>IF(AL132=21,J132,0)</f>
        <v>0</v>
      </c>
      <c r="AL132" s="233">
        <v>15</v>
      </c>
      <c r="AM132" s="233">
        <f>G132*0.001921691</f>
        <v>0</v>
      </c>
      <c r="AN132" s="233">
        <f>G132*(1-0.001921691)</f>
        <v>0</v>
      </c>
      <c r="AO132" s="234" t="s">
        <v>157</v>
      </c>
      <c r="AT132" s="233">
        <f>AU132+AV132</f>
        <v>0</v>
      </c>
      <c r="AU132" s="233">
        <f>F132*AM132</f>
        <v>0</v>
      </c>
      <c r="AV132" s="233">
        <f>F132*AN132</f>
        <v>0</v>
      </c>
      <c r="AW132" s="234" t="s">
        <v>543</v>
      </c>
      <c r="AX132" s="234" t="s">
        <v>356</v>
      </c>
      <c r="AY132" s="229" t="s">
        <v>164</v>
      </c>
      <c r="BA132" s="233">
        <f>AU132+AV132</f>
        <v>0</v>
      </c>
      <c r="BB132" s="233">
        <f>G132/(100-BC132)*100</f>
        <v>0</v>
      </c>
      <c r="BC132" s="233">
        <v>0</v>
      </c>
      <c r="BD132" s="233">
        <f>L132</f>
        <v>5.0000000000000002E-5</v>
      </c>
      <c r="BF132" s="233">
        <f>F132*AM132</f>
        <v>0</v>
      </c>
      <c r="BG132" s="233">
        <f>F132*AN132</f>
        <v>0</v>
      </c>
      <c r="BH132" s="233">
        <f>F132*G132</f>
        <v>0</v>
      </c>
      <c r="BI132" s="233"/>
      <c r="BJ132" s="233">
        <v>87</v>
      </c>
      <c r="BU132" s="233" t="e">
        <f>#REF!</f>
        <v>#REF!</v>
      </c>
      <c r="BV132" s="225" t="s">
        <v>2248</v>
      </c>
    </row>
    <row r="133" spans="1:74" ht="54" customHeight="1" x14ac:dyDescent="0.3">
      <c r="A133" s="244"/>
      <c r="B133" s="245" t="s">
        <v>165</v>
      </c>
      <c r="C133" s="540" t="s">
        <v>1642</v>
      </c>
      <c r="D133" s="541"/>
      <c r="E133" s="541"/>
      <c r="F133" s="541"/>
      <c r="G133" s="541"/>
      <c r="H133" s="541"/>
      <c r="I133" s="541"/>
      <c r="J133" s="541"/>
      <c r="K133" s="541"/>
      <c r="L133" s="541"/>
      <c r="M133" s="542"/>
    </row>
    <row r="134" spans="1:74" ht="14.4" x14ac:dyDescent="0.3">
      <c r="A134" s="237" t="s">
        <v>154</v>
      </c>
      <c r="B134" s="260" t="s">
        <v>360</v>
      </c>
      <c r="C134" s="545" t="s">
        <v>361</v>
      </c>
      <c r="D134" s="546"/>
      <c r="E134" s="238" t="s">
        <v>114</v>
      </c>
      <c r="F134" s="238" t="s">
        <v>114</v>
      </c>
      <c r="G134" s="238" t="s">
        <v>114</v>
      </c>
      <c r="H134" s="261">
        <f>SUM(H135:H155)</f>
        <v>0</v>
      </c>
      <c r="I134" s="261">
        <f>SUM(I135:I155)</f>
        <v>0</v>
      </c>
      <c r="J134" s="261">
        <f>SUM(J135:J155)</f>
        <v>0</v>
      </c>
      <c r="K134" s="262" t="s">
        <v>154</v>
      </c>
      <c r="L134" s="261">
        <f>SUM(L135:L155)</f>
        <v>60.826219999999992</v>
      </c>
      <c r="M134" s="263" t="s">
        <v>154</v>
      </c>
      <c r="AG134" s="229" t="s">
        <v>154</v>
      </c>
      <c r="AQ134" s="222">
        <f>SUM(AH135:AH155)</f>
        <v>0</v>
      </c>
      <c r="AR134" s="222">
        <f>SUM(AI135:AI155)</f>
        <v>0</v>
      </c>
      <c r="AS134" s="222">
        <f>SUM(AJ135:AJ155)</f>
        <v>0</v>
      </c>
    </row>
    <row r="135" spans="1:74" ht="14.4" x14ac:dyDescent="0.3">
      <c r="A135" s="239" t="s">
        <v>367</v>
      </c>
      <c r="B135" s="223" t="s">
        <v>2249</v>
      </c>
      <c r="C135" s="521" t="s">
        <v>2250</v>
      </c>
      <c r="D135" s="519"/>
      <c r="E135" s="223" t="s">
        <v>196</v>
      </c>
      <c r="F135" s="233">
        <v>24.08</v>
      </c>
      <c r="G135" s="311">
        <v>0</v>
      </c>
      <c r="H135" s="233">
        <f>F135*AM135</f>
        <v>0</v>
      </c>
      <c r="I135" s="233">
        <f>F135*AN135</f>
        <v>0</v>
      </c>
      <c r="J135" s="233">
        <f>F135*G135</f>
        <v>0</v>
      </c>
      <c r="K135" s="233">
        <v>2.5249999999999999</v>
      </c>
      <c r="L135" s="233">
        <f>F135*K135</f>
        <v>60.801999999999992</v>
      </c>
      <c r="M135" s="240" t="s">
        <v>472</v>
      </c>
      <c r="X135" s="233">
        <f>IF(AO135="5",BH135,0)</f>
        <v>0</v>
      </c>
      <c r="Z135" s="233">
        <f>IF(AO135="1",BF135,0)</f>
        <v>0</v>
      </c>
      <c r="AA135" s="233">
        <f>IF(AO135="1",BG135,0)</f>
        <v>0</v>
      </c>
      <c r="AB135" s="233">
        <f>IF(AO135="7",BF135,0)</f>
        <v>0</v>
      </c>
      <c r="AC135" s="233">
        <f>IF(AO135="7",BG135,0)</f>
        <v>0</v>
      </c>
      <c r="AD135" s="233">
        <f>IF(AO135="2",BF135,0)</f>
        <v>0</v>
      </c>
      <c r="AE135" s="233">
        <f>IF(AO135="2",BG135,0)</f>
        <v>0</v>
      </c>
      <c r="AF135" s="233">
        <f>IF(AO135="0",BH135,0)</f>
        <v>0</v>
      </c>
      <c r="AG135" s="229" t="s">
        <v>154</v>
      </c>
      <c r="AH135" s="233">
        <f>IF(AL135=0,J135,0)</f>
        <v>0</v>
      </c>
      <c r="AI135" s="233">
        <f>IF(AL135=15,J135,0)</f>
        <v>0</v>
      </c>
      <c r="AJ135" s="233">
        <f>IF(AL135=21,J135,0)</f>
        <v>0</v>
      </c>
      <c r="AL135" s="233">
        <v>15</v>
      </c>
      <c r="AM135" s="233">
        <f>G135*0.84313413</f>
        <v>0</v>
      </c>
      <c r="AN135" s="233">
        <f>G135*(1-0.84313413)</f>
        <v>0</v>
      </c>
      <c r="AO135" s="234" t="s">
        <v>157</v>
      </c>
      <c r="AT135" s="233">
        <f>AU135+AV135</f>
        <v>0</v>
      </c>
      <c r="AU135" s="233">
        <f>F135*AM135</f>
        <v>0</v>
      </c>
      <c r="AV135" s="233">
        <f>F135*AN135</f>
        <v>0</v>
      </c>
      <c r="AW135" s="234" t="s">
        <v>366</v>
      </c>
      <c r="AX135" s="234" t="s">
        <v>356</v>
      </c>
      <c r="AY135" s="229" t="s">
        <v>164</v>
      </c>
      <c r="BA135" s="233">
        <f>AU135+AV135</f>
        <v>0</v>
      </c>
      <c r="BB135" s="233">
        <f>G135/(100-BC135)*100</f>
        <v>0</v>
      </c>
      <c r="BC135" s="233">
        <v>0</v>
      </c>
      <c r="BD135" s="233">
        <f>L135</f>
        <v>60.801999999999992</v>
      </c>
      <c r="BF135" s="233">
        <f>F135*AM135</f>
        <v>0</v>
      </c>
      <c r="BG135" s="233">
        <f>F135*AN135</f>
        <v>0</v>
      </c>
      <c r="BH135" s="233">
        <f>F135*G135</f>
        <v>0</v>
      </c>
      <c r="BI135" s="233"/>
      <c r="BJ135" s="233">
        <v>89</v>
      </c>
      <c r="BU135" s="233" t="e">
        <f>#REF!</f>
        <v>#REF!</v>
      </c>
      <c r="BV135" s="225" t="s">
        <v>2250</v>
      </c>
    </row>
    <row r="136" spans="1:74" ht="54" customHeight="1" x14ac:dyDescent="0.3">
      <c r="A136" s="241"/>
      <c r="B136" s="242" t="s">
        <v>165</v>
      </c>
      <c r="C136" s="530" t="s">
        <v>2251</v>
      </c>
      <c r="D136" s="531"/>
      <c r="E136" s="531"/>
      <c r="F136" s="531"/>
      <c r="G136" s="531"/>
      <c r="H136" s="531"/>
      <c r="I136" s="531"/>
      <c r="J136" s="531"/>
      <c r="K136" s="531"/>
      <c r="L136" s="531"/>
      <c r="M136" s="532"/>
    </row>
    <row r="137" spans="1:74" ht="14.4" x14ac:dyDescent="0.3">
      <c r="A137" s="239" t="s">
        <v>305</v>
      </c>
      <c r="B137" s="223" t="s">
        <v>2252</v>
      </c>
      <c r="C137" s="521" t="s">
        <v>2253</v>
      </c>
      <c r="D137" s="519"/>
      <c r="E137" s="223" t="s">
        <v>365</v>
      </c>
      <c r="F137" s="233">
        <v>2</v>
      </c>
      <c r="G137" s="311">
        <v>0</v>
      </c>
      <c r="H137" s="233">
        <f>F137*AM137</f>
        <v>0</v>
      </c>
      <c r="I137" s="233">
        <f>F137*AN137</f>
        <v>0</v>
      </c>
      <c r="J137" s="233">
        <f>F137*G137</f>
        <v>0</v>
      </c>
      <c r="K137" s="233">
        <v>0</v>
      </c>
      <c r="L137" s="233">
        <f>F137*K137</f>
        <v>0</v>
      </c>
      <c r="M137" s="240" t="s">
        <v>472</v>
      </c>
      <c r="X137" s="233">
        <f>IF(AO137="5",BH137,0)</f>
        <v>0</v>
      </c>
      <c r="Z137" s="233">
        <f>IF(AO137="1",BF137,0)</f>
        <v>0</v>
      </c>
      <c r="AA137" s="233">
        <f>IF(AO137="1",BG137,0)</f>
        <v>0</v>
      </c>
      <c r="AB137" s="233">
        <f>IF(AO137="7",BF137,0)</f>
        <v>0</v>
      </c>
      <c r="AC137" s="233">
        <f>IF(AO137="7",BG137,0)</f>
        <v>0</v>
      </c>
      <c r="AD137" s="233">
        <f>IF(AO137="2",BF137,0)</f>
        <v>0</v>
      </c>
      <c r="AE137" s="233">
        <f>IF(AO137="2",BG137,0)</f>
        <v>0</v>
      </c>
      <c r="AF137" s="233">
        <f>IF(AO137="0",BH137,0)</f>
        <v>0</v>
      </c>
      <c r="AG137" s="229" t="s">
        <v>154</v>
      </c>
      <c r="AH137" s="233">
        <f>IF(AL137=0,J137,0)</f>
        <v>0</v>
      </c>
      <c r="AI137" s="233">
        <f>IF(AL137=15,J137,0)</f>
        <v>0</v>
      </c>
      <c r="AJ137" s="233">
        <f>IF(AL137=21,J137,0)</f>
        <v>0</v>
      </c>
      <c r="AL137" s="233">
        <v>15</v>
      </c>
      <c r="AM137" s="233">
        <f>G137*0</f>
        <v>0</v>
      </c>
      <c r="AN137" s="233">
        <f>G137*(1-0)</f>
        <v>0</v>
      </c>
      <c r="AO137" s="234" t="s">
        <v>157</v>
      </c>
      <c r="AT137" s="233">
        <f>AU137+AV137</f>
        <v>0</v>
      </c>
      <c r="AU137" s="233">
        <f>F137*AM137</f>
        <v>0</v>
      </c>
      <c r="AV137" s="233">
        <f>F137*AN137</f>
        <v>0</v>
      </c>
      <c r="AW137" s="234" t="s">
        <v>366</v>
      </c>
      <c r="AX137" s="234" t="s">
        <v>356</v>
      </c>
      <c r="AY137" s="229" t="s">
        <v>164</v>
      </c>
      <c r="BA137" s="233">
        <f>AU137+AV137</f>
        <v>0</v>
      </c>
      <c r="BB137" s="233">
        <f>G137/(100-BC137)*100</f>
        <v>0</v>
      </c>
      <c r="BC137" s="233">
        <v>0</v>
      </c>
      <c r="BD137" s="233">
        <f>L137</f>
        <v>0</v>
      </c>
      <c r="BF137" s="233">
        <f>F137*AM137</f>
        <v>0</v>
      </c>
      <c r="BG137" s="233">
        <f>F137*AN137</f>
        <v>0</v>
      </c>
      <c r="BH137" s="233">
        <f>F137*G137</f>
        <v>0</v>
      </c>
      <c r="BI137" s="233"/>
      <c r="BJ137" s="233">
        <v>89</v>
      </c>
      <c r="BU137" s="233" t="e">
        <f>#REF!</f>
        <v>#REF!</v>
      </c>
      <c r="BV137" s="225" t="s">
        <v>2253</v>
      </c>
    </row>
    <row r="138" spans="1:74" ht="13.5" customHeight="1" x14ac:dyDescent="0.3">
      <c r="A138" s="241"/>
      <c r="B138" s="242" t="s">
        <v>165</v>
      </c>
      <c r="C138" s="530" t="s">
        <v>2254</v>
      </c>
      <c r="D138" s="531"/>
      <c r="E138" s="531"/>
      <c r="F138" s="531"/>
      <c r="G138" s="531"/>
      <c r="H138" s="531"/>
      <c r="I138" s="531"/>
      <c r="J138" s="531"/>
      <c r="K138" s="531"/>
      <c r="L138" s="531"/>
      <c r="M138" s="532"/>
    </row>
    <row r="139" spans="1:74" ht="14.4" x14ac:dyDescent="0.3">
      <c r="A139" s="239" t="s">
        <v>335</v>
      </c>
      <c r="B139" s="223" t="s">
        <v>908</v>
      </c>
      <c r="C139" s="521" t="s">
        <v>909</v>
      </c>
      <c r="D139" s="519"/>
      <c r="E139" s="223" t="s">
        <v>365</v>
      </c>
      <c r="F139" s="233">
        <v>2</v>
      </c>
      <c r="G139" s="311">
        <v>0</v>
      </c>
      <c r="H139" s="233">
        <f>F139*AM139</f>
        <v>0</v>
      </c>
      <c r="I139" s="233">
        <f>F139*AN139</f>
        <v>0</v>
      </c>
      <c r="J139" s="233">
        <f>F139*G139</f>
        <v>0</v>
      </c>
      <c r="K139" s="233">
        <v>0</v>
      </c>
      <c r="L139" s="233">
        <f>F139*K139</f>
        <v>0</v>
      </c>
      <c r="M139" s="240" t="s">
        <v>472</v>
      </c>
      <c r="X139" s="233">
        <f>IF(AO139="5",BH139,0)</f>
        <v>0</v>
      </c>
      <c r="Z139" s="233">
        <f>IF(AO139="1",BF139,0)</f>
        <v>0</v>
      </c>
      <c r="AA139" s="233">
        <f>IF(AO139="1",BG139,0)</f>
        <v>0</v>
      </c>
      <c r="AB139" s="233">
        <f>IF(AO139="7",BF139,0)</f>
        <v>0</v>
      </c>
      <c r="AC139" s="233">
        <f>IF(AO139="7",BG139,0)</f>
        <v>0</v>
      </c>
      <c r="AD139" s="233">
        <f>IF(AO139="2",BF139,0)</f>
        <v>0</v>
      </c>
      <c r="AE139" s="233">
        <f>IF(AO139="2",BG139,0)</f>
        <v>0</v>
      </c>
      <c r="AF139" s="233">
        <f>IF(AO139="0",BH139,0)</f>
        <v>0</v>
      </c>
      <c r="AG139" s="229" t="s">
        <v>154</v>
      </c>
      <c r="AH139" s="233">
        <f>IF(AL139=0,J139,0)</f>
        <v>0</v>
      </c>
      <c r="AI139" s="233">
        <f>IF(AL139=15,J139,0)</f>
        <v>0</v>
      </c>
      <c r="AJ139" s="233">
        <f>IF(AL139=21,J139,0)</f>
        <v>0</v>
      </c>
      <c r="AL139" s="233">
        <v>15</v>
      </c>
      <c r="AM139" s="233">
        <f>G139*0</f>
        <v>0</v>
      </c>
      <c r="AN139" s="233">
        <f>G139*(1-0)</f>
        <v>0</v>
      </c>
      <c r="AO139" s="234" t="s">
        <v>157</v>
      </c>
      <c r="AT139" s="233">
        <f>AU139+AV139</f>
        <v>0</v>
      </c>
      <c r="AU139" s="233">
        <f>F139*AM139</f>
        <v>0</v>
      </c>
      <c r="AV139" s="233">
        <f>F139*AN139</f>
        <v>0</v>
      </c>
      <c r="AW139" s="234" t="s">
        <v>366</v>
      </c>
      <c r="AX139" s="234" t="s">
        <v>356</v>
      </c>
      <c r="AY139" s="229" t="s">
        <v>164</v>
      </c>
      <c r="BA139" s="233">
        <f>AU139+AV139</f>
        <v>0</v>
      </c>
      <c r="BB139" s="233">
        <f>G139/(100-BC139)*100</f>
        <v>0</v>
      </c>
      <c r="BC139" s="233">
        <v>0</v>
      </c>
      <c r="BD139" s="233">
        <f>L139</f>
        <v>0</v>
      </c>
      <c r="BF139" s="233">
        <f>F139*AM139</f>
        <v>0</v>
      </c>
      <c r="BG139" s="233">
        <f>F139*AN139</f>
        <v>0</v>
      </c>
      <c r="BH139" s="233">
        <f>F139*G139</f>
        <v>0</v>
      </c>
      <c r="BI139" s="233"/>
      <c r="BJ139" s="233">
        <v>89</v>
      </c>
      <c r="BU139" s="233" t="e">
        <f>#REF!</f>
        <v>#REF!</v>
      </c>
      <c r="BV139" s="225" t="s">
        <v>909</v>
      </c>
    </row>
    <row r="140" spans="1:74" ht="13.5" customHeight="1" x14ac:dyDescent="0.3">
      <c r="A140" s="241"/>
      <c r="B140" s="242" t="s">
        <v>165</v>
      </c>
      <c r="C140" s="530" t="s">
        <v>910</v>
      </c>
      <c r="D140" s="531"/>
      <c r="E140" s="531"/>
      <c r="F140" s="531"/>
      <c r="G140" s="531"/>
      <c r="H140" s="531"/>
      <c r="I140" s="531"/>
      <c r="J140" s="531"/>
      <c r="K140" s="531"/>
      <c r="L140" s="531"/>
      <c r="M140" s="532"/>
    </row>
    <row r="141" spans="1:74" ht="14.4" x14ac:dyDescent="0.3">
      <c r="A141" s="239" t="s">
        <v>384</v>
      </c>
      <c r="B141" s="223" t="s">
        <v>911</v>
      </c>
      <c r="C141" s="521" t="s">
        <v>912</v>
      </c>
      <c r="D141" s="519"/>
      <c r="E141" s="223" t="s">
        <v>365</v>
      </c>
      <c r="F141" s="233">
        <v>4</v>
      </c>
      <c r="G141" s="311">
        <v>0</v>
      </c>
      <c r="H141" s="233">
        <f>F141*AM141</f>
        <v>0</v>
      </c>
      <c r="I141" s="233">
        <f>F141*AN141</f>
        <v>0</v>
      </c>
      <c r="J141" s="233">
        <f>F141*G141</f>
        <v>0</v>
      </c>
      <c r="K141" s="233">
        <v>0</v>
      </c>
      <c r="L141" s="233">
        <f>F141*K141</f>
        <v>0</v>
      </c>
      <c r="M141" s="240" t="s">
        <v>472</v>
      </c>
      <c r="X141" s="233">
        <f>IF(AO141="5",BH141,0)</f>
        <v>0</v>
      </c>
      <c r="Z141" s="233">
        <f>IF(AO141="1",BF141,0)</f>
        <v>0</v>
      </c>
      <c r="AA141" s="233">
        <f>IF(AO141="1",BG141,0)</f>
        <v>0</v>
      </c>
      <c r="AB141" s="233">
        <f>IF(AO141="7",BF141,0)</f>
        <v>0</v>
      </c>
      <c r="AC141" s="233">
        <f>IF(AO141="7",BG141,0)</f>
        <v>0</v>
      </c>
      <c r="AD141" s="233">
        <f>IF(AO141="2",BF141,0)</f>
        <v>0</v>
      </c>
      <c r="AE141" s="233">
        <f>IF(AO141="2",BG141,0)</f>
        <v>0</v>
      </c>
      <c r="AF141" s="233">
        <f>IF(AO141="0",BH141,0)</f>
        <v>0</v>
      </c>
      <c r="AG141" s="229" t="s">
        <v>154</v>
      </c>
      <c r="AH141" s="233">
        <f>IF(AL141=0,J141,0)</f>
        <v>0</v>
      </c>
      <c r="AI141" s="233">
        <f>IF(AL141=15,J141,0)</f>
        <v>0</v>
      </c>
      <c r="AJ141" s="233">
        <f>IF(AL141=21,J141,0)</f>
        <v>0</v>
      </c>
      <c r="AL141" s="233">
        <v>15</v>
      </c>
      <c r="AM141" s="233">
        <f>G141*0</f>
        <v>0</v>
      </c>
      <c r="AN141" s="233">
        <f>G141*(1-0)</f>
        <v>0</v>
      </c>
      <c r="AO141" s="234" t="s">
        <v>157</v>
      </c>
      <c r="AT141" s="233">
        <f>AU141+AV141</f>
        <v>0</v>
      </c>
      <c r="AU141" s="233">
        <f>F141*AM141</f>
        <v>0</v>
      </c>
      <c r="AV141" s="233">
        <f>F141*AN141</f>
        <v>0</v>
      </c>
      <c r="AW141" s="234" t="s">
        <v>366</v>
      </c>
      <c r="AX141" s="234" t="s">
        <v>356</v>
      </c>
      <c r="AY141" s="229" t="s">
        <v>164</v>
      </c>
      <c r="BA141" s="233">
        <f>AU141+AV141</f>
        <v>0</v>
      </c>
      <c r="BB141" s="233">
        <f>G141/(100-BC141)*100</f>
        <v>0</v>
      </c>
      <c r="BC141" s="233">
        <v>0</v>
      </c>
      <c r="BD141" s="233">
        <f>L141</f>
        <v>0</v>
      </c>
      <c r="BF141" s="233">
        <f>F141*AM141</f>
        <v>0</v>
      </c>
      <c r="BG141" s="233">
        <f>F141*AN141</f>
        <v>0</v>
      </c>
      <c r="BH141" s="233">
        <f>F141*G141</f>
        <v>0</v>
      </c>
      <c r="BI141" s="233"/>
      <c r="BJ141" s="233">
        <v>89</v>
      </c>
      <c r="BU141" s="233" t="e">
        <f>#REF!</f>
        <v>#REF!</v>
      </c>
      <c r="BV141" s="225" t="s">
        <v>912</v>
      </c>
    </row>
    <row r="142" spans="1:74" ht="13.5" customHeight="1" x14ac:dyDescent="0.3">
      <c r="A142" s="241"/>
      <c r="B142" s="242" t="s">
        <v>165</v>
      </c>
      <c r="C142" s="530" t="s">
        <v>913</v>
      </c>
      <c r="D142" s="531"/>
      <c r="E142" s="531"/>
      <c r="F142" s="531"/>
      <c r="G142" s="531"/>
      <c r="H142" s="531"/>
      <c r="I142" s="531"/>
      <c r="J142" s="531"/>
      <c r="K142" s="531"/>
      <c r="L142" s="531"/>
      <c r="M142" s="532"/>
    </row>
    <row r="143" spans="1:74" ht="14.4" x14ac:dyDescent="0.3">
      <c r="A143" s="239" t="s">
        <v>344</v>
      </c>
      <c r="B143" s="223" t="s">
        <v>914</v>
      </c>
      <c r="C143" s="521" t="s">
        <v>915</v>
      </c>
      <c r="D143" s="519"/>
      <c r="E143" s="223" t="s">
        <v>365</v>
      </c>
      <c r="F143" s="233">
        <v>4</v>
      </c>
      <c r="G143" s="311">
        <v>0</v>
      </c>
      <c r="H143" s="233">
        <f>F143*AM143</f>
        <v>0</v>
      </c>
      <c r="I143" s="233">
        <f>F143*AN143</f>
        <v>0</v>
      </c>
      <c r="J143" s="233">
        <f>F143*G143</f>
        <v>0</v>
      </c>
      <c r="K143" s="233">
        <v>0</v>
      </c>
      <c r="L143" s="233">
        <f>F143*K143</f>
        <v>0</v>
      </c>
      <c r="M143" s="240" t="s">
        <v>472</v>
      </c>
      <c r="X143" s="233">
        <f>IF(AO143="5",BH143,0)</f>
        <v>0</v>
      </c>
      <c r="Z143" s="233">
        <f>IF(AO143="1",BF143,0)</f>
        <v>0</v>
      </c>
      <c r="AA143" s="233">
        <f>IF(AO143="1",BG143,0)</f>
        <v>0</v>
      </c>
      <c r="AB143" s="233">
        <f>IF(AO143="7",BF143,0)</f>
        <v>0</v>
      </c>
      <c r="AC143" s="233">
        <f>IF(AO143="7",BG143,0)</f>
        <v>0</v>
      </c>
      <c r="AD143" s="233">
        <f>IF(AO143="2",BF143,0)</f>
        <v>0</v>
      </c>
      <c r="AE143" s="233">
        <f>IF(AO143="2",BG143,0)</f>
        <v>0</v>
      </c>
      <c r="AF143" s="233">
        <f>IF(AO143="0",BH143,0)</f>
        <v>0</v>
      </c>
      <c r="AG143" s="229" t="s">
        <v>154</v>
      </c>
      <c r="AH143" s="233">
        <f>IF(AL143=0,J143,0)</f>
        <v>0</v>
      </c>
      <c r="AI143" s="233">
        <f>IF(AL143=15,J143,0)</f>
        <v>0</v>
      </c>
      <c r="AJ143" s="233">
        <f>IF(AL143=21,J143,0)</f>
        <v>0</v>
      </c>
      <c r="AL143" s="233">
        <v>15</v>
      </c>
      <c r="AM143" s="233">
        <f>G143*0</f>
        <v>0</v>
      </c>
      <c r="AN143" s="233">
        <f>G143*(1-0)</f>
        <v>0</v>
      </c>
      <c r="AO143" s="234" t="s">
        <v>157</v>
      </c>
      <c r="AT143" s="233">
        <f>AU143+AV143</f>
        <v>0</v>
      </c>
      <c r="AU143" s="233">
        <f>F143*AM143</f>
        <v>0</v>
      </c>
      <c r="AV143" s="233">
        <f>F143*AN143</f>
        <v>0</v>
      </c>
      <c r="AW143" s="234" t="s">
        <v>366</v>
      </c>
      <c r="AX143" s="234" t="s">
        <v>356</v>
      </c>
      <c r="AY143" s="229" t="s">
        <v>164</v>
      </c>
      <c r="BA143" s="233">
        <f>AU143+AV143</f>
        <v>0</v>
      </c>
      <c r="BB143" s="233">
        <f>G143/(100-BC143)*100</f>
        <v>0</v>
      </c>
      <c r="BC143" s="233">
        <v>0</v>
      </c>
      <c r="BD143" s="233">
        <f>L143</f>
        <v>0</v>
      </c>
      <c r="BF143" s="233">
        <f>F143*AM143</f>
        <v>0</v>
      </c>
      <c r="BG143" s="233">
        <f>F143*AN143</f>
        <v>0</v>
      </c>
      <c r="BH143" s="233">
        <f>F143*G143</f>
        <v>0</v>
      </c>
      <c r="BI143" s="233"/>
      <c r="BJ143" s="233">
        <v>89</v>
      </c>
      <c r="BU143" s="233" t="e">
        <f>#REF!</f>
        <v>#REF!</v>
      </c>
      <c r="BV143" s="225" t="s">
        <v>915</v>
      </c>
    </row>
    <row r="144" spans="1:74" ht="13.5" customHeight="1" x14ac:dyDescent="0.3">
      <c r="A144" s="241"/>
      <c r="B144" s="242" t="s">
        <v>165</v>
      </c>
      <c r="C144" s="530" t="s">
        <v>916</v>
      </c>
      <c r="D144" s="531"/>
      <c r="E144" s="531"/>
      <c r="F144" s="531"/>
      <c r="G144" s="531"/>
      <c r="H144" s="531"/>
      <c r="I144" s="531"/>
      <c r="J144" s="531"/>
      <c r="K144" s="531"/>
      <c r="L144" s="531"/>
      <c r="M144" s="532"/>
    </row>
    <row r="145" spans="1:74" ht="14.4" x14ac:dyDescent="0.3">
      <c r="A145" s="239" t="s">
        <v>390</v>
      </c>
      <c r="B145" s="223" t="s">
        <v>917</v>
      </c>
      <c r="C145" s="521" t="s">
        <v>918</v>
      </c>
      <c r="D145" s="519"/>
      <c r="E145" s="223" t="s">
        <v>365</v>
      </c>
      <c r="F145" s="233">
        <v>2</v>
      </c>
      <c r="G145" s="311">
        <v>0</v>
      </c>
      <c r="H145" s="233">
        <f>F145*AM145</f>
        <v>0</v>
      </c>
      <c r="I145" s="233">
        <f>F145*AN145</f>
        <v>0</v>
      </c>
      <c r="J145" s="233">
        <f>F145*G145</f>
        <v>0</v>
      </c>
      <c r="K145" s="233">
        <v>1.17E-2</v>
      </c>
      <c r="L145" s="233">
        <f>F145*K145</f>
        <v>2.3400000000000001E-2</v>
      </c>
      <c r="M145" s="240" t="s">
        <v>472</v>
      </c>
      <c r="X145" s="233">
        <f>IF(AO145="5",BH145,0)</f>
        <v>0</v>
      </c>
      <c r="Z145" s="233">
        <f>IF(AO145="1",BF145,0)</f>
        <v>0</v>
      </c>
      <c r="AA145" s="233">
        <f>IF(AO145="1",BG145,0)</f>
        <v>0</v>
      </c>
      <c r="AB145" s="233">
        <f>IF(AO145="7",BF145,0)</f>
        <v>0</v>
      </c>
      <c r="AC145" s="233">
        <f>IF(AO145="7",BG145,0)</f>
        <v>0</v>
      </c>
      <c r="AD145" s="233">
        <f>IF(AO145="2",BF145,0)</f>
        <v>0</v>
      </c>
      <c r="AE145" s="233">
        <f>IF(AO145="2",BG145,0)</f>
        <v>0</v>
      </c>
      <c r="AF145" s="233">
        <f>IF(AO145="0",BH145,0)</f>
        <v>0</v>
      </c>
      <c r="AG145" s="229" t="s">
        <v>154</v>
      </c>
      <c r="AH145" s="233">
        <f>IF(AL145=0,J145,0)</f>
        <v>0</v>
      </c>
      <c r="AI145" s="233">
        <f>IF(AL145=15,J145,0)</f>
        <v>0</v>
      </c>
      <c r="AJ145" s="233">
        <f>IF(AL145=21,J145,0)</f>
        <v>0</v>
      </c>
      <c r="AL145" s="233">
        <v>15</v>
      </c>
      <c r="AM145" s="233">
        <f>G145*0.016176471</f>
        <v>0</v>
      </c>
      <c r="AN145" s="233">
        <f>G145*(1-0.016176471)</f>
        <v>0</v>
      </c>
      <c r="AO145" s="234" t="s">
        <v>157</v>
      </c>
      <c r="AT145" s="233">
        <f>AU145+AV145</f>
        <v>0</v>
      </c>
      <c r="AU145" s="233">
        <f>F145*AM145</f>
        <v>0</v>
      </c>
      <c r="AV145" s="233">
        <f>F145*AN145</f>
        <v>0</v>
      </c>
      <c r="AW145" s="234" t="s">
        <v>366</v>
      </c>
      <c r="AX145" s="234" t="s">
        <v>356</v>
      </c>
      <c r="AY145" s="229" t="s">
        <v>164</v>
      </c>
      <c r="BA145" s="233">
        <f>AU145+AV145</f>
        <v>0</v>
      </c>
      <c r="BB145" s="233">
        <f>G145/(100-BC145)*100</f>
        <v>0</v>
      </c>
      <c r="BC145" s="233">
        <v>0</v>
      </c>
      <c r="BD145" s="233">
        <f>L145</f>
        <v>2.3400000000000001E-2</v>
      </c>
      <c r="BF145" s="233">
        <f>F145*AM145</f>
        <v>0</v>
      </c>
      <c r="BG145" s="233">
        <f>F145*AN145</f>
        <v>0</v>
      </c>
      <c r="BH145" s="233">
        <f>F145*G145</f>
        <v>0</v>
      </c>
      <c r="BI145" s="233"/>
      <c r="BJ145" s="233">
        <v>89</v>
      </c>
      <c r="BU145" s="233" t="e">
        <f>#REF!</f>
        <v>#REF!</v>
      </c>
      <c r="BV145" s="225" t="s">
        <v>918</v>
      </c>
    </row>
    <row r="146" spans="1:74" ht="13.5" customHeight="1" x14ac:dyDescent="0.3">
      <c r="A146" s="241"/>
      <c r="B146" s="242" t="s">
        <v>165</v>
      </c>
      <c r="C146" s="530" t="s">
        <v>919</v>
      </c>
      <c r="D146" s="531"/>
      <c r="E146" s="531"/>
      <c r="F146" s="531"/>
      <c r="G146" s="531"/>
      <c r="H146" s="531"/>
      <c r="I146" s="531"/>
      <c r="J146" s="531"/>
      <c r="K146" s="531"/>
      <c r="L146" s="531"/>
      <c r="M146" s="532"/>
    </row>
    <row r="147" spans="1:74" ht="14.4" x14ac:dyDescent="0.3">
      <c r="A147" s="239" t="s">
        <v>393</v>
      </c>
      <c r="B147" s="223" t="s">
        <v>984</v>
      </c>
      <c r="C147" s="521" t="s">
        <v>985</v>
      </c>
      <c r="D147" s="519"/>
      <c r="E147" s="223" t="s">
        <v>160</v>
      </c>
      <c r="F147" s="233">
        <v>27.2</v>
      </c>
      <c r="G147" s="311">
        <v>0</v>
      </c>
      <c r="H147" s="233">
        <f>F147*AM147</f>
        <v>0</v>
      </c>
      <c r="I147" s="233">
        <f>F147*AN147</f>
        <v>0</v>
      </c>
      <c r="J147" s="233">
        <f>F147*G147</f>
        <v>0</v>
      </c>
      <c r="K147" s="233">
        <v>0</v>
      </c>
      <c r="L147" s="233">
        <f>F147*K147</f>
        <v>0</v>
      </c>
      <c r="M147" s="240" t="s">
        <v>472</v>
      </c>
      <c r="X147" s="233">
        <f>IF(AO147="5",BH147,0)</f>
        <v>0</v>
      </c>
      <c r="Z147" s="233">
        <f>IF(AO147="1",BF147,0)</f>
        <v>0</v>
      </c>
      <c r="AA147" s="233">
        <f>IF(AO147="1",BG147,0)</f>
        <v>0</v>
      </c>
      <c r="AB147" s="233">
        <f>IF(AO147="7",BF147,0)</f>
        <v>0</v>
      </c>
      <c r="AC147" s="233">
        <f>IF(AO147="7",BG147,0)</f>
        <v>0</v>
      </c>
      <c r="AD147" s="233">
        <f>IF(AO147="2",BF147,0)</f>
        <v>0</v>
      </c>
      <c r="AE147" s="233">
        <f>IF(AO147="2",BG147,0)</f>
        <v>0</v>
      </c>
      <c r="AF147" s="233">
        <f>IF(AO147="0",BH147,0)</f>
        <v>0</v>
      </c>
      <c r="AG147" s="229" t="s">
        <v>154</v>
      </c>
      <c r="AH147" s="233">
        <f>IF(AL147=0,J147,0)</f>
        <v>0</v>
      </c>
      <c r="AI147" s="233">
        <f>IF(AL147=15,J147,0)</f>
        <v>0</v>
      </c>
      <c r="AJ147" s="233">
        <f>IF(AL147=21,J147,0)</f>
        <v>0</v>
      </c>
      <c r="AL147" s="233">
        <v>15</v>
      </c>
      <c r="AM147" s="233">
        <f>G147*0.006184577</f>
        <v>0</v>
      </c>
      <c r="AN147" s="233">
        <f>G147*(1-0.006184577)</f>
        <v>0</v>
      </c>
      <c r="AO147" s="234" t="s">
        <v>157</v>
      </c>
      <c r="AT147" s="233">
        <f>AU147+AV147</f>
        <v>0</v>
      </c>
      <c r="AU147" s="233">
        <f>F147*AM147</f>
        <v>0</v>
      </c>
      <c r="AV147" s="233">
        <f>F147*AN147</f>
        <v>0</v>
      </c>
      <c r="AW147" s="234" t="s">
        <v>366</v>
      </c>
      <c r="AX147" s="234" t="s">
        <v>356</v>
      </c>
      <c r="AY147" s="229" t="s">
        <v>164</v>
      </c>
      <c r="BA147" s="233">
        <f>AU147+AV147</f>
        <v>0</v>
      </c>
      <c r="BB147" s="233">
        <f>G147/(100-BC147)*100</f>
        <v>0</v>
      </c>
      <c r="BC147" s="233">
        <v>0</v>
      </c>
      <c r="BD147" s="233">
        <f>L147</f>
        <v>0</v>
      </c>
      <c r="BF147" s="233">
        <f>F147*AM147</f>
        <v>0</v>
      </c>
      <c r="BG147" s="233">
        <f>F147*AN147</f>
        <v>0</v>
      </c>
      <c r="BH147" s="233">
        <f>F147*G147</f>
        <v>0</v>
      </c>
      <c r="BI147" s="233"/>
      <c r="BJ147" s="233">
        <v>89</v>
      </c>
      <c r="BU147" s="233" t="e">
        <f>#REF!</f>
        <v>#REF!</v>
      </c>
      <c r="BV147" s="225" t="s">
        <v>985</v>
      </c>
    </row>
    <row r="148" spans="1:74" ht="40.5" customHeight="1" x14ac:dyDescent="0.3">
      <c r="A148" s="241"/>
      <c r="B148" s="242" t="s">
        <v>165</v>
      </c>
      <c r="C148" s="530" t="s">
        <v>2255</v>
      </c>
      <c r="D148" s="531"/>
      <c r="E148" s="531"/>
      <c r="F148" s="531"/>
      <c r="G148" s="531"/>
      <c r="H148" s="531"/>
      <c r="I148" s="531"/>
      <c r="J148" s="531"/>
      <c r="K148" s="531"/>
      <c r="L148" s="531"/>
      <c r="M148" s="532"/>
    </row>
    <row r="149" spans="1:74" ht="14.4" x14ac:dyDescent="0.3">
      <c r="A149" s="239" t="s">
        <v>396</v>
      </c>
      <c r="B149" s="223" t="s">
        <v>922</v>
      </c>
      <c r="C149" s="521" t="s">
        <v>923</v>
      </c>
      <c r="D149" s="519"/>
      <c r="E149" s="223" t="s">
        <v>924</v>
      </c>
      <c r="F149" s="233">
        <v>2</v>
      </c>
      <c r="G149" s="311">
        <v>0</v>
      </c>
      <c r="H149" s="233">
        <f>F149*AM149</f>
        <v>0</v>
      </c>
      <c r="I149" s="233">
        <f>F149*AN149</f>
        <v>0</v>
      </c>
      <c r="J149" s="233">
        <f>F149*G149</f>
        <v>0</v>
      </c>
      <c r="K149" s="233">
        <v>4.0999999999999999E-4</v>
      </c>
      <c r="L149" s="233">
        <f>F149*K149</f>
        <v>8.1999999999999998E-4</v>
      </c>
      <c r="M149" s="240" t="s">
        <v>472</v>
      </c>
      <c r="X149" s="233">
        <f>IF(AO149="5",BH149,0)</f>
        <v>0</v>
      </c>
      <c r="Z149" s="233">
        <f>IF(AO149="1",BF149,0)</f>
        <v>0</v>
      </c>
      <c r="AA149" s="233">
        <f>IF(AO149="1",BG149,0)</f>
        <v>0</v>
      </c>
      <c r="AB149" s="233">
        <f>IF(AO149="7",BF149,0)</f>
        <v>0</v>
      </c>
      <c r="AC149" s="233">
        <f>IF(AO149="7",BG149,0)</f>
        <v>0</v>
      </c>
      <c r="AD149" s="233">
        <f>IF(AO149="2",BF149,0)</f>
        <v>0</v>
      </c>
      <c r="AE149" s="233">
        <f>IF(AO149="2",BG149,0)</f>
        <v>0</v>
      </c>
      <c r="AF149" s="233">
        <f>IF(AO149="0",BH149,0)</f>
        <v>0</v>
      </c>
      <c r="AG149" s="229" t="s">
        <v>154</v>
      </c>
      <c r="AH149" s="233">
        <f>IF(AL149=0,J149,0)</f>
        <v>0</v>
      </c>
      <c r="AI149" s="233">
        <f>IF(AL149=15,J149,0)</f>
        <v>0</v>
      </c>
      <c r="AJ149" s="233">
        <f>IF(AL149=21,J149,0)</f>
        <v>0</v>
      </c>
      <c r="AL149" s="233">
        <v>15</v>
      </c>
      <c r="AM149" s="233">
        <f>G149*0.118974717</f>
        <v>0</v>
      </c>
      <c r="AN149" s="233">
        <f>G149*(1-0.118974717)</f>
        <v>0</v>
      </c>
      <c r="AO149" s="234" t="s">
        <v>157</v>
      </c>
      <c r="AT149" s="233">
        <f>AU149+AV149</f>
        <v>0</v>
      </c>
      <c r="AU149" s="233">
        <f>F149*AM149</f>
        <v>0</v>
      </c>
      <c r="AV149" s="233">
        <f>F149*AN149</f>
        <v>0</v>
      </c>
      <c r="AW149" s="234" t="s">
        <v>366</v>
      </c>
      <c r="AX149" s="234" t="s">
        <v>356</v>
      </c>
      <c r="AY149" s="229" t="s">
        <v>164</v>
      </c>
      <c r="BA149" s="233">
        <f>AU149+AV149</f>
        <v>0</v>
      </c>
      <c r="BB149" s="233">
        <f>G149/(100-BC149)*100</f>
        <v>0</v>
      </c>
      <c r="BC149" s="233">
        <v>0</v>
      </c>
      <c r="BD149" s="233">
        <f>L149</f>
        <v>8.1999999999999998E-4</v>
      </c>
      <c r="BF149" s="233">
        <f>F149*AM149</f>
        <v>0</v>
      </c>
      <c r="BG149" s="233">
        <f>F149*AN149</f>
        <v>0</v>
      </c>
      <c r="BH149" s="233">
        <f>F149*G149</f>
        <v>0</v>
      </c>
      <c r="BI149" s="233"/>
      <c r="BJ149" s="233">
        <v>89</v>
      </c>
      <c r="BU149" s="233" t="e">
        <f>#REF!</f>
        <v>#REF!</v>
      </c>
      <c r="BV149" s="225" t="s">
        <v>923</v>
      </c>
    </row>
    <row r="150" spans="1:74" ht="40.5" customHeight="1" x14ac:dyDescent="0.3">
      <c r="A150" s="241"/>
      <c r="B150" s="242" t="s">
        <v>165</v>
      </c>
      <c r="C150" s="530" t="s">
        <v>1989</v>
      </c>
      <c r="D150" s="531"/>
      <c r="E150" s="531"/>
      <c r="F150" s="531"/>
      <c r="G150" s="531"/>
      <c r="H150" s="531"/>
      <c r="I150" s="531"/>
      <c r="J150" s="531"/>
      <c r="K150" s="531"/>
      <c r="L150" s="531"/>
      <c r="M150" s="532"/>
    </row>
    <row r="151" spans="1:74" ht="14.4" x14ac:dyDescent="0.3">
      <c r="A151" s="239" t="s">
        <v>401</v>
      </c>
      <c r="B151" s="223" t="s">
        <v>2256</v>
      </c>
      <c r="C151" s="521" t="s">
        <v>2257</v>
      </c>
      <c r="D151" s="519"/>
      <c r="E151" s="223" t="s">
        <v>160</v>
      </c>
      <c r="F151" s="233">
        <v>27.2</v>
      </c>
      <c r="G151" s="311">
        <v>0</v>
      </c>
      <c r="H151" s="233">
        <f>F151*AM151</f>
        <v>0</v>
      </c>
      <c r="I151" s="233">
        <f>F151*AN151</f>
        <v>0</v>
      </c>
      <c r="J151" s="233">
        <f>F151*G151</f>
        <v>0</v>
      </c>
      <c r="K151" s="233">
        <v>0</v>
      </c>
      <c r="L151" s="233">
        <f>F151*K151</f>
        <v>0</v>
      </c>
      <c r="M151" s="240" t="s">
        <v>472</v>
      </c>
      <c r="X151" s="233">
        <f>IF(AO151="5",BH151,0)</f>
        <v>0</v>
      </c>
      <c r="Z151" s="233">
        <f>IF(AO151="1",BF151,0)</f>
        <v>0</v>
      </c>
      <c r="AA151" s="233">
        <f>IF(AO151="1",BG151,0)</f>
        <v>0</v>
      </c>
      <c r="AB151" s="233">
        <f>IF(AO151="7",BF151,0)</f>
        <v>0</v>
      </c>
      <c r="AC151" s="233">
        <f>IF(AO151="7",BG151,0)</f>
        <v>0</v>
      </c>
      <c r="AD151" s="233">
        <f>IF(AO151="2",BF151,0)</f>
        <v>0</v>
      </c>
      <c r="AE151" s="233">
        <f>IF(AO151="2",BG151,0)</f>
        <v>0</v>
      </c>
      <c r="AF151" s="233">
        <f>IF(AO151="0",BH151,0)</f>
        <v>0</v>
      </c>
      <c r="AG151" s="229" t="s">
        <v>154</v>
      </c>
      <c r="AH151" s="233">
        <f>IF(AL151=0,J151,0)</f>
        <v>0</v>
      </c>
      <c r="AI151" s="233">
        <f>IF(AL151=15,J151,0)</f>
        <v>0</v>
      </c>
      <c r="AJ151" s="233">
        <f>IF(AL151=21,J151,0)</f>
        <v>0</v>
      </c>
      <c r="AL151" s="233">
        <v>15</v>
      </c>
      <c r="AM151" s="233">
        <f>G151*0.204050675</f>
        <v>0</v>
      </c>
      <c r="AN151" s="233">
        <f>G151*(1-0.204050675)</f>
        <v>0</v>
      </c>
      <c r="AO151" s="234" t="s">
        <v>157</v>
      </c>
      <c r="AT151" s="233">
        <f>AU151+AV151</f>
        <v>0</v>
      </c>
      <c r="AU151" s="233">
        <f>F151*AM151</f>
        <v>0</v>
      </c>
      <c r="AV151" s="233">
        <f>F151*AN151</f>
        <v>0</v>
      </c>
      <c r="AW151" s="234" t="s">
        <v>366</v>
      </c>
      <c r="AX151" s="234" t="s">
        <v>356</v>
      </c>
      <c r="AY151" s="229" t="s">
        <v>164</v>
      </c>
      <c r="BA151" s="233">
        <f>AU151+AV151</f>
        <v>0</v>
      </c>
      <c r="BB151" s="233">
        <f>G151/(100-BC151)*100</f>
        <v>0</v>
      </c>
      <c r="BC151" s="233">
        <v>0</v>
      </c>
      <c r="BD151" s="233">
        <f>L151</f>
        <v>0</v>
      </c>
      <c r="BF151" s="233">
        <f>F151*AM151</f>
        <v>0</v>
      </c>
      <c r="BG151" s="233">
        <f>F151*AN151</f>
        <v>0</v>
      </c>
      <c r="BH151" s="233">
        <f>F151*G151</f>
        <v>0</v>
      </c>
      <c r="BI151" s="233"/>
      <c r="BJ151" s="233">
        <v>89</v>
      </c>
      <c r="BU151" s="233" t="e">
        <f>#REF!</f>
        <v>#REF!</v>
      </c>
      <c r="BV151" s="225" t="s">
        <v>2257</v>
      </c>
    </row>
    <row r="152" spans="1:74" ht="40.5" customHeight="1" x14ac:dyDescent="0.3">
      <c r="A152" s="241"/>
      <c r="B152" s="242" t="s">
        <v>165</v>
      </c>
      <c r="C152" s="530" t="s">
        <v>2258</v>
      </c>
      <c r="D152" s="531"/>
      <c r="E152" s="531"/>
      <c r="F152" s="531"/>
      <c r="G152" s="531"/>
      <c r="H152" s="531"/>
      <c r="I152" s="531"/>
      <c r="J152" s="531"/>
      <c r="K152" s="531"/>
      <c r="L152" s="531"/>
      <c r="M152" s="532"/>
    </row>
    <row r="153" spans="1:74" ht="14.4" x14ac:dyDescent="0.3">
      <c r="A153" s="239" t="s">
        <v>405</v>
      </c>
      <c r="B153" s="223" t="s">
        <v>986</v>
      </c>
      <c r="C153" s="521" t="s">
        <v>987</v>
      </c>
      <c r="D153" s="519"/>
      <c r="E153" s="223" t="s">
        <v>160</v>
      </c>
      <c r="F153" s="233">
        <v>27.2</v>
      </c>
      <c r="G153" s="311">
        <v>0</v>
      </c>
      <c r="H153" s="233">
        <f>F153*AM153</f>
        <v>0</v>
      </c>
      <c r="I153" s="233">
        <f>F153*AN153</f>
        <v>0</v>
      </c>
      <c r="J153" s="233">
        <f>F153*G153</f>
        <v>0</v>
      </c>
      <c r="K153" s="233">
        <v>0</v>
      </c>
      <c r="L153" s="233">
        <f>F153*K153</f>
        <v>0</v>
      </c>
      <c r="M153" s="240" t="s">
        <v>472</v>
      </c>
      <c r="X153" s="233">
        <f>IF(AO153="5",BH153,0)</f>
        <v>0</v>
      </c>
      <c r="Z153" s="233">
        <f>IF(AO153="1",BF153,0)</f>
        <v>0</v>
      </c>
      <c r="AA153" s="233">
        <f>IF(AO153="1",BG153,0)</f>
        <v>0</v>
      </c>
      <c r="AB153" s="233">
        <f>IF(AO153="7",BF153,0)</f>
        <v>0</v>
      </c>
      <c r="AC153" s="233">
        <f>IF(AO153="7",BG153,0)</f>
        <v>0</v>
      </c>
      <c r="AD153" s="233">
        <f>IF(AO153="2",BF153,0)</f>
        <v>0</v>
      </c>
      <c r="AE153" s="233">
        <f>IF(AO153="2",BG153,0)</f>
        <v>0</v>
      </c>
      <c r="AF153" s="233">
        <f>IF(AO153="0",BH153,0)</f>
        <v>0</v>
      </c>
      <c r="AG153" s="229" t="s">
        <v>154</v>
      </c>
      <c r="AH153" s="233">
        <f>IF(AL153=0,J153,0)</f>
        <v>0</v>
      </c>
      <c r="AI153" s="233">
        <f>IF(AL153=15,J153,0)</f>
        <v>0</v>
      </c>
      <c r="AJ153" s="233">
        <f>IF(AL153=21,J153,0)</f>
        <v>0</v>
      </c>
      <c r="AL153" s="233">
        <v>15</v>
      </c>
      <c r="AM153" s="233">
        <f>G153*0</f>
        <v>0</v>
      </c>
      <c r="AN153" s="233">
        <f>G153*(1-0)</f>
        <v>0</v>
      </c>
      <c r="AO153" s="234" t="s">
        <v>157</v>
      </c>
      <c r="AT153" s="233">
        <f>AU153+AV153</f>
        <v>0</v>
      </c>
      <c r="AU153" s="233">
        <f>F153*AM153</f>
        <v>0</v>
      </c>
      <c r="AV153" s="233">
        <f>F153*AN153</f>
        <v>0</v>
      </c>
      <c r="AW153" s="234" t="s">
        <v>366</v>
      </c>
      <c r="AX153" s="234" t="s">
        <v>356</v>
      </c>
      <c r="AY153" s="229" t="s">
        <v>164</v>
      </c>
      <c r="BA153" s="233">
        <f>AU153+AV153</f>
        <v>0</v>
      </c>
      <c r="BB153" s="233">
        <f>G153/(100-BC153)*100</f>
        <v>0</v>
      </c>
      <c r="BC153" s="233">
        <v>0</v>
      </c>
      <c r="BD153" s="233">
        <f>L153</f>
        <v>0</v>
      </c>
      <c r="BF153" s="233">
        <f>F153*AM153</f>
        <v>0</v>
      </c>
      <c r="BG153" s="233">
        <f>F153*AN153</f>
        <v>0</v>
      </c>
      <c r="BH153" s="233">
        <f>F153*G153</f>
        <v>0</v>
      </c>
      <c r="BI153" s="233"/>
      <c r="BJ153" s="233">
        <v>89</v>
      </c>
      <c r="BU153" s="233" t="e">
        <f>#REF!</f>
        <v>#REF!</v>
      </c>
      <c r="BV153" s="225" t="s">
        <v>987</v>
      </c>
    </row>
    <row r="154" spans="1:74" ht="40.5" customHeight="1" x14ac:dyDescent="0.3">
      <c r="A154" s="241"/>
      <c r="B154" s="242" t="s">
        <v>165</v>
      </c>
      <c r="C154" s="530" t="s">
        <v>2259</v>
      </c>
      <c r="D154" s="531"/>
      <c r="E154" s="531"/>
      <c r="F154" s="531"/>
      <c r="G154" s="531"/>
      <c r="H154" s="531"/>
      <c r="I154" s="531"/>
      <c r="J154" s="531"/>
      <c r="K154" s="531"/>
      <c r="L154" s="531"/>
      <c r="M154" s="532"/>
    </row>
    <row r="155" spans="1:74" ht="14.4" x14ac:dyDescent="0.3">
      <c r="A155" s="239" t="s">
        <v>408</v>
      </c>
      <c r="B155" s="223" t="s">
        <v>438</v>
      </c>
      <c r="C155" s="521" t="s">
        <v>439</v>
      </c>
      <c r="D155" s="519"/>
      <c r="E155" s="223" t="s">
        <v>160</v>
      </c>
      <c r="F155" s="233">
        <v>29.92</v>
      </c>
      <c r="G155" s="311">
        <v>0</v>
      </c>
      <c r="H155" s="233">
        <f>F155*AM155</f>
        <v>0</v>
      </c>
      <c r="I155" s="233">
        <f>F155*AN155</f>
        <v>0</v>
      </c>
      <c r="J155" s="233">
        <f>F155*G155</f>
        <v>0</v>
      </c>
      <c r="K155" s="233">
        <v>0</v>
      </c>
      <c r="L155" s="233">
        <f>F155*K155</f>
        <v>0</v>
      </c>
      <c r="M155" s="240" t="s">
        <v>472</v>
      </c>
      <c r="X155" s="233">
        <f>IF(AO155="5",BH155,0)</f>
        <v>0</v>
      </c>
      <c r="Z155" s="233">
        <f>IF(AO155="1",BF155,0)</f>
        <v>0</v>
      </c>
      <c r="AA155" s="233">
        <f>IF(AO155="1",BG155,0)</f>
        <v>0</v>
      </c>
      <c r="AB155" s="233">
        <f>IF(AO155="7",BF155,0)</f>
        <v>0</v>
      </c>
      <c r="AC155" s="233">
        <f>IF(AO155="7",BG155,0)</f>
        <v>0</v>
      </c>
      <c r="AD155" s="233">
        <f>IF(AO155="2",BF155,0)</f>
        <v>0</v>
      </c>
      <c r="AE155" s="233">
        <f>IF(AO155="2",BG155,0)</f>
        <v>0</v>
      </c>
      <c r="AF155" s="233">
        <f>IF(AO155="0",BH155,0)</f>
        <v>0</v>
      </c>
      <c r="AG155" s="229" t="s">
        <v>154</v>
      </c>
      <c r="AH155" s="233">
        <f>IF(AL155=0,J155,0)</f>
        <v>0</v>
      </c>
      <c r="AI155" s="233">
        <f>IF(AL155=15,J155,0)</f>
        <v>0</v>
      </c>
      <c r="AJ155" s="233">
        <f>IF(AL155=21,J155,0)</f>
        <v>0</v>
      </c>
      <c r="AL155" s="233">
        <v>15</v>
      </c>
      <c r="AM155" s="233">
        <f>G155*0.352775758</f>
        <v>0</v>
      </c>
      <c r="AN155" s="233">
        <f>G155*(1-0.352775758)</f>
        <v>0</v>
      </c>
      <c r="AO155" s="234" t="s">
        <v>157</v>
      </c>
      <c r="AT155" s="233">
        <f>AU155+AV155</f>
        <v>0</v>
      </c>
      <c r="AU155" s="233">
        <f>F155*AM155</f>
        <v>0</v>
      </c>
      <c r="AV155" s="233">
        <f>F155*AN155</f>
        <v>0</v>
      </c>
      <c r="AW155" s="234" t="s">
        <v>366</v>
      </c>
      <c r="AX155" s="234" t="s">
        <v>356</v>
      </c>
      <c r="AY155" s="229" t="s">
        <v>164</v>
      </c>
      <c r="BA155" s="233">
        <f>AU155+AV155</f>
        <v>0</v>
      </c>
      <c r="BB155" s="233">
        <f>G155/(100-BC155)*100</f>
        <v>0</v>
      </c>
      <c r="BC155" s="233">
        <v>0</v>
      </c>
      <c r="BD155" s="233">
        <f>L155</f>
        <v>0</v>
      </c>
      <c r="BF155" s="233">
        <f>F155*AM155</f>
        <v>0</v>
      </c>
      <c r="BG155" s="233">
        <f>F155*AN155</f>
        <v>0</v>
      </c>
      <c r="BH155" s="233">
        <f>F155*G155</f>
        <v>0</v>
      </c>
      <c r="BI155" s="233"/>
      <c r="BJ155" s="233">
        <v>89</v>
      </c>
      <c r="BU155" s="233" t="e">
        <f>#REF!</f>
        <v>#REF!</v>
      </c>
      <c r="BV155" s="225" t="s">
        <v>439</v>
      </c>
    </row>
    <row r="156" spans="1:74" ht="40.5" customHeight="1" x14ac:dyDescent="0.3">
      <c r="A156" s="241"/>
      <c r="B156" s="242" t="s">
        <v>165</v>
      </c>
      <c r="C156" s="530" t="s">
        <v>2260</v>
      </c>
      <c r="D156" s="531"/>
      <c r="E156" s="531"/>
      <c r="F156" s="531"/>
      <c r="G156" s="531"/>
      <c r="H156" s="531"/>
      <c r="I156" s="531"/>
      <c r="J156" s="531"/>
      <c r="K156" s="531"/>
      <c r="L156" s="531"/>
      <c r="M156" s="532"/>
    </row>
    <row r="157" spans="1:74" ht="14.4" x14ac:dyDescent="0.3">
      <c r="A157" s="239" t="s">
        <v>154</v>
      </c>
      <c r="B157" s="224" t="s">
        <v>370</v>
      </c>
      <c r="C157" s="526" t="s">
        <v>371</v>
      </c>
      <c r="D157" s="527"/>
      <c r="E157" s="223" t="s">
        <v>114</v>
      </c>
      <c r="F157" s="223" t="s">
        <v>114</v>
      </c>
      <c r="G157" s="223" t="s">
        <v>114</v>
      </c>
      <c r="H157" s="235">
        <f>SUM(H158:H158)</f>
        <v>0</v>
      </c>
      <c r="I157" s="235">
        <f>SUM(I158:I158)</f>
        <v>0</v>
      </c>
      <c r="J157" s="235">
        <f>SUM(J158:J158)</f>
        <v>0</v>
      </c>
      <c r="K157" s="230" t="s">
        <v>154</v>
      </c>
      <c r="L157" s="235">
        <f>SUM(L158:L158)</f>
        <v>1.9039999999999998E-2</v>
      </c>
      <c r="M157" s="243" t="s">
        <v>154</v>
      </c>
      <c r="AG157" s="229" t="s">
        <v>154</v>
      </c>
      <c r="AQ157" s="222">
        <f>SUM(AH158:AH158)</f>
        <v>0</v>
      </c>
      <c r="AR157" s="222">
        <f>SUM(AI158:AI158)</f>
        <v>0</v>
      </c>
      <c r="AS157" s="222">
        <f>SUM(AJ158:AJ158)</f>
        <v>0</v>
      </c>
    </row>
    <row r="158" spans="1:74" ht="14.4" x14ac:dyDescent="0.3">
      <c r="A158" s="239" t="s">
        <v>413</v>
      </c>
      <c r="B158" s="223" t="s">
        <v>372</v>
      </c>
      <c r="C158" s="521" t="s">
        <v>373</v>
      </c>
      <c r="D158" s="519"/>
      <c r="E158" s="223" t="s">
        <v>160</v>
      </c>
      <c r="F158" s="233">
        <v>27.2</v>
      </c>
      <c r="G158" s="311">
        <v>0</v>
      </c>
      <c r="H158" s="233">
        <f>F158*AM158</f>
        <v>0</v>
      </c>
      <c r="I158" s="233">
        <f>F158*AN158</f>
        <v>0</v>
      </c>
      <c r="J158" s="233">
        <f>F158*G158</f>
        <v>0</v>
      </c>
      <c r="K158" s="233">
        <v>6.9999999999999999E-4</v>
      </c>
      <c r="L158" s="233">
        <f>F158*K158</f>
        <v>1.9039999999999998E-2</v>
      </c>
      <c r="M158" s="240" t="s">
        <v>472</v>
      </c>
      <c r="X158" s="233">
        <f>IF(AO158="5",BH158,0)</f>
        <v>0</v>
      </c>
      <c r="Z158" s="233">
        <f>IF(AO158="1",BF158,0)</f>
        <v>0</v>
      </c>
      <c r="AA158" s="233">
        <f>IF(AO158="1",BG158,0)</f>
        <v>0</v>
      </c>
      <c r="AB158" s="233">
        <f>IF(AO158="7",BF158,0)</f>
        <v>0</v>
      </c>
      <c r="AC158" s="233">
        <f>IF(AO158="7",BG158,0)</f>
        <v>0</v>
      </c>
      <c r="AD158" s="233">
        <f>IF(AO158="2",BF158,0)</f>
        <v>0</v>
      </c>
      <c r="AE158" s="233">
        <f>IF(AO158="2",BG158,0)</f>
        <v>0</v>
      </c>
      <c r="AF158" s="233">
        <f>IF(AO158="0",BH158,0)</f>
        <v>0</v>
      </c>
      <c r="AG158" s="229" t="s">
        <v>154</v>
      </c>
      <c r="AH158" s="233">
        <f>IF(AL158=0,J158,0)</f>
        <v>0</v>
      </c>
      <c r="AI158" s="233">
        <f>IF(AL158=15,J158,0)</f>
        <v>0</v>
      </c>
      <c r="AJ158" s="233">
        <f>IF(AL158=21,J158,0)</f>
        <v>0</v>
      </c>
      <c r="AL158" s="233">
        <v>15</v>
      </c>
      <c r="AM158" s="233">
        <f>G158*0.095652174</f>
        <v>0</v>
      </c>
      <c r="AN158" s="233">
        <f>G158*(1-0.095652174)</f>
        <v>0</v>
      </c>
      <c r="AO158" s="234" t="s">
        <v>157</v>
      </c>
      <c r="AT158" s="233">
        <f>AU158+AV158</f>
        <v>0</v>
      </c>
      <c r="AU158" s="233">
        <f>F158*AM158</f>
        <v>0</v>
      </c>
      <c r="AV158" s="233">
        <f>F158*AN158</f>
        <v>0</v>
      </c>
      <c r="AW158" s="234" t="s">
        <v>374</v>
      </c>
      <c r="AX158" s="234" t="s">
        <v>375</v>
      </c>
      <c r="AY158" s="229" t="s">
        <v>164</v>
      </c>
      <c r="BA158" s="233">
        <f>AU158+AV158</f>
        <v>0</v>
      </c>
      <c r="BB158" s="233">
        <f>G158/(100-BC158)*100</f>
        <v>0</v>
      </c>
      <c r="BC158" s="233">
        <v>0</v>
      </c>
      <c r="BD158" s="233">
        <f>L158</f>
        <v>1.9039999999999998E-2</v>
      </c>
      <c r="BF158" s="233">
        <f>F158*AM158</f>
        <v>0</v>
      </c>
      <c r="BG158" s="233">
        <f>F158*AN158</f>
        <v>0</v>
      </c>
      <c r="BH158" s="233">
        <f>F158*G158</f>
        <v>0</v>
      </c>
      <c r="BI158" s="233"/>
      <c r="BJ158" s="233">
        <v>93</v>
      </c>
      <c r="BU158" s="233" t="e">
        <f>#REF!</f>
        <v>#REF!</v>
      </c>
      <c r="BV158" s="225" t="s">
        <v>373</v>
      </c>
    </row>
    <row r="159" spans="1:74" ht="40.5" customHeight="1" x14ac:dyDescent="0.3">
      <c r="A159" s="241"/>
      <c r="B159" s="242" t="s">
        <v>165</v>
      </c>
      <c r="C159" s="530" t="s">
        <v>2261</v>
      </c>
      <c r="D159" s="531"/>
      <c r="E159" s="531"/>
      <c r="F159" s="531"/>
      <c r="G159" s="531"/>
      <c r="H159" s="531"/>
      <c r="I159" s="531"/>
      <c r="J159" s="531"/>
      <c r="K159" s="531"/>
      <c r="L159" s="531"/>
      <c r="M159" s="532"/>
    </row>
    <row r="160" spans="1:74" ht="14.4" x14ac:dyDescent="0.3">
      <c r="A160" s="239" t="s">
        <v>154</v>
      </c>
      <c r="B160" s="224" t="s">
        <v>620</v>
      </c>
      <c r="C160" s="526" t="s">
        <v>2262</v>
      </c>
      <c r="D160" s="527"/>
      <c r="E160" s="223" t="s">
        <v>114</v>
      </c>
      <c r="F160" s="223" t="s">
        <v>114</v>
      </c>
      <c r="G160" s="223" t="s">
        <v>114</v>
      </c>
      <c r="H160" s="235">
        <f>SUM(H161:H163)</f>
        <v>0</v>
      </c>
      <c r="I160" s="235">
        <f>SUM(I161:I163)</f>
        <v>0</v>
      </c>
      <c r="J160" s="235">
        <f>SUM(J161:J163)</f>
        <v>0</v>
      </c>
      <c r="K160" s="230" t="s">
        <v>154</v>
      </c>
      <c r="L160" s="235">
        <f>SUM(L161:L163)</f>
        <v>4.5051119999999996</v>
      </c>
      <c r="M160" s="243" t="s">
        <v>154</v>
      </c>
      <c r="AG160" s="229" t="s">
        <v>154</v>
      </c>
      <c r="AQ160" s="222">
        <f>SUM(AH161:AH163)</f>
        <v>0</v>
      </c>
      <c r="AR160" s="222">
        <f>SUM(AI161:AI163)</f>
        <v>0</v>
      </c>
      <c r="AS160" s="222">
        <f>SUM(AJ161:AJ163)</f>
        <v>0</v>
      </c>
    </row>
    <row r="161" spans="1:74" ht="14.4" x14ac:dyDescent="0.3">
      <c r="A161" s="239" t="s">
        <v>419</v>
      </c>
      <c r="B161" s="223" t="s">
        <v>2263</v>
      </c>
      <c r="C161" s="521" t="s">
        <v>2264</v>
      </c>
      <c r="D161" s="519"/>
      <c r="E161" s="223" t="s">
        <v>160</v>
      </c>
      <c r="F161" s="233">
        <v>27.2</v>
      </c>
      <c r="G161" s="311">
        <v>0</v>
      </c>
      <c r="H161" s="233">
        <f>F161*AM161</f>
        <v>0</v>
      </c>
      <c r="I161" s="233">
        <f>F161*AN161</f>
        <v>0</v>
      </c>
      <c r="J161" s="233">
        <f>F161*G161</f>
        <v>0</v>
      </c>
      <c r="K161" s="233">
        <v>9.3590000000000007E-2</v>
      </c>
      <c r="L161" s="233">
        <f>F161*K161</f>
        <v>2.5456479999999999</v>
      </c>
      <c r="M161" s="240" t="s">
        <v>472</v>
      </c>
      <c r="X161" s="233">
        <f>IF(AO161="5",BH161,0)</f>
        <v>0</v>
      </c>
      <c r="Z161" s="233">
        <f>IF(AO161="1",BF161,0)</f>
        <v>0</v>
      </c>
      <c r="AA161" s="233">
        <f>IF(AO161="1",BG161,0)</f>
        <v>0</v>
      </c>
      <c r="AB161" s="233">
        <f>IF(AO161="7",BF161,0)</f>
        <v>0</v>
      </c>
      <c r="AC161" s="233">
        <f>IF(AO161="7",BG161,0)</f>
        <v>0</v>
      </c>
      <c r="AD161" s="233">
        <f>IF(AO161="2",BF161,0)</f>
        <v>0</v>
      </c>
      <c r="AE161" s="233">
        <f>IF(AO161="2",BG161,0)</f>
        <v>0</v>
      </c>
      <c r="AF161" s="233">
        <f>IF(AO161="0",BH161,0)</f>
        <v>0</v>
      </c>
      <c r="AG161" s="229" t="s">
        <v>154</v>
      </c>
      <c r="AH161" s="233">
        <f>IF(AL161=0,J161,0)</f>
        <v>0</v>
      </c>
      <c r="AI161" s="233">
        <f>IF(AL161=15,J161,0)</f>
        <v>0</v>
      </c>
      <c r="AJ161" s="233">
        <f>IF(AL161=21,J161,0)</f>
        <v>0</v>
      </c>
      <c r="AL161" s="233">
        <v>15</v>
      </c>
      <c r="AM161" s="233">
        <f>G161*0.054863642</f>
        <v>0</v>
      </c>
      <c r="AN161" s="233">
        <f>G161*(1-0.054863642)</f>
        <v>0</v>
      </c>
      <c r="AO161" s="234" t="s">
        <v>157</v>
      </c>
      <c r="AT161" s="233">
        <f>AU161+AV161</f>
        <v>0</v>
      </c>
      <c r="AU161" s="233">
        <f>F161*AM161</f>
        <v>0</v>
      </c>
      <c r="AV161" s="233">
        <f>F161*AN161</f>
        <v>0</v>
      </c>
      <c r="AW161" s="234" t="s">
        <v>2265</v>
      </c>
      <c r="AX161" s="234" t="s">
        <v>375</v>
      </c>
      <c r="AY161" s="229" t="s">
        <v>164</v>
      </c>
      <c r="BA161" s="233">
        <f>AU161+AV161</f>
        <v>0</v>
      </c>
      <c r="BB161" s="233">
        <f>G161/(100-BC161)*100</f>
        <v>0</v>
      </c>
      <c r="BC161" s="233">
        <v>0</v>
      </c>
      <c r="BD161" s="233">
        <f>L161</f>
        <v>2.5456479999999999</v>
      </c>
      <c r="BF161" s="233">
        <f>F161*AM161</f>
        <v>0</v>
      </c>
      <c r="BG161" s="233">
        <f>F161*AN161</f>
        <v>0</v>
      </c>
      <c r="BH161" s="233">
        <f>F161*G161</f>
        <v>0</v>
      </c>
      <c r="BI161" s="233"/>
      <c r="BJ161" s="233">
        <v>96</v>
      </c>
      <c r="BU161" s="233" t="e">
        <f>#REF!</f>
        <v>#REF!</v>
      </c>
      <c r="BV161" s="225" t="s">
        <v>2264</v>
      </c>
    </row>
    <row r="162" spans="1:74" ht="40.5" customHeight="1" x14ac:dyDescent="0.3">
      <c r="A162" s="241"/>
      <c r="B162" s="242" t="s">
        <v>165</v>
      </c>
      <c r="C162" s="530" t="s">
        <v>2266</v>
      </c>
      <c r="D162" s="531"/>
      <c r="E162" s="531"/>
      <c r="F162" s="531"/>
      <c r="G162" s="531"/>
      <c r="H162" s="531"/>
      <c r="I162" s="531"/>
      <c r="J162" s="531"/>
      <c r="K162" s="531"/>
      <c r="L162" s="531"/>
      <c r="M162" s="532"/>
    </row>
    <row r="163" spans="1:74" ht="14.4" x14ac:dyDescent="0.3">
      <c r="A163" s="239" t="s">
        <v>548</v>
      </c>
      <c r="B163" s="223" t="s">
        <v>2267</v>
      </c>
      <c r="C163" s="521" t="s">
        <v>2268</v>
      </c>
      <c r="D163" s="519"/>
      <c r="E163" s="223" t="s">
        <v>196</v>
      </c>
      <c r="F163" s="233">
        <v>0.8</v>
      </c>
      <c r="G163" s="311">
        <v>0</v>
      </c>
      <c r="H163" s="233">
        <f>F163*AM163</f>
        <v>0</v>
      </c>
      <c r="I163" s="233">
        <f>F163*AN163</f>
        <v>0</v>
      </c>
      <c r="J163" s="233">
        <f>F163*G163</f>
        <v>0</v>
      </c>
      <c r="K163" s="233">
        <v>2.4493299999999998</v>
      </c>
      <c r="L163" s="233">
        <f>F163*K163</f>
        <v>1.9594639999999999</v>
      </c>
      <c r="M163" s="240" t="s">
        <v>472</v>
      </c>
      <c r="X163" s="233">
        <f>IF(AO163="5",BH163,0)</f>
        <v>0</v>
      </c>
      <c r="Z163" s="233">
        <f>IF(AO163="1",BF163,0)</f>
        <v>0</v>
      </c>
      <c r="AA163" s="233">
        <f>IF(AO163="1",BG163,0)</f>
        <v>0</v>
      </c>
      <c r="AB163" s="233">
        <f>IF(AO163="7",BF163,0)</f>
        <v>0</v>
      </c>
      <c r="AC163" s="233">
        <f>IF(AO163="7",BG163,0)</f>
        <v>0</v>
      </c>
      <c r="AD163" s="233">
        <f>IF(AO163="2",BF163,0)</f>
        <v>0</v>
      </c>
      <c r="AE163" s="233">
        <f>IF(AO163="2",BG163,0)</f>
        <v>0</v>
      </c>
      <c r="AF163" s="233">
        <f>IF(AO163="0",BH163,0)</f>
        <v>0</v>
      </c>
      <c r="AG163" s="229" t="s">
        <v>154</v>
      </c>
      <c r="AH163" s="233">
        <f>IF(AL163=0,J163,0)</f>
        <v>0</v>
      </c>
      <c r="AI163" s="233">
        <f>IF(AL163=15,J163,0)</f>
        <v>0</v>
      </c>
      <c r="AJ163" s="233">
        <f>IF(AL163=21,J163,0)</f>
        <v>0</v>
      </c>
      <c r="AL163" s="233">
        <v>15</v>
      </c>
      <c r="AM163" s="233">
        <f>G163*0.069003069</f>
        <v>0</v>
      </c>
      <c r="AN163" s="233">
        <f>G163*(1-0.069003069)</f>
        <v>0</v>
      </c>
      <c r="AO163" s="234" t="s">
        <v>157</v>
      </c>
      <c r="AT163" s="233">
        <f>AU163+AV163</f>
        <v>0</v>
      </c>
      <c r="AU163" s="233">
        <f>F163*AM163</f>
        <v>0</v>
      </c>
      <c r="AV163" s="233">
        <f>F163*AN163</f>
        <v>0</v>
      </c>
      <c r="AW163" s="234" t="s">
        <v>2265</v>
      </c>
      <c r="AX163" s="234" t="s">
        <v>375</v>
      </c>
      <c r="AY163" s="229" t="s">
        <v>164</v>
      </c>
      <c r="BA163" s="233">
        <f>AU163+AV163</f>
        <v>0</v>
      </c>
      <c r="BB163" s="233">
        <f>G163/(100-BC163)*100</f>
        <v>0</v>
      </c>
      <c r="BC163" s="233">
        <v>0</v>
      </c>
      <c r="BD163" s="233">
        <f>L163</f>
        <v>1.9594639999999999</v>
      </c>
      <c r="BF163" s="233">
        <f>F163*AM163</f>
        <v>0</v>
      </c>
      <c r="BG163" s="233">
        <f>F163*AN163</f>
        <v>0</v>
      </c>
      <c r="BH163" s="233">
        <f>F163*G163</f>
        <v>0</v>
      </c>
      <c r="BI163" s="233"/>
      <c r="BJ163" s="233">
        <v>96</v>
      </c>
      <c r="BU163" s="233" t="e">
        <f>#REF!</f>
        <v>#REF!</v>
      </c>
      <c r="BV163" s="225" t="s">
        <v>2268</v>
      </c>
    </row>
    <row r="164" spans="1:74" ht="40.5" customHeight="1" x14ac:dyDescent="0.3">
      <c r="A164" s="241"/>
      <c r="B164" s="242" t="s">
        <v>165</v>
      </c>
      <c r="C164" s="530" t="s">
        <v>2269</v>
      </c>
      <c r="D164" s="531"/>
      <c r="E164" s="531"/>
      <c r="F164" s="531"/>
      <c r="G164" s="531"/>
      <c r="H164" s="531"/>
      <c r="I164" s="531"/>
      <c r="J164" s="531"/>
      <c r="K164" s="531"/>
      <c r="L164" s="531"/>
      <c r="M164" s="532"/>
    </row>
    <row r="165" spans="1:74" ht="14.4" x14ac:dyDescent="0.3">
      <c r="A165" s="239" t="s">
        <v>154</v>
      </c>
      <c r="B165" s="224" t="s">
        <v>376</v>
      </c>
      <c r="C165" s="526" t="s">
        <v>377</v>
      </c>
      <c r="D165" s="527"/>
      <c r="E165" s="223" t="s">
        <v>114</v>
      </c>
      <c r="F165" s="223" t="s">
        <v>114</v>
      </c>
      <c r="G165" s="223" t="s">
        <v>114</v>
      </c>
      <c r="H165" s="235">
        <f>SUM(H166:H166)</f>
        <v>0</v>
      </c>
      <c r="I165" s="235">
        <f>SUM(I166:I166)</f>
        <v>0</v>
      </c>
      <c r="J165" s="235">
        <f>SUM(J166:J166)</f>
        <v>0</v>
      </c>
      <c r="K165" s="230" t="s">
        <v>154</v>
      </c>
      <c r="L165" s="235">
        <f>SUM(L166:L166)</f>
        <v>0</v>
      </c>
      <c r="M165" s="243" t="s">
        <v>154</v>
      </c>
      <c r="AG165" s="229" t="s">
        <v>154</v>
      </c>
      <c r="AQ165" s="222">
        <f>SUM(AH166:AH166)</f>
        <v>0</v>
      </c>
      <c r="AR165" s="222">
        <f>SUM(AI166:AI166)</f>
        <v>0</v>
      </c>
      <c r="AS165" s="222">
        <f>SUM(AJ166:AJ166)</f>
        <v>0</v>
      </c>
    </row>
    <row r="166" spans="1:74" ht="14.4" x14ac:dyDescent="0.3">
      <c r="A166" s="239" t="s">
        <v>551</v>
      </c>
      <c r="B166" s="223" t="s">
        <v>378</v>
      </c>
      <c r="C166" s="521" t="s">
        <v>379</v>
      </c>
      <c r="D166" s="519"/>
      <c r="E166" s="223" t="s">
        <v>380</v>
      </c>
      <c r="F166" s="233">
        <v>56.87</v>
      </c>
      <c r="G166" s="311">
        <v>0</v>
      </c>
      <c r="H166" s="233">
        <f>F166*AM166</f>
        <v>0</v>
      </c>
      <c r="I166" s="233">
        <f>F166*AN166</f>
        <v>0</v>
      </c>
      <c r="J166" s="233">
        <f>F166*G166</f>
        <v>0</v>
      </c>
      <c r="K166" s="233">
        <v>0</v>
      </c>
      <c r="L166" s="233">
        <f>F166*K166</f>
        <v>0</v>
      </c>
      <c r="M166" s="240" t="s">
        <v>472</v>
      </c>
      <c r="X166" s="233">
        <f>IF(AO166="5",BH166,0)</f>
        <v>0</v>
      </c>
      <c r="Z166" s="233">
        <f>IF(AO166="1",BF166,0)</f>
        <v>0</v>
      </c>
      <c r="AA166" s="233">
        <f>IF(AO166="1",BG166,0)</f>
        <v>0</v>
      </c>
      <c r="AB166" s="233">
        <f>IF(AO166="7",BF166,0)</f>
        <v>0</v>
      </c>
      <c r="AC166" s="233">
        <f>IF(AO166="7",BG166,0)</f>
        <v>0</v>
      </c>
      <c r="AD166" s="233">
        <f>IF(AO166="2",BF166,0)</f>
        <v>0</v>
      </c>
      <c r="AE166" s="233">
        <f>IF(AO166="2",BG166,0)</f>
        <v>0</v>
      </c>
      <c r="AF166" s="233">
        <f>IF(AO166="0",BH166,0)</f>
        <v>0</v>
      </c>
      <c r="AG166" s="229" t="s">
        <v>154</v>
      </c>
      <c r="AH166" s="233">
        <f>IF(AL166=0,J166,0)</f>
        <v>0</v>
      </c>
      <c r="AI166" s="233">
        <f>IF(AL166=15,J166,0)</f>
        <v>0</v>
      </c>
      <c r="AJ166" s="233">
        <f>IF(AL166=21,J166,0)</f>
        <v>0</v>
      </c>
      <c r="AL166" s="233">
        <v>15</v>
      </c>
      <c r="AM166" s="233">
        <f>G166*0</f>
        <v>0</v>
      </c>
      <c r="AN166" s="233">
        <f>G166*(1-0)</f>
        <v>0</v>
      </c>
      <c r="AO166" s="234" t="s">
        <v>157</v>
      </c>
      <c r="AT166" s="233">
        <f>AU166+AV166</f>
        <v>0</v>
      </c>
      <c r="AU166" s="233">
        <f>F166*AM166</f>
        <v>0</v>
      </c>
      <c r="AV166" s="233">
        <f>F166*AN166</f>
        <v>0</v>
      </c>
      <c r="AW166" s="234" t="s">
        <v>381</v>
      </c>
      <c r="AX166" s="234" t="s">
        <v>375</v>
      </c>
      <c r="AY166" s="229" t="s">
        <v>164</v>
      </c>
      <c r="BA166" s="233">
        <f>AU166+AV166</f>
        <v>0</v>
      </c>
      <c r="BB166" s="233">
        <f>G166/(100-BC166)*100</f>
        <v>0</v>
      </c>
      <c r="BC166" s="233">
        <v>0</v>
      </c>
      <c r="BD166" s="233">
        <f>L166</f>
        <v>0</v>
      </c>
      <c r="BF166" s="233">
        <f>F166*AM166</f>
        <v>0</v>
      </c>
      <c r="BG166" s="233">
        <f>F166*AN166</f>
        <v>0</v>
      </c>
      <c r="BH166" s="233">
        <f>F166*G166</f>
        <v>0</v>
      </c>
      <c r="BI166" s="233"/>
      <c r="BJ166" s="233">
        <v>97</v>
      </c>
      <c r="BU166" s="233" t="e">
        <f>#REF!</f>
        <v>#REF!</v>
      </c>
      <c r="BV166" s="225" t="s">
        <v>379</v>
      </c>
    </row>
    <row r="167" spans="1:74" ht="27" customHeight="1" x14ac:dyDescent="0.3">
      <c r="A167" s="241"/>
      <c r="B167" s="242" t="s">
        <v>165</v>
      </c>
      <c r="C167" s="530" t="s">
        <v>2270</v>
      </c>
      <c r="D167" s="531"/>
      <c r="E167" s="531"/>
      <c r="F167" s="531"/>
      <c r="G167" s="531"/>
      <c r="H167" s="531"/>
      <c r="I167" s="531"/>
      <c r="J167" s="531"/>
      <c r="K167" s="531"/>
      <c r="L167" s="531"/>
      <c r="M167" s="532"/>
    </row>
    <row r="168" spans="1:74" ht="14.4" x14ac:dyDescent="0.3">
      <c r="A168" s="239" t="s">
        <v>154</v>
      </c>
      <c r="B168" s="224" t="s">
        <v>382</v>
      </c>
      <c r="C168" s="526" t="s">
        <v>383</v>
      </c>
      <c r="D168" s="527"/>
      <c r="E168" s="223" t="s">
        <v>114</v>
      </c>
      <c r="F168" s="223" t="s">
        <v>114</v>
      </c>
      <c r="G168" s="223" t="s">
        <v>114</v>
      </c>
      <c r="H168" s="235">
        <f>SUM(H169:H174)</f>
        <v>0</v>
      </c>
      <c r="I168" s="235">
        <f>SUM(I169:I174)</f>
        <v>0</v>
      </c>
      <c r="J168" s="235">
        <f>SUM(J169:J174)</f>
        <v>0</v>
      </c>
      <c r="K168" s="230" t="s">
        <v>154</v>
      </c>
      <c r="L168" s="235">
        <f>SUM(L169:L174)</f>
        <v>0</v>
      </c>
      <c r="M168" s="243" t="s">
        <v>154</v>
      </c>
      <c r="AG168" s="229" t="s">
        <v>154</v>
      </c>
      <c r="AQ168" s="222">
        <f>SUM(AH169:AH174)</f>
        <v>0</v>
      </c>
      <c r="AR168" s="222">
        <f>SUM(AI169:AI174)</f>
        <v>0</v>
      </c>
      <c r="AS168" s="222">
        <f>SUM(AJ169:AJ174)</f>
        <v>0</v>
      </c>
    </row>
    <row r="169" spans="1:74" ht="14.4" x14ac:dyDescent="0.3">
      <c r="A169" s="239" t="s">
        <v>555</v>
      </c>
      <c r="B169" s="223" t="s">
        <v>385</v>
      </c>
      <c r="C169" s="521" t="s">
        <v>386</v>
      </c>
      <c r="D169" s="519"/>
      <c r="E169" s="223" t="s">
        <v>380</v>
      </c>
      <c r="F169" s="233">
        <v>75.819999999999993</v>
      </c>
      <c r="G169" s="311">
        <v>0</v>
      </c>
      <c r="H169" s="233">
        <f>F169*AM169</f>
        <v>0</v>
      </c>
      <c r="I169" s="233">
        <f>F169*AN169</f>
        <v>0</v>
      </c>
      <c r="J169" s="233">
        <f>F169*G169</f>
        <v>0</v>
      </c>
      <c r="K169" s="233">
        <v>0</v>
      </c>
      <c r="L169" s="233">
        <f>F169*K169</f>
        <v>0</v>
      </c>
      <c r="M169" s="240" t="s">
        <v>472</v>
      </c>
      <c r="X169" s="233">
        <f>IF(AO169="5",BH169,0)</f>
        <v>0</v>
      </c>
      <c r="Z169" s="233">
        <f>IF(AO169="1",BF169,0)</f>
        <v>0</v>
      </c>
      <c r="AA169" s="233">
        <f>IF(AO169="1",BG169,0)</f>
        <v>0</v>
      </c>
      <c r="AB169" s="233">
        <f>IF(AO169="7",BF169,0)</f>
        <v>0</v>
      </c>
      <c r="AC169" s="233">
        <f>IF(AO169="7",BG169,0)</f>
        <v>0</v>
      </c>
      <c r="AD169" s="233">
        <f>IF(AO169="2",BF169,0)</f>
        <v>0</v>
      </c>
      <c r="AE169" s="233">
        <f>IF(AO169="2",BG169,0)</f>
        <v>0</v>
      </c>
      <c r="AF169" s="233">
        <f>IF(AO169="0",BH169,0)</f>
        <v>0</v>
      </c>
      <c r="AG169" s="229" t="s">
        <v>154</v>
      </c>
      <c r="AH169" s="233">
        <f>IF(AL169=0,J169,0)</f>
        <v>0</v>
      </c>
      <c r="AI169" s="233">
        <f>IF(AL169=15,J169,0)</f>
        <v>0</v>
      </c>
      <c r="AJ169" s="233">
        <f>IF(AL169=21,J169,0)</f>
        <v>0</v>
      </c>
      <c r="AL169" s="233">
        <v>15</v>
      </c>
      <c r="AM169" s="233">
        <f>G169*0</f>
        <v>0</v>
      </c>
      <c r="AN169" s="233">
        <f>G169*(1-0)</f>
        <v>0</v>
      </c>
      <c r="AO169" s="234" t="s">
        <v>177</v>
      </c>
      <c r="AT169" s="233">
        <f>AU169+AV169</f>
        <v>0</v>
      </c>
      <c r="AU169" s="233">
        <f>F169*AM169</f>
        <v>0</v>
      </c>
      <c r="AV169" s="233">
        <f>F169*AN169</f>
        <v>0</v>
      </c>
      <c r="AW169" s="234" t="s">
        <v>387</v>
      </c>
      <c r="AX169" s="234" t="s">
        <v>375</v>
      </c>
      <c r="AY169" s="229" t="s">
        <v>164</v>
      </c>
      <c r="BA169" s="233">
        <f>AU169+AV169</f>
        <v>0</v>
      </c>
      <c r="BB169" s="233">
        <f>G169/(100-BC169)*100</f>
        <v>0</v>
      </c>
      <c r="BC169" s="233">
        <v>0</v>
      </c>
      <c r="BD169" s="233">
        <f>L169</f>
        <v>0</v>
      </c>
      <c r="BF169" s="233">
        <f>F169*AM169</f>
        <v>0</v>
      </c>
      <c r="BG169" s="233">
        <f>F169*AN169</f>
        <v>0</v>
      </c>
      <c r="BH169" s="233">
        <f>F169*G169</f>
        <v>0</v>
      </c>
      <c r="BI169" s="233"/>
      <c r="BJ169" s="233"/>
      <c r="BU169" s="233" t="e">
        <f>#REF!</f>
        <v>#REF!</v>
      </c>
      <c r="BV169" s="225" t="s">
        <v>386</v>
      </c>
    </row>
    <row r="170" spans="1:74" ht="14.4" x14ac:dyDescent="0.3">
      <c r="A170" s="239" t="s">
        <v>559</v>
      </c>
      <c r="B170" s="223" t="s">
        <v>388</v>
      </c>
      <c r="C170" s="521" t="s">
        <v>389</v>
      </c>
      <c r="D170" s="519"/>
      <c r="E170" s="223" t="s">
        <v>380</v>
      </c>
      <c r="F170" s="233">
        <v>1307.8900000000001</v>
      </c>
      <c r="G170" s="311">
        <v>0</v>
      </c>
      <c r="H170" s="233">
        <f>F170*AM170</f>
        <v>0</v>
      </c>
      <c r="I170" s="233">
        <f>F170*AN170</f>
        <v>0</v>
      </c>
      <c r="J170" s="233">
        <f>F170*G170</f>
        <v>0</v>
      </c>
      <c r="K170" s="233">
        <v>0</v>
      </c>
      <c r="L170" s="233">
        <f>F170*K170</f>
        <v>0</v>
      </c>
      <c r="M170" s="240" t="s">
        <v>472</v>
      </c>
      <c r="X170" s="233">
        <f>IF(AO170="5",BH170,0)</f>
        <v>0</v>
      </c>
      <c r="Z170" s="233">
        <f>IF(AO170="1",BF170,0)</f>
        <v>0</v>
      </c>
      <c r="AA170" s="233">
        <f>IF(AO170="1",BG170,0)</f>
        <v>0</v>
      </c>
      <c r="AB170" s="233">
        <f>IF(AO170="7",BF170,0)</f>
        <v>0</v>
      </c>
      <c r="AC170" s="233">
        <f>IF(AO170="7",BG170,0)</f>
        <v>0</v>
      </c>
      <c r="AD170" s="233">
        <f>IF(AO170="2",BF170,0)</f>
        <v>0</v>
      </c>
      <c r="AE170" s="233">
        <f>IF(AO170="2",BG170,0)</f>
        <v>0</v>
      </c>
      <c r="AF170" s="233">
        <f>IF(AO170="0",BH170,0)</f>
        <v>0</v>
      </c>
      <c r="AG170" s="229" t="s">
        <v>154</v>
      </c>
      <c r="AH170" s="233">
        <f>IF(AL170=0,J170,0)</f>
        <v>0</v>
      </c>
      <c r="AI170" s="233">
        <f>IF(AL170=15,J170,0)</f>
        <v>0</v>
      </c>
      <c r="AJ170" s="233">
        <f>IF(AL170=21,J170,0)</f>
        <v>0</v>
      </c>
      <c r="AL170" s="233">
        <v>15</v>
      </c>
      <c r="AM170" s="233">
        <f>G170*0</f>
        <v>0</v>
      </c>
      <c r="AN170" s="233">
        <f>G170*(1-0)</f>
        <v>0</v>
      </c>
      <c r="AO170" s="234" t="s">
        <v>177</v>
      </c>
      <c r="AT170" s="233">
        <f>AU170+AV170</f>
        <v>0</v>
      </c>
      <c r="AU170" s="233">
        <f>F170*AM170</f>
        <v>0</v>
      </c>
      <c r="AV170" s="233">
        <f>F170*AN170</f>
        <v>0</v>
      </c>
      <c r="AW170" s="234" t="s">
        <v>387</v>
      </c>
      <c r="AX170" s="234" t="s">
        <v>375</v>
      </c>
      <c r="AY170" s="229" t="s">
        <v>164</v>
      </c>
      <c r="BA170" s="233">
        <f>AU170+AV170</f>
        <v>0</v>
      </c>
      <c r="BB170" s="233">
        <f>G170/(100-BC170)*100</f>
        <v>0</v>
      </c>
      <c r="BC170" s="233">
        <v>0</v>
      </c>
      <c r="BD170" s="233">
        <f>L170</f>
        <v>0</v>
      </c>
      <c r="BF170" s="233">
        <f>F170*AM170</f>
        <v>0</v>
      </c>
      <c r="BG170" s="233">
        <f>F170*AN170</f>
        <v>0</v>
      </c>
      <c r="BH170" s="233">
        <f>F170*G170</f>
        <v>0</v>
      </c>
      <c r="BI170" s="233"/>
      <c r="BJ170" s="233"/>
      <c r="BU170" s="233" t="e">
        <f>#REF!</f>
        <v>#REF!</v>
      </c>
      <c r="BV170" s="225" t="s">
        <v>389</v>
      </c>
    </row>
    <row r="171" spans="1:74" ht="40.5" customHeight="1" x14ac:dyDescent="0.3">
      <c r="A171" s="241"/>
      <c r="B171" s="242" t="s">
        <v>165</v>
      </c>
      <c r="C171" s="530" t="s">
        <v>2271</v>
      </c>
      <c r="D171" s="531"/>
      <c r="E171" s="531"/>
      <c r="F171" s="531"/>
      <c r="G171" s="531"/>
      <c r="H171" s="531"/>
      <c r="I171" s="531"/>
      <c r="J171" s="531"/>
      <c r="K171" s="531"/>
      <c r="L171" s="531"/>
      <c r="M171" s="532"/>
    </row>
    <row r="172" spans="1:74" ht="14.4" x14ac:dyDescent="0.3">
      <c r="A172" s="239" t="s">
        <v>562</v>
      </c>
      <c r="B172" s="223" t="s">
        <v>391</v>
      </c>
      <c r="C172" s="521" t="s">
        <v>392</v>
      </c>
      <c r="D172" s="519"/>
      <c r="E172" s="223" t="s">
        <v>380</v>
      </c>
      <c r="F172" s="233">
        <v>18.95</v>
      </c>
      <c r="G172" s="311">
        <v>0</v>
      </c>
      <c r="H172" s="233">
        <f>F172*AM172</f>
        <v>0</v>
      </c>
      <c r="I172" s="233">
        <f>F172*AN172</f>
        <v>0</v>
      </c>
      <c r="J172" s="233">
        <f>F172*G172</f>
        <v>0</v>
      </c>
      <c r="K172" s="233">
        <v>0</v>
      </c>
      <c r="L172" s="233">
        <f>F172*K172</f>
        <v>0</v>
      </c>
      <c r="M172" s="240" t="s">
        <v>472</v>
      </c>
      <c r="X172" s="233">
        <f>IF(AO172="5",BH172,0)</f>
        <v>0</v>
      </c>
      <c r="Z172" s="233">
        <f>IF(AO172="1",BF172,0)</f>
        <v>0</v>
      </c>
      <c r="AA172" s="233">
        <f>IF(AO172="1",BG172,0)</f>
        <v>0</v>
      </c>
      <c r="AB172" s="233">
        <f>IF(AO172="7",BF172,0)</f>
        <v>0</v>
      </c>
      <c r="AC172" s="233">
        <f>IF(AO172="7",BG172,0)</f>
        <v>0</v>
      </c>
      <c r="AD172" s="233">
        <f>IF(AO172="2",BF172,0)</f>
        <v>0</v>
      </c>
      <c r="AE172" s="233">
        <f>IF(AO172="2",BG172,0)</f>
        <v>0</v>
      </c>
      <c r="AF172" s="233">
        <f>IF(AO172="0",BH172,0)</f>
        <v>0</v>
      </c>
      <c r="AG172" s="229" t="s">
        <v>154</v>
      </c>
      <c r="AH172" s="233">
        <f>IF(AL172=0,J172,0)</f>
        <v>0</v>
      </c>
      <c r="AI172" s="233">
        <f>IF(AL172=15,J172,0)</f>
        <v>0</v>
      </c>
      <c r="AJ172" s="233">
        <f>IF(AL172=21,J172,0)</f>
        <v>0</v>
      </c>
      <c r="AL172" s="233">
        <v>15</v>
      </c>
      <c r="AM172" s="233">
        <f>G172*0</f>
        <v>0</v>
      </c>
      <c r="AN172" s="233">
        <f>G172*(1-0)</f>
        <v>0</v>
      </c>
      <c r="AO172" s="234" t="s">
        <v>177</v>
      </c>
      <c r="AT172" s="233">
        <f>AU172+AV172</f>
        <v>0</v>
      </c>
      <c r="AU172" s="233">
        <f>F172*AM172</f>
        <v>0</v>
      </c>
      <c r="AV172" s="233">
        <f>F172*AN172</f>
        <v>0</v>
      </c>
      <c r="AW172" s="234" t="s">
        <v>387</v>
      </c>
      <c r="AX172" s="234" t="s">
        <v>375</v>
      </c>
      <c r="AY172" s="229" t="s">
        <v>164</v>
      </c>
      <c r="BA172" s="233">
        <f>AU172+AV172</f>
        <v>0</v>
      </c>
      <c r="BB172" s="233">
        <f>G172/(100-BC172)*100</f>
        <v>0</v>
      </c>
      <c r="BC172" s="233">
        <v>0</v>
      </c>
      <c r="BD172" s="233">
        <f>L172</f>
        <v>0</v>
      </c>
      <c r="BF172" s="233">
        <f>F172*AM172</f>
        <v>0</v>
      </c>
      <c r="BG172" s="233">
        <f>F172*AN172</f>
        <v>0</v>
      </c>
      <c r="BH172" s="233">
        <f>F172*G172</f>
        <v>0</v>
      </c>
      <c r="BI172" s="233"/>
      <c r="BJ172" s="233"/>
      <c r="BU172" s="233" t="e">
        <f>#REF!</f>
        <v>#REF!</v>
      </c>
      <c r="BV172" s="225" t="s">
        <v>392</v>
      </c>
    </row>
    <row r="173" spans="1:74" ht="40.5" customHeight="1" x14ac:dyDescent="0.3">
      <c r="A173" s="241"/>
      <c r="B173" s="242" t="s">
        <v>165</v>
      </c>
      <c r="C173" s="530" t="s">
        <v>2272</v>
      </c>
      <c r="D173" s="531"/>
      <c r="E173" s="531"/>
      <c r="F173" s="531"/>
      <c r="G173" s="531"/>
      <c r="H173" s="531"/>
      <c r="I173" s="531"/>
      <c r="J173" s="531"/>
      <c r="K173" s="531"/>
      <c r="L173" s="531"/>
      <c r="M173" s="532"/>
    </row>
    <row r="174" spans="1:74" ht="26.4" x14ac:dyDescent="0.3">
      <c r="A174" s="264" t="s">
        <v>566</v>
      </c>
      <c r="B174" s="265" t="s">
        <v>385</v>
      </c>
      <c r="C174" s="547" t="s">
        <v>443</v>
      </c>
      <c r="D174" s="548"/>
      <c r="E174" s="265" t="s">
        <v>380</v>
      </c>
      <c r="F174" s="266">
        <v>157.78</v>
      </c>
      <c r="G174" s="311">
        <v>0</v>
      </c>
      <c r="H174" s="266">
        <f>F174*AM174</f>
        <v>0</v>
      </c>
      <c r="I174" s="266">
        <f>F174*AN174</f>
        <v>0</v>
      </c>
      <c r="J174" s="266">
        <f>F174*G174</f>
        <v>0</v>
      </c>
      <c r="K174" s="266">
        <v>0</v>
      </c>
      <c r="L174" s="266">
        <f>F174*K174</f>
        <v>0</v>
      </c>
      <c r="M174" s="267" t="s">
        <v>472</v>
      </c>
      <c r="X174" s="233">
        <f>IF(AO174="5",BH174,0)</f>
        <v>0</v>
      </c>
      <c r="Z174" s="233">
        <f>IF(AO174="1",BF174,0)</f>
        <v>0</v>
      </c>
      <c r="AA174" s="233">
        <f>IF(AO174="1",BG174,0)</f>
        <v>0</v>
      </c>
      <c r="AB174" s="233">
        <f>IF(AO174="7",BF174,0)</f>
        <v>0</v>
      </c>
      <c r="AC174" s="233">
        <f>IF(AO174="7",BG174,0)</f>
        <v>0</v>
      </c>
      <c r="AD174" s="233">
        <f>IF(AO174="2",BF174,0)</f>
        <v>0</v>
      </c>
      <c r="AE174" s="233">
        <f>IF(AO174="2",BG174,0)</f>
        <v>0</v>
      </c>
      <c r="AF174" s="233">
        <f>IF(AO174="0",BH174,0)</f>
        <v>0</v>
      </c>
      <c r="AG174" s="229" t="s">
        <v>154</v>
      </c>
      <c r="AH174" s="233">
        <f>IF(AL174=0,J174,0)</f>
        <v>0</v>
      </c>
      <c r="AI174" s="233">
        <f>IF(AL174=15,J174,0)</f>
        <v>0</v>
      </c>
      <c r="AJ174" s="233">
        <f>IF(AL174=21,J174,0)</f>
        <v>0</v>
      </c>
      <c r="AL174" s="233">
        <v>15</v>
      </c>
      <c r="AM174" s="233">
        <f>G174*0</f>
        <v>0</v>
      </c>
      <c r="AN174" s="233">
        <f>G174*(1-0)</f>
        <v>0</v>
      </c>
      <c r="AO174" s="234" t="s">
        <v>177</v>
      </c>
      <c r="AT174" s="233">
        <f>AU174+AV174</f>
        <v>0</v>
      </c>
      <c r="AU174" s="233">
        <f>F174*AM174</f>
        <v>0</v>
      </c>
      <c r="AV174" s="233">
        <f>F174*AN174</f>
        <v>0</v>
      </c>
      <c r="AW174" s="234" t="s">
        <v>387</v>
      </c>
      <c r="AX174" s="234" t="s">
        <v>375</v>
      </c>
      <c r="AY174" s="229" t="s">
        <v>164</v>
      </c>
      <c r="BA174" s="233">
        <f>AU174+AV174</f>
        <v>0</v>
      </c>
      <c r="BB174" s="233">
        <f>G174/(100-BC174)*100</f>
        <v>0</v>
      </c>
      <c r="BC174" s="233">
        <v>0</v>
      </c>
      <c r="BD174" s="233">
        <f>L174</f>
        <v>0</v>
      </c>
      <c r="BF174" s="233">
        <f>F174*AM174</f>
        <v>0</v>
      </c>
      <c r="BG174" s="233">
        <f>F174*AN174</f>
        <v>0</v>
      </c>
      <c r="BH174" s="233">
        <f>F174*G174</f>
        <v>0</v>
      </c>
      <c r="BI174" s="233"/>
      <c r="BJ174" s="233"/>
      <c r="BU174" s="233" t="e">
        <f>#REF!</f>
        <v>#REF!</v>
      </c>
      <c r="BV174" s="225" t="s">
        <v>443</v>
      </c>
    </row>
    <row r="175" spans="1:74" ht="14.4" x14ac:dyDescent="0.3">
      <c r="A175" s="237" t="s">
        <v>154</v>
      </c>
      <c r="B175" s="260" t="s">
        <v>399</v>
      </c>
      <c r="C175" s="545" t="s">
        <v>400</v>
      </c>
      <c r="D175" s="546"/>
      <c r="E175" s="238" t="s">
        <v>114</v>
      </c>
      <c r="F175" s="238" t="s">
        <v>114</v>
      </c>
      <c r="G175" s="238" t="s">
        <v>114</v>
      </c>
      <c r="H175" s="261">
        <f>SUM(H176:H181)</f>
        <v>0</v>
      </c>
      <c r="I175" s="261">
        <f>SUM(I176:I181)</f>
        <v>0</v>
      </c>
      <c r="J175" s="261">
        <f>SUM(J176:J181)</f>
        <v>0</v>
      </c>
      <c r="K175" s="262" t="s">
        <v>154</v>
      </c>
      <c r="L175" s="261">
        <f>SUM(L176:L181)</f>
        <v>0</v>
      </c>
      <c r="M175" s="263" t="s">
        <v>154</v>
      </c>
      <c r="AG175" s="229" t="s">
        <v>154</v>
      </c>
      <c r="AQ175" s="222">
        <f>SUM(AH176:AH181)</f>
        <v>0</v>
      </c>
      <c r="AR175" s="222">
        <f>SUM(AI176:AI181)</f>
        <v>0</v>
      </c>
      <c r="AS175" s="222">
        <f>SUM(AJ176:AJ181)</f>
        <v>0</v>
      </c>
    </row>
    <row r="176" spans="1:74" ht="14.4" x14ac:dyDescent="0.3">
      <c r="A176" s="239" t="s">
        <v>570</v>
      </c>
      <c r="B176" s="223" t="s">
        <v>402</v>
      </c>
      <c r="C176" s="521" t="s">
        <v>403</v>
      </c>
      <c r="D176" s="519"/>
      <c r="E176" s="223" t="s">
        <v>380</v>
      </c>
      <c r="F176" s="233">
        <v>0.66</v>
      </c>
      <c r="G176" s="311">
        <v>0</v>
      </c>
      <c r="H176" s="233">
        <f>F176*AM176</f>
        <v>0</v>
      </c>
      <c r="I176" s="233">
        <f>F176*AN176</f>
        <v>0</v>
      </c>
      <c r="J176" s="233">
        <f>F176*G176</f>
        <v>0</v>
      </c>
      <c r="K176" s="233">
        <v>0</v>
      </c>
      <c r="L176" s="233">
        <f>F176*K176</f>
        <v>0</v>
      </c>
      <c r="M176" s="240" t="s">
        <v>472</v>
      </c>
      <c r="X176" s="233">
        <f>IF(AO176="5",BH176,0)</f>
        <v>0</v>
      </c>
      <c r="Z176" s="233">
        <f>IF(AO176="1",BF176,0)</f>
        <v>0</v>
      </c>
      <c r="AA176" s="233">
        <f>IF(AO176="1",BG176,0)</f>
        <v>0</v>
      </c>
      <c r="AB176" s="233">
        <f>IF(AO176="7",BF176,0)</f>
        <v>0</v>
      </c>
      <c r="AC176" s="233">
        <f>IF(AO176="7",BG176,0)</f>
        <v>0</v>
      </c>
      <c r="AD176" s="233">
        <f>IF(AO176="2",BF176,0)</f>
        <v>0</v>
      </c>
      <c r="AE176" s="233">
        <f>IF(AO176="2",BG176,0)</f>
        <v>0</v>
      </c>
      <c r="AF176" s="233">
        <f>IF(AO176="0",BH176,0)</f>
        <v>0</v>
      </c>
      <c r="AG176" s="229" t="s">
        <v>154</v>
      </c>
      <c r="AH176" s="233">
        <f>IF(AL176=0,J176,0)</f>
        <v>0</v>
      </c>
      <c r="AI176" s="233">
        <f>IF(AL176=15,J176,0)</f>
        <v>0</v>
      </c>
      <c r="AJ176" s="233">
        <f>IF(AL176=21,J176,0)</f>
        <v>0</v>
      </c>
      <c r="AL176" s="233">
        <v>15</v>
      </c>
      <c r="AM176" s="233">
        <f>G176*0</f>
        <v>0</v>
      </c>
      <c r="AN176" s="233">
        <f>G176*(1-0)</f>
        <v>0</v>
      </c>
      <c r="AO176" s="234" t="s">
        <v>177</v>
      </c>
      <c r="AT176" s="233">
        <f>AU176+AV176</f>
        <v>0</v>
      </c>
      <c r="AU176" s="233">
        <f>F176*AM176</f>
        <v>0</v>
      </c>
      <c r="AV176" s="233">
        <f>F176*AN176</f>
        <v>0</v>
      </c>
      <c r="AW176" s="234" t="s">
        <v>404</v>
      </c>
      <c r="AX176" s="234" t="s">
        <v>375</v>
      </c>
      <c r="AY176" s="229" t="s">
        <v>164</v>
      </c>
      <c r="BA176" s="233">
        <f>AU176+AV176</f>
        <v>0</v>
      </c>
      <c r="BB176" s="233">
        <f>G176/(100-BC176)*100</f>
        <v>0</v>
      </c>
      <c r="BC176" s="233">
        <v>0</v>
      </c>
      <c r="BD176" s="233">
        <f>L176</f>
        <v>0</v>
      </c>
      <c r="BF176" s="233">
        <f>F176*AM176</f>
        <v>0</v>
      </c>
      <c r="BG176" s="233">
        <f>F176*AN176</f>
        <v>0</v>
      </c>
      <c r="BH176" s="233">
        <f>F176*G176</f>
        <v>0</v>
      </c>
      <c r="BI176" s="233"/>
      <c r="BJ176" s="233"/>
      <c r="BU176" s="233" t="e">
        <f>#REF!</f>
        <v>#REF!</v>
      </c>
      <c r="BV176" s="225" t="s">
        <v>403</v>
      </c>
    </row>
    <row r="177" spans="1:74" ht="14.4" x14ac:dyDescent="0.3">
      <c r="A177" s="239" t="s">
        <v>573</v>
      </c>
      <c r="B177" s="223" t="s">
        <v>406</v>
      </c>
      <c r="C177" s="521" t="s">
        <v>407</v>
      </c>
      <c r="D177" s="519"/>
      <c r="E177" s="223" t="s">
        <v>380</v>
      </c>
      <c r="F177" s="233">
        <v>114.07</v>
      </c>
      <c r="G177" s="311">
        <v>0</v>
      </c>
      <c r="H177" s="233">
        <f>F177*AM177</f>
        <v>0</v>
      </c>
      <c r="I177" s="233">
        <f>F177*AN177</f>
        <v>0</v>
      </c>
      <c r="J177" s="233">
        <f>F177*G177</f>
        <v>0</v>
      </c>
      <c r="K177" s="233">
        <v>0</v>
      </c>
      <c r="L177" s="233">
        <f>F177*K177</f>
        <v>0</v>
      </c>
      <c r="M177" s="240" t="s">
        <v>472</v>
      </c>
      <c r="X177" s="233">
        <f>IF(AO177="5",BH177,0)</f>
        <v>0</v>
      </c>
      <c r="Z177" s="233">
        <f>IF(AO177="1",BF177,0)</f>
        <v>0</v>
      </c>
      <c r="AA177" s="233">
        <f>IF(AO177="1",BG177,0)</f>
        <v>0</v>
      </c>
      <c r="AB177" s="233">
        <f>IF(AO177="7",BF177,0)</f>
        <v>0</v>
      </c>
      <c r="AC177" s="233">
        <f>IF(AO177="7",BG177,0)</f>
        <v>0</v>
      </c>
      <c r="AD177" s="233">
        <f>IF(AO177="2",BF177,0)</f>
        <v>0</v>
      </c>
      <c r="AE177" s="233">
        <f>IF(AO177="2",BG177,0)</f>
        <v>0</v>
      </c>
      <c r="AF177" s="233">
        <f>IF(AO177="0",BH177,0)</f>
        <v>0</v>
      </c>
      <c r="AG177" s="229" t="s">
        <v>154</v>
      </c>
      <c r="AH177" s="233">
        <f>IF(AL177=0,J177,0)</f>
        <v>0</v>
      </c>
      <c r="AI177" s="233">
        <f>IF(AL177=15,J177,0)</f>
        <v>0</v>
      </c>
      <c r="AJ177" s="233">
        <f>IF(AL177=21,J177,0)</f>
        <v>0</v>
      </c>
      <c r="AL177" s="233">
        <v>15</v>
      </c>
      <c r="AM177" s="233">
        <f>G177*0</f>
        <v>0</v>
      </c>
      <c r="AN177" s="233">
        <f>G177*(1-0)</f>
        <v>0</v>
      </c>
      <c r="AO177" s="234" t="s">
        <v>177</v>
      </c>
      <c r="AT177" s="233">
        <f>AU177+AV177</f>
        <v>0</v>
      </c>
      <c r="AU177" s="233">
        <f>F177*AM177</f>
        <v>0</v>
      </c>
      <c r="AV177" s="233">
        <f>F177*AN177</f>
        <v>0</v>
      </c>
      <c r="AW177" s="234" t="s">
        <v>404</v>
      </c>
      <c r="AX177" s="234" t="s">
        <v>375</v>
      </c>
      <c r="AY177" s="229" t="s">
        <v>164</v>
      </c>
      <c r="BA177" s="233">
        <f>AU177+AV177</f>
        <v>0</v>
      </c>
      <c r="BB177" s="233">
        <f>G177/(100-BC177)*100</f>
        <v>0</v>
      </c>
      <c r="BC177" s="233">
        <v>0</v>
      </c>
      <c r="BD177" s="233">
        <f>L177</f>
        <v>0</v>
      </c>
      <c r="BF177" s="233">
        <f>F177*AM177</f>
        <v>0</v>
      </c>
      <c r="BG177" s="233">
        <f>F177*AN177</f>
        <v>0</v>
      </c>
      <c r="BH177" s="233">
        <f>F177*G177</f>
        <v>0</v>
      </c>
      <c r="BI177" s="233"/>
      <c r="BJ177" s="233"/>
      <c r="BU177" s="233" t="e">
        <f>#REF!</f>
        <v>#REF!</v>
      </c>
      <c r="BV177" s="225" t="s">
        <v>407</v>
      </c>
    </row>
    <row r="178" spans="1:74" ht="14.4" x14ac:dyDescent="0.3">
      <c r="A178" s="239" t="s">
        <v>576</v>
      </c>
      <c r="B178" s="223" t="s">
        <v>409</v>
      </c>
      <c r="C178" s="521" t="s">
        <v>410</v>
      </c>
      <c r="D178" s="519"/>
      <c r="E178" s="223" t="s">
        <v>380</v>
      </c>
      <c r="F178" s="233">
        <v>10.87</v>
      </c>
      <c r="G178" s="311">
        <v>0</v>
      </c>
      <c r="H178" s="233">
        <f>F178*AM178</f>
        <v>0</v>
      </c>
      <c r="I178" s="233">
        <f>F178*AN178</f>
        <v>0</v>
      </c>
      <c r="J178" s="233">
        <f>F178*G178</f>
        <v>0</v>
      </c>
      <c r="K178" s="233">
        <v>0</v>
      </c>
      <c r="L178" s="233">
        <f>F178*K178</f>
        <v>0</v>
      </c>
      <c r="M178" s="240" t="s">
        <v>472</v>
      </c>
      <c r="X178" s="233">
        <f>IF(AO178="5",BH178,0)</f>
        <v>0</v>
      </c>
      <c r="Z178" s="233">
        <f>IF(AO178="1",BF178,0)</f>
        <v>0</v>
      </c>
      <c r="AA178" s="233">
        <f>IF(AO178="1",BG178,0)</f>
        <v>0</v>
      </c>
      <c r="AB178" s="233">
        <f>IF(AO178="7",BF178,0)</f>
        <v>0</v>
      </c>
      <c r="AC178" s="233">
        <f>IF(AO178="7",BG178,0)</f>
        <v>0</v>
      </c>
      <c r="AD178" s="233">
        <f>IF(AO178="2",BF178,0)</f>
        <v>0</v>
      </c>
      <c r="AE178" s="233">
        <f>IF(AO178="2",BG178,0)</f>
        <v>0</v>
      </c>
      <c r="AF178" s="233">
        <f>IF(AO178="0",BH178,0)</f>
        <v>0</v>
      </c>
      <c r="AG178" s="229" t="s">
        <v>154</v>
      </c>
      <c r="AH178" s="233">
        <f>IF(AL178=0,J178,0)</f>
        <v>0</v>
      </c>
      <c r="AI178" s="233">
        <f>IF(AL178=15,J178,0)</f>
        <v>0</v>
      </c>
      <c r="AJ178" s="233">
        <f>IF(AL178=21,J178,0)</f>
        <v>0</v>
      </c>
      <c r="AL178" s="233">
        <v>15</v>
      </c>
      <c r="AM178" s="233">
        <f>G178*0</f>
        <v>0</v>
      </c>
      <c r="AN178" s="233">
        <f>G178*(1-0)</f>
        <v>0</v>
      </c>
      <c r="AO178" s="234" t="s">
        <v>177</v>
      </c>
      <c r="AT178" s="233">
        <f>AU178+AV178</f>
        <v>0</v>
      </c>
      <c r="AU178" s="233">
        <f>F178*AM178</f>
        <v>0</v>
      </c>
      <c r="AV178" s="233">
        <f>F178*AN178</f>
        <v>0</v>
      </c>
      <c r="AW178" s="234" t="s">
        <v>404</v>
      </c>
      <c r="AX178" s="234" t="s">
        <v>375</v>
      </c>
      <c r="AY178" s="229" t="s">
        <v>164</v>
      </c>
      <c r="BA178" s="233">
        <f>AU178+AV178</f>
        <v>0</v>
      </c>
      <c r="BB178" s="233">
        <f>G178/(100-BC178)*100</f>
        <v>0</v>
      </c>
      <c r="BC178" s="233">
        <v>0</v>
      </c>
      <c r="BD178" s="233">
        <f>L178</f>
        <v>0</v>
      </c>
      <c r="BF178" s="233">
        <f>F178*AM178</f>
        <v>0</v>
      </c>
      <c r="BG178" s="233">
        <f>F178*AN178</f>
        <v>0</v>
      </c>
      <c r="BH178" s="233">
        <f>F178*G178</f>
        <v>0</v>
      </c>
      <c r="BI178" s="233"/>
      <c r="BJ178" s="233"/>
      <c r="BU178" s="233" t="e">
        <f>#REF!</f>
        <v>#REF!</v>
      </c>
      <c r="BV178" s="225" t="s">
        <v>410</v>
      </c>
    </row>
    <row r="179" spans="1:74" ht="14.4" x14ac:dyDescent="0.3">
      <c r="A179" s="239" t="s">
        <v>580</v>
      </c>
      <c r="B179" s="223" t="s">
        <v>409</v>
      </c>
      <c r="C179" s="661" t="s">
        <v>2447</v>
      </c>
      <c r="D179" s="519"/>
      <c r="E179" s="223" t="s">
        <v>380</v>
      </c>
      <c r="F179" s="233">
        <v>2.5499999999999998</v>
      </c>
      <c r="G179" s="311">
        <v>0</v>
      </c>
      <c r="H179" s="233">
        <f>F179*AM179</f>
        <v>0</v>
      </c>
      <c r="I179" s="233">
        <f>F179*AN179</f>
        <v>0</v>
      </c>
      <c r="J179" s="233">
        <f>F179*G179</f>
        <v>0</v>
      </c>
      <c r="K179" s="233">
        <v>0</v>
      </c>
      <c r="L179" s="233">
        <f>F179*K179</f>
        <v>0</v>
      </c>
      <c r="M179" s="240" t="s">
        <v>472</v>
      </c>
      <c r="X179" s="233">
        <f>IF(AO179="5",BH179,0)</f>
        <v>0</v>
      </c>
      <c r="Z179" s="233">
        <f>IF(AO179="1",BF179,0)</f>
        <v>0</v>
      </c>
      <c r="AA179" s="233">
        <f>IF(AO179="1",BG179,0)</f>
        <v>0</v>
      </c>
      <c r="AB179" s="233">
        <f>IF(AO179="7",BF179,0)</f>
        <v>0</v>
      </c>
      <c r="AC179" s="233">
        <f>IF(AO179="7",BG179,0)</f>
        <v>0</v>
      </c>
      <c r="AD179" s="233">
        <f>IF(AO179="2",BF179,0)</f>
        <v>0</v>
      </c>
      <c r="AE179" s="233">
        <f>IF(AO179="2",BG179,0)</f>
        <v>0</v>
      </c>
      <c r="AF179" s="233">
        <f>IF(AO179="0",BH179,0)</f>
        <v>0</v>
      </c>
      <c r="AG179" s="229" t="s">
        <v>154</v>
      </c>
      <c r="AH179" s="233">
        <f>IF(AL179=0,J179,0)</f>
        <v>0</v>
      </c>
      <c r="AI179" s="233">
        <f>IF(AL179=15,J179,0)</f>
        <v>0</v>
      </c>
      <c r="AJ179" s="233">
        <f>IF(AL179=21,J179,0)</f>
        <v>0</v>
      </c>
      <c r="AL179" s="233">
        <v>15</v>
      </c>
      <c r="AM179" s="233">
        <f>G179*0</f>
        <v>0</v>
      </c>
      <c r="AN179" s="233">
        <f>G179*(1-0)</f>
        <v>0</v>
      </c>
      <c r="AO179" s="234" t="s">
        <v>177</v>
      </c>
      <c r="AT179" s="233">
        <f>AU179+AV179</f>
        <v>0</v>
      </c>
      <c r="AU179" s="233">
        <f>F179*AM179</f>
        <v>0</v>
      </c>
      <c r="AV179" s="233">
        <f>F179*AN179</f>
        <v>0</v>
      </c>
      <c r="AW179" s="234" t="s">
        <v>404</v>
      </c>
      <c r="AX179" s="234" t="s">
        <v>375</v>
      </c>
      <c r="AY179" s="229" t="s">
        <v>164</v>
      </c>
      <c r="BA179" s="233">
        <f>AU179+AV179</f>
        <v>0</v>
      </c>
      <c r="BB179" s="233">
        <f>G179/(100-BC179)*100</f>
        <v>0</v>
      </c>
      <c r="BC179" s="233">
        <v>0</v>
      </c>
      <c r="BD179" s="233">
        <f>L179</f>
        <v>0</v>
      </c>
      <c r="BF179" s="233">
        <f>F179*AM179</f>
        <v>0</v>
      </c>
      <c r="BG179" s="233">
        <f>F179*AN179</f>
        <v>0</v>
      </c>
      <c r="BH179" s="233">
        <f>F179*G179</f>
        <v>0</v>
      </c>
      <c r="BI179" s="233"/>
      <c r="BJ179" s="233"/>
      <c r="BU179" s="233" t="e">
        <f>#REF!</f>
        <v>#REF!</v>
      </c>
      <c r="BV179" s="225" t="s">
        <v>1199</v>
      </c>
    </row>
    <row r="180" spans="1:74" ht="21" customHeight="1" x14ac:dyDescent="0.3">
      <c r="A180" s="241"/>
      <c r="B180" s="242" t="s">
        <v>165</v>
      </c>
      <c r="C180" s="662" t="s">
        <v>2448</v>
      </c>
      <c r="D180" s="531"/>
      <c r="E180" s="531"/>
      <c r="F180" s="531"/>
      <c r="G180" s="531"/>
      <c r="H180" s="531"/>
      <c r="I180" s="531"/>
      <c r="J180" s="531"/>
      <c r="K180" s="531"/>
      <c r="L180" s="531"/>
      <c r="M180" s="532"/>
    </row>
    <row r="181" spans="1:74" ht="14.4" x14ac:dyDescent="0.3">
      <c r="A181" s="239" t="s">
        <v>584</v>
      </c>
      <c r="B181" s="223" t="s">
        <v>2273</v>
      </c>
      <c r="C181" s="521" t="s">
        <v>2274</v>
      </c>
      <c r="D181" s="519"/>
      <c r="E181" s="223" t="s">
        <v>380</v>
      </c>
      <c r="F181" s="233">
        <v>12.75</v>
      </c>
      <c r="G181" s="311">
        <v>0</v>
      </c>
      <c r="H181" s="233">
        <f>F181*AM181</f>
        <v>0</v>
      </c>
      <c r="I181" s="233">
        <f>F181*AN181</f>
        <v>0</v>
      </c>
      <c r="J181" s="233">
        <f>F181*G181</f>
        <v>0</v>
      </c>
      <c r="K181" s="233">
        <v>0</v>
      </c>
      <c r="L181" s="233">
        <f>F181*K181</f>
        <v>0</v>
      </c>
      <c r="M181" s="240" t="s">
        <v>472</v>
      </c>
      <c r="X181" s="233">
        <f>IF(AO181="5",BH181,0)</f>
        <v>0</v>
      </c>
      <c r="Z181" s="233">
        <f>IF(AO181="1",BF181,0)</f>
        <v>0</v>
      </c>
      <c r="AA181" s="233">
        <f>IF(AO181="1",BG181,0)</f>
        <v>0</v>
      </c>
      <c r="AB181" s="233">
        <f>IF(AO181="7",BF181,0)</f>
        <v>0</v>
      </c>
      <c r="AC181" s="233">
        <f>IF(AO181="7",BG181,0)</f>
        <v>0</v>
      </c>
      <c r="AD181" s="233">
        <f>IF(AO181="2",BF181,0)</f>
        <v>0</v>
      </c>
      <c r="AE181" s="233">
        <f>IF(AO181="2",BG181,0)</f>
        <v>0</v>
      </c>
      <c r="AF181" s="233">
        <f>IF(AO181="0",BH181,0)</f>
        <v>0</v>
      </c>
      <c r="AG181" s="229" t="s">
        <v>154</v>
      </c>
      <c r="AH181" s="233">
        <f>IF(AL181=0,J181,0)</f>
        <v>0</v>
      </c>
      <c r="AI181" s="233">
        <f>IF(AL181=15,J181,0)</f>
        <v>0</v>
      </c>
      <c r="AJ181" s="233">
        <f>IF(AL181=21,J181,0)</f>
        <v>0</v>
      </c>
      <c r="AL181" s="233">
        <v>15</v>
      </c>
      <c r="AM181" s="233">
        <f>G181*0</f>
        <v>0</v>
      </c>
      <c r="AN181" s="233">
        <f>G181*(1-0)</f>
        <v>0</v>
      </c>
      <c r="AO181" s="234" t="s">
        <v>177</v>
      </c>
      <c r="AT181" s="233">
        <f>AU181+AV181</f>
        <v>0</v>
      </c>
      <c r="AU181" s="233">
        <f>F181*AM181</f>
        <v>0</v>
      </c>
      <c r="AV181" s="233">
        <f>F181*AN181</f>
        <v>0</v>
      </c>
      <c r="AW181" s="234" t="s">
        <v>404</v>
      </c>
      <c r="AX181" s="234" t="s">
        <v>375</v>
      </c>
      <c r="AY181" s="229" t="s">
        <v>164</v>
      </c>
      <c r="BA181" s="233">
        <f>AU181+AV181</f>
        <v>0</v>
      </c>
      <c r="BB181" s="233">
        <f>G181/(100-BC181)*100</f>
        <v>0</v>
      </c>
      <c r="BC181" s="233">
        <v>0</v>
      </c>
      <c r="BD181" s="233">
        <f>L181</f>
        <v>0</v>
      </c>
      <c r="BF181" s="233">
        <f>F181*AM181</f>
        <v>0</v>
      </c>
      <c r="BG181" s="233">
        <f>F181*AN181</f>
        <v>0</v>
      </c>
      <c r="BH181" s="233">
        <f>F181*G181</f>
        <v>0</v>
      </c>
      <c r="BI181" s="233"/>
      <c r="BJ181" s="233"/>
      <c r="BU181" s="233" t="e">
        <f>#REF!</f>
        <v>#REF!</v>
      </c>
      <c r="BV181" s="225" t="s">
        <v>2274</v>
      </c>
    </row>
    <row r="182" spans="1:74" ht="40.5" customHeight="1" x14ac:dyDescent="0.3">
      <c r="A182" s="241"/>
      <c r="B182" s="242" t="s">
        <v>165</v>
      </c>
      <c r="C182" s="530" t="s">
        <v>2275</v>
      </c>
      <c r="D182" s="531"/>
      <c r="E182" s="531"/>
      <c r="F182" s="531"/>
      <c r="G182" s="531"/>
      <c r="H182" s="531"/>
      <c r="I182" s="531"/>
      <c r="J182" s="531"/>
      <c r="K182" s="531"/>
      <c r="L182" s="531"/>
      <c r="M182" s="532"/>
    </row>
    <row r="183" spans="1:74" ht="14.4" x14ac:dyDescent="0.3">
      <c r="A183" s="239" t="s">
        <v>154</v>
      </c>
      <c r="B183" s="224" t="s">
        <v>1383</v>
      </c>
      <c r="C183" s="526" t="s">
        <v>449</v>
      </c>
      <c r="D183" s="527"/>
      <c r="E183" s="223" t="s">
        <v>114</v>
      </c>
      <c r="F183" s="223" t="s">
        <v>114</v>
      </c>
      <c r="G183" s="223" t="s">
        <v>114</v>
      </c>
      <c r="H183" s="235">
        <f>SUM(H184:H207)</f>
        <v>0</v>
      </c>
      <c r="I183" s="235">
        <f>SUM(I184:I207)</f>
        <v>0</v>
      </c>
      <c r="J183" s="235">
        <f>SUM(J184:J207)</f>
        <v>0</v>
      </c>
      <c r="K183" s="230" t="s">
        <v>154</v>
      </c>
      <c r="L183" s="235">
        <f>SUM(L184:L207)</f>
        <v>11.389200000000001</v>
      </c>
      <c r="M183" s="243" t="s">
        <v>154</v>
      </c>
      <c r="AG183" s="229" t="s">
        <v>154</v>
      </c>
      <c r="AQ183" s="222">
        <f>SUM(AH184:AH207)</f>
        <v>0</v>
      </c>
      <c r="AR183" s="222">
        <f>SUM(AI184:AI207)</f>
        <v>0</v>
      </c>
      <c r="AS183" s="222">
        <f>SUM(AJ184:AJ207)</f>
        <v>0</v>
      </c>
    </row>
    <row r="184" spans="1:74" ht="14.4" x14ac:dyDescent="0.3">
      <c r="A184" s="239" t="s">
        <v>585</v>
      </c>
      <c r="B184" s="223" t="s">
        <v>2276</v>
      </c>
      <c r="C184" s="521" t="s">
        <v>2277</v>
      </c>
      <c r="D184" s="519"/>
      <c r="E184" s="223" t="s">
        <v>365</v>
      </c>
      <c r="F184" s="233">
        <v>4</v>
      </c>
      <c r="G184" s="311">
        <v>0</v>
      </c>
      <c r="H184" s="233">
        <f>F184*AM184</f>
        <v>0</v>
      </c>
      <c r="I184" s="233">
        <f>F184*AN184</f>
        <v>0</v>
      </c>
      <c r="J184" s="233">
        <f>F184*G184</f>
        <v>0</v>
      </c>
      <c r="K184" s="233">
        <v>9.8900000000000002E-2</v>
      </c>
      <c r="L184" s="233">
        <f>F184*K184</f>
        <v>0.39560000000000001</v>
      </c>
      <c r="M184" s="240" t="s">
        <v>472</v>
      </c>
      <c r="X184" s="233">
        <f>IF(AO184="5",BH184,0)</f>
        <v>0</v>
      </c>
      <c r="Z184" s="233">
        <f>IF(AO184="1",BF184,0)</f>
        <v>0</v>
      </c>
      <c r="AA184" s="233">
        <f>IF(AO184="1",BG184,0)</f>
        <v>0</v>
      </c>
      <c r="AB184" s="233">
        <f>IF(AO184="7",BF184,0)</f>
        <v>0</v>
      </c>
      <c r="AC184" s="233">
        <f>IF(AO184="7",BG184,0)</f>
        <v>0</v>
      </c>
      <c r="AD184" s="233">
        <f>IF(AO184="2",BF184,0)</f>
        <v>0</v>
      </c>
      <c r="AE184" s="233">
        <f>IF(AO184="2",BG184,0)</f>
        <v>0</v>
      </c>
      <c r="AF184" s="233">
        <f>IF(AO184="0",BH184,0)</f>
        <v>0</v>
      </c>
      <c r="AG184" s="229" t="s">
        <v>154</v>
      </c>
      <c r="AH184" s="233">
        <f>IF(AL184=0,J184,0)</f>
        <v>0</v>
      </c>
      <c r="AI184" s="233">
        <f>IF(AL184=15,J184,0)</f>
        <v>0</v>
      </c>
      <c r="AJ184" s="233">
        <f>IF(AL184=21,J184,0)</f>
        <v>0</v>
      </c>
      <c r="AL184" s="233">
        <v>15</v>
      </c>
      <c r="AM184" s="233">
        <f>G184*1</f>
        <v>0</v>
      </c>
      <c r="AN184" s="233">
        <f>G184*(1-1)</f>
        <v>0</v>
      </c>
      <c r="AO184" s="234" t="s">
        <v>453</v>
      </c>
      <c r="AT184" s="233">
        <f>AU184+AV184</f>
        <v>0</v>
      </c>
      <c r="AU184" s="233">
        <f>F184*AM184</f>
        <v>0</v>
      </c>
      <c r="AV184" s="233">
        <f>F184*AN184</f>
        <v>0</v>
      </c>
      <c r="AW184" s="234" t="s">
        <v>454</v>
      </c>
      <c r="AX184" s="234" t="s">
        <v>455</v>
      </c>
      <c r="AY184" s="229" t="s">
        <v>164</v>
      </c>
      <c r="BA184" s="233">
        <f>AU184+AV184</f>
        <v>0</v>
      </c>
      <c r="BB184" s="233">
        <f>G184/(100-BC184)*100</f>
        <v>0</v>
      </c>
      <c r="BC184" s="233">
        <v>0</v>
      </c>
      <c r="BD184" s="233">
        <f>L184</f>
        <v>0.39560000000000001</v>
      </c>
      <c r="BF184" s="233">
        <f>F184*AM184</f>
        <v>0</v>
      </c>
      <c r="BG184" s="233">
        <f>F184*AN184</f>
        <v>0</v>
      </c>
      <c r="BH184" s="233">
        <f>F184*G184</f>
        <v>0</v>
      </c>
      <c r="BI184" s="233"/>
      <c r="BJ184" s="233"/>
      <c r="BU184" s="233" t="e">
        <f>#REF!</f>
        <v>#REF!</v>
      </c>
      <c r="BV184" s="225" t="s">
        <v>2277</v>
      </c>
    </row>
    <row r="185" spans="1:74" ht="40.5" customHeight="1" x14ac:dyDescent="0.3">
      <c r="A185" s="241"/>
      <c r="B185" s="242" t="s">
        <v>165</v>
      </c>
      <c r="C185" s="530" t="s">
        <v>2278</v>
      </c>
      <c r="D185" s="531"/>
      <c r="E185" s="531"/>
      <c r="F185" s="531"/>
      <c r="G185" s="531"/>
      <c r="H185" s="531"/>
      <c r="I185" s="531"/>
      <c r="J185" s="531"/>
      <c r="K185" s="531"/>
      <c r="L185" s="531"/>
      <c r="M185" s="532"/>
    </row>
    <row r="186" spans="1:74" ht="14.4" x14ac:dyDescent="0.3">
      <c r="A186" s="239" t="s">
        <v>589</v>
      </c>
      <c r="B186" s="223" t="s">
        <v>2279</v>
      </c>
      <c r="C186" s="521" t="s">
        <v>2280</v>
      </c>
      <c r="D186" s="519"/>
      <c r="E186" s="223" t="s">
        <v>365</v>
      </c>
      <c r="F186" s="233">
        <v>2</v>
      </c>
      <c r="G186" s="311">
        <v>0</v>
      </c>
      <c r="H186" s="233">
        <f>F186*AM186</f>
        <v>0</v>
      </c>
      <c r="I186" s="233">
        <f>F186*AN186</f>
        <v>0</v>
      </c>
      <c r="J186" s="233">
        <f>F186*G186</f>
        <v>0</v>
      </c>
      <c r="K186" s="233">
        <v>9.8900000000000002E-2</v>
      </c>
      <c r="L186" s="233">
        <f>F186*K186</f>
        <v>0.1978</v>
      </c>
      <c r="M186" s="240" t="s">
        <v>472</v>
      </c>
      <c r="X186" s="233">
        <f>IF(AO186="5",BH186,0)</f>
        <v>0</v>
      </c>
      <c r="Z186" s="233">
        <f>IF(AO186="1",BF186,0)</f>
        <v>0</v>
      </c>
      <c r="AA186" s="233">
        <f>IF(AO186="1",BG186,0)</f>
        <v>0</v>
      </c>
      <c r="AB186" s="233">
        <f>IF(AO186="7",BF186,0)</f>
        <v>0</v>
      </c>
      <c r="AC186" s="233">
        <f>IF(AO186="7",BG186,0)</f>
        <v>0</v>
      </c>
      <c r="AD186" s="233">
        <f>IF(AO186="2",BF186,0)</f>
        <v>0</v>
      </c>
      <c r="AE186" s="233">
        <f>IF(AO186="2",BG186,0)</f>
        <v>0</v>
      </c>
      <c r="AF186" s="233">
        <f>IF(AO186="0",BH186,0)</f>
        <v>0</v>
      </c>
      <c r="AG186" s="229" t="s">
        <v>154</v>
      </c>
      <c r="AH186" s="233">
        <f>IF(AL186=0,J186,0)</f>
        <v>0</v>
      </c>
      <c r="AI186" s="233">
        <f>IF(AL186=15,J186,0)</f>
        <v>0</v>
      </c>
      <c r="AJ186" s="233">
        <f>IF(AL186=21,J186,0)</f>
        <v>0</v>
      </c>
      <c r="AL186" s="233">
        <v>15</v>
      </c>
      <c r="AM186" s="233">
        <f>G186*1</f>
        <v>0</v>
      </c>
      <c r="AN186" s="233">
        <f>G186*(1-1)</f>
        <v>0</v>
      </c>
      <c r="AO186" s="234" t="s">
        <v>453</v>
      </c>
      <c r="AT186" s="233">
        <f>AU186+AV186</f>
        <v>0</v>
      </c>
      <c r="AU186" s="233">
        <f>F186*AM186</f>
        <v>0</v>
      </c>
      <c r="AV186" s="233">
        <f>F186*AN186</f>
        <v>0</v>
      </c>
      <c r="AW186" s="234" t="s">
        <v>454</v>
      </c>
      <c r="AX186" s="234" t="s">
        <v>455</v>
      </c>
      <c r="AY186" s="229" t="s">
        <v>164</v>
      </c>
      <c r="BA186" s="233">
        <f>AU186+AV186</f>
        <v>0</v>
      </c>
      <c r="BB186" s="233">
        <f>G186/(100-BC186)*100</f>
        <v>0</v>
      </c>
      <c r="BC186" s="233">
        <v>0</v>
      </c>
      <c r="BD186" s="233">
        <f>L186</f>
        <v>0.1978</v>
      </c>
      <c r="BF186" s="233">
        <f>F186*AM186</f>
        <v>0</v>
      </c>
      <c r="BG186" s="233">
        <f>F186*AN186</f>
        <v>0</v>
      </c>
      <c r="BH186" s="233">
        <f>F186*G186</f>
        <v>0</v>
      </c>
      <c r="BI186" s="233"/>
      <c r="BJ186" s="233"/>
      <c r="BU186" s="233" t="e">
        <f>#REF!</f>
        <v>#REF!</v>
      </c>
      <c r="BV186" s="225" t="s">
        <v>2280</v>
      </c>
    </row>
    <row r="187" spans="1:74" ht="40.5" customHeight="1" x14ac:dyDescent="0.3">
      <c r="A187" s="241"/>
      <c r="B187" s="242" t="s">
        <v>165</v>
      </c>
      <c r="C187" s="530" t="s">
        <v>2281</v>
      </c>
      <c r="D187" s="531"/>
      <c r="E187" s="531"/>
      <c r="F187" s="531"/>
      <c r="G187" s="531"/>
      <c r="H187" s="531"/>
      <c r="I187" s="531"/>
      <c r="J187" s="531"/>
      <c r="K187" s="531"/>
      <c r="L187" s="531"/>
      <c r="M187" s="532"/>
    </row>
    <row r="188" spans="1:74" ht="14.4" x14ac:dyDescent="0.3">
      <c r="A188" s="239" t="s">
        <v>593</v>
      </c>
      <c r="B188" s="223" t="s">
        <v>2282</v>
      </c>
      <c r="C188" s="521" t="s">
        <v>2283</v>
      </c>
      <c r="D188" s="519"/>
      <c r="E188" s="223" t="s">
        <v>365</v>
      </c>
      <c r="F188" s="233">
        <v>1</v>
      </c>
      <c r="G188" s="311">
        <v>0</v>
      </c>
      <c r="H188" s="233">
        <f>F188*AM188</f>
        <v>0</v>
      </c>
      <c r="I188" s="233">
        <f>F188*AN188</f>
        <v>0</v>
      </c>
      <c r="J188" s="233">
        <f>F188*G188</f>
        <v>0</v>
      </c>
      <c r="K188" s="233">
        <v>1.8499999999999999E-2</v>
      </c>
      <c r="L188" s="233">
        <f>F188*K188</f>
        <v>1.8499999999999999E-2</v>
      </c>
      <c r="M188" s="240" t="s">
        <v>472</v>
      </c>
      <c r="X188" s="233">
        <f>IF(AO188="5",BH188,0)</f>
        <v>0</v>
      </c>
      <c r="Z188" s="233">
        <f>IF(AO188="1",BF188,0)</f>
        <v>0</v>
      </c>
      <c r="AA188" s="233">
        <f>IF(AO188="1",BG188,0)</f>
        <v>0</v>
      </c>
      <c r="AB188" s="233">
        <f>IF(AO188="7",BF188,0)</f>
        <v>0</v>
      </c>
      <c r="AC188" s="233">
        <f>IF(AO188="7",BG188,0)</f>
        <v>0</v>
      </c>
      <c r="AD188" s="233">
        <f>IF(AO188="2",BF188,0)</f>
        <v>0</v>
      </c>
      <c r="AE188" s="233">
        <f>IF(AO188="2",BG188,0)</f>
        <v>0</v>
      </c>
      <c r="AF188" s="233">
        <f>IF(AO188="0",BH188,0)</f>
        <v>0</v>
      </c>
      <c r="AG188" s="229" t="s">
        <v>154</v>
      </c>
      <c r="AH188" s="233">
        <f>IF(AL188=0,J188,0)</f>
        <v>0</v>
      </c>
      <c r="AI188" s="233">
        <f>IF(AL188=15,J188,0)</f>
        <v>0</v>
      </c>
      <c r="AJ188" s="233">
        <f>IF(AL188=21,J188,0)</f>
        <v>0</v>
      </c>
      <c r="AL188" s="233">
        <v>15</v>
      </c>
      <c r="AM188" s="233">
        <f>G188*1</f>
        <v>0</v>
      </c>
      <c r="AN188" s="233">
        <f>G188*(1-1)</f>
        <v>0</v>
      </c>
      <c r="AO188" s="234" t="s">
        <v>453</v>
      </c>
      <c r="AT188" s="233">
        <f>AU188+AV188</f>
        <v>0</v>
      </c>
      <c r="AU188" s="233">
        <f>F188*AM188</f>
        <v>0</v>
      </c>
      <c r="AV188" s="233">
        <f>F188*AN188</f>
        <v>0</v>
      </c>
      <c r="AW188" s="234" t="s">
        <v>454</v>
      </c>
      <c r="AX188" s="234" t="s">
        <v>455</v>
      </c>
      <c r="AY188" s="229" t="s">
        <v>164</v>
      </c>
      <c r="BA188" s="233">
        <f>AU188+AV188</f>
        <v>0</v>
      </c>
      <c r="BB188" s="233">
        <f>G188/(100-BC188)*100</f>
        <v>0</v>
      </c>
      <c r="BC188" s="233">
        <v>0</v>
      </c>
      <c r="BD188" s="233">
        <f>L188</f>
        <v>1.8499999999999999E-2</v>
      </c>
      <c r="BF188" s="233">
        <f>F188*AM188</f>
        <v>0</v>
      </c>
      <c r="BG188" s="233">
        <f>F188*AN188</f>
        <v>0</v>
      </c>
      <c r="BH188" s="233">
        <f>F188*G188</f>
        <v>0</v>
      </c>
      <c r="BI188" s="233"/>
      <c r="BJ188" s="233"/>
      <c r="BU188" s="233" t="e">
        <f>#REF!</f>
        <v>#REF!</v>
      </c>
      <c r="BV188" s="225" t="s">
        <v>2283</v>
      </c>
    </row>
    <row r="189" spans="1:74" ht="40.5" customHeight="1" x14ac:dyDescent="0.3">
      <c r="A189" s="241"/>
      <c r="B189" s="242" t="s">
        <v>165</v>
      </c>
      <c r="C189" s="530" t="s">
        <v>2284</v>
      </c>
      <c r="D189" s="531"/>
      <c r="E189" s="531"/>
      <c r="F189" s="531"/>
      <c r="G189" s="531"/>
      <c r="H189" s="531"/>
      <c r="I189" s="531"/>
      <c r="J189" s="531"/>
      <c r="K189" s="531"/>
      <c r="L189" s="531"/>
      <c r="M189" s="532"/>
    </row>
    <row r="190" spans="1:74" ht="14.4" x14ac:dyDescent="0.3">
      <c r="A190" s="239" t="s">
        <v>597</v>
      </c>
      <c r="B190" s="223" t="s">
        <v>2285</v>
      </c>
      <c r="C190" s="521" t="s">
        <v>2286</v>
      </c>
      <c r="D190" s="519"/>
      <c r="E190" s="223" t="s">
        <v>365</v>
      </c>
      <c r="F190" s="233">
        <v>3</v>
      </c>
      <c r="G190" s="311">
        <v>0</v>
      </c>
      <c r="H190" s="233">
        <f>F190*AM190</f>
        <v>0</v>
      </c>
      <c r="I190" s="233">
        <f>F190*AN190</f>
        <v>0</v>
      </c>
      <c r="J190" s="233">
        <f>F190*G190</f>
        <v>0</v>
      </c>
      <c r="K190" s="233">
        <v>6.1999999999999998E-3</v>
      </c>
      <c r="L190" s="233">
        <f>F190*K190</f>
        <v>1.8599999999999998E-2</v>
      </c>
      <c r="M190" s="240" t="s">
        <v>472</v>
      </c>
      <c r="X190" s="233">
        <f>IF(AO190="5",BH190,0)</f>
        <v>0</v>
      </c>
      <c r="Z190" s="233">
        <f>IF(AO190="1",BF190,0)</f>
        <v>0</v>
      </c>
      <c r="AA190" s="233">
        <f>IF(AO190="1",BG190,0)</f>
        <v>0</v>
      </c>
      <c r="AB190" s="233">
        <f>IF(AO190="7",BF190,0)</f>
        <v>0</v>
      </c>
      <c r="AC190" s="233">
        <f>IF(AO190="7",BG190,0)</f>
        <v>0</v>
      </c>
      <c r="AD190" s="233">
        <f>IF(AO190="2",BF190,0)</f>
        <v>0</v>
      </c>
      <c r="AE190" s="233">
        <f>IF(AO190="2",BG190,0)</f>
        <v>0</v>
      </c>
      <c r="AF190" s="233">
        <f>IF(AO190="0",BH190,0)</f>
        <v>0</v>
      </c>
      <c r="AG190" s="229" t="s">
        <v>154</v>
      </c>
      <c r="AH190" s="233">
        <f>IF(AL190=0,J190,0)</f>
        <v>0</v>
      </c>
      <c r="AI190" s="233">
        <f>IF(AL190=15,J190,0)</f>
        <v>0</v>
      </c>
      <c r="AJ190" s="233">
        <f>IF(AL190=21,J190,0)</f>
        <v>0</v>
      </c>
      <c r="AL190" s="233">
        <v>15</v>
      </c>
      <c r="AM190" s="233">
        <f>G190*1</f>
        <v>0</v>
      </c>
      <c r="AN190" s="233">
        <f>G190*(1-1)</f>
        <v>0</v>
      </c>
      <c r="AO190" s="234" t="s">
        <v>453</v>
      </c>
      <c r="AT190" s="233">
        <f>AU190+AV190</f>
        <v>0</v>
      </c>
      <c r="AU190" s="233">
        <f>F190*AM190</f>
        <v>0</v>
      </c>
      <c r="AV190" s="233">
        <f>F190*AN190</f>
        <v>0</v>
      </c>
      <c r="AW190" s="234" t="s">
        <v>454</v>
      </c>
      <c r="AX190" s="234" t="s">
        <v>455</v>
      </c>
      <c r="AY190" s="229" t="s">
        <v>164</v>
      </c>
      <c r="BA190" s="233">
        <f>AU190+AV190</f>
        <v>0</v>
      </c>
      <c r="BB190" s="233">
        <f>G190/(100-BC190)*100</f>
        <v>0</v>
      </c>
      <c r="BC190" s="233">
        <v>0</v>
      </c>
      <c r="BD190" s="233">
        <f>L190</f>
        <v>1.8599999999999998E-2</v>
      </c>
      <c r="BF190" s="233">
        <f>F190*AM190</f>
        <v>0</v>
      </c>
      <c r="BG190" s="233">
        <f>F190*AN190</f>
        <v>0</v>
      </c>
      <c r="BH190" s="233">
        <f>F190*G190</f>
        <v>0</v>
      </c>
      <c r="BI190" s="233"/>
      <c r="BJ190" s="233"/>
      <c r="BU190" s="233" t="e">
        <f>#REF!</f>
        <v>#REF!</v>
      </c>
      <c r="BV190" s="225" t="s">
        <v>2286</v>
      </c>
    </row>
    <row r="191" spans="1:74" ht="40.5" customHeight="1" x14ac:dyDescent="0.3">
      <c r="A191" s="241"/>
      <c r="B191" s="242" t="s">
        <v>165</v>
      </c>
      <c r="C191" s="530" t="s">
        <v>2287</v>
      </c>
      <c r="D191" s="531"/>
      <c r="E191" s="531"/>
      <c r="F191" s="531"/>
      <c r="G191" s="531"/>
      <c r="H191" s="531"/>
      <c r="I191" s="531"/>
      <c r="J191" s="531"/>
      <c r="K191" s="531"/>
      <c r="L191" s="531"/>
      <c r="M191" s="532"/>
    </row>
    <row r="192" spans="1:74" ht="14.4" x14ac:dyDescent="0.3">
      <c r="A192" s="239" t="s">
        <v>350</v>
      </c>
      <c r="B192" s="223" t="s">
        <v>2288</v>
      </c>
      <c r="C192" s="521" t="s">
        <v>2289</v>
      </c>
      <c r="D192" s="519"/>
      <c r="E192" s="223" t="s">
        <v>365</v>
      </c>
      <c r="F192" s="233">
        <v>1</v>
      </c>
      <c r="G192" s="311">
        <v>0</v>
      </c>
      <c r="H192" s="233">
        <f>F192*AM192</f>
        <v>0</v>
      </c>
      <c r="I192" s="233">
        <f>F192*AN192</f>
        <v>0</v>
      </c>
      <c r="J192" s="233">
        <f>F192*G192</f>
        <v>0</v>
      </c>
      <c r="K192" s="233">
        <v>1.8599999999999998E-2</v>
      </c>
      <c r="L192" s="233">
        <f>F192*K192</f>
        <v>1.8599999999999998E-2</v>
      </c>
      <c r="M192" s="240" t="s">
        <v>472</v>
      </c>
      <c r="X192" s="233">
        <f>IF(AO192="5",BH192,0)</f>
        <v>0</v>
      </c>
      <c r="Z192" s="233">
        <f>IF(AO192="1",BF192,0)</f>
        <v>0</v>
      </c>
      <c r="AA192" s="233">
        <f>IF(AO192="1",BG192,0)</f>
        <v>0</v>
      </c>
      <c r="AB192" s="233">
        <f>IF(AO192="7",BF192,0)</f>
        <v>0</v>
      </c>
      <c r="AC192" s="233">
        <f>IF(AO192="7",BG192,0)</f>
        <v>0</v>
      </c>
      <c r="AD192" s="233">
        <f>IF(AO192="2",BF192,0)</f>
        <v>0</v>
      </c>
      <c r="AE192" s="233">
        <f>IF(AO192="2",BG192,0)</f>
        <v>0</v>
      </c>
      <c r="AF192" s="233">
        <f>IF(AO192="0",BH192,0)</f>
        <v>0</v>
      </c>
      <c r="AG192" s="229" t="s">
        <v>154</v>
      </c>
      <c r="AH192" s="233">
        <f>IF(AL192=0,J192,0)</f>
        <v>0</v>
      </c>
      <c r="AI192" s="233">
        <f>IF(AL192=15,J192,0)</f>
        <v>0</v>
      </c>
      <c r="AJ192" s="233">
        <f>IF(AL192=21,J192,0)</f>
        <v>0</v>
      </c>
      <c r="AL192" s="233">
        <v>15</v>
      </c>
      <c r="AM192" s="233">
        <f>G192*1</f>
        <v>0</v>
      </c>
      <c r="AN192" s="233">
        <f>G192*(1-1)</f>
        <v>0</v>
      </c>
      <c r="AO192" s="234" t="s">
        <v>453</v>
      </c>
      <c r="AT192" s="233">
        <f>AU192+AV192</f>
        <v>0</v>
      </c>
      <c r="AU192" s="233">
        <f>F192*AM192</f>
        <v>0</v>
      </c>
      <c r="AV192" s="233">
        <f>F192*AN192</f>
        <v>0</v>
      </c>
      <c r="AW192" s="234" t="s">
        <v>454</v>
      </c>
      <c r="AX192" s="234" t="s">
        <v>455</v>
      </c>
      <c r="AY192" s="229" t="s">
        <v>164</v>
      </c>
      <c r="BA192" s="233">
        <f>AU192+AV192</f>
        <v>0</v>
      </c>
      <c r="BB192" s="233">
        <f>G192/(100-BC192)*100</f>
        <v>0</v>
      </c>
      <c r="BC192" s="233">
        <v>0</v>
      </c>
      <c r="BD192" s="233">
        <f>L192</f>
        <v>1.8599999999999998E-2</v>
      </c>
      <c r="BF192" s="233">
        <f>F192*AM192</f>
        <v>0</v>
      </c>
      <c r="BG192" s="233">
        <f>F192*AN192</f>
        <v>0</v>
      </c>
      <c r="BH192" s="233">
        <f>F192*G192</f>
        <v>0</v>
      </c>
      <c r="BI192" s="233"/>
      <c r="BJ192" s="233"/>
      <c r="BU192" s="233" t="e">
        <f>#REF!</f>
        <v>#REF!</v>
      </c>
      <c r="BV192" s="225" t="s">
        <v>2289</v>
      </c>
    </row>
    <row r="193" spans="1:74" ht="54" customHeight="1" x14ac:dyDescent="0.3">
      <c r="A193" s="241"/>
      <c r="B193" s="242" t="s">
        <v>165</v>
      </c>
      <c r="C193" s="530" t="s">
        <v>2290</v>
      </c>
      <c r="D193" s="531"/>
      <c r="E193" s="531"/>
      <c r="F193" s="531"/>
      <c r="G193" s="531"/>
      <c r="H193" s="531"/>
      <c r="I193" s="531"/>
      <c r="J193" s="531"/>
      <c r="K193" s="531"/>
      <c r="L193" s="531"/>
      <c r="M193" s="532"/>
    </row>
    <row r="194" spans="1:74" ht="14.4" x14ac:dyDescent="0.3">
      <c r="A194" s="239" t="s">
        <v>601</v>
      </c>
      <c r="B194" s="223" t="s">
        <v>972</v>
      </c>
      <c r="C194" s="521" t="s">
        <v>973</v>
      </c>
      <c r="D194" s="519"/>
      <c r="E194" s="223" t="s">
        <v>365</v>
      </c>
      <c r="F194" s="233">
        <v>3</v>
      </c>
      <c r="G194" s="311">
        <v>0</v>
      </c>
      <c r="H194" s="233">
        <f t="shared" ref="H194:H203" si="0">F194*AM194</f>
        <v>0</v>
      </c>
      <c r="I194" s="233">
        <f t="shared" ref="I194:I203" si="1">F194*AN194</f>
        <v>0</v>
      </c>
      <c r="J194" s="233">
        <f t="shared" ref="J194:J203" si="2">F194*G194</f>
        <v>0</v>
      </c>
      <c r="K194" s="233">
        <v>0.08</v>
      </c>
      <c r="L194" s="233">
        <f t="shared" ref="L194:L203" si="3">F194*K194</f>
        <v>0.24</v>
      </c>
      <c r="M194" s="240" t="s">
        <v>472</v>
      </c>
      <c r="X194" s="233">
        <f t="shared" ref="X194:X203" si="4">IF(AO194="5",BH194,0)</f>
        <v>0</v>
      </c>
      <c r="Z194" s="233">
        <f t="shared" ref="Z194:Z203" si="5">IF(AO194="1",BF194,0)</f>
        <v>0</v>
      </c>
      <c r="AA194" s="233">
        <f t="shared" ref="AA194:AA203" si="6">IF(AO194="1",BG194,0)</f>
        <v>0</v>
      </c>
      <c r="AB194" s="233">
        <f t="shared" ref="AB194:AB203" si="7">IF(AO194="7",BF194,0)</f>
        <v>0</v>
      </c>
      <c r="AC194" s="233">
        <f t="shared" ref="AC194:AC203" si="8">IF(AO194="7",BG194,0)</f>
        <v>0</v>
      </c>
      <c r="AD194" s="233">
        <f t="shared" ref="AD194:AD203" si="9">IF(AO194="2",BF194,0)</f>
        <v>0</v>
      </c>
      <c r="AE194" s="233">
        <f t="shared" ref="AE194:AE203" si="10">IF(AO194="2",BG194,0)</f>
        <v>0</v>
      </c>
      <c r="AF194" s="233">
        <f t="shared" ref="AF194:AF203" si="11">IF(AO194="0",BH194,0)</f>
        <v>0</v>
      </c>
      <c r="AG194" s="229" t="s">
        <v>154</v>
      </c>
      <c r="AH194" s="233">
        <f t="shared" ref="AH194:AH203" si="12">IF(AL194=0,J194,0)</f>
        <v>0</v>
      </c>
      <c r="AI194" s="233">
        <f t="shared" ref="AI194:AI203" si="13">IF(AL194=15,J194,0)</f>
        <v>0</v>
      </c>
      <c r="AJ194" s="233">
        <f t="shared" ref="AJ194:AJ203" si="14">IF(AL194=21,J194,0)</f>
        <v>0</v>
      </c>
      <c r="AL194" s="233">
        <v>15</v>
      </c>
      <c r="AM194" s="233">
        <f t="shared" ref="AM194:AM203" si="15">G194*1</f>
        <v>0</v>
      </c>
      <c r="AN194" s="233">
        <f t="shared" ref="AN194:AN203" si="16">G194*(1-1)</f>
        <v>0</v>
      </c>
      <c r="AO194" s="234" t="s">
        <v>453</v>
      </c>
      <c r="AT194" s="233">
        <f t="shared" ref="AT194:AT203" si="17">AU194+AV194</f>
        <v>0</v>
      </c>
      <c r="AU194" s="233">
        <f t="shared" ref="AU194:AU203" si="18">F194*AM194</f>
        <v>0</v>
      </c>
      <c r="AV194" s="233">
        <f t="shared" ref="AV194:AV203" si="19">F194*AN194</f>
        <v>0</v>
      </c>
      <c r="AW194" s="234" t="s">
        <v>454</v>
      </c>
      <c r="AX194" s="234" t="s">
        <v>455</v>
      </c>
      <c r="AY194" s="229" t="s">
        <v>164</v>
      </c>
      <c r="BA194" s="233">
        <f t="shared" ref="BA194:BA203" si="20">AU194+AV194</f>
        <v>0</v>
      </c>
      <c r="BB194" s="233">
        <f t="shared" ref="BB194:BB203" si="21">G194/(100-BC194)*100</f>
        <v>0</v>
      </c>
      <c r="BC194" s="233">
        <v>0</v>
      </c>
      <c r="BD194" s="233">
        <f t="shared" ref="BD194:BD203" si="22">L194</f>
        <v>0.24</v>
      </c>
      <c r="BF194" s="233">
        <f t="shared" ref="BF194:BF203" si="23">F194*AM194</f>
        <v>0</v>
      </c>
      <c r="BG194" s="233">
        <f t="shared" ref="BG194:BG203" si="24">F194*AN194</f>
        <v>0</v>
      </c>
      <c r="BH194" s="233">
        <f t="shared" ref="BH194:BH203" si="25">F194*G194</f>
        <v>0</v>
      </c>
      <c r="BI194" s="233"/>
      <c r="BJ194" s="233"/>
      <c r="BU194" s="233" t="e">
        <f>#REF!</f>
        <v>#REF!</v>
      </c>
      <c r="BV194" s="225" t="s">
        <v>973</v>
      </c>
    </row>
    <row r="195" spans="1:74" ht="14.4" x14ac:dyDescent="0.3">
      <c r="A195" s="239" t="s">
        <v>529</v>
      </c>
      <c r="B195" s="223" t="s">
        <v>947</v>
      </c>
      <c r="C195" s="521" t="s">
        <v>948</v>
      </c>
      <c r="D195" s="519"/>
      <c r="E195" s="223" t="s">
        <v>365</v>
      </c>
      <c r="F195" s="233">
        <v>1</v>
      </c>
      <c r="G195" s="311">
        <v>0</v>
      </c>
      <c r="H195" s="233">
        <f t="shared" si="0"/>
        <v>0</v>
      </c>
      <c r="I195" s="233">
        <f t="shared" si="1"/>
        <v>0</v>
      </c>
      <c r="J195" s="233">
        <f t="shared" si="2"/>
        <v>0</v>
      </c>
      <c r="K195" s="233">
        <v>3.9E-2</v>
      </c>
      <c r="L195" s="233">
        <f t="shared" si="3"/>
        <v>3.9E-2</v>
      </c>
      <c r="M195" s="240" t="s">
        <v>472</v>
      </c>
      <c r="X195" s="233">
        <f t="shared" si="4"/>
        <v>0</v>
      </c>
      <c r="Z195" s="233">
        <f t="shared" si="5"/>
        <v>0</v>
      </c>
      <c r="AA195" s="233">
        <f t="shared" si="6"/>
        <v>0</v>
      </c>
      <c r="AB195" s="233">
        <f t="shared" si="7"/>
        <v>0</v>
      </c>
      <c r="AC195" s="233">
        <f t="shared" si="8"/>
        <v>0</v>
      </c>
      <c r="AD195" s="233">
        <f t="shared" si="9"/>
        <v>0</v>
      </c>
      <c r="AE195" s="233">
        <f t="shared" si="10"/>
        <v>0</v>
      </c>
      <c r="AF195" s="233">
        <f t="shared" si="11"/>
        <v>0</v>
      </c>
      <c r="AG195" s="229" t="s">
        <v>154</v>
      </c>
      <c r="AH195" s="233">
        <f t="shared" si="12"/>
        <v>0</v>
      </c>
      <c r="AI195" s="233">
        <f t="shared" si="13"/>
        <v>0</v>
      </c>
      <c r="AJ195" s="233">
        <f t="shared" si="14"/>
        <v>0</v>
      </c>
      <c r="AL195" s="233">
        <v>15</v>
      </c>
      <c r="AM195" s="233">
        <f t="shared" si="15"/>
        <v>0</v>
      </c>
      <c r="AN195" s="233">
        <f t="shared" si="16"/>
        <v>0</v>
      </c>
      <c r="AO195" s="234" t="s">
        <v>453</v>
      </c>
      <c r="AT195" s="233">
        <f t="shared" si="17"/>
        <v>0</v>
      </c>
      <c r="AU195" s="233">
        <f t="shared" si="18"/>
        <v>0</v>
      </c>
      <c r="AV195" s="233">
        <f t="shared" si="19"/>
        <v>0</v>
      </c>
      <c r="AW195" s="234" t="s">
        <v>454</v>
      </c>
      <c r="AX195" s="234" t="s">
        <v>455</v>
      </c>
      <c r="AY195" s="229" t="s">
        <v>164</v>
      </c>
      <c r="BA195" s="233">
        <f t="shared" si="20"/>
        <v>0</v>
      </c>
      <c r="BB195" s="233">
        <f t="shared" si="21"/>
        <v>0</v>
      </c>
      <c r="BC195" s="233">
        <v>0</v>
      </c>
      <c r="BD195" s="233">
        <f t="shared" si="22"/>
        <v>3.9E-2</v>
      </c>
      <c r="BF195" s="233">
        <f t="shared" si="23"/>
        <v>0</v>
      </c>
      <c r="BG195" s="233">
        <f t="shared" si="24"/>
        <v>0</v>
      </c>
      <c r="BH195" s="233">
        <f t="shared" si="25"/>
        <v>0</v>
      </c>
      <c r="BI195" s="233"/>
      <c r="BJ195" s="233"/>
      <c r="BU195" s="233" t="e">
        <f>#REF!</f>
        <v>#REF!</v>
      </c>
      <c r="BV195" s="225" t="s">
        <v>948</v>
      </c>
    </row>
    <row r="196" spans="1:74" ht="14.4" x14ac:dyDescent="0.3">
      <c r="A196" s="239" t="s">
        <v>607</v>
      </c>
      <c r="B196" s="223" t="s">
        <v>949</v>
      </c>
      <c r="C196" s="521" t="s">
        <v>950</v>
      </c>
      <c r="D196" s="519"/>
      <c r="E196" s="223" t="s">
        <v>365</v>
      </c>
      <c r="F196" s="233">
        <v>2</v>
      </c>
      <c r="G196" s="311">
        <v>0</v>
      </c>
      <c r="H196" s="233">
        <f t="shared" si="0"/>
        <v>0</v>
      </c>
      <c r="I196" s="233">
        <f t="shared" si="1"/>
        <v>0</v>
      </c>
      <c r="J196" s="233">
        <f t="shared" si="2"/>
        <v>0</v>
      </c>
      <c r="K196" s="233">
        <v>0.58499999999999996</v>
      </c>
      <c r="L196" s="233">
        <f t="shared" si="3"/>
        <v>1.17</v>
      </c>
      <c r="M196" s="240" t="s">
        <v>472</v>
      </c>
      <c r="X196" s="233">
        <f t="shared" si="4"/>
        <v>0</v>
      </c>
      <c r="Z196" s="233">
        <f t="shared" si="5"/>
        <v>0</v>
      </c>
      <c r="AA196" s="233">
        <f t="shared" si="6"/>
        <v>0</v>
      </c>
      <c r="AB196" s="233">
        <f t="shared" si="7"/>
        <v>0</v>
      </c>
      <c r="AC196" s="233">
        <f t="shared" si="8"/>
        <v>0</v>
      </c>
      <c r="AD196" s="233">
        <f t="shared" si="9"/>
        <v>0</v>
      </c>
      <c r="AE196" s="233">
        <f t="shared" si="10"/>
        <v>0</v>
      </c>
      <c r="AF196" s="233">
        <f t="shared" si="11"/>
        <v>0</v>
      </c>
      <c r="AG196" s="229" t="s">
        <v>154</v>
      </c>
      <c r="AH196" s="233">
        <f t="shared" si="12"/>
        <v>0</v>
      </c>
      <c r="AI196" s="233">
        <f t="shared" si="13"/>
        <v>0</v>
      </c>
      <c r="AJ196" s="233">
        <f t="shared" si="14"/>
        <v>0</v>
      </c>
      <c r="AL196" s="233">
        <v>15</v>
      </c>
      <c r="AM196" s="233">
        <f t="shared" si="15"/>
        <v>0</v>
      </c>
      <c r="AN196" s="233">
        <f t="shared" si="16"/>
        <v>0</v>
      </c>
      <c r="AO196" s="234" t="s">
        <v>453</v>
      </c>
      <c r="AT196" s="233">
        <f t="shared" si="17"/>
        <v>0</v>
      </c>
      <c r="AU196" s="233">
        <f t="shared" si="18"/>
        <v>0</v>
      </c>
      <c r="AV196" s="233">
        <f t="shared" si="19"/>
        <v>0</v>
      </c>
      <c r="AW196" s="234" t="s">
        <v>454</v>
      </c>
      <c r="AX196" s="234" t="s">
        <v>455</v>
      </c>
      <c r="AY196" s="229" t="s">
        <v>164</v>
      </c>
      <c r="BA196" s="233">
        <f t="shared" si="20"/>
        <v>0</v>
      </c>
      <c r="BB196" s="233">
        <f t="shared" si="21"/>
        <v>0</v>
      </c>
      <c r="BC196" s="233">
        <v>0</v>
      </c>
      <c r="BD196" s="233">
        <f t="shared" si="22"/>
        <v>1.17</v>
      </c>
      <c r="BF196" s="233">
        <f t="shared" si="23"/>
        <v>0</v>
      </c>
      <c r="BG196" s="233">
        <f t="shared" si="24"/>
        <v>0</v>
      </c>
      <c r="BH196" s="233">
        <f t="shared" si="25"/>
        <v>0</v>
      </c>
      <c r="BI196" s="233"/>
      <c r="BJ196" s="233"/>
      <c r="BU196" s="233" t="e">
        <f>#REF!</f>
        <v>#REF!</v>
      </c>
      <c r="BV196" s="225" t="s">
        <v>950</v>
      </c>
    </row>
    <row r="197" spans="1:74" ht="14.4" x14ac:dyDescent="0.3">
      <c r="A197" s="239" t="s">
        <v>539</v>
      </c>
      <c r="B197" s="223" t="s">
        <v>1025</v>
      </c>
      <c r="C197" s="521" t="s">
        <v>1026</v>
      </c>
      <c r="D197" s="519"/>
      <c r="E197" s="223" t="s">
        <v>365</v>
      </c>
      <c r="F197" s="233">
        <v>2</v>
      </c>
      <c r="G197" s="311">
        <v>0</v>
      </c>
      <c r="H197" s="233">
        <f t="shared" si="0"/>
        <v>0</v>
      </c>
      <c r="I197" s="233">
        <f t="shared" si="1"/>
        <v>0</v>
      </c>
      <c r="J197" s="233">
        <f t="shared" si="2"/>
        <v>0</v>
      </c>
      <c r="K197" s="233">
        <v>0.43</v>
      </c>
      <c r="L197" s="233">
        <f t="shared" si="3"/>
        <v>0.86</v>
      </c>
      <c r="M197" s="240" t="s">
        <v>472</v>
      </c>
      <c r="X197" s="233">
        <f t="shared" si="4"/>
        <v>0</v>
      </c>
      <c r="Z197" s="233">
        <f t="shared" si="5"/>
        <v>0</v>
      </c>
      <c r="AA197" s="233">
        <f t="shared" si="6"/>
        <v>0</v>
      </c>
      <c r="AB197" s="233">
        <f t="shared" si="7"/>
        <v>0</v>
      </c>
      <c r="AC197" s="233">
        <f t="shared" si="8"/>
        <v>0</v>
      </c>
      <c r="AD197" s="233">
        <f t="shared" si="9"/>
        <v>0</v>
      </c>
      <c r="AE197" s="233">
        <f t="shared" si="10"/>
        <v>0</v>
      </c>
      <c r="AF197" s="233">
        <f t="shared" si="11"/>
        <v>0</v>
      </c>
      <c r="AG197" s="229" t="s">
        <v>154</v>
      </c>
      <c r="AH197" s="233">
        <f t="shared" si="12"/>
        <v>0</v>
      </c>
      <c r="AI197" s="233">
        <f t="shared" si="13"/>
        <v>0</v>
      </c>
      <c r="AJ197" s="233">
        <f t="shared" si="14"/>
        <v>0</v>
      </c>
      <c r="AL197" s="233">
        <v>15</v>
      </c>
      <c r="AM197" s="233">
        <f t="shared" si="15"/>
        <v>0</v>
      </c>
      <c r="AN197" s="233">
        <f t="shared" si="16"/>
        <v>0</v>
      </c>
      <c r="AO197" s="234" t="s">
        <v>453</v>
      </c>
      <c r="AT197" s="233">
        <f t="shared" si="17"/>
        <v>0</v>
      </c>
      <c r="AU197" s="233">
        <f t="shared" si="18"/>
        <v>0</v>
      </c>
      <c r="AV197" s="233">
        <f t="shared" si="19"/>
        <v>0</v>
      </c>
      <c r="AW197" s="234" t="s">
        <v>454</v>
      </c>
      <c r="AX197" s="234" t="s">
        <v>455</v>
      </c>
      <c r="AY197" s="229" t="s">
        <v>164</v>
      </c>
      <c r="BA197" s="233">
        <f t="shared" si="20"/>
        <v>0</v>
      </c>
      <c r="BB197" s="233">
        <f t="shared" si="21"/>
        <v>0</v>
      </c>
      <c r="BC197" s="233">
        <v>0</v>
      </c>
      <c r="BD197" s="233">
        <f t="shared" si="22"/>
        <v>0.86</v>
      </c>
      <c r="BF197" s="233">
        <f t="shared" si="23"/>
        <v>0</v>
      </c>
      <c r="BG197" s="233">
        <f t="shared" si="24"/>
        <v>0</v>
      </c>
      <c r="BH197" s="233">
        <f t="shared" si="25"/>
        <v>0</v>
      </c>
      <c r="BI197" s="233"/>
      <c r="BJ197" s="233"/>
      <c r="BU197" s="233" t="e">
        <f>#REF!</f>
        <v>#REF!</v>
      </c>
      <c r="BV197" s="225" t="s">
        <v>1026</v>
      </c>
    </row>
    <row r="198" spans="1:74" ht="14.4" x14ac:dyDescent="0.3">
      <c r="A198" s="239" t="s">
        <v>613</v>
      </c>
      <c r="B198" s="223" t="s">
        <v>951</v>
      </c>
      <c r="C198" s="521" t="s">
        <v>952</v>
      </c>
      <c r="D198" s="519"/>
      <c r="E198" s="223" t="s">
        <v>365</v>
      </c>
      <c r="F198" s="233">
        <v>1</v>
      </c>
      <c r="G198" s="311">
        <v>0</v>
      </c>
      <c r="H198" s="233">
        <f t="shared" si="0"/>
        <v>0</v>
      </c>
      <c r="I198" s="233">
        <f t="shared" si="1"/>
        <v>0</v>
      </c>
      <c r="J198" s="233">
        <f t="shared" si="2"/>
        <v>0</v>
      </c>
      <c r="K198" s="233">
        <v>0.5</v>
      </c>
      <c r="L198" s="233">
        <f t="shared" si="3"/>
        <v>0.5</v>
      </c>
      <c r="M198" s="240" t="s">
        <v>472</v>
      </c>
      <c r="X198" s="233">
        <f t="shared" si="4"/>
        <v>0</v>
      </c>
      <c r="Z198" s="233">
        <f t="shared" si="5"/>
        <v>0</v>
      </c>
      <c r="AA198" s="233">
        <f t="shared" si="6"/>
        <v>0</v>
      </c>
      <c r="AB198" s="233">
        <f t="shared" si="7"/>
        <v>0</v>
      </c>
      <c r="AC198" s="233">
        <f t="shared" si="8"/>
        <v>0</v>
      </c>
      <c r="AD198" s="233">
        <f t="shared" si="9"/>
        <v>0</v>
      </c>
      <c r="AE198" s="233">
        <f t="shared" si="10"/>
        <v>0</v>
      </c>
      <c r="AF198" s="233">
        <f t="shared" si="11"/>
        <v>0</v>
      </c>
      <c r="AG198" s="229" t="s">
        <v>154</v>
      </c>
      <c r="AH198" s="233">
        <f t="shared" si="12"/>
        <v>0</v>
      </c>
      <c r="AI198" s="233">
        <f t="shared" si="13"/>
        <v>0</v>
      </c>
      <c r="AJ198" s="233">
        <f t="shared" si="14"/>
        <v>0</v>
      </c>
      <c r="AL198" s="233">
        <v>15</v>
      </c>
      <c r="AM198" s="233">
        <f t="shared" si="15"/>
        <v>0</v>
      </c>
      <c r="AN198" s="233">
        <f t="shared" si="16"/>
        <v>0</v>
      </c>
      <c r="AO198" s="234" t="s">
        <v>453</v>
      </c>
      <c r="AT198" s="233">
        <f t="shared" si="17"/>
        <v>0</v>
      </c>
      <c r="AU198" s="233">
        <f t="shared" si="18"/>
        <v>0</v>
      </c>
      <c r="AV198" s="233">
        <f t="shared" si="19"/>
        <v>0</v>
      </c>
      <c r="AW198" s="234" t="s">
        <v>454</v>
      </c>
      <c r="AX198" s="234" t="s">
        <v>455</v>
      </c>
      <c r="AY198" s="229" t="s">
        <v>164</v>
      </c>
      <c r="BA198" s="233">
        <f t="shared" si="20"/>
        <v>0</v>
      </c>
      <c r="BB198" s="233">
        <f t="shared" si="21"/>
        <v>0</v>
      </c>
      <c r="BC198" s="233">
        <v>0</v>
      </c>
      <c r="BD198" s="233">
        <f t="shared" si="22"/>
        <v>0.5</v>
      </c>
      <c r="BF198" s="233">
        <f t="shared" si="23"/>
        <v>0</v>
      </c>
      <c r="BG198" s="233">
        <f t="shared" si="24"/>
        <v>0</v>
      </c>
      <c r="BH198" s="233">
        <f t="shared" si="25"/>
        <v>0</v>
      </c>
      <c r="BI198" s="233"/>
      <c r="BJ198" s="233"/>
      <c r="BU198" s="233" t="e">
        <f>#REF!</f>
        <v>#REF!</v>
      </c>
      <c r="BV198" s="225" t="s">
        <v>952</v>
      </c>
    </row>
    <row r="199" spans="1:74" ht="14.4" x14ac:dyDescent="0.3">
      <c r="A199" s="239" t="s">
        <v>360</v>
      </c>
      <c r="B199" s="223" t="s">
        <v>953</v>
      </c>
      <c r="C199" s="521" t="s">
        <v>954</v>
      </c>
      <c r="D199" s="519"/>
      <c r="E199" s="223" t="s">
        <v>365</v>
      </c>
      <c r="F199" s="233">
        <v>1</v>
      </c>
      <c r="G199" s="311">
        <v>0</v>
      </c>
      <c r="H199" s="233">
        <f t="shared" si="0"/>
        <v>0</v>
      </c>
      <c r="I199" s="233">
        <f t="shared" si="1"/>
        <v>0</v>
      </c>
      <c r="J199" s="233">
        <f t="shared" si="2"/>
        <v>0</v>
      </c>
      <c r="K199" s="233">
        <v>1</v>
      </c>
      <c r="L199" s="233">
        <f t="shared" si="3"/>
        <v>1</v>
      </c>
      <c r="M199" s="240" t="s">
        <v>472</v>
      </c>
      <c r="X199" s="233">
        <f t="shared" si="4"/>
        <v>0</v>
      </c>
      <c r="Z199" s="233">
        <f t="shared" si="5"/>
        <v>0</v>
      </c>
      <c r="AA199" s="233">
        <f t="shared" si="6"/>
        <v>0</v>
      </c>
      <c r="AB199" s="233">
        <f t="shared" si="7"/>
        <v>0</v>
      </c>
      <c r="AC199" s="233">
        <f t="shared" si="8"/>
        <v>0</v>
      </c>
      <c r="AD199" s="233">
        <f t="shared" si="9"/>
        <v>0</v>
      </c>
      <c r="AE199" s="233">
        <f t="shared" si="10"/>
        <v>0</v>
      </c>
      <c r="AF199" s="233">
        <f t="shared" si="11"/>
        <v>0</v>
      </c>
      <c r="AG199" s="229" t="s">
        <v>154</v>
      </c>
      <c r="AH199" s="233">
        <f t="shared" si="12"/>
        <v>0</v>
      </c>
      <c r="AI199" s="233">
        <f t="shared" si="13"/>
        <v>0</v>
      </c>
      <c r="AJ199" s="233">
        <f t="shared" si="14"/>
        <v>0</v>
      </c>
      <c r="AL199" s="233">
        <v>15</v>
      </c>
      <c r="AM199" s="233">
        <f t="shared" si="15"/>
        <v>0</v>
      </c>
      <c r="AN199" s="233">
        <f t="shared" si="16"/>
        <v>0</v>
      </c>
      <c r="AO199" s="234" t="s">
        <v>453</v>
      </c>
      <c r="AT199" s="233">
        <f t="shared" si="17"/>
        <v>0</v>
      </c>
      <c r="AU199" s="233">
        <f t="shared" si="18"/>
        <v>0</v>
      </c>
      <c r="AV199" s="233">
        <f t="shared" si="19"/>
        <v>0</v>
      </c>
      <c r="AW199" s="234" t="s">
        <v>454</v>
      </c>
      <c r="AX199" s="234" t="s">
        <v>455</v>
      </c>
      <c r="AY199" s="229" t="s">
        <v>164</v>
      </c>
      <c r="BA199" s="233">
        <f t="shared" si="20"/>
        <v>0</v>
      </c>
      <c r="BB199" s="233">
        <f t="shared" si="21"/>
        <v>0</v>
      </c>
      <c r="BC199" s="233">
        <v>0</v>
      </c>
      <c r="BD199" s="233">
        <f t="shared" si="22"/>
        <v>1</v>
      </c>
      <c r="BF199" s="233">
        <f t="shared" si="23"/>
        <v>0</v>
      </c>
      <c r="BG199" s="233">
        <f t="shared" si="24"/>
        <v>0</v>
      </c>
      <c r="BH199" s="233">
        <f t="shared" si="25"/>
        <v>0</v>
      </c>
      <c r="BI199" s="233"/>
      <c r="BJ199" s="233"/>
      <c r="BU199" s="233" t="e">
        <f>#REF!</f>
        <v>#REF!</v>
      </c>
      <c r="BV199" s="225" t="s">
        <v>954</v>
      </c>
    </row>
    <row r="200" spans="1:74" ht="14.4" x14ac:dyDescent="0.3">
      <c r="A200" s="239" t="s">
        <v>615</v>
      </c>
      <c r="B200" s="223" t="s">
        <v>2291</v>
      </c>
      <c r="C200" s="521" t="s">
        <v>2292</v>
      </c>
      <c r="D200" s="519"/>
      <c r="E200" s="223" t="s">
        <v>365</v>
      </c>
      <c r="F200" s="233">
        <v>2</v>
      </c>
      <c r="G200" s="311">
        <v>0</v>
      </c>
      <c r="H200" s="233">
        <f t="shared" si="0"/>
        <v>0</v>
      </c>
      <c r="I200" s="233">
        <f t="shared" si="1"/>
        <v>0</v>
      </c>
      <c r="J200" s="233">
        <f t="shared" si="2"/>
        <v>0</v>
      </c>
      <c r="K200" s="233">
        <v>3.3</v>
      </c>
      <c r="L200" s="233">
        <f t="shared" si="3"/>
        <v>6.6</v>
      </c>
      <c r="M200" s="240" t="s">
        <v>472</v>
      </c>
      <c r="X200" s="233">
        <f t="shared" si="4"/>
        <v>0</v>
      </c>
      <c r="Z200" s="233">
        <f t="shared" si="5"/>
        <v>0</v>
      </c>
      <c r="AA200" s="233">
        <f t="shared" si="6"/>
        <v>0</v>
      </c>
      <c r="AB200" s="233">
        <f t="shared" si="7"/>
        <v>0</v>
      </c>
      <c r="AC200" s="233">
        <f t="shared" si="8"/>
        <v>0</v>
      </c>
      <c r="AD200" s="233">
        <f t="shared" si="9"/>
        <v>0</v>
      </c>
      <c r="AE200" s="233">
        <f t="shared" si="10"/>
        <v>0</v>
      </c>
      <c r="AF200" s="233">
        <f t="shared" si="11"/>
        <v>0</v>
      </c>
      <c r="AG200" s="229" t="s">
        <v>154</v>
      </c>
      <c r="AH200" s="233">
        <f t="shared" si="12"/>
        <v>0</v>
      </c>
      <c r="AI200" s="233">
        <f t="shared" si="13"/>
        <v>0</v>
      </c>
      <c r="AJ200" s="233">
        <f t="shared" si="14"/>
        <v>0</v>
      </c>
      <c r="AL200" s="233">
        <v>15</v>
      </c>
      <c r="AM200" s="233">
        <f t="shared" si="15"/>
        <v>0</v>
      </c>
      <c r="AN200" s="233">
        <f t="shared" si="16"/>
        <v>0</v>
      </c>
      <c r="AO200" s="234" t="s">
        <v>453</v>
      </c>
      <c r="AT200" s="233">
        <f t="shared" si="17"/>
        <v>0</v>
      </c>
      <c r="AU200" s="233">
        <f t="shared" si="18"/>
        <v>0</v>
      </c>
      <c r="AV200" s="233">
        <f t="shared" si="19"/>
        <v>0</v>
      </c>
      <c r="AW200" s="234" t="s">
        <v>454</v>
      </c>
      <c r="AX200" s="234" t="s">
        <v>455</v>
      </c>
      <c r="AY200" s="229" t="s">
        <v>164</v>
      </c>
      <c r="BA200" s="233">
        <f t="shared" si="20"/>
        <v>0</v>
      </c>
      <c r="BB200" s="233">
        <f t="shared" si="21"/>
        <v>0</v>
      </c>
      <c r="BC200" s="233">
        <v>0</v>
      </c>
      <c r="BD200" s="233">
        <f t="shared" si="22"/>
        <v>6.6</v>
      </c>
      <c r="BF200" s="233">
        <f t="shared" si="23"/>
        <v>0</v>
      </c>
      <c r="BG200" s="233">
        <f t="shared" si="24"/>
        <v>0</v>
      </c>
      <c r="BH200" s="233">
        <f t="shared" si="25"/>
        <v>0</v>
      </c>
      <c r="BI200" s="233"/>
      <c r="BJ200" s="233"/>
      <c r="BU200" s="233" t="e">
        <f>#REF!</f>
        <v>#REF!</v>
      </c>
      <c r="BV200" s="225" t="s">
        <v>2292</v>
      </c>
    </row>
    <row r="201" spans="1:74" ht="14.4" x14ac:dyDescent="0.3">
      <c r="A201" s="239" t="s">
        <v>616</v>
      </c>
      <c r="B201" s="223" t="s">
        <v>2293</v>
      </c>
      <c r="C201" s="521" t="s">
        <v>2294</v>
      </c>
      <c r="D201" s="519"/>
      <c r="E201" s="223" t="s">
        <v>365</v>
      </c>
      <c r="F201" s="233">
        <v>2</v>
      </c>
      <c r="G201" s="311">
        <v>0</v>
      </c>
      <c r="H201" s="233">
        <f t="shared" si="0"/>
        <v>0</v>
      </c>
      <c r="I201" s="233">
        <f t="shared" si="1"/>
        <v>0</v>
      </c>
      <c r="J201" s="233">
        <f t="shared" si="2"/>
        <v>0</v>
      </c>
      <c r="K201" s="233">
        <v>3.0000000000000001E-3</v>
      </c>
      <c r="L201" s="233">
        <f t="shared" si="3"/>
        <v>6.0000000000000001E-3</v>
      </c>
      <c r="M201" s="240" t="s">
        <v>472</v>
      </c>
      <c r="X201" s="233">
        <f t="shared" si="4"/>
        <v>0</v>
      </c>
      <c r="Z201" s="233">
        <f t="shared" si="5"/>
        <v>0</v>
      </c>
      <c r="AA201" s="233">
        <f t="shared" si="6"/>
        <v>0</v>
      </c>
      <c r="AB201" s="233">
        <f t="shared" si="7"/>
        <v>0</v>
      </c>
      <c r="AC201" s="233">
        <f t="shared" si="8"/>
        <v>0</v>
      </c>
      <c r="AD201" s="233">
        <f t="shared" si="9"/>
        <v>0</v>
      </c>
      <c r="AE201" s="233">
        <f t="shared" si="10"/>
        <v>0</v>
      </c>
      <c r="AF201" s="233">
        <f t="shared" si="11"/>
        <v>0</v>
      </c>
      <c r="AG201" s="229" t="s">
        <v>154</v>
      </c>
      <c r="AH201" s="233">
        <f t="shared" si="12"/>
        <v>0</v>
      </c>
      <c r="AI201" s="233">
        <f t="shared" si="13"/>
        <v>0</v>
      </c>
      <c r="AJ201" s="233">
        <f t="shared" si="14"/>
        <v>0</v>
      </c>
      <c r="AL201" s="233">
        <v>15</v>
      </c>
      <c r="AM201" s="233">
        <f t="shared" si="15"/>
        <v>0</v>
      </c>
      <c r="AN201" s="233">
        <f t="shared" si="16"/>
        <v>0</v>
      </c>
      <c r="AO201" s="234" t="s">
        <v>453</v>
      </c>
      <c r="AT201" s="233">
        <f t="shared" si="17"/>
        <v>0</v>
      </c>
      <c r="AU201" s="233">
        <f t="shared" si="18"/>
        <v>0</v>
      </c>
      <c r="AV201" s="233">
        <f t="shared" si="19"/>
        <v>0</v>
      </c>
      <c r="AW201" s="234" t="s">
        <v>454</v>
      </c>
      <c r="AX201" s="234" t="s">
        <v>455</v>
      </c>
      <c r="AY201" s="229" t="s">
        <v>164</v>
      </c>
      <c r="BA201" s="233">
        <f t="shared" si="20"/>
        <v>0</v>
      </c>
      <c r="BB201" s="233">
        <f t="shared" si="21"/>
        <v>0</v>
      </c>
      <c r="BC201" s="233">
        <v>0</v>
      </c>
      <c r="BD201" s="233">
        <f t="shared" si="22"/>
        <v>6.0000000000000001E-3</v>
      </c>
      <c r="BF201" s="233">
        <f t="shared" si="23"/>
        <v>0</v>
      </c>
      <c r="BG201" s="233">
        <f t="shared" si="24"/>
        <v>0</v>
      </c>
      <c r="BH201" s="233">
        <f t="shared" si="25"/>
        <v>0</v>
      </c>
      <c r="BI201" s="233"/>
      <c r="BJ201" s="233"/>
      <c r="BU201" s="233" t="e">
        <f>#REF!</f>
        <v>#REF!</v>
      </c>
      <c r="BV201" s="225" t="s">
        <v>2294</v>
      </c>
    </row>
    <row r="202" spans="1:74" ht="14.4" x14ac:dyDescent="0.3">
      <c r="A202" s="239" t="s">
        <v>617</v>
      </c>
      <c r="B202" s="223" t="s">
        <v>961</v>
      </c>
      <c r="C202" s="521" t="s">
        <v>962</v>
      </c>
      <c r="D202" s="519"/>
      <c r="E202" s="223" t="s">
        <v>365</v>
      </c>
      <c r="F202" s="233">
        <v>2</v>
      </c>
      <c r="G202" s="311">
        <v>0</v>
      </c>
      <c r="H202" s="233">
        <f t="shared" si="0"/>
        <v>0</v>
      </c>
      <c r="I202" s="233">
        <f t="shared" si="1"/>
        <v>0</v>
      </c>
      <c r="J202" s="233">
        <f t="shared" si="2"/>
        <v>0</v>
      </c>
      <c r="K202" s="233">
        <v>2E-3</v>
      </c>
      <c r="L202" s="233">
        <f t="shared" si="3"/>
        <v>4.0000000000000001E-3</v>
      </c>
      <c r="M202" s="240" t="s">
        <v>472</v>
      </c>
      <c r="X202" s="233">
        <f t="shared" si="4"/>
        <v>0</v>
      </c>
      <c r="Z202" s="233">
        <f t="shared" si="5"/>
        <v>0</v>
      </c>
      <c r="AA202" s="233">
        <f t="shared" si="6"/>
        <v>0</v>
      </c>
      <c r="AB202" s="233">
        <f t="shared" si="7"/>
        <v>0</v>
      </c>
      <c r="AC202" s="233">
        <f t="shared" si="8"/>
        <v>0</v>
      </c>
      <c r="AD202" s="233">
        <f t="shared" si="9"/>
        <v>0</v>
      </c>
      <c r="AE202" s="233">
        <f t="shared" si="10"/>
        <v>0</v>
      </c>
      <c r="AF202" s="233">
        <f t="shared" si="11"/>
        <v>0</v>
      </c>
      <c r="AG202" s="229" t="s">
        <v>154</v>
      </c>
      <c r="AH202" s="233">
        <f t="shared" si="12"/>
        <v>0</v>
      </c>
      <c r="AI202" s="233">
        <f t="shared" si="13"/>
        <v>0</v>
      </c>
      <c r="AJ202" s="233">
        <f t="shared" si="14"/>
        <v>0</v>
      </c>
      <c r="AL202" s="233">
        <v>15</v>
      </c>
      <c r="AM202" s="233">
        <f t="shared" si="15"/>
        <v>0</v>
      </c>
      <c r="AN202" s="233">
        <f t="shared" si="16"/>
        <v>0</v>
      </c>
      <c r="AO202" s="234" t="s">
        <v>453</v>
      </c>
      <c r="AT202" s="233">
        <f t="shared" si="17"/>
        <v>0</v>
      </c>
      <c r="AU202" s="233">
        <f t="shared" si="18"/>
        <v>0</v>
      </c>
      <c r="AV202" s="233">
        <f t="shared" si="19"/>
        <v>0</v>
      </c>
      <c r="AW202" s="234" t="s">
        <v>454</v>
      </c>
      <c r="AX202" s="234" t="s">
        <v>455</v>
      </c>
      <c r="AY202" s="229" t="s">
        <v>164</v>
      </c>
      <c r="BA202" s="233">
        <f t="shared" si="20"/>
        <v>0</v>
      </c>
      <c r="BB202" s="233">
        <f t="shared" si="21"/>
        <v>0</v>
      </c>
      <c r="BC202" s="233">
        <v>0</v>
      </c>
      <c r="BD202" s="233">
        <f t="shared" si="22"/>
        <v>4.0000000000000001E-3</v>
      </c>
      <c r="BF202" s="233">
        <f t="shared" si="23"/>
        <v>0</v>
      </c>
      <c r="BG202" s="233">
        <f t="shared" si="24"/>
        <v>0</v>
      </c>
      <c r="BH202" s="233">
        <f t="shared" si="25"/>
        <v>0</v>
      </c>
      <c r="BI202" s="233"/>
      <c r="BJ202" s="233"/>
      <c r="BU202" s="233" t="e">
        <f>#REF!</f>
        <v>#REF!</v>
      </c>
      <c r="BV202" s="225" t="s">
        <v>962</v>
      </c>
    </row>
    <row r="203" spans="1:74" ht="14.4" x14ac:dyDescent="0.3">
      <c r="A203" s="239" t="s">
        <v>370</v>
      </c>
      <c r="B203" s="223" t="s">
        <v>963</v>
      </c>
      <c r="C203" s="521" t="s">
        <v>964</v>
      </c>
      <c r="D203" s="519"/>
      <c r="E203" s="223" t="s">
        <v>365</v>
      </c>
      <c r="F203" s="233">
        <v>2</v>
      </c>
      <c r="G203" s="311">
        <v>0</v>
      </c>
      <c r="H203" s="233">
        <f t="shared" si="0"/>
        <v>0</v>
      </c>
      <c r="I203" s="233">
        <f t="shared" si="1"/>
        <v>0</v>
      </c>
      <c r="J203" s="233">
        <f t="shared" si="2"/>
        <v>0</v>
      </c>
      <c r="K203" s="233">
        <v>0.158</v>
      </c>
      <c r="L203" s="233">
        <f t="shared" si="3"/>
        <v>0.316</v>
      </c>
      <c r="M203" s="240" t="s">
        <v>472</v>
      </c>
      <c r="X203" s="233">
        <f t="shared" si="4"/>
        <v>0</v>
      </c>
      <c r="Z203" s="233">
        <f t="shared" si="5"/>
        <v>0</v>
      </c>
      <c r="AA203" s="233">
        <f t="shared" si="6"/>
        <v>0</v>
      </c>
      <c r="AB203" s="233">
        <f t="shared" si="7"/>
        <v>0</v>
      </c>
      <c r="AC203" s="233">
        <f t="shared" si="8"/>
        <v>0</v>
      </c>
      <c r="AD203" s="233">
        <f t="shared" si="9"/>
        <v>0</v>
      </c>
      <c r="AE203" s="233">
        <f t="shared" si="10"/>
        <v>0</v>
      </c>
      <c r="AF203" s="233">
        <f t="shared" si="11"/>
        <v>0</v>
      </c>
      <c r="AG203" s="229" t="s">
        <v>154</v>
      </c>
      <c r="AH203" s="233">
        <f t="shared" si="12"/>
        <v>0</v>
      </c>
      <c r="AI203" s="233">
        <f t="shared" si="13"/>
        <v>0</v>
      </c>
      <c r="AJ203" s="233">
        <f t="shared" si="14"/>
        <v>0</v>
      </c>
      <c r="AL203" s="233">
        <v>15</v>
      </c>
      <c r="AM203" s="233">
        <f t="shared" si="15"/>
        <v>0</v>
      </c>
      <c r="AN203" s="233">
        <f t="shared" si="16"/>
        <v>0</v>
      </c>
      <c r="AO203" s="234" t="s">
        <v>453</v>
      </c>
      <c r="AT203" s="233">
        <f t="shared" si="17"/>
        <v>0</v>
      </c>
      <c r="AU203" s="233">
        <f t="shared" si="18"/>
        <v>0</v>
      </c>
      <c r="AV203" s="233">
        <f t="shared" si="19"/>
        <v>0</v>
      </c>
      <c r="AW203" s="234" t="s">
        <v>454</v>
      </c>
      <c r="AX203" s="234" t="s">
        <v>455</v>
      </c>
      <c r="AY203" s="229" t="s">
        <v>164</v>
      </c>
      <c r="BA203" s="233">
        <f t="shared" si="20"/>
        <v>0</v>
      </c>
      <c r="BB203" s="233">
        <f t="shared" si="21"/>
        <v>0</v>
      </c>
      <c r="BC203" s="233">
        <v>0</v>
      </c>
      <c r="BD203" s="233">
        <f t="shared" si="22"/>
        <v>0.316</v>
      </c>
      <c r="BF203" s="233">
        <f t="shared" si="23"/>
        <v>0</v>
      </c>
      <c r="BG203" s="233">
        <f t="shared" si="24"/>
        <v>0</v>
      </c>
      <c r="BH203" s="233">
        <f t="shared" si="25"/>
        <v>0</v>
      </c>
      <c r="BI203" s="233"/>
      <c r="BJ203" s="233"/>
      <c r="BU203" s="233" t="e">
        <f>#REF!</f>
        <v>#REF!</v>
      </c>
      <c r="BV203" s="225" t="s">
        <v>964</v>
      </c>
    </row>
    <row r="204" spans="1:74" ht="27" customHeight="1" x14ac:dyDescent="0.3">
      <c r="A204" s="241"/>
      <c r="B204" s="242" t="s">
        <v>165</v>
      </c>
      <c r="C204" s="530" t="s">
        <v>965</v>
      </c>
      <c r="D204" s="531"/>
      <c r="E204" s="531"/>
      <c r="F204" s="531"/>
      <c r="G204" s="531"/>
      <c r="H204" s="531"/>
      <c r="I204" s="531"/>
      <c r="J204" s="531"/>
      <c r="K204" s="531"/>
      <c r="L204" s="531"/>
      <c r="M204" s="532"/>
    </row>
    <row r="205" spans="1:74" ht="14.4" x14ac:dyDescent="0.3">
      <c r="A205" s="239" t="s">
        <v>618</v>
      </c>
      <c r="B205" s="223" t="s">
        <v>2295</v>
      </c>
      <c r="C205" s="521" t="s">
        <v>2296</v>
      </c>
      <c r="D205" s="519"/>
      <c r="E205" s="223" t="s">
        <v>365</v>
      </c>
      <c r="F205" s="233">
        <v>1</v>
      </c>
      <c r="G205" s="311">
        <v>0</v>
      </c>
      <c r="H205" s="233">
        <f>F205*AM205</f>
        <v>0</v>
      </c>
      <c r="I205" s="233">
        <f>F205*AN205</f>
        <v>0</v>
      </c>
      <c r="J205" s="233">
        <f>F205*G205</f>
        <v>0</v>
      </c>
      <c r="K205" s="233">
        <v>5.1000000000000004E-3</v>
      </c>
      <c r="L205" s="233">
        <f>F205*K205</f>
        <v>5.1000000000000004E-3</v>
      </c>
      <c r="M205" s="240" t="s">
        <v>472</v>
      </c>
      <c r="X205" s="233">
        <f>IF(AO205="5",BH205,0)</f>
        <v>0</v>
      </c>
      <c r="Z205" s="233">
        <f>IF(AO205="1",BF205,0)</f>
        <v>0</v>
      </c>
      <c r="AA205" s="233">
        <f>IF(AO205="1",BG205,0)</f>
        <v>0</v>
      </c>
      <c r="AB205" s="233">
        <f>IF(AO205="7",BF205,0)</f>
        <v>0</v>
      </c>
      <c r="AC205" s="233">
        <f>IF(AO205="7",BG205,0)</f>
        <v>0</v>
      </c>
      <c r="AD205" s="233">
        <f>IF(AO205="2",BF205,0)</f>
        <v>0</v>
      </c>
      <c r="AE205" s="233">
        <f>IF(AO205="2",BG205,0)</f>
        <v>0</v>
      </c>
      <c r="AF205" s="233">
        <f>IF(AO205="0",BH205,0)</f>
        <v>0</v>
      </c>
      <c r="AG205" s="229" t="s">
        <v>154</v>
      </c>
      <c r="AH205" s="233">
        <f>IF(AL205=0,J205,0)</f>
        <v>0</v>
      </c>
      <c r="AI205" s="233">
        <f>IF(AL205=15,J205,0)</f>
        <v>0</v>
      </c>
      <c r="AJ205" s="233">
        <f>IF(AL205=21,J205,0)</f>
        <v>0</v>
      </c>
      <c r="AL205" s="233">
        <v>15</v>
      </c>
      <c r="AM205" s="233">
        <f>G205*1</f>
        <v>0</v>
      </c>
      <c r="AN205" s="233">
        <f>G205*(1-1)</f>
        <v>0</v>
      </c>
      <c r="AO205" s="234" t="s">
        <v>453</v>
      </c>
      <c r="AT205" s="233">
        <f>AU205+AV205</f>
        <v>0</v>
      </c>
      <c r="AU205" s="233">
        <f>F205*AM205</f>
        <v>0</v>
      </c>
      <c r="AV205" s="233">
        <f>F205*AN205</f>
        <v>0</v>
      </c>
      <c r="AW205" s="234" t="s">
        <v>454</v>
      </c>
      <c r="AX205" s="234" t="s">
        <v>455</v>
      </c>
      <c r="AY205" s="229" t="s">
        <v>164</v>
      </c>
      <c r="BA205" s="233">
        <f>AU205+AV205</f>
        <v>0</v>
      </c>
      <c r="BB205" s="233">
        <f>G205/(100-BC205)*100</f>
        <v>0</v>
      </c>
      <c r="BC205" s="233">
        <v>0</v>
      </c>
      <c r="BD205" s="233">
        <f>L205</f>
        <v>5.1000000000000004E-3</v>
      </c>
      <c r="BF205" s="233">
        <f>F205*AM205</f>
        <v>0</v>
      </c>
      <c r="BG205" s="233">
        <f>F205*AN205</f>
        <v>0</v>
      </c>
      <c r="BH205" s="233">
        <f>F205*G205</f>
        <v>0</v>
      </c>
      <c r="BI205" s="233"/>
      <c r="BJ205" s="233"/>
      <c r="BU205" s="233" t="e">
        <f>#REF!</f>
        <v>#REF!</v>
      </c>
      <c r="BV205" s="225" t="s">
        <v>2296</v>
      </c>
    </row>
    <row r="206" spans="1:74" ht="47.25" customHeight="1" x14ac:dyDescent="0.3">
      <c r="A206" s="241"/>
      <c r="B206" s="242" t="s">
        <v>165</v>
      </c>
      <c r="C206" s="530" t="s">
        <v>2297</v>
      </c>
      <c r="D206" s="531"/>
      <c r="E206" s="531"/>
      <c r="F206" s="531"/>
      <c r="G206" s="531"/>
      <c r="H206" s="531"/>
      <c r="I206" s="531"/>
      <c r="J206" s="531"/>
      <c r="K206" s="531"/>
      <c r="L206" s="531"/>
      <c r="M206" s="532"/>
    </row>
    <row r="207" spans="1:74" ht="14.4" x14ac:dyDescent="0.3">
      <c r="A207" s="239" t="s">
        <v>619</v>
      </c>
      <c r="B207" s="223" t="s">
        <v>969</v>
      </c>
      <c r="C207" s="521" t="s">
        <v>2298</v>
      </c>
      <c r="D207" s="519"/>
      <c r="E207" s="223" t="s">
        <v>471</v>
      </c>
      <c r="F207" s="233">
        <v>1</v>
      </c>
      <c r="G207" s="311">
        <v>0</v>
      </c>
      <c r="H207" s="233">
        <f>F207*AM207</f>
        <v>0</v>
      </c>
      <c r="I207" s="233">
        <f>F207*AN207</f>
        <v>0</v>
      </c>
      <c r="J207" s="233">
        <f>F207*G207</f>
        <v>0</v>
      </c>
      <c r="K207" s="233">
        <v>0</v>
      </c>
      <c r="L207" s="233">
        <f>F207*K207</f>
        <v>0</v>
      </c>
      <c r="M207" s="240" t="s">
        <v>472</v>
      </c>
      <c r="X207" s="233">
        <f>IF(AO207="5",BH207,0)</f>
        <v>0</v>
      </c>
      <c r="Z207" s="233">
        <f>IF(AO207="1",BF207,0)</f>
        <v>0</v>
      </c>
      <c r="AA207" s="233">
        <f>IF(AO207="1",BG207,0)</f>
        <v>0</v>
      </c>
      <c r="AB207" s="233">
        <f>IF(AO207="7",BF207,0)</f>
        <v>0</v>
      </c>
      <c r="AC207" s="233">
        <f>IF(AO207="7",BG207,0)</f>
        <v>0</v>
      </c>
      <c r="AD207" s="233">
        <f>IF(AO207="2",BF207,0)</f>
        <v>0</v>
      </c>
      <c r="AE207" s="233">
        <f>IF(AO207="2",BG207,0)</f>
        <v>0</v>
      </c>
      <c r="AF207" s="233">
        <f>IF(AO207="0",BH207,0)</f>
        <v>0</v>
      </c>
      <c r="AG207" s="229" t="s">
        <v>154</v>
      </c>
      <c r="AH207" s="233">
        <f>IF(AL207=0,J207,0)</f>
        <v>0</v>
      </c>
      <c r="AI207" s="233">
        <f>IF(AL207=15,J207,0)</f>
        <v>0</v>
      </c>
      <c r="AJ207" s="233">
        <f>IF(AL207=21,J207,0)</f>
        <v>0</v>
      </c>
      <c r="AL207" s="233">
        <v>15</v>
      </c>
      <c r="AM207" s="233">
        <f>G207*1</f>
        <v>0</v>
      </c>
      <c r="AN207" s="233">
        <f>G207*(1-1)</f>
        <v>0</v>
      </c>
      <c r="AO207" s="234" t="s">
        <v>453</v>
      </c>
      <c r="AT207" s="233">
        <f>AU207+AV207</f>
        <v>0</v>
      </c>
      <c r="AU207" s="233">
        <f>F207*AM207</f>
        <v>0</v>
      </c>
      <c r="AV207" s="233">
        <f>F207*AN207</f>
        <v>0</v>
      </c>
      <c r="AW207" s="234" t="s">
        <v>454</v>
      </c>
      <c r="AX207" s="234" t="s">
        <v>455</v>
      </c>
      <c r="AY207" s="229" t="s">
        <v>164</v>
      </c>
      <c r="BA207" s="233">
        <f>AU207+AV207</f>
        <v>0</v>
      </c>
      <c r="BB207" s="233">
        <f>G207/(100-BC207)*100</f>
        <v>0</v>
      </c>
      <c r="BC207" s="233">
        <v>0</v>
      </c>
      <c r="BD207" s="233">
        <f>L207</f>
        <v>0</v>
      </c>
      <c r="BF207" s="233">
        <f>F207*AM207</f>
        <v>0</v>
      </c>
      <c r="BG207" s="233">
        <f>F207*AN207</f>
        <v>0</v>
      </c>
      <c r="BH207" s="233">
        <f>F207*G207</f>
        <v>0</v>
      </c>
      <c r="BI207" s="233"/>
      <c r="BJ207" s="233"/>
      <c r="BU207" s="233" t="e">
        <f>#REF!</f>
        <v>#REF!</v>
      </c>
      <c r="BV207" s="225" t="s">
        <v>2298</v>
      </c>
    </row>
    <row r="208" spans="1:74" ht="13.5" customHeight="1" thickBot="1" x14ac:dyDescent="0.35">
      <c r="A208" s="241"/>
      <c r="B208" s="242" t="s">
        <v>165</v>
      </c>
      <c r="C208" s="530" t="s">
        <v>971</v>
      </c>
      <c r="D208" s="531"/>
      <c r="E208" s="531"/>
      <c r="F208" s="531"/>
      <c r="G208" s="531"/>
      <c r="H208" s="531"/>
      <c r="I208" s="531"/>
      <c r="J208" s="531"/>
      <c r="K208" s="531"/>
      <c r="L208" s="531"/>
      <c r="M208" s="532"/>
    </row>
    <row r="209" spans="1:13" s="382" customFormat="1" ht="30" customHeight="1" thickBot="1" x14ac:dyDescent="0.4">
      <c r="A209" s="376"/>
      <c r="B209" s="377"/>
      <c r="C209" s="377"/>
      <c r="D209" s="377"/>
      <c r="E209" s="377"/>
      <c r="F209" s="377"/>
      <c r="G209" s="377"/>
      <c r="H209" s="659" t="s">
        <v>2299</v>
      </c>
      <c r="I209" s="660"/>
      <c r="J209" s="378">
        <f>J12+J16+J19+J32+J37+J54+J59+J76+J82+J85+J90+J96+J99+J106+J109+J122+J125+J134+J157+J160+J165+J168+J175+J183</f>
        <v>0</v>
      </c>
      <c r="K209" s="379"/>
      <c r="L209" s="380" t="s">
        <v>2300</v>
      </c>
      <c r="M209" s="381"/>
    </row>
    <row r="210" spans="1:13" ht="20.100000000000001" customHeight="1" x14ac:dyDescent="0.3">
      <c r="H210" s="383"/>
      <c r="I210" s="383"/>
      <c r="J210" s="384"/>
    </row>
    <row r="211" spans="1:13" ht="14.4" x14ac:dyDescent="0.3">
      <c r="A211" s="236" t="s">
        <v>165</v>
      </c>
    </row>
    <row r="212" spans="1:13" ht="13.5" customHeight="1" x14ac:dyDescent="0.3">
      <c r="A212" s="521" t="s">
        <v>2301</v>
      </c>
      <c r="B212" s="519"/>
      <c r="C212" s="519"/>
      <c r="D212" s="519"/>
      <c r="E212" s="519"/>
      <c r="F212" s="519"/>
      <c r="G212" s="519"/>
      <c r="H212" s="519"/>
      <c r="I212" s="519"/>
      <c r="J212" s="519"/>
      <c r="K212" s="519"/>
      <c r="L212" s="519"/>
      <c r="M212" s="519"/>
    </row>
    <row r="213" spans="1:13" ht="15" customHeight="1" x14ac:dyDescent="0.3">
      <c r="A213" s="549" t="s">
        <v>2302</v>
      </c>
      <c r="B213" s="550"/>
      <c r="C213" s="550"/>
      <c r="D213" s="550"/>
      <c r="E213" s="550"/>
      <c r="F213" s="550"/>
      <c r="G213" s="550"/>
      <c r="H213" s="550"/>
      <c r="I213" s="550"/>
      <c r="J213" s="550"/>
      <c r="K213" s="550"/>
      <c r="L213" s="550"/>
      <c r="M213" s="550"/>
    </row>
  </sheetData>
  <sheetProtection algorithmName="SHA-512" hashValue="/N/xB0H/txPCpIPsFImw2xSS4pqpuRCgJyFTSadD0o2+jJ2XE502Lj5z0lVYD2W/ukuDK1079c8xqbrHJ0QMJg==" saltValue="XhcEoeMhtabGWKdrPZkq4g==" spinCount="100000" sheet="1" objects="1" scenarios="1" formatCells="0" formatColumns="0" formatRows="0" insertColumns="0" insertRows="0" insertHyperlinks="0"/>
  <mergeCells count="229">
    <mergeCell ref="A4:B5"/>
    <mergeCell ref="C4:D5"/>
    <mergeCell ref="E4:F5"/>
    <mergeCell ref="G4:G5"/>
    <mergeCell ref="H4:H5"/>
    <mergeCell ref="I4:M5"/>
    <mergeCell ref="A1:M1"/>
    <mergeCell ref="A2:B3"/>
    <mergeCell ref="C2:D3"/>
    <mergeCell ref="E2:F3"/>
    <mergeCell ref="G2:G3"/>
    <mergeCell ref="H2:H3"/>
    <mergeCell ref="I2:M3"/>
    <mergeCell ref="A8:B9"/>
    <mergeCell ref="C8:D9"/>
    <mergeCell ref="E8:F9"/>
    <mergeCell ref="G8:G9"/>
    <mergeCell ref="H8:H9"/>
    <mergeCell ref="I8:M9"/>
    <mergeCell ref="A6:B7"/>
    <mergeCell ref="C6:D7"/>
    <mergeCell ref="E6:F7"/>
    <mergeCell ref="G6:G7"/>
    <mergeCell ref="H6:H7"/>
    <mergeCell ref="I6:M7"/>
    <mergeCell ref="C14:D14"/>
    <mergeCell ref="C15:M15"/>
    <mergeCell ref="C16:D16"/>
    <mergeCell ref="C17:D17"/>
    <mergeCell ref="C18:M18"/>
    <mergeCell ref="C19:D19"/>
    <mergeCell ref="C10:D10"/>
    <mergeCell ref="H10:J10"/>
    <mergeCell ref="K10:L10"/>
    <mergeCell ref="C11:D11"/>
    <mergeCell ref="C12:D12"/>
    <mergeCell ref="C13:D13"/>
    <mergeCell ref="C26:D26"/>
    <mergeCell ref="C27:M27"/>
    <mergeCell ref="C28:D28"/>
    <mergeCell ref="C29:M29"/>
    <mergeCell ref="C30:D30"/>
    <mergeCell ref="C31:M31"/>
    <mergeCell ref="C20:D20"/>
    <mergeCell ref="C21:M21"/>
    <mergeCell ref="C22:D22"/>
    <mergeCell ref="C23:M23"/>
    <mergeCell ref="C24:D24"/>
    <mergeCell ref="C25:M25"/>
    <mergeCell ref="C38:D38"/>
    <mergeCell ref="C39:M39"/>
    <mergeCell ref="C40:D40"/>
    <mergeCell ref="C41:M41"/>
    <mergeCell ref="C42:D42"/>
    <mergeCell ref="C43:M43"/>
    <mergeCell ref="C32:D32"/>
    <mergeCell ref="C33:D33"/>
    <mergeCell ref="C34:M34"/>
    <mergeCell ref="C35:D35"/>
    <mergeCell ref="C36:M36"/>
    <mergeCell ref="C37:D37"/>
    <mergeCell ref="C50:D50"/>
    <mergeCell ref="C51:M51"/>
    <mergeCell ref="C52:D52"/>
    <mergeCell ref="C53:M53"/>
    <mergeCell ref="C54:D54"/>
    <mergeCell ref="C55:D55"/>
    <mergeCell ref="C44:D44"/>
    <mergeCell ref="C45:M45"/>
    <mergeCell ref="C46:D46"/>
    <mergeCell ref="C47:M47"/>
    <mergeCell ref="C48:D48"/>
    <mergeCell ref="C49:M49"/>
    <mergeCell ref="C62:D62"/>
    <mergeCell ref="C63:M63"/>
    <mergeCell ref="C64:D64"/>
    <mergeCell ref="C65:M65"/>
    <mergeCell ref="C66:D66"/>
    <mergeCell ref="C67:M67"/>
    <mergeCell ref="C56:M56"/>
    <mergeCell ref="C57:D57"/>
    <mergeCell ref="C58:M58"/>
    <mergeCell ref="C59:D59"/>
    <mergeCell ref="C60:D60"/>
    <mergeCell ref="C61:M61"/>
    <mergeCell ref="C74:D74"/>
    <mergeCell ref="C75:M75"/>
    <mergeCell ref="C76:D76"/>
    <mergeCell ref="C77:D77"/>
    <mergeCell ref="C78:M78"/>
    <mergeCell ref="C79:D79"/>
    <mergeCell ref="C68:D68"/>
    <mergeCell ref="C69:M69"/>
    <mergeCell ref="C70:D70"/>
    <mergeCell ref="C71:M71"/>
    <mergeCell ref="C72:D72"/>
    <mergeCell ref="C73:M73"/>
    <mergeCell ref="C86:D86"/>
    <mergeCell ref="C87:M87"/>
    <mergeCell ref="C88:D88"/>
    <mergeCell ref="C89:M89"/>
    <mergeCell ref="C90:D90"/>
    <mergeCell ref="C91:D91"/>
    <mergeCell ref="C80:D80"/>
    <mergeCell ref="C81:M81"/>
    <mergeCell ref="C82:D82"/>
    <mergeCell ref="C83:D83"/>
    <mergeCell ref="C84:M84"/>
    <mergeCell ref="C85:D85"/>
    <mergeCell ref="C98:M98"/>
    <mergeCell ref="C99:D99"/>
    <mergeCell ref="C100:D100"/>
    <mergeCell ref="C101:M101"/>
    <mergeCell ref="C102:D102"/>
    <mergeCell ref="C103:M103"/>
    <mergeCell ref="C92:M92"/>
    <mergeCell ref="C93:D93"/>
    <mergeCell ref="C94:M94"/>
    <mergeCell ref="C95:D95"/>
    <mergeCell ref="C96:D96"/>
    <mergeCell ref="C97:D97"/>
    <mergeCell ref="C110:D110"/>
    <mergeCell ref="C111:M111"/>
    <mergeCell ref="C112:D112"/>
    <mergeCell ref="C113:M113"/>
    <mergeCell ref="C114:D114"/>
    <mergeCell ref="C115:M115"/>
    <mergeCell ref="C104:D104"/>
    <mergeCell ref="C105:M105"/>
    <mergeCell ref="C106:D106"/>
    <mergeCell ref="C107:D107"/>
    <mergeCell ref="C108:M108"/>
    <mergeCell ref="C109:D109"/>
    <mergeCell ref="C122:D122"/>
    <mergeCell ref="C123:D123"/>
    <mergeCell ref="C124:M124"/>
    <mergeCell ref="C125:D125"/>
    <mergeCell ref="C126:D126"/>
    <mergeCell ref="C127:M127"/>
    <mergeCell ref="C116:D116"/>
    <mergeCell ref="C117:M117"/>
    <mergeCell ref="C118:D118"/>
    <mergeCell ref="C119:M119"/>
    <mergeCell ref="C120:D120"/>
    <mergeCell ref="C121:M121"/>
    <mergeCell ref="C134:D134"/>
    <mergeCell ref="C135:D135"/>
    <mergeCell ref="C136:M136"/>
    <mergeCell ref="C137:D137"/>
    <mergeCell ref="C138:M138"/>
    <mergeCell ref="C139:D139"/>
    <mergeCell ref="C128:D128"/>
    <mergeCell ref="C129:M129"/>
    <mergeCell ref="C130:D130"/>
    <mergeCell ref="C131:M131"/>
    <mergeCell ref="C132:D132"/>
    <mergeCell ref="C133:M133"/>
    <mergeCell ref="C146:M146"/>
    <mergeCell ref="C147:D147"/>
    <mergeCell ref="C148:M148"/>
    <mergeCell ref="C149:D149"/>
    <mergeCell ref="C150:M150"/>
    <mergeCell ref="C151:D151"/>
    <mergeCell ref="C140:M140"/>
    <mergeCell ref="C141:D141"/>
    <mergeCell ref="C142:M142"/>
    <mergeCell ref="C143:D143"/>
    <mergeCell ref="C144:M144"/>
    <mergeCell ref="C145:D145"/>
    <mergeCell ref="C158:D158"/>
    <mergeCell ref="C159:M159"/>
    <mergeCell ref="C160:D160"/>
    <mergeCell ref="C161:D161"/>
    <mergeCell ref="C162:M162"/>
    <mergeCell ref="C163:D163"/>
    <mergeCell ref="C152:M152"/>
    <mergeCell ref="C153:D153"/>
    <mergeCell ref="C154:M154"/>
    <mergeCell ref="C155:D155"/>
    <mergeCell ref="C156:M156"/>
    <mergeCell ref="C157:D157"/>
    <mergeCell ref="C170:D170"/>
    <mergeCell ref="C171:M171"/>
    <mergeCell ref="C172:D172"/>
    <mergeCell ref="C173:M173"/>
    <mergeCell ref="C174:D174"/>
    <mergeCell ref="C175:D175"/>
    <mergeCell ref="C164:M164"/>
    <mergeCell ref="C165:D165"/>
    <mergeCell ref="C166:D166"/>
    <mergeCell ref="C167:M167"/>
    <mergeCell ref="C168:D168"/>
    <mergeCell ref="C169:D169"/>
    <mergeCell ref="C182:M182"/>
    <mergeCell ref="C183:D183"/>
    <mergeCell ref="C184:D184"/>
    <mergeCell ref="C185:M185"/>
    <mergeCell ref="C186:D186"/>
    <mergeCell ref="C187:M187"/>
    <mergeCell ref="C176:D176"/>
    <mergeCell ref="C177:D177"/>
    <mergeCell ref="C178:D178"/>
    <mergeCell ref="C179:D179"/>
    <mergeCell ref="C180:M180"/>
    <mergeCell ref="C181:D181"/>
    <mergeCell ref="C194:D194"/>
    <mergeCell ref="C195:D195"/>
    <mergeCell ref="C196:D196"/>
    <mergeCell ref="C197:D197"/>
    <mergeCell ref="C198:D198"/>
    <mergeCell ref="C199:D199"/>
    <mergeCell ref="C188:D188"/>
    <mergeCell ref="C189:M189"/>
    <mergeCell ref="C190:D190"/>
    <mergeCell ref="C191:M191"/>
    <mergeCell ref="C192:D192"/>
    <mergeCell ref="C193:M193"/>
    <mergeCell ref="C206:M206"/>
    <mergeCell ref="C207:D207"/>
    <mergeCell ref="C208:M208"/>
    <mergeCell ref="H209:I209"/>
    <mergeCell ref="A212:M212"/>
    <mergeCell ref="A213:M213"/>
    <mergeCell ref="C200:D200"/>
    <mergeCell ref="C201:D201"/>
    <mergeCell ref="C202:D202"/>
    <mergeCell ref="C203:D203"/>
    <mergeCell ref="C204:M204"/>
    <mergeCell ref="C205:D205"/>
  </mergeCells>
  <pageMargins left="0.78740157480314965" right="0.39370078740157483" top="0.39370078740157483" bottom="0.39370078740157483" header="0" footer="0.29527559055118113"/>
  <pageSetup paperSize="9" scale="58" fitToHeight="0" orientation="landscape" r:id="rId1"/>
  <headerFooter>
    <oddFooter>&amp;L&amp;A&amp;C&amp;F&amp;Rstran &amp;N / strana &amp;P</oddFooter>
  </headerFooter>
  <rowBreaks count="5" manualBreakCount="5">
    <brk id="36" max="16383" man="1"/>
    <brk id="65" max="16383" man="1"/>
    <brk id="98" max="16383" man="1"/>
    <brk id="133" max="16383" man="1"/>
    <brk id="174"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5B335-AE65-4D43-B06D-97AA2B4C5A83}">
  <sheetPr>
    <tabColor theme="0" tint="-0.14999847407452621"/>
    <pageSetUpPr fitToPage="1"/>
  </sheetPr>
  <dimension ref="A1:K21"/>
  <sheetViews>
    <sheetView view="pageBreakPreview" zoomScaleNormal="100" zoomScaleSheetLayoutView="100" workbookViewId="0">
      <selection activeCell="C3" sqref="C3:K3"/>
    </sheetView>
  </sheetViews>
  <sheetFormatPr defaultColWidth="9.109375" defaultRowHeight="13.8" x14ac:dyDescent="0.25"/>
  <cols>
    <col min="1" max="1" width="4.33203125" style="329" customWidth="1"/>
    <col min="2" max="2" width="2.5546875" style="329" customWidth="1"/>
    <col min="3" max="11" width="9.6640625" style="329" customWidth="1"/>
    <col min="12" max="16384" width="9.109375" style="329"/>
  </cols>
  <sheetData>
    <row r="1" spans="1:11" ht="15.6" x14ac:dyDescent="0.3">
      <c r="A1" s="439" t="s">
        <v>2146</v>
      </c>
      <c r="B1" s="439"/>
      <c r="C1" s="439"/>
      <c r="D1" s="439"/>
      <c r="E1" s="439"/>
      <c r="F1" s="439"/>
      <c r="G1" s="439"/>
      <c r="H1" s="439"/>
      <c r="I1" s="439"/>
      <c r="J1" s="439"/>
      <c r="K1" s="439"/>
    </row>
    <row r="2" spans="1:11" ht="30" customHeight="1" x14ac:dyDescent="0.25"/>
    <row r="3" spans="1:11" ht="129" customHeight="1" x14ac:dyDescent="0.25">
      <c r="A3" s="345" t="s">
        <v>29</v>
      </c>
      <c r="B3" s="346" t="s">
        <v>2147</v>
      </c>
      <c r="C3" s="440" t="s">
        <v>2148</v>
      </c>
      <c r="D3" s="440"/>
      <c r="E3" s="440"/>
      <c r="F3" s="440"/>
      <c r="G3" s="440"/>
      <c r="H3" s="440"/>
      <c r="I3" s="440"/>
      <c r="J3" s="440"/>
      <c r="K3" s="441"/>
    </row>
    <row r="4" spans="1:11" ht="90" customHeight="1" x14ac:dyDescent="0.25">
      <c r="A4" s="347" t="s">
        <v>31</v>
      </c>
      <c r="B4" s="348" t="s">
        <v>2147</v>
      </c>
      <c r="C4" s="442" t="s">
        <v>2149</v>
      </c>
      <c r="D4" s="442"/>
      <c r="E4" s="442"/>
      <c r="F4" s="442"/>
      <c r="G4" s="442"/>
      <c r="H4" s="442"/>
      <c r="I4" s="442"/>
      <c r="J4" s="442"/>
      <c r="K4" s="443"/>
    </row>
    <row r="5" spans="1:11" ht="48" customHeight="1" x14ac:dyDescent="0.25">
      <c r="A5" s="349"/>
      <c r="B5" s="350" t="s">
        <v>2150</v>
      </c>
      <c r="C5" s="435" t="s">
        <v>2151</v>
      </c>
      <c r="D5" s="435"/>
      <c r="E5" s="435"/>
      <c r="F5" s="435"/>
      <c r="G5" s="435"/>
      <c r="H5" s="435"/>
      <c r="I5" s="435"/>
      <c r="J5" s="435"/>
      <c r="K5" s="436"/>
    </row>
    <row r="6" spans="1:11" ht="153" customHeight="1" x14ac:dyDescent="0.25">
      <c r="A6" s="349"/>
      <c r="B6" s="350" t="s">
        <v>2150</v>
      </c>
      <c r="C6" s="435" t="s">
        <v>2152</v>
      </c>
      <c r="D6" s="435"/>
      <c r="E6" s="435"/>
      <c r="F6" s="435"/>
      <c r="G6" s="435"/>
      <c r="H6" s="435"/>
      <c r="I6" s="435"/>
      <c r="J6" s="435"/>
      <c r="K6" s="436"/>
    </row>
    <row r="7" spans="1:11" ht="92.25" customHeight="1" x14ac:dyDescent="0.25">
      <c r="A7" s="349"/>
      <c r="B7" s="350" t="s">
        <v>2150</v>
      </c>
      <c r="C7" s="419" t="s">
        <v>2153</v>
      </c>
      <c r="D7" s="419"/>
      <c r="E7" s="419"/>
      <c r="F7" s="419"/>
      <c r="G7" s="419"/>
      <c r="H7" s="419"/>
      <c r="I7" s="419"/>
      <c r="J7" s="419"/>
      <c r="K7" s="444"/>
    </row>
    <row r="8" spans="1:11" x14ac:dyDescent="0.25">
      <c r="A8" s="351" t="s">
        <v>35</v>
      </c>
      <c r="B8" s="329" t="s">
        <v>2147</v>
      </c>
      <c r="C8" s="341" t="s">
        <v>2154</v>
      </c>
      <c r="D8" s="341"/>
      <c r="E8" s="341"/>
      <c r="F8" s="341"/>
      <c r="G8" s="341"/>
      <c r="H8" s="341"/>
      <c r="I8" s="341"/>
      <c r="J8" s="341"/>
      <c r="K8" s="352"/>
    </row>
    <row r="9" spans="1:11" ht="48.6" customHeight="1" x14ac:dyDescent="0.25">
      <c r="A9" s="353"/>
      <c r="B9" s="350" t="s">
        <v>2150</v>
      </c>
      <c r="C9" s="419" t="s">
        <v>2155</v>
      </c>
      <c r="D9" s="419"/>
      <c r="E9" s="419"/>
      <c r="F9" s="419"/>
      <c r="G9" s="419"/>
      <c r="H9" s="419"/>
      <c r="I9" s="419"/>
      <c r="J9" s="419"/>
      <c r="K9" s="444"/>
    </row>
    <row r="10" spans="1:11" ht="48.6" customHeight="1" x14ac:dyDescent="0.25">
      <c r="A10" s="353"/>
      <c r="B10" s="350" t="s">
        <v>2150</v>
      </c>
      <c r="C10" s="419" t="s">
        <v>2156</v>
      </c>
      <c r="D10" s="419"/>
      <c r="E10" s="419"/>
      <c r="F10" s="419"/>
      <c r="G10" s="419"/>
      <c r="H10" s="419"/>
      <c r="I10" s="419"/>
      <c r="J10" s="419"/>
      <c r="K10" s="444"/>
    </row>
    <row r="11" spans="1:11" ht="29.4" customHeight="1" x14ac:dyDescent="0.25">
      <c r="A11" s="353"/>
      <c r="B11" s="350" t="s">
        <v>2150</v>
      </c>
      <c r="C11" s="419" t="s">
        <v>2157</v>
      </c>
      <c r="D11" s="419"/>
      <c r="E11" s="419"/>
      <c r="F11" s="419"/>
      <c r="G11" s="419"/>
      <c r="H11" s="419"/>
      <c r="I11" s="419"/>
      <c r="J11" s="419"/>
      <c r="K11" s="444"/>
    </row>
    <row r="12" spans="1:11" ht="51.6" customHeight="1" x14ac:dyDescent="0.25">
      <c r="A12" s="354"/>
      <c r="B12" s="355" t="s">
        <v>2150</v>
      </c>
      <c r="C12" s="445" t="s">
        <v>2158</v>
      </c>
      <c r="D12" s="445"/>
      <c r="E12" s="445"/>
      <c r="F12" s="445"/>
      <c r="G12" s="445"/>
      <c r="H12" s="445"/>
      <c r="I12" s="445"/>
      <c r="J12" s="445"/>
      <c r="K12" s="446"/>
    </row>
    <row r="13" spans="1:11" ht="10.95" customHeight="1" x14ac:dyDescent="0.25">
      <c r="B13" s="350"/>
      <c r="C13" s="342"/>
      <c r="D13" s="342"/>
      <c r="E13" s="342"/>
      <c r="F13" s="342"/>
      <c r="G13" s="342"/>
      <c r="H13" s="342"/>
      <c r="I13" s="342"/>
      <c r="J13" s="342"/>
      <c r="K13" s="342"/>
    </row>
    <row r="14" spans="1:11" ht="30" customHeight="1" x14ac:dyDescent="0.25">
      <c r="B14" s="350"/>
      <c r="C14" s="342"/>
      <c r="D14" s="342"/>
      <c r="E14" s="342"/>
      <c r="F14" s="342"/>
      <c r="G14" s="342"/>
      <c r="H14" s="342"/>
      <c r="I14" s="342"/>
      <c r="J14" s="342"/>
      <c r="K14" s="342"/>
    </row>
    <row r="15" spans="1:11" ht="45.75" customHeight="1" x14ac:dyDescent="0.25">
      <c r="A15" s="356" t="s">
        <v>42</v>
      </c>
      <c r="B15" s="357" t="s">
        <v>2147</v>
      </c>
      <c r="C15" s="447" t="s">
        <v>2159</v>
      </c>
      <c r="D15" s="447"/>
      <c r="E15" s="447"/>
      <c r="F15" s="447"/>
      <c r="G15" s="447"/>
      <c r="H15" s="447"/>
      <c r="I15" s="447"/>
      <c r="J15" s="447"/>
      <c r="K15" s="448"/>
    </row>
    <row r="16" spans="1:11" ht="123" customHeight="1" x14ac:dyDescent="0.25">
      <c r="A16" s="353"/>
      <c r="B16" s="350" t="s">
        <v>2150</v>
      </c>
      <c r="C16" s="435" t="s">
        <v>2160</v>
      </c>
      <c r="D16" s="435"/>
      <c r="E16" s="435"/>
      <c r="F16" s="435"/>
      <c r="G16" s="435"/>
      <c r="H16" s="435"/>
      <c r="I16" s="435"/>
      <c r="J16" s="435"/>
      <c r="K16" s="436"/>
    </row>
    <row r="17" spans="1:11" ht="60.75" customHeight="1" x14ac:dyDescent="0.25">
      <c r="A17" s="353"/>
      <c r="B17" s="350" t="s">
        <v>2150</v>
      </c>
      <c r="C17" s="435" t="s">
        <v>2161</v>
      </c>
      <c r="D17" s="435"/>
      <c r="E17" s="435"/>
      <c r="F17" s="435"/>
      <c r="G17" s="435"/>
      <c r="H17" s="435"/>
      <c r="I17" s="435"/>
      <c r="J17" s="435"/>
      <c r="K17" s="436"/>
    </row>
    <row r="18" spans="1:11" ht="92.25" customHeight="1" x14ac:dyDescent="0.25">
      <c r="A18" s="353"/>
      <c r="B18" s="350" t="s">
        <v>2150</v>
      </c>
      <c r="C18" s="435" t="s">
        <v>2162</v>
      </c>
      <c r="D18" s="435"/>
      <c r="E18" s="435"/>
      <c r="F18" s="435"/>
      <c r="G18" s="435"/>
      <c r="H18" s="435"/>
      <c r="I18" s="435"/>
      <c r="J18" s="435"/>
      <c r="K18" s="436"/>
    </row>
    <row r="19" spans="1:11" ht="76.5" customHeight="1" x14ac:dyDescent="0.25">
      <c r="A19" s="353"/>
      <c r="B19" s="350" t="s">
        <v>2150</v>
      </c>
      <c r="C19" s="435" t="s">
        <v>2163</v>
      </c>
      <c r="D19" s="435"/>
      <c r="E19" s="435"/>
      <c r="F19" s="435"/>
      <c r="G19" s="435"/>
      <c r="H19" s="435"/>
      <c r="I19" s="435"/>
      <c r="J19" s="435"/>
      <c r="K19" s="436"/>
    </row>
    <row r="20" spans="1:11" ht="120.75" customHeight="1" x14ac:dyDescent="0.25">
      <c r="A20" s="353"/>
      <c r="B20" s="350" t="s">
        <v>2150</v>
      </c>
      <c r="C20" s="435" t="s">
        <v>2164</v>
      </c>
      <c r="D20" s="435"/>
      <c r="E20" s="435"/>
      <c r="F20" s="435"/>
      <c r="G20" s="435"/>
      <c r="H20" s="435"/>
      <c r="I20" s="435"/>
      <c r="J20" s="435"/>
      <c r="K20" s="436"/>
    </row>
    <row r="21" spans="1:11" ht="186.75" customHeight="1" x14ac:dyDescent="0.25">
      <c r="A21" s="354"/>
      <c r="B21" s="355" t="s">
        <v>2150</v>
      </c>
      <c r="C21" s="437" t="s">
        <v>2165</v>
      </c>
      <c r="D21" s="437"/>
      <c r="E21" s="437"/>
      <c r="F21" s="437"/>
      <c r="G21" s="437"/>
      <c r="H21" s="437"/>
      <c r="I21" s="437"/>
      <c r="J21" s="437"/>
      <c r="K21" s="438"/>
    </row>
  </sheetData>
  <sheetProtection algorithmName="SHA-512" hashValue="+pEXp4n2QWnYjUk9CKAm9a/mGfkX/TGEEmkF0P3hFOqf4z/g0oP4vZf3hnv4HyGXtK6Lbc4MnUvb5Ee4JlH6Ag==" saltValue="HGpVrlP9lh3y0sjL4tZNDw==" spinCount="100000" sheet="1" objects="1" scenarios="1" formatCells="0" formatColumns="0" formatRows="0"/>
  <mergeCells count="17">
    <mergeCell ref="C16:K16"/>
    <mergeCell ref="A1:K1"/>
    <mergeCell ref="C3:K3"/>
    <mergeCell ref="C4:K4"/>
    <mergeCell ref="C5:K5"/>
    <mergeCell ref="C6:K6"/>
    <mergeCell ref="C7:K7"/>
    <mergeCell ref="C9:K9"/>
    <mergeCell ref="C10:K10"/>
    <mergeCell ref="C11:K11"/>
    <mergeCell ref="C12:K12"/>
    <mergeCell ref="C15:K15"/>
    <mergeCell ref="C17:K17"/>
    <mergeCell ref="C18:K18"/>
    <mergeCell ref="C19:K19"/>
    <mergeCell ref="C20:K20"/>
    <mergeCell ref="C21:K21"/>
  </mergeCells>
  <pageMargins left="0.78740157480314965" right="0.39370078740157483" top="0.39370078740157483" bottom="0.39370078740157483" header="0" footer="0.39370078740157483"/>
  <pageSetup paperSize="9" scale="98" fitToHeight="0" orientation="portrait" r:id="rId1"/>
  <headerFooter>
    <oddFooter>&amp;Rstran &amp;N / strana &amp;P</oddFooter>
  </headerFooter>
  <rowBreaks count="1" manualBreakCount="1">
    <brk id="1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21521-D6BD-4F02-B098-F2A340B3491A}">
  <sheetPr>
    <tabColor theme="7" tint="0.79998168889431442"/>
    <pageSetUpPr fitToPage="1"/>
  </sheetPr>
  <dimension ref="A1:M55"/>
  <sheetViews>
    <sheetView view="pageBreakPreview" zoomScaleNormal="100" zoomScaleSheetLayoutView="100" workbookViewId="0">
      <selection activeCell="C9" sqref="C9"/>
    </sheetView>
  </sheetViews>
  <sheetFormatPr defaultColWidth="9.109375" defaultRowHeight="13.2" x14ac:dyDescent="0.25"/>
  <cols>
    <col min="1" max="1" width="8" style="1" customWidth="1"/>
    <col min="2" max="2" width="8.33203125" style="1" customWidth="1"/>
    <col min="3" max="3" width="19" style="1" customWidth="1"/>
    <col min="4" max="4" width="85.6640625" style="1" customWidth="1"/>
    <col min="5" max="5" width="26.109375" style="1" customWidth="1"/>
    <col min="6" max="6" width="25.44140625" style="1" customWidth="1"/>
    <col min="7" max="7" width="25.6640625" style="1" customWidth="1"/>
    <col min="8" max="8" width="27" style="1" customWidth="1"/>
    <col min="9" max="9" width="1.6640625" style="1" customWidth="1"/>
    <col min="10" max="10" width="9.109375" style="1"/>
    <col min="11" max="11" width="15.88671875" style="1" bestFit="1" customWidth="1"/>
    <col min="12" max="16384" width="9.109375" style="1"/>
  </cols>
  <sheetData>
    <row r="1" spans="1:13" ht="20.100000000000001" customHeight="1" x14ac:dyDescent="0.3">
      <c r="A1" s="467" t="s">
        <v>6</v>
      </c>
      <c r="B1" s="467"/>
      <c r="C1" s="467"/>
      <c r="D1" s="467"/>
      <c r="E1" s="467"/>
      <c r="F1" s="467"/>
      <c r="G1" s="467"/>
      <c r="H1" s="467"/>
    </row>
    <row r="2" spans="1:13" ht="5.25" customHeight="1" x14ac:dyDescent="0.3">
      <c r="A2" s="3"/>
      <c r="C2" s="2"/>
    </row>
    <row r="3" spans="1:13" ht="21.9" customHeight="1" x14ac:dyDescent="0.3">
      <c r="A3" s="455" t="s">
        <v>7</v>
      </c>
      <c r="B3" s="455"/>
      <c r="C3" s="456" t="s">
        <v>68</v>
      </c>
      <c r="D3" s="456"/>
      <c r="E3" s="456"/>
      <c r="F3" s="456"/>
      <c r="G3" s="456"/>
      <c r="H3" s="456"/>
    </row>
    <row r="4" spans="1:13" ht="21.9" customHeight="1" x14ac:dyDescent="0.3">
      <c r="A4" s="455" t="s">
        <v>8</v>
      </c>
      <c r="B4" s="455"/>
      <c r="C4" s="5" t="s">
        <v>69</v>
      </c>
      <c r="D4" s="6"/>
      <c r="E4" s="6"/>
      <c r="F4" s="6"/>
      <c r="G4" s="6"/>
      <c r="H4" s="6"/>
    </row>
    <row r="5" spans="1:13" ht="21.9" customHeight="1" x14ac:dyDescent="0.3">
      <c r="A5" s="468" t="s">
        <v>36</v>
      </c>
      <c r="B5" s="455"/>
      <c r="C5" s="5" t="s">
        <v>9</v>
      </c>
      <c r="D5" s="6"/>
      <c r="E5" s="128" t="s">
        <v>1172</v>
      </c>
      <c r="F5" s="127" t="s">
        <v>1173</v>
      </c>
      <c r="G5" s="6"/>
      <c r="H5" s="6"/>
    </row>
    <row r="6" spans="1:13" ht="21.9" customHeight="1" thickBot="1" x14ac:dyDescent="0.35">
      <c r="A6" s="455" t="s">
        <v>10</v>
      </c>
      <c r="B6" s="455"/>
      <c r="C6" s="5" t="s">
        <v>1174</v>
      </c>
      <c r="D6" s="6"/>
      <c r="E6" s="6"/>
      <c r="F6" s="6"/>
      <c r="G6" s="6"/>
      <c r="H6" s="6"/>
    </row>
    <row r="7" spans="1:13" ht="21.9" customHeight="1" x14ac:dyDescent="0.3">
      <c r="A7" s="455" t="s">
        <v>11</v>
      </c>
      <c r="B7" s="455"/>
      <c r="C7" s="456" t="s">
        <v>1171</v>
      </c>
      <c r="D7" s="456"/>
      <c r="E7" s="15"/>
      <c r="F7" s="457" t="s">
        <v>0</v>
      </c>
      <c r="G7" s="458"/>
      <c r="H7" s="459"/>
      <c r="I7" s="16"/>
      <c r="J7" s="16"/>
      <c r="K7" s="16"/>
      <c r="L7" s="16"/>
      <c r="M7" s="16"/>
    </row>
    <row r="8" spans="1:13" ht="18" customHeight="1" x14ac:dyDescent="0.3">
      <c r="A8" s="455" t="s">
        <v>12</v>
      </c>
      <c r="B8" s="455"/>
      <c r="C8" s="5" t="s">
        <v>472</v>
      </c>
      <c r="D8" s="15"/>
      <c r="E8" s="15"/>
      <c r="F8" s="460"/>
      <c r="G8" s="461"/>
      <c r="H8" s="462"/>
      <c r="I8" s="16"/>
      <c r="J8" s="16"/>
      <c r="K8" s="16"/>
      <c r="L8" s="16"/>
      <c r="M8" s="16"/>
    </row>
    <row r="9" spans="1:13" ht="18" customHeight="1" thickBot="1" x14ac:dyDescent="0.35">
      <c r="A9" s="455" t="s">
        <v>13</v>
      </c>
      <c r="B9" s="455"/>
      <c r="C9" s="45">
        <v>45559</v>
      </c>
      <c r="D9" s="15"/>
      <c r="E9" s="15"/>
      <c r="F9" s="463"/>
      <c r="G9" s="464"/>
      <c r="H9" s="465"/>
      <c r="I9" s="16"/>
      <c r="J9" s="16"/>
      <c r="K9" s="16"/>
      <c r="L9" s="16"/>
      <c r="M9" s="16"/>
    </row>
    <row r="10" spans="1:13" ht="6" customHeight="1" thickBot="1" x14ac:dyDescent="0.35">
      <c r="D10" s="7"/>
      <c r="E10" s="7"/>
      <c r="F10" s="4"/>
      <c r="G10" s="4"/>
      <c r="H10" s="4"/>
    </row>
    <row r="11" spans="1:13" ht="39" customHeight="1" x14ac:dyDescent="0.25">
      <c r="A11" s="21" t="s">
        <v>14</v>
      </c>
      <c r="B11" s="466" t="s">
        <v>15</v>
      </c>
      <c r="C11" s="466"/>
      <c r="D11" s="22" t="s">
        <v>16</v>
      </c>
      <c r="E11" s="22" t="s">
        <v>17</v>
      </c>
      <c r="F11" s="22" t="s">
        <v>18</v>
      </c>
      <c r="G11" s="22" t="s">
        <v>5</v>
      </c>
      <c r="H11" s="23" t="s">
        <v>19</v>
      </c>
    </row>
    <row r="12" spans="1:13" ht="13.8" hidden="1" x14ac:dyDescent="0.25">
      <c r="A12" s="24"/>
      <c r="B12" s="8"/>
      <c r="C12" s="9"/>
      <c r="D12" s="10" t="s">
        <v>20</v>
      </c>
      <c r="E12" s="10"/>
      <c r="F12" s="11"/>
      <c r="G12" s="11"/>
      <c r="H12" s="25"/>
    </row>
    <row r="13" spans="1:13" ht="13.8" hidden="1" x14ac:dyDescent="0.25">
      <c r="A13" s="24"/>
      <c r="B13" s="8"/>
      <c r="C13" s="9"/>
      <c r="D13" s="10" t="s">
        <v>21</v>
      </c>
      <c r="E13" s="10"/>
      <c r="F13" s="11"/>
      <c r="G13" s="11"/>
      <c r="H13" s="25"/>
    </row>
    <row r="14" spans="1:13" ht="13.8" hidden="1" x14ac:dyDescent="0.25">
      <c r="A14" s="24"/>
      <c r="B14" s="8"/>
      <c r="C14" s="9"/>
      <c r="D14" s="10" t="s">
        <v>22</v>
      </c>
      <c r="E14" s="10"/>
      <c r="F14" s="11"/>
      <c r="G14" s="11"/>
      <c r="H14" s="25"/>
    </row>
    <row r="15" spans="1:13" ht="15" hidden="1" customHeight="1" x14ac:dyDescent="0.25">
      <c r="A15" s="24"/>
      <c r="B15" s="8"/>
      <c r="C15" s="9"/>
      <c r="D15" s="12" t="s">
        <v>23</v>
      </c>
      <c r="E15" s="12"/>
      <c r="F15" s="13"/>
      <c r="G15" s="13">
        <v>18.5</v>
      </c>
      <c r="H15" s="26">
        <v>2100</v>
      </c>
    </row>
    <row r="16" spans="1:13" ht="13.8" hidden="1" x14ac:dyDescent="0.25">
      <c r="A16" s="24"/>
      <c r="B16" s="8"/>
      <c r="C16" s="9"/>
      <c r="D16" s="10" t="s">
        <v>24</v>
      </c>
      <c r="E16" s="10"/>
      <c r="F16" s="11"/>
      <c r="G16" s="11"/>
      <c r="H16" s="27"/>
    </row>
    <row r="17" spans="1:8" ht="15" hidden="1" customHeight="1" x14ac:dyDescent="0.3">
      <c r="A17" s="24"/>
      <c r="B17" s="8"/>
      <c r="C17" s="9"/>
      <c r="D17" s="12" t="s">
        <v>23</v>
      </c>
      <c r="E17" s="12"/>
      <c r="F17" s="13"/>
      <c r="G17" s="14">
        <v>387.5</v>
      </c>
      <c r="H17" s="28"/>
    </row>
    <row r="18" spans="1:8" ht="15" hidden="1" customHeight="1" x14ac:dyDescent="0.3">
      <c r="A18" s="24"/>
      <c r="B18" s="8"/>
      <c r="C18" s="9"/>
      <c r="D18" s="12" t="s">
        <v>25</v>
      </c>
      <c r="E18" s="12"/>
      <c r="F18" s="13"/>
      <c r="G18" s="14">
        <v>55</v>
      </c>
      <c r="H18" s="26">
        <v>2150</v>
      </c>
    </row>
    <row r="19" spans="1:8" ht="15" hidden="1" customHeight="1" x14ac:dyDescent="0.3">
      <c r="A19" s="24"/>
      <c r="B19" s="8"/>
      <c r="C19" s="9"/>
      <c r="D19" s="12" t="s">
        <v>26</v>
      </c>
      <c r="E19" s="12"/>
      <c r="F19" s="13"/>
      <c r="G19" s="14">
        <v>332.5</v>
      </c>
      <c r="H19" s="26">
        <v>1500</v>
      </c>
    </row>
    <row r="20" spans="1:8" ht="15" hidden="1" customHeight="1" x14ac:dyDescent="0.3">
      <c r="A20" s="24"/>
      <c r="B20" s="8"/>
      <c r="C20" s="9"/>
      <c r="D20" s="12" t="s">
        <v>3</v>
      </c>
      <c r="E20" s="12"/>
      <c r="F20" s="13"/>
      <c r="G20" s="13">
        <v>1</v>
      </c>
      <c r="H20" s="26">
        <v>75000</v>
      </c>
    </row>
    <row r="21" spans="1:8" ht="15" hidden="1" customHeight="1" x14ac:dyDescent="0.3">
      <c r="A21" s="24"/>
      <c r="B21" s="8"/>
      <c r="C21" s="9"/>
      <c r="D21" s="12" t="s">
        <v>4</v>
      </c>
      <c r="E21" s="12"/>
      <c r="F21" s="13"/>
      <c r="G21" s="13">
        <v>6</v>
      </c>
      <c r="H21" s="26">
        <v>10000</v>
      </c>
    </row>
    <row r="22" spans="1:8" ht="24.9" customHeight="1" x14ac:dyDescent="0.25">
      <c r="A22" s="50" t="s">
        <v>27</v>
      </c>
      <c r="B22" s="17"/>
      <c r="C22" s="17"/>
      <c r="D22" s="17"/>
      <c r="E22" s="18"/>
      <c r="F22" s="19"/>
      <c r="G22" s="20"/>
      <c r="H22" s="29"/>
    </row>
    <row r="23" spans="1:8" ht="20.100000000000001" customHeight="1" x14ac:dyDescent="0.25">
      <c r="A23" s="33" t="s">
        <v>29</v>
      </c>
      <c r="B23" s="34" t="s">
        <v>37</v>
      </c>
      <c r="C23" s="35"/>
      <c r="D23" s="36" t="s">
        <v>28</v>
      </c>
      <c r="E23" s="37"/>
      <c r="F23" s="38">
        <f>'SO 001'!J135</f>
        <v>0</v>
      </c>
      <c r="G23" s="39">
        <f>F23*0.21</f>
        <v>0</v>
      </c>
      <c r="H23" s="40">
        <f>F23+G23</f>
        <v>0</v>
      </c>
    </row>
    <row r="24" spans="1:8" ht="20.100000000000001" customHeight="1" x14ac:dyDescent="0.25">
      <c r="A24" s="41" t="s">
        <v>31</v>
      </c>
      <c r="B24" s="34" t="s">
        <v>30</v>
      </c>
      <c r="C24" s="35"/>
      <c r="D24" s="36" t="s">
        <v>70</v>
      </c>
      <c r="E24" s="37"/>
      <c r="F24" s="39">
        <f>SUM(E25:E29)</f>
        <v>0</v>
      </c>
      <c r="G24" s="39">
        <f>F24*0.21</f>
        <v>0</v>
      </c>
      <c r="H24" s="40">
        <f>F24+G24</f>
        <v>0</v>
      </c>
    </row>
    <row r="25" spans="1:8" ht="18" customHeight="1" x14ac:dyDescent="0.25">
      <c r="A25" s="30" t="s">
        <v>33</v>
      </c>
      <c r="B25" s="47" t="s">
        <v>38</v>
      </c>
      <c r="C25" s="32"/>
      <c r="D25" s="48" t="s">
        <v>71</v>
      </c>
      <c r="E25" s="42">
        <f>'DSO 010.1.'!J304</f>
        <v>0</v>
      </c>
      <c r="F25" s="43"/>
      <c r="G25" s="44">
        <f>E25*0.21</f>
        <v>0</v>
      </c>
      <c r="H25" s="46">
        <f t="shared" ref="H25:H29" si="0">SUM(E25,G25)</f>
        <v>0</v>
      </c>
    </row>
    <row r="26" spans="1:8" ht="18" customHeight="1" x14ac:dyDescent="0.25">
      <c r="A26" s="30" t="s">
        <v>34</v>
      </c>
      <c r="B26" s="47" t="s">
        <v>39</v>
      </c>
      <c r="C26" s="32"/>
      <c r="D26" s="48" t="s">
        <v>72</v>
      </c>
      <c r="E26" s="42">
        <f>'DSO 010.2.'!J202</f>
        <v>0</v>
      </c>
      <c r="F26" s="43"/>
      <c r="G26" s="44">
        <f>E26*0.21</f>
        <v>0</v>
      </c>
      <c r="H26" s="46">
        <f t="shared" si="0"/>
        <v>0</v>
      </c>
    </row>
    <row r="27" spans="1:8" ht="18" customHeight="1" x14ac:dyDescent="0.25">
      <c r="A27" s="30" t="s">
        <v>63</v>
      </c>
      <c r="B27" s="47" t="s">
        <v>64</v>
      </c>
      <c r="C27" s="32"/>
      <c r="D27" s="48" t="s">
        <v>73</v>
      </c>
      <c r="E27" s="42">
        <f>'DSO 010.3.'!J141</f>
        <v>0</v>
      </c>
      <c r="F27" s="43"/>
      <c r="G27" s="44">
        <f>E27*0.21</f>
        <v>0</v>
      </c>
      <c r="H27" s="46">
        <f t="shared" si="0"/>
        <v>0</v>
      </c>
    </row>
    <row r="28" spans="1:8" ht="18" customHeight="1" x14ac:dyDescent="0.25">
      <c r="A28" s="30" t="s">
        <v>65</v>
      </c>
      <c r="B28" s="47" t="s">
        <v>66</v>
      </c>
      <c r="C28" s="32"/>
      <c r="D28" s="48" t="s">
        <v>74</v>
      </c>
      <c r="E28" s="42">
        <f>'DSO 010.4.'!J211</f>
        <v>0</v>
      </c>
      <c r="F28" s="43"/>
      <c r="G28" s="44">
        <f>E28*0.21</f>
        <v>0</v>
      </c>
      <c r="H28" s="46">
        <f t="shared" si="0"/>
        <v>0</v>
      </c>
    </row>
    <row r="29" spans="1:8" ht="18" customHeight="1" x14ac:dyDescent="0.25">
      <c r="A29" s="30" t="s">
        <v>75</v>
      </c>
      <c r="B29" s="47" t="s">
        <v>76</v>
      </c>
      <c r="C29" s="32"/>
      <c r="D29" s="48" t="s">
        <v>111</v>
      </c>
      <c r="E29" s="42">
        <f>'DSO 010.5.'!J42</f>
        <v>0</v>
      </c>
      <c r="F29" s="43"/>
      <c r="G29" s="44">
        <f>E29*0.21</f>
        <v>0</v>
      </c>
      <c r="H29" s="46">
        <f t="shared" si="0"/>
        <v>0</v>
      </c>
    </row>
    <row r="30" spans="1:8" ht="20.100000000000001" customHeight="1" x14ac:dyDescent="0.25">
      <c r="A30" s="41" t="s">
        <v>35</v>
      </c>
      <c r="B30" s="34" t="s">
        <v>32</v>
      </c>
      <c r="C30" s="35"/>
      <c r="D30" s="36" t="s">
        <v>77</v>
      </c>
      <c r="E30" s="37"/>
      <c r="F30" s="38">
        <f>SUM(E31)</f>
        <v>0</v>
      </c>
      <c r="G30" s="39">
        <f>F30*0.21</f>
        <v>0</v>
      </c>
      <c r="H30" s="40">
        <f>F30+G30</f>
        <v>0</v>
      </c>
    </row>
    <row r="31" spans="1:8" ht="18" customHeight="1" x14ac:dyDescent="0.25">
      <c r="A31" s="30" t="s">
        <v>67</v>
      </c>
      <c r="B31" s="47" t="s">
        <v>40</v>
      </c>
      <c r="C31" s="32"/>
      <c r="D31" s="48" t="s">
        <v>78</v>
      </c>
      <c r="E31" s="42">
        <f>'DSO 020.1.'!J164</f>
        <v>0</v>
      </c>
      <c r="F31" s="43"/>
      <c r="G31" s="44">
        <f>E31*0.21</f>
        <v>0</v>
      </c>
      <c r="H31" s="46">
        <f t="shared" ref="H31" si="1">SUM(E31,G31)</f>
        <v>0</v>
      </c>
    </row>
    <row r="32" spans="1:8" ht="20.100000000000001" customHeight="1" x14ac:dyDescent="0.25">
      <c r="A32" s="41" t="s">
        <v>42</v>
      </c>
      <c r="B32" s="34" t="s">
        <v>41</v>
      </c>
      <c r="C32" s="35"/>
      <c r="D32" s="36" t="s">
        <v>79</v>
      </c>
      <c r="E32" s="37"/>
      <c r="F32" s="38">
        <f>SUM(E33:E36)</f>
        <v>0</v>
      </c>
      <c r="G32" s="39">
        <f>F32*0.21</f>
        <v>0</v>
      </c>
      <c r="H32" s="40">
        <f>F32+G32</f>
        <v>0</v>
      </c>
    </row>
    <row r="33" spans="1:8" ht="18" customHeight="1" x14ac:dyDescent="0.25">
      <c r="A33" s="31" t="s">
        <v>43</v>
      </c>
      <c r="B33" s="47" t="s">
        <v>44</v>
      </c>
      <c r="C33" s="32"/>
      <c r="D33" s="48" t="s">
        <v>86</v>
      </c>
      <c r="E33" s="42">
        <f>'DSO 030.1.'!J208</f>
        <v>0</v>
      </c>
      <c r="F33" s="43"/>
      <c r="G33" s="44">
        <f>E33*0.21</f>
        <v>0</v>
      </c>
      <c r="H33" s="46">
        <f t="shared" ref="H33:H36" si="2">SUM(E33,G33)</f>
        <v>0</v>
      </c>
    </row>
    <row r="34" spans="1:8" ht="18" customHeight="1" x14ac:dyDescent="0.25">
      <c r="A34" s="31" t="s">
        <v>80</v>
      </c>
      <c r="B34" s="47" t="s">
        <v>83</v>
      </c>
      <c r="C34" s="32"/>
      <c r="D34" s="48" t="s">
        <v>87</v>
      </c>
      <c r="E34" s="42">
        <f>'DSO 030.2.'!J183</f>
        <v>0</v>
      </c>
      <c r="F34" s="43"/>
      <c r="G34" s="44">
        <f>E34*0.21</f>
        <v>0</v>
      </c>
      <c r="H34" s="46">
        <f t="shared" si="2"/>
        <v>0</v>
      </c>
    </row>
    <row r="35" spans="1:8" ht="18" customHeight="1" x14ac:dyDescent="0.25">
      <c r="A35" s="31" t="s">
        <v>81</v>
      </c>
      <c r="B35" s="47" t="s">
        <v>84</v>
      </c>
      <c r="C35" s="32"/>
      <c r="D35" s="48" t="s">
        <v>88</v>
      </c>
      <c r="E35" s="42">
        <f>'DSO 030.3.'!J180</f>
        <v>0</v>
      </c>
      <c r="F35" s="43"/>
      <c r="G35" s="44">
        <f>E35*0.21</f>
        <v>0</v>
      </c>
      <c r="H35" s="46">
        <f t="shared" si="2"/>
        <v>0</v>
      </c>
    </row>
    <row r="36" spans="1:8" ht="18" customHeight="1" x14ac:dyDescent="0.25">
      <c r="A36" s="31" t="s">
        <v>82</v>
      </c>
      <c r="B36" s="47" t="s">
        <v>85</v>
      </c>
      <c r="C36" s="32"/>
      <c r="D36" s="48" t="s">
        <v>89</v>
      </c>
      <c r="E36" s="42">
        <f>'DSO 030.4.'!J169</f>
        <v>0</v>
      </c>
      <c r="F36" s="43"/>
      <c r="G36" s="44">
        <f>E36*0.21</f>
        <v>0</v>
      </c>
      <c r="H36" s="46">
        <f t="shared" si="2"/>
        <v>0</v>
      </c>
    </row>
    <row r="37" spans="1:8" ht="20.100000000000001" customHeight="1" x14ac:dyDescent="0.25">
      <c r="A37" s="41" t="s">
        <v>45</v>
      </c>
      <c r="B37" s="34" t="s">
        <v>46</v>
      </c>
      <c r="C37" s="35"/>
      <c r="D37" s="36" t="s">
        <v>90</v>
      </c>
      <c r="E37" s="37"/>
      <c r="F37" s="38">
        <f>SUM(E38)</f>
        <v>0</v>
      </c>
      <c r="G37" s="39">
        <f>F37*0.21</f>
        <v>0</v>
      </c>
      <c r="H37" s="40">
        <f>F37+G37</f>
        <v>0</v>
      </c>
    </row>
    <row r="38" spans="1:8" ht="18" customHeight="1" x14ac:dyDescent="0.25">
      <c r="A38" s="31" t="s">
        <v>47</v>
      </c>
      <c r="B38" s="47" t="s">
        <v>48</v>
      </c>
      <c r="C38" s="32"/>
      <c r="D38" s="48" t="s">
        <v>91</v>
      </c>
      <c r="E38" s="42">
        <f>'DSO 040.1.'!J165</f>
        <v>0</v>
      </c>
      <c r="F38" s="43"/>
      <c r="G38" s="44">
        <f>E38*0.21</f>
        <v>0</v>
      </c>
      <c r="H38" s="46">
        <f t="shared" ref="H38" si="3">SUM(E38,G38)</f>
        <v>0</v>
      </c>
    </row>
    <row r="39" spans="1:8" ht="20.100000000000001" customHeight="1" x14ac:dyDescent="0.25">
      <c r="A39" s="41" t="s">
        <v>50</v>
      </c>
      <c r="B39" s="34" t="s">
        <v>49</v>
      </c>
      <c r="C39" s="35"/>
      <c r="D39" s="36" t="s">
        <v>92</v>
      </c>
      <c r="E39" s="37"/>
      <c r="F39" s="38">
        <f>SUM(E40:E43)</f>
        <v>0</v>
      </c>
      <c r="G39" s="39">
        <f>F39*0.21</f>
        <v>0</v>
      </c>
      <c r="H39" s="40">
        <f>F39+G39</f>
        <v>0</v>
      </c>
    </row>
    <row r="40" spans="1:8" ht="18" customHeight="1" x14ac:dyDescent="0.25">
      <c r="A40" s="31" t="s">
        <v>51</v>
      </c>
      <c r="B40" s="47" t="s">
        <v>53</v>
      </c>
      <c r="C40" s="32"/>
      <c r="D40" s="48" t="s">
        <v>95</v>
      </c>
      <c r="E40" s="42">
        <f>'DSO 050.1.'!J198</f>
        <v>0</v>
      </c>
      <c r="F40" s="43"/>
      <c r="G40" s="44">
        <f>E40*0.21</f>
        <v>0</v>
      </c>
      <c r="H40" s="46">
        <f t="shared" ref="H40:H43" si="4">SUM(E40,G40)</f>
        <v>0</v>
      </c>
    </row>
    <row r="41" spans="1:8" ht="18" customHeight="1" x14ac:dyDescent="0.25">
      <c r="A41" s="31" t="s">
        <v>52</v>
      </c>
      <c r="B41" s="47" t="s">
        <v>54</v>
      </c>
      <c r="C41" s="32"/>
      <c r="D41" s="48" t="s">
        <v>96</v>
      </c>
      <c r="E41" s="42">
        <f>'DSO 050.2.'!J184</f>
        <v>0</v>
      </c>
      <c r="F41" s="43"/>
      <c r="G41" s="44">
        <f>E41*0.21</f>
        <v>0</v>
      </c>
      <c r="H41" s="46">
        <f t="shared" si="4"/>
        <v>0</v>
      </c>
    </row>
    <row r="42" spans="1:8" ht="18" customHeight="1" x14ac:dyDescent="0.25">
      <c r="A42" s="31" t="s">
        <v>93</v>
      </c>
      <c r="B42" s="47" t="s">
        <v>98</v>
      </c>
      <c r="C42" s="32"/>
      <c r="D42" s="48" t="s">
        <v>97</v>
      </c>
      <c r="E42" s="42">
        <f>'DSO 050.3.'!J163</f>
        <v>0</v>
      </c>
      <c r="F42" s="43"/>
      <c r="G42" s="44">
        <f>E42*0.21</f>
        <v>0</v>
      </c>
      <c r="H42" s="46">
        <f t="shared" si="4"/>
        <v>0</v>
      </c>
    </row>
    <row r="43" spans="1:8" ht="18" customHeight="1" x14ac:dyDescent="0.25">
      <c r="A43" s="31" t="s">
        <v>94</v>
      </c>
      <c r="B43" s="47" t="s">
        <v>99</v>
      </c>
      <c r="C43" s="32"/>
      <c r="D43" s="48" t="s">
        <v>100</v>
      </c>
      <c r="E43" s="42">
        <f>'DSO 050.4.'!J80</f>
        <v>0</v>
      </c>
      <c r="F43" s="43"/>
      <c r="G43" s="44">
        <f>E43*0.21</f>
        <v>0</v>
      </c>
      <c r="H43" s="46">
        <f t="shared" si="4"/>
        <v>0</v>
      </c>
    </row>
    <row r="44" spans="1:8" ht="20.100000000000001" customHeight="1" x14ac:dyDescent="0.25">
      <c r="A44" s="41" t="s">
        <v>55</v>
      </c>
      <c r="B44" s="34" t="s">
        <v>56</v>
      </c>
      <c r="C44" s="35"/>
      <c r="D44" s="36" t="s">
        <v>101</v>
      </c>
      <c r="E44" s="37"/>
      <c r="F44" s="38">
        <f>SUM(E45:E45)</f>
        <v>0</v>
      </c>
      <c r="G44" s="39">
        <f>F44*0.21</f>
        <v>0</v>
      </c>
      <c r="H44" s="40">
        <f>F44+G44</f>
        <v>0</v>
      </c>
    </row>
    <row r="45" spans="1:8" ht="18" customHeight="1" x14ac:dyDescent="0.25">
      <c r="A45" s="31" t="s">
        <v>57</v>
      </c>
      <c r="B45" s="47" t="s">
        <v>58</v>
      </c>
      <c r="C45" s="32"/>
      <c r="D45" s="48" t="s">
        <v>102</v>
      </c>
      <c r="E45" s="42">
        <f>'DSO 060.1.'!J166</f>
        <v>0</v>
      </c>
      <c r="F45" s="43"/>
      <c r="G45" s="44">
        <f>E45*0.21</f>
        <v>0</v>
      </c>
      <c r="H45" s="46">
        <f t="shared" ref="H45" si="5">SUM(E45,G45)</f>
        <v>0</v>
      </c>
    </row>
    <row r="46" spans="1:8" ht="20.100000000000001" customHeight="1" x14ac:dyDescent="0.25">
      <c r="A46" s="41" t="s">
        <v>59</v>
      </c>
      <c r="B46" s="34" t="s">
        <v>103</v>
      </c>
      <c r="C46" s="35"/>
      <c r="D46" s="36" t="s">
        <v>104</v>
      </c>
      <c r="E46" s="37"/>
      <c r="F46" s="38">
        <f>SUM(E47:E47)</f>
        <v>0</v>
      </c>
      <c r="G46" s="39">
        <f>F46*0.21</f>
        <v>0</v>
      </c>
      <c r="H46" s="40">
        <f>F46+G46</f>
        <v>0</v>
      </c>
    </row>
    <row r="47" spans="1:8" ht="18" customHeight="1" x14ac:dyDescent="0.25">
      <c r="A47" s="31" t="s">
        <v>60</v>
      </c>
      <c r="B47" s="47" t="s">
        <v>105</v>
      </c>
      <c r="C47" s="32"/>
      <c r="D47" s="48" t="s">
        <v>106</v>
      </c>
      <c r="E47" s="42">
        <f>'DSO 070.1.'!J113</f>
        <v>0</v>
      </c>
      <c r="F47" s="43"/>
      <c r="G47" s="44">
        <f>E47*0.21</f>
        <v>0</v>
      </c>
      <c r="H47" s="46">
        <f t="shared" ref="H47" si="6">SUM(E47,G47)</f>
        <v>0</v>
      </c>
    </row>
    <row r="48" spans="1:8" ht="20.100000000000001" customHeight="1" x14ac:dyDescent="0.25">
      <c r="A48" s="41" t="s">
        <v>61</v>
      </c>
      <c r="B48" s="34" t="s">
        <v>107</v>
      </c>
      <c r="C48" s="35"/>
      <c r="D48" s="36" t="s">
        <v>108</v>
      </c>
      <c r="E48" s="37"/>
      <c r="F48" s="38">
        <f>SUM(E49:E49)</f>
        <v>0</v>
      </c>
      <c r="G48" s="39">
        <f>F48*0.21</f>
        <v>0</v>
      </c>
      <c r="H48" s="40">
        <f>F48+G48</f>
        <v>0</v>
      </c>
    </row>
    <row r="49" spans="1:8" ht="18" customHeight="1" x14ac:dyDescent="0.25">
      <c r="A49" s="51" t="s">
        <v>62</v>
      </c>
      <c r="B49" s="52" t="s">
        <v>109</v>
      </c>
      <c r="C49" s="53"/>
      <c r="D49" s="129" t="s">
        <v>110</v>
      </c>
      <c r="E49" s="54">
        <f>'DSO 080.1.'!J65</f>
        <v>0</v>
      </c>
      <c r="F49" s="43"/>
      <c r="G49" s="44">
        <f>E49*0.21</f>
        <v>0</v>
      </c>
      <c r="H49" s="46">
        <f t="shared" ref="H49" si="7">SUM(E49,G49)</f>
        <v>0</v>
      </c>
    </row>
    <row r="50" spans="1:8" ht="20.100000000000001" customHeight="1" x14ac:dyDescent="0.25">
      <c r="A50" s="41" t="s">
        <v>2175</v>
      </c>
      <c r="B50" s="34" t="s">
        <v>2176</v>
      </c>
      <c r="C50" s="35"/>
      <c r="D50" s="36" t="s">
        <v>2177</v>
      </c>
      <c r="E50" s="37"/>
      <c r="F50" s="38">
        <f>'DOD č.1'!J186</f>
        <v>0</v>
      </c>
      <c r="G50" s="39">
        <f>F50*0.21</f>
        <v>0</v>
      </c>
      <c r="H50" s="40">
        <f>F50+G50</f>
        <v>0</v>
      </c>
    </row>
    <row r="51" spans="1:8" ht="20.100000000000001" customHeight="1" thickBot="1" x14ac:dyDescent="0.3">
      <c r="A51" s="41" t="s">
        <v>2178</v>
      </c>
      <c r="B51" s="34" t="s">
        <v>2179</v>
      </c>
      <c r="C51" s="35"/>
      <c r="D51" s="36" t="s">
        <v>2180</v>
      </c>
      <c r="E51" s="37"/>
      <c r="F51" s="38">
        <f>'DOD č.2'!J209</f>
        <v>0</v>
      </c>
      <c r="G51" s="39">
        <f>F51*0.21</f>
        <v>0</v>
      </c>
      <c r="H51" s="40">
        <f>F51+G51</f>
        <v>0</v>
      </c>
    </row>
    <row r="52" spans="1:8" ht="21.9" customHeight="1" thickBot="1" x14ac:dyDescent="0.3">
      <c r="A52" s="55" t="s">
        <v>1</v>
      </c>
      <c r="B52" s="56"/>
      <c r="C52" s="56"/>
      <c r="D52" s="56"/>
      <c r="E52" s="57"/>
      <c r="F52" s="49">
        <f>SUM(F23,F24,F30,F32,F37,F39,F44,F46,F48,F50,F51)</f>
        <v>0</v>
      </c>
      <c r="G52" s="49">
        <f>F52*0.21</f>
        <v>0</v>
      </c>
      <c r="H52" s="49">
        <f>F52+G52</f>
        <v>0</v>
      </c>
    </row>
    <row r="53" spans="1:8" ht="15" hidden="1" customHeight="1" x14ac:dyDescent="0.25">
      <c r="A53" s="449"/>
      <c r="B53" s="450"/>
      <c r="C53" s="450"/>
      <c r="D53" s="450"/>
      <c r="E53" s="450"/>
      <c r="F53" s="450"/>
      <c r="G53" s="450"/>
      <c r="H53" s="451"/>
    </row>
    <row r="54" spans="1:8" ht="5.0999999999999996" customHeight="1" thickBot="1" x14ac:dyDescent="0.3">
      <c r="A54" s="449"/>
      <c r="B54" s="450"/>
      <c r="C54" s="450"/>
      <c r="D54" s="450"/>
      <c r="E54" s="450"/>
      <c r="F54" s="450"/>
      <c r="G54" s="450"/>
      <c r="H54" s="451"/>
    </row>
    <row r="55" spans="1:8" ht="27.75" customHeight="1" thickBot="1" x14ac:dyDescent="0.3">
      <c r="A55" s="452" t="s">
        <v>2</v>
      </c>
      <c r="B55" s="453"/>
      <c r="C55" s="453"/>
      <c r="D55" s="453"/>
      <c r="E55" s="454"/>
      <c r="F55" s="124">
        <f>F52</f>
        <v>0</v>
      </c>
      <c r="G55" s="125">
        <f>F55*0.21</f>
        <v>0</v>
      </c>
      <c r="H55" s="126">
        <f>F55+G55</f>
        <v>0</v>
      </c>
    </row>
  </sheetData>
  <sheetProtection algorithmName="SHA-512" hashValue="0W97wf48q7ZwIgV8/OHaiLnmSNT/70Cu9d/hItPhB5kIVl2x/HHfbLCRdbgr0rAkfO9ZbeZ6wivav1uy43OY+Q==" saltValue="0jViP/4nsEAqrnEjfP+I8Q==" spinCount="100000" sheet="1" objects="1" scenarios="1" formatCells="0" formatColumns="0" formatRows="0" insertColumns="0" insertRows="0" insertHyperlinks="0"/>
  <mergeCells count="15">
    <mergeCell ref="A6:B6"/>
    <mergeCell ref="A1:H1"/>
    <mergeCell ref="A3:B3"/>
    <mergeCell ref="C3:H3"/>
    <mergeCell ref="A4:B4"/>
    <mergeCell ref="A5:B5"/>
    <mergeCell ref="A53:H53"/>
    <mergeCell ref="A54:H54"/>
    <mergeCell ref="A55:E55"/>
    <mergeCell ref="A7:B7"/>
    <mergeCell ref="C7:D7"/>
    <mergeCell ref="F7:H9"/>
    <mergeCell ref="A8:B8"/>
    <mergeCell ref="A9:B9"/>
    <mergeCell ref="B11:C11"/>
  </mergeCells>
  <hyperlinks>
    <hyperlink ref="F5" r:id="rId1" display="klicka@projekceklicka.cz" xr:uid="{4EF8A19B-AFAE-4AAB-BADD-5EE3F244E48C}"/>
  </hyperlinks>
  <pageMargins left="0.78740157480314965" right="0.39370078740157483" top="0.39370078740157483" bottom="0.39370078740157483" header="0.39370078740157483" footer="0.59055118110236227"/>
  <pageSetup paperSize="9" scale="60" firstPageNumber="0" fitToHeight="0" orientation="landscape" r:id="rId2"/>
  <headerFooter>
    <oddFooter>&amp;L&amp;9&amp;A&amp;C&amp;9&amp;F&amp;R&amp;9stran &amp;N / strana &amp;P</oddFooter>
  </headerFooter>
  <rowBreaks count="1" manualBreakCount="1">
    <brk id="55"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FC8CA-EDBA-4EA2-ABD3-BDA5A112C4CF}">
  <sheetPr>
    <pageSetUpPr fitToPage="1"/>
  </sheetPr>
  <dimension ref="A1:AQ138"/>
  <sheetViews>
    <sheetView view="pageBreakPreview" zoomScale="70" zoomScaleNormal="115" zoomScaleSheetLayoutView="70" workbookViewId="0">
      <selection activeCell="D35" sqref="D35:M35"/>
    </sheetView>
  </sheetViews>
  <sheetFormatPr defaultColWidth="11.5546875" defaultRowHeight="13.2" x14ac:dyDescent="0.25"/>
  <cols>
    <col min="1" max="1" width="4.6640625" style="130" customWidth="1"/>
    <col min="2" max="2" width="7.109375" style="130" customWidth="1"/>
    <col min="3" max="3" width="11.6640625" style="130" customWidth="1"/>
    <col min="4" max="4" width="91.44140625" style="130" customWidth="1"/>
    <col min="5" max="5" width="7" style="130" customWidth="1"/>
    <col min="6" max="6" width="12.88671875" style="130" customWidth="1"/>
    <col min="7" max="7" width="15.6640625" style="130" customWidth="1"/>
    <col min="8" max="10" width="15.33203125" style="130" customWidth="1"/>
    <col min="11" max="12" width="13.109375" style="130" customWidth="1"/>
    <col min="13" max="13" width="12.88671875" style="130" customWidth="1"/>
    <col min="14" max="14" width="2.5546875" style="130" customWidth="1"/>
    <col min="15" max="15" width="1.5546875" style="130" customWidth="1"/>
    <col min="16" max="47" width="12.109375" style="130" customWidth="1"/>
    <col min="48" max="16384" width="11.5546875" style="130"/>
  </cols>
  <sheetData>
    <row r="1" spans="1:43" ht="26.25" customHeight="1" x14ac:dyDescent="0.25">
      <c r="A1" s="509" t="s">
        <v>1213</v>
      </c>
      <c r="B1" s="510"/>
      <c r="C1" s="510"/>
      <c r="D1" s="510"/>
      <c r="E1" s="510"/>
      <c r="F1" s="510"/>
      <c r="G1" s="510"/>
      <c r="H1" s="510"/>
      <c r="I1" s="510"/>
      <c r="J1" s="510"/>
      <c r="K1" s="510"/>
      <c r="L1" s="510"/>
      <c r="M1" s="510"/>
    </row>
    <row r="2" spans="1:43" ht="15" customHeight="1" x14ac:dyDescent="0.25">
      <c r="A2" s="511" t="s">
        <v>112</v>
      </c>
      <c r="B2" s="512"/>
      <c r="C2" s="512"/>
      <c r="D2" s="513" t="s">
        <v>2166</v>
      </c>
      <c r="E2" s="514" t="s">
        <v>113</v>
      </c>
      <c r="F2" s="512"/>
      <c r="G2" s="515" t="s">
        <v>2167</v>
      </c>
      <c r="H2" s="512"/>
      <c r="I2" s="516" t="s">
        <v>457</v>
      </c>
      <c r="J2" s="516" t="s">
        <v>1214</v>
      </c>
      <c r="K2" s="512"/>
      <c r="L2" s="512"/>
      <c r="M2" s="517"/>
      <c r="N2" s="131"/>
    </row>
    <row r="3" spans="1:43" ht="15" customHeight="1" x14ac:dyDescent="0.25">
      <c r="A3" s="506"/>
      <c r="B3" s="496"/>
      <c r="C3" s="496"/>
      <c r="D3" s="479"/>
      <c r="E3" s="496"/>
      <c r="F3" s="496"/>
      <c r="G3" s="496"/>
      <c r="H3" s="496"/>
      <c r="I3" s="496"/>
      <c r="J3" s="496"/>
      <c r="K3" s="496"/>
      <c r="L3" s="496"/>
      <c r="M3" s="503"/>
      <c r="N3" s="131"/>
    </row>
    <row r="4" spans="1:43" ht="15" customHeight="1" x14ac:dyDescent="0.25">
      <c r="A4" s="495" t="s">
        <v>115</v>
      </c>
      <c r="B4" s="496"/>
      <c r="C4" s="496"/>
      <c r="D4" s="499" t="s">
        <v>1215</v>
      </c>
      <c r="E4" s="500" t="s">
        <v>116</v>
      </c>
      <c r="F4" s="496"/>
      <c r="G4" s="507" t="s">
        <v>1216</v>
      </c>
      <c r="H4" s="508"/>
      <c r="I4" s="499" t="s">
        <v>458</v>
      </c>
      <c r="J4" s="499" t="s">
        <v>1217</v>
      </c>
      <c r="K4" s="496"/>
      <c r="L4" s="496"/>
      <c r="M4" s="503"/>
      <c r="N4" s="131"/>
    </row>
    <row r="5" spans="1:43" ht="13.5" customHeight="1" x14ac:dyDescent="0.25">
      <c r="A5" s="506"/>
      <c r="B5" s="496"/>
      <c r="C5" s="496"/>
      <c r="D5" s="496"/>
      <c r="E5" s="496"/>
      <c r="F5" s="496"/>
      <c r="G5" s="508"/>
      <c r="H5" s="508"/>
      <c r="I5" s="496"/>
      <c r="J5" s="496"/>
      <c r="K5" s="496"/>
      <c r="L5" s="496"/>
      <c r="M5" s="503"/>
      <c r="N5" s="131"/>
    </row>
    <row r="6" spans="1:43" x14ac:dyDescent="0.25">
      <c r="A6" s="495" t="s">
        <v>117</v>
      </c>
      <c r="B6" s="496"/>
      <c r="C6" s="496"/>
      <c r="D6" s="499" t="s">
        <v>1218</v>
      </c>
      <c r="E6" s="500" t="s">
        <v>119</v>
      </c>
      <c r="F6" s="496"/>
      <c r="G6" s="507" t="s">
        <v>1216</v>
      </c>
      <c r="H6" s="508"/>
      <c r="I6" s="499" t="s">
        <v>460</v>
      </c>
      <c r="J6" s="499" t="s">
        <v>1219</v>
      </c>
      <c r="K6" s="496"/>
      <c r="L6" s="496"/>
      <c r="M6" s="503"/>
      <c r="N6" s="131"/>
    </row>
    <row r="7" spans="1:43" ht="8.25" customHeight="1" x14ac:dyDescent="0.25">
      <c r="A7" s="506"/>
      <c r="B7" s="496"/>
      <c r="C7" s="496"/>
      <c r="D7" s="496"/>
      <c r="E7" s="496"/>
      <c r="F7" s="496"/>
      <c r="G7" s="508"/>
      <c r="H7" s="508"/>
      <c r="I7" s="496"/>
      <c r="J7" s="496"/>
      <c r="K7" s="496"/>
      <c r="L7" s="496"/>
      <c r="M7" s="503"/>
      <c r="N7" s="131"/>
    </row>
    <row r="8" spans="1:43" ht="12.75" customHeight="1" x14ac:dyDescent="0.25">
      <c r="A8" s="495" t="s">
        <v>120</v>
      </c>
      <c r="B8" s="496"/>
      <c r="C8" s="496"/>
      <c r="D8" s="499"/>
      <c r="E8" s="500" t="s">
        <v>122</v>
      </c>
      <c r="F8" s="496"/>
      <c r="G8" s="501" t="s">
        <v>2109</v>
      </c>
      <c r="H8" s="501"/>
      <c r="I8" s="499" t="s">
        <v>462</v>
      </c>
      <c r="J8" s="499" t="s">
        <v>1217</v>
      </c>
      <c r="K8" s="496"/>
      <c r="L8" s="496"/>
      <c r="M8" s="503"/>
      <c r="N8" s="131"/>
    </row>
    <row r="9" spans="1:43" ht="8.25" customHeight="1" thickBot="1" x14ac:dyDescent="0.3">
      <c r="A9" s="497"/>
      <c r="B9" s="498"/>
      <c r="C9" s="498"/>
      <c r="D9" s="498"/>
      <c r="E9" s="498"/>
      <c r="F9" s="498"/>
      <c r="G9" s="502"/>
      <c r="H9" s="502"/>
      <c r="I9" s="498"/>
      <c r="J9" s="498"/>
      <c r="K9" s="498"/>
      <c r="L9" s="498"/>
      <c r="M9" s="504"/>
      <c r="N9" s="131"/>
    </row>
    <row r="10" spans="1:43" ht="2.4" customHeight="1" x14ac:dyDescent="0.3">
      <c r="A10" s="505"/>
      <c r="B10" s="505"/>
      <c r="C10" s="505"/>
      <c r="D10" s="505"/>
      <c r="E10" s="505"/>
      <c r="F10" s="505"/>
      <c r="G10" s="505"/>
      <c r="H10" s="505"/>
      <c r="I10" s="505"/>
      <c r="J10" s="505"/>
      <c r="K10" s="505"/>
      <c r="L10" s="505"/>
      <c r="M10" s="505"/>
    </row>
    <row r="11" spans="1:43" ht="7.5" customHeight="1" thickBot="1" x14ac:dyDescent="0.3">
      <c r="A11" s="132"/>
      <c r="B11" s="132"/>
      <c r="C11" s="132"/>
      <c r="D11" s="132"/>
      <c r="E11" s="132"/>
      <c r="F11" s="132"/>
      <c r="G11" s="132"/>
      <c r="H11" s="132"/>
      <c r="I11" s="132"/>
      <c r="J11" s="132"/>
      <c r="K11" s="132"/>
      <c r="L11" s="132"/>
      <c r="M11" s="132"/>
    </row>
    <row r="12" spans="1:43" x14ac:dyDescent="0.25">
      <c r="A12" s="134" t="s">
        <v>123</v>
      </c>
      <c r="B12" s="135" t="s">
        <v>1220</v>
      </c>
      <c r="C12" s="135" t="s">
        <v>124</v>
      </c>
      <c r="D12" s="135" t="s">
        <v>1221</v>
      </c>
      <c r="E12" s="135" t="s">
        <v>1222</v>
      </c>
      <c r="F12" s="136" t="s">
        <v>127</v>
      </c>
      <c r="G12" s="137" t="s">
        <v>140</v>
      </c>
      <c r="H12" s="483" t="s">
        <v>129</v>
      </c>
      <c r="I12" s="484"/>
      <c r="J12" s="485"/>
      <c r="K12" s="483" t="s">
        <v>130</v>
      </c>
      <c r="L12" s="485"/>
      <c r="M12" s="138" t="s">
        <v>131</v>
      </c>
    </row>
    <row r="13" spans="1:43" x14ac:dyDescent="0.25">
      <c r="A13" s="139" t="s">
        <v>114</v>
      </c>
      <c r="B13" s="140" t="s">
        <v>114</v>
      </c>
      <c r="C13" s="140" t="s">
        <v>114</v>
      </c>
      <c r="D13" s="141" t="s">
        <v>135</v>
      </c>
      <c r="E13" s="140" t="s">
        <v>114</v>
      </c>
      <c r="F13" s="140" t="s">
        <v>114</v>
      </c>
      <c r="G13" s="142" t="s">
        <v>1223</v>
      </c>
      <c r="H13" s="143" t="s">
        <v>137</v>
      </c>
      <c r="I13" s="144" t="s">
        <v>138</v>
      </c>
      <c r="J13" s="145" t="s">
        <v>139</v>
      </c>
      <c r="K13" s="143" t="s">
        <v>140</v>
      </c>
      <c r="L13" s="145" t="s">
        <v>139</v>
      </c>
      <c r="M13" s="146" t="s">
        <v>141</v>
      </c>
      <c r="P13" s="147"/>
      <c r="Q13" s="147"/>
      <c r="R13" s="147"/>
      <c r="S13" s="147"/>
      <c r="T13" s="147"/>
      <c r="U13" s="147"/>
      <c r="V13" s="147"/>
      <c r="W13" s="147"/>
      <c r="X13" s="147"/>
    </row>
    <row r="14" spans="1:43" ht="26.4" x14ac:dyDescent="0.25">
      <c r="A14" s="148"/>
      <c r="B14" s="149"/>
      <c r="C14" s="149" t="s">
        <v>1224</v>
      </c>
      <c r="D14" s="150" t="s">
        <v>2168</v>
      </c>
      <c r="E14" s="151"/>
      <c r="F14" s="151"/>
      <c r="G14" s="151"/>
      <c r="H14" s="152"/>
      <c r="I14" s="152"/>
      <c r="J14" s="152"/>
      <c r="K14" s="153"/>
      <c r="L14" s="152"/>
      <c r="M14" s="154" t="s">
        <v>1225</v>
      </c>
      <c r="P14" s="155"/>
      <c r="Q14" s="147"/>
      <c r="R14" s="155"/>
      <c r="S14" s="155"/>
      <c r="T14" s="155"/>
      <c r="U14" s="155"/>
      <c r="V14" s="155"/>
      <c r="W14" s="155"/>
      <c r="X14" s="155"/>
      <c r="Y14" s="147"/>
      <c r="AI14" s="155"/>
      <c r="AJ14" s="155"/>
      <c r="AK14" s="155"/>
    </row>
    <row r="15" spans="1:43" ht="12.75" customHeight="1" x14ac:dyDescent="0.25">
      <c r="A15" s="358" t="s">
        <v>1226</v>
      </c>
      <c r="B15" s="168" t="s">
        <v>1227</v>
      </c>
      <c r="C15" s="157"/>
      <c r="D15" s="168" t="s">
        <v>1228</v>
      </c>
      <c r="E15" s="168" t="s">
        <v>190</v>
      </c>
      <c r="F15" s="359">
        <v>0</v>
      </c>
      <c r="G15" s="159"/>
      <c r="H15" s="159"/>
      <c r="I15" s="159"/>
      <c r="J15" s="359">
        <f>ROUND(F15*G15,2)</f>
        <v>0</v>
      </c>
      <c r="K15" s="158"/>
      <c r="L15" s="159"/>
      <c r="M15" s="160"/>
      <c r="N15" s="161"/>
      <c r="O15" s="162"/>
      <c r="Z15" s="162"/>
      <c r="AA15" s="162"/>
      <c r="AB15" s="162"/>
      <c r="AD15" s="163"/>
      <c r="AE15" s="163"/>
      <c r="AF15" s="163"/>
      <c r="AM15" s="163"/>
      <c r="AN15" s="163"/>
      <c r="AO15" s="164"/>
      <c r="AP15" s="164"/>
      <c r="AQ15" s="147"/>
    </row>
    <row r="16" spans="1:43" x14ac:dyDescent="0.25">
      <c r="A16" s="358"/>
      <c r="B16" s="168"/>
      <c r="C16" s="165" t="s">
        <v>165</v>
      </c>
      <c r="D16" s="491" t="s">
        <v>1231</v>
      </c>
      <c r="E16" s="492"/>
      <c r="F16" s="492"/>
      <c r="G16" s="492"/>
      <c r="H16" s="492"/>
      <c r="I16" s="492"/>
      <c r="J16" s="492"/>
      <c r="K16" s="492"/>
      <c r="L16" s="492"/>
      <c r="M16" s="493"/>
      <c r="N16" s="161"/>
      <c r="O16" s="162"/>
      <c r="Z16" s="162"/>
      <c r="AA16" s="162"/>
      <c r="AB16" s="162"/>
      <c r="AD16" s="163"/>
      <c r="AE16" s="163"/>
      <c r="AF16" s="163"/>
      <c r="AM16" s="163"/>
      <c r="AN16" s="163"/>
      <c r="AO16" s="164"/>
      <c r="AP16" s="164"/>
      <c r="AQ16" s="147"/>
    </row>
    <row r="17" spans="1:43" x14ac:dyDescent="0.25">
      <c r="A17" s="358" t="s">
        <v>1229</v>
      </c>
      <c r="B17" s="168" t="s">
        <v>1227</v>
      </c>
      <c r="C17" s="157"/>
      <c r="D17" s="360" t="s">
        <v>1230</v>
      </c>
      <c r="E17" s="168" t="s">
        <v>190</v>
      </c>
      <c r="F17" s="359">
        <v>0</v>
      </c>
      <c r="G17" s="159"/>
      <c r="H17" s="159"/>
      <c r="I17" s="159"/>
      <c r="J17" s="359">
        <f>ROUND(F17*G17,2)</f>
        <v>0</v>
      </c>
      <c r="K17" s="159"/>
      <c r="L17" s="159"/>
      <c r="M17" s="167"/>
      <c r="N17" s="161"/>
      <c r="O17" s="162"/>
      <c r="Z17" s="162"/>
      <c r="AA17" s="162"/>
      <c r="AB17" s="162"/>
      <c r="AD17" s="163"/>
      <c r="AE17" s="163"/>
      <c r="AF17" s="163"/>
      <c r="AM17" s="163"/>
      <c r="AN17" s="163"/>
      <c r="AO17" s="164"/>
      <c r="AP17" s="164"/>
      <c r="AQ17" s="147"/>
    </row>
    <row r="18" spans="1:43" x14ac:dyDescent="0.25">
      <c r="A18" s="358"/>
      <c r="B18" s="168"/>
      <c r="C18" s="165" t="s">
        <v>165</v>
      </c>
      <c r="D18" s="491" t="s">
        <v>1231</v>
      </c>
      <c r="E18" s="492"/>
      <c r="F18" s="492"/>
      <c r="G18" s="492"/>
      <c r="H18" s="492"/>
      <c r="I18" s="492"/>
      <c r="J18" s="492"/>
      <c r="K18" s="492"/>
      <c r="L18" s="492"/>
      <c r="M18" s="493"/>
      <c r="N18" s="161"/>
      <c r="O18" s="162"/>
      <c r="Z18" s="162"/>
      <c r="AA18" s="162"/>
      <c r="AB18" s="162"/>
      <c r="AD18" s="163"/>
      <c r="AE18" s="163"/>
      <c r="AF18" s="163"/>
      <c r="AM18" s="163"/>
      <c r="AN18" s="163"/>
      <c r="AO18" s="164"/>
      <c r="AP18" s="164"/>
      <c r="AQ18" s="147"/>
    </row>
    <row r="19" spans="1:43" x14ac:dyDescent="0.25">
      <c r="A19" s="358" t="s">
        <v>1232</v>
      </c>
      <c r="B19" s="168" t="s">
        <v>1227</v>
      </c>
      <c r="C19" s="157"/>
      <c r="D19" s="168" t="s">
        <v>1233</v>
      </c>
      <c r="E19" s="168" t="s">
        <v>190</v>
      </c>
      <c r="F19" s="359">
        <v>0</v>
      </c>
      <c r="G19" s="159"/>
      <c r="H19" s="159"/>
      <c r="I19" s="159"/>
      <c r="J19" s="359">
        <f>ROUND(F19*G19,2)</f>
        <v>0</v>
      </c>
      <c r="K19" s="159"/>
      <c r="L19" s="159"/>
      <c r="M19" s="166"/>
      <c r="N19" s="161"/>
      <c r="O19" s="162"/>
      <c r="Z19" s="162"/>
      <c r="AA19" s="162"/>
      <c r="AB19" s="162"/>
      <c r="AD19" s="163"/>
      <c r="AE19" s="163"/>
      <c r="AF19" s="163"/>
      <c r="AM19" s="163"/>
      <c r="AN19" s="163"/>
      <c r="AO19" s="164"/>
      <c r="AP19" s="164"/>
      <c r="AQ19" s="147"/>
    </row>
    <row r="20" spans="1:43" x14ac:dyDescent="0.25">
      <c r="A20" s="358"/>
      <c r="B20" s="168"/>
      <c r="C20" s="165" t="s">
        <v>165</v>
      </c>
      <c r="D20" s="491" t="s">
        <v>1231</v>
      </c>
      <c r="E20" s="492"/>
      <c r="F20" s="492"/>
      <c r="G20" s="492"/>
      <c r="H20" s="492"/>
      <c r="I20" s="492"/>
      <c r="J20" s="492"/>
      <c r="K20" s="492"/>
      <c r="L20" s="492"/>
      <c r="M20" s="493"/>
      <c r="N20" s="161"/>
      <c r="O20" s="162"/>
      <c r="Z20" s="162"/>
      <c r="AA20" s="162"/>
      <c r="AB20" s="162"/>
      <c r="AD20" s="163"/>
      <c r="AE20" s="163"/>
      <c r="AF20" s="163"/>
      <c r="AM20" s="163"/>
      <c r="AN20" s="163"/>
      <c r="AO20" s="164"/>
      <c r="AP20" s="164"/>
      <c r="AQ20" s="147"/>
    </row>
    <row r="21" spans="1:43" x14ac:dyDescent="0.25">
      <c r="A21" s="358" t="s">
        <v>1234</v>
      </c>
      <c r="B21" s="168" t="s">
        <v>1227</v>
      </c>
      <c r="C21" s="165"/>
      <c r="D21" s="168" t="s">
        <v>1235</v>
      </c>
      <c r="E21" s="168" t="s">
        <v>190</v>
      </c>
      <c r="F21" s="359">
        <v>0</v>
      </c>
      <c r="G21" s="159"/>
      <c r="H21" s="159"/>
      <c r="I21" s="159"/>
      <c r="J21" s="359">
        <f>ROUND(F21*G21,2)</f>
        <v>0</v>
      </c>
      <c r="K21" s="159"/>
      <c r="L21" s="159"/>
      <c r="M21" s="166"/>
      <c r="N21" s="161"/>
      <c r="O21" s="162"/>
      <c r="Z21" s="162"/>
      <c r="AA21" s="162"/>
      <c r="AB21" s="162"/>
      <c r="AD21" s="163"/>
      <c r="AE21" s="163"/>
      <c r="AF21" s="163"/>
      <c r="AM21" s="163"/>
      <c r="AN21" s="163"/>
      <c r="AO21" s="164"/>
      <c r="AP21" s="164"/>
      <c r="AQ21" s="147"/>
    </row>
    <row r="22" spans="1:43" x14ac:dyDescent="0.25">
      <c r="A22" s="358"/>
      <c r="B22" s="168"/>
      <c r="C22" s="165" t="s">
        <v>165</v>
      </c>
      <c r="D22" s="491" t="s">
        <v>1231</v>
      </c>
      <c r="E22" s="492"/>
      <c r="F22" s="492"/>
      <c r="G22" s="492"/>
      <c r="H22" s="492"/>
      <c r="I22" s="492"/>
      <c r="J22" s="492"/>
      <c r="K22" s="492"/>
      <c r="L22" s="492"/>
      <c r="M22" s="493"/>
      <c r="N22" s="161"/>
      <c r="O22" s="162"/>
      <c r="Z22" s="162"/>
      <c r="AA22" s="162"/>
      <c r="AB22" s="162"/>
      <c r="AD22" s="163"/>
      <c r="AE22" s="163"/>
      <c r="AF22" s="163"/>
      <c r="AM22" s="163"/>
      <c r="AN22" s="163"/>
      <c r="AO22" s="164"/>
      <c r="AP22" s="164"/>
      <c r="AQ22" s="147"/>
    </row>
    <row r="23" spans="1:43" x14ac:dyDescent="0.25">
      <c r="A23" s="358" t="s">
        <v>1236</v>
      </c>
      <c r="B23" s="168" t="s">
        <v>1227</v>
      </c>
      <c r="C23" s="165"/>
      <c r="D23" s="168" t="s">
        <v>1237</v>
      </c>
      <c r="E23" s="168" t="s">
        <v>190</v>
      </c>
      <c r="F23" s="359">
        <v>0</v>
      </c>
      <c r="G23" s="159"/>
      <c r="H23" s="159"/>
      <c r="I23" s="159"/>
      <c r="J23" s="359">
        <f>ROUND(F23*G23,2)</f>
        <v>0</v>
      </c>
      <c r="K23" s="159"/>
      <c r="L23" s="159"/>
      <c r="M23" s="166"/>
      <c r="N23" s="161"/>
      <c r="O23" s="162"/>
      <c r="Z23" s="162"/>
      <c r="AA23" s="162"/>
      <c r="AB23" s="162"/>
      <c r="AD23" s="163"/>
      <c r="AE23" s="163"/>
      <c r="AF23" s="163"/>
      <c r="AM23" s="163"/>
      <c r="AN23" s="163"/>
      <c r="AO23" s="164"/>
      <c r="AP23" s="164"/>
      <c r="AQ23" s="147"/>
    </row>
    <row r="24" spans="1:43" x14ac:dyDescent="0.25">
      <c r="A24" s="358"/>
      <c r="B24" s="168"/>
      <c r="C24" s="165" t="s">
        <v>165</v>
      </c>
      <c r="D24" s="491" t="s">
        <v>1231</v>
      </c>
      <c r="E24" s="492"/>
      <c r="F24" s="492"/>
      <c r="G24" s="492"/>
      <c r="H24" s="492"/>
      <c r="I24" s="492"/>
      <c r="J24" s="492"/>
      <c r="K24" s="492"/>
      <c r="L24" s="492"/>
      <c r="M24" s="493"/>
      <c r="N24" s="161"/>
      <c r="O24" s="162"/>
      <c r="Z24" s="162"/>
      <c r="AA24" s="162"/>
      <c r="AB24" s="162"/>
      <c r="AD24" s="163"/>
      <c r="AE24" s="163"/>
      <c r="AF24" s="163"/>
      <c r="AM24" s="163"/>
      <c r="AN24" s="163"/>
      <c r="AO24" s="164"/>
      <c r="AP24" s="164"/>
      <c r="AQ24" s="147"/>
    </row>
    <row r="25" spans="1:43" x14ac:dyDescent="0.25">
      <c r="A25" s="358" t="s">
        <v>1238</v>
      </c>
      <c r="B25" s="168" t="s">
        <v>1227</v>
      </c>
      <c r="C25" s="165"/>
      <c r="D25" s="168" t="s">
        <v>1239</v>
      </c>
      <c r="E25" s="168" t="s">
        <v>190</v>
      </c>
      <c r="F25" s="359">
        <v>0</v>
      </c>
      <c r="G25" s="159"/>
      <c r="H25" s="159"/>
      <c r="I25" s="159"/>
      <c r="J25" s="359">
        <f>ROUND(F25*G25,2)</f>
        <v>0</v>
      </c>
      <c r="K25" s="159"/>
      <c r="L25" s="159"/>
      <c r="M25" s="166"/>
      <c r="N25" s="161"/>
      <c r="O25" s="162"/>
      <c r="Z25" s="162"/>
      <c r="AA25" s="162"/>
      <c r="AB25" s="162"/>
      <c r="AD25" s="163"/>
      <c r="AE25" s="163"/>
      <c r="AF25" s="163"/>
      <c r="AM25" s="163"/>
      <c r="AN25" s="163"/>
      <c r="AO25" s="164"/>
      <c r="AP25" s="164"/>
      <c r="AQ25" s="147"/>
    </row>
    <row r="26" spans="1:43" x14ac:dyDescent="0.25">
      <c r="A26" s="358"/>
      <c r="B26" s="168"/>
      <c r="C26" s="165" t="s">
        <v>165</v>
      </c>
      <c r="D26" s="491" t="s">
        <v>1231</v>
      </c>
      <c r="E26" s="492"/>
      <c r="F26" s="492"/>
      <c r="G26" s="492"/>
      <c r="H26" s="492"/>
      <c r="I26" s="492"/>
      <c r="J26" s="492"/>
      <c r="K26" s="492"/>
      <c r="L26" s="492"/>
      <c r="M26" s="493"/>
      <c r="N26" s="161"/>
      <c r="O26" s="162"/>
      <c r="Z26" s="162"/>
      <c r="AA26" s="162"/>
      <c r="AB26" s="162"/>
      <c r="AD26" s="163"/>
      <c r="AE26" s="163"/>
      <c r="AF26" s="163"/>
      <c r="AM26" s="163"/>
      <c r="AN26" s="163"/>
      <c r="AO26" s="164"/>
      <c r="AP26" s="164"/>
      <c r="AQ26" s="147"/>
    </row>
    <row r="27" spans="1:43" x14ac:dyDescent="0.25">
      <c r="A27" s="361" t="s">
        <v>1240</v>
      </c>
      <c r="B27" s="170" t="s">
        <v>1227</v>
      </c>
      <c r="C27" s="169"/>
      <c r="D27" s="170" t="s">
        <v>1241</v>
      </c>
      <c r="E27" s="170" t="s">
        <v>190</v>
      </c>
      <c r="F27" s="362">
        <v>0</v>
      </c>
      <c r="G27" s="159"/>
      <c r="H27" s="159"/>
      <c r="I27" s="159"/>
      <c r="J27" s="359">
        <f>ROUND(F27*G27,2)</f>
        <v>0</v>
      </c>
      <c r="K27" s="171"/>
      <c r="L27" s="171"/>
      <c r="M27" s="172"/>
      <c r="N27" s="161"/>
      <c r="O27" s="162"/>
      <c r="Z27" s="162"/>
      <c r="AA27" s="162"/>
      <c r="AB27" s="162"/>
      <c r="AD27" s="163"/>
      <c r="AE27" s="163"/>
      <c r="AF27" s="163"/>
      <c r="AM27" s="163"/>
      <c r="AN27" s="163"/>
      <c r="AO27" s="164"/>
      <c r="AP27" s="164"/>
      <c r="AQ27" s="147"/>
    </row>
    <row r="28" spans="1:43" ht="13.2" customHeight="1" thickBot="1" x14ac:dyDescent="0.3">
      <c r="A28" s="173"/>
      <c r="B28" s="174"/>
      <c r="C28" s="175" t="s">
        <v>165</v>
      </c>
      <c r="D28" s="491" t="s">
        <v>1242</v>
      </c>
      <c r="E28" s="492"/>
      <c r="F28" s="492"/>
      <c r="G28" s="492"/>
      <c r="H28" s="492"/>
      <c r="I28" s="492"/>
      <c r="J28" s="492"/>
      <c r="K28" s="492"/>
      <c r="L28" s="492"/>
      <c r="M28" s="493"/>
      <c r="N28" s="161"/>
      <c r="O28" s="162"/>
      <c r="Z28" s="162"/>
      <c r="AA28" s="162"/>
      <c r="AB28" s="162"/>
      <c r="AD28" s="163"/>
      <c r="AE28" s="163"/>
      <c r="AF28" s="163"/>
      <c r="AM28" s="163"/>
      <c r="AN28" s="163"/>
      <c r="AO28" s="164"/>
      <c r="AP28" s="164"/>
      <c r="AQ28" s="147"/>
    </row>
    <row r="29" spans="1:43" ht="5.25" customHeight="1" x14ac:dyDescent="0.25">
      <c r="A29" s="176"/>
      <c r="B29" s="176"/>
      <c r="C29" s="177"/>
      <c r="D29" s="178"/>
      <c r="E29" s="179"/>
      <c r="F29" s="179"/>
      <c r="G29" s="179"/>
      <c r="H29" s="179"/>
      <c r="I29" s="179"/>
      <c r="J29" s="179"/>
      <c r="K29" s="179"/>
      <c r="L29" s="179"/>
      <c r="M29" s="179"/>
      <c r="N29" s="161"/>
      <c r="O29" s="162"/>
      <c r="Z29" s="162"/>
      <c r="AA29" s="162"/>
      <c r="AB29" s="162"/>
      <c r="AD29" s="163"/>
      <c r="AE29" s="163"/>
      <c r="AF29" s="163"/>
      <c r="AM29" s="163"/>
      <c r="AN29" s="163"/>
      <c r="AO29" s="164"/>
      <c r="AP29" s="164"/>
      <c r="AQ29" s="147"/>
    </row>
    <row r="30" spans="1:43" ht="5.25" customHeight="1" thickBot="1" x14ac:dyDescent="0.3">
      <c r="A30" s="176"/>
      <c r="B30" s="176"/>
      <c r="C30" s="177"/>
      <c r="D30" s="178"/>
      <c r="E30" s="179"/>
      <c r="F30" s="179"/>
      <c r="G30" s="179"/>
      <c r="H30" s="179"/>
      <c r="I30" s="179"/>
      <c r="J30" s="179"/>
      <c r="K30" s="179"/>
      <c r="L30" s="179"/>
      <c r="M30" s="179"/>
      <c r="N30" s="161"/>
      <c r="O30" s="162"/>
      <c r="Z30" s="162"/>
      <c r="AA30" s="162"/>
      <c r="AB30" s="162"/>
      <c r="AD30" s="163"/>
      <c r="AE30" s="163"/>
      <c r="AF30" s="163"/>
      <c r="AM30" s="163"/>
      <c r="AN30" s="163"/>
      <c r="AO30" s="164"/>
      <c r="AP30" s="164"/>
      <c r="AQ30" s="147"/>
    </row>
    <row r="31" spans="1:43" x14ac:dyDescent="0.25">
      <c r="A31" s="134" t="s">
        <v>123</v>
      </c>
      <c r="B31" s="135" t="s">
        <v>1220</v>
      </c>
      <c r="C31" s="135" t="s">
        <v>124</v>
      </c>
      <c r="D31" s="135" t="s">
        <v>1221</v>
      </c>
      <c r="E31" s="135" t="s">
        <v>1222</v>
      </c>
      <c r="F31" s="136" t="s">
        <v>127</v>
      </c>
      <c r="G31" s="137" t="s">
        <v>140</v>
      </c>
      <c r="H31" s="483" t="s">
        <v>129</v>
      </c>
      <c r="I31" s="484"/>
      <c r="J31" s="485"/>
      <c r="K31" s="483" t="s">
        <v>130</v>
      </c>
      <c r="L31" s="485"/>
      <c r="M31" s="138" t="s">
        <v>131</v>
      </c>
    </row>
    <row r="32" spans="1:43" ht="13.8" thickBot="1" x14ac:dyDescent="0.3">
      <c r="A32" s="180" t="s">
        <v>114</v>
      </c>
      <c r="B32" s="181" t="s">
        <v>114</v>
      </c>
      <c r="C32" s="181" t="s">
        <v>114</v>
      </c>
      <c r="D32" s="182" t="s">
        <v>135</v>
      </c>
      <c r="E32" s="181" t="s">
        <v>114</v>
      </c>
      <c r="F32" s="181" t="s">
        <v>114</v>
      </c>
      <c r="G32" s="183" t="s">
        <v>1223</v>
      </c>
      <c r="H32" s="184" t="s">
        <v>137</v>
      </c>
      <c r="I32" s="185" t="s">
        <v>138</v>
      </c>
      <c r="J32" s="186" t="s">
        <v>139</v>
      </c>
      <c r="K32" s="184" t="s">
        <v>140</v>
      </c>
      <c r="L32" s="186" t="s">
        <v>139</v>
      </c>
      <c r="M32" s="187" t="s">
        <v>141</v>
      </c>
      <c r="P32" s="147"/>
      <c r="Q32" s="147"/>
      <c r="R32" s="147"/>
      <c r="S32" s="147"/>
      <c r="T32" s="147"/>
      <c r="U32" s="147"/>
      <c r="V32" s="147"/>
      <c r="W32" s="147"/>
      <c r="X32" s="147"/>
    </row>
    <row r="33" spans="1:43" ht="26.4" x14ac:dyDescent="0.25">
      <c r="A33" s="188"/>
      <c r="B33" s="189"/>
      <c r="C33" s="189" t="s">
        <v>1224</v>
      </c>
      <c r="D33" s="150" t="s">
        <v>2169</v>
      </c>
      <c r="E33" s="151"/>
      <c r="F33" s="151"/>
      <c r="G33" s="151"/>
      <c r="H33" s="152"/>
      <c r="I33" s="152"/>
      <c r="J33" s="152"/>
      <c r="K33" s="153"/>
      <c r="L33" s="152"/>
      <c r="M33" s="190" t="s">
        <v>1225</v>
      </c>
      <c r="P33" s="155"/>
      <c r="Q33" s="147"/>
      <c r="R33" s="155"/>
      <c r="S33" s="155"/>
      <c r="T33" s="155"/>
      <c r="U33" s="155"/>
      <c r="V33" s="155"/>
      <c r="W33" s="155"/>
      <c r="X33" s="155"/>
      <c r="Y33" s="147"/>
      <c r="AI33" s="155"/>
      <c r="AJ33" s="155"/>
      <c r="AK33" s="155"/>
    </row>
    <row r="34" spans="1:43" x14ac:dyDescent="0.25">
      <c r="A34" s="358" t="s">
        <v>157</v>
      </c>
      <c r="B34" s="168" t="s">
        <v>1227</v>
      </c>
      <c r="C34" s="168" t="s">
        <v>1243</v>
      </c>
      <c r="D34" s="168" t="s">
        <v>1244</v>
      </c>
      <c r="E34" s="168" t="s">
        <v>190</v>
      </c>
      <c r="F34" s="359">
        <v>2</v>
      </c>
      <c r="G34" s="311">
        <v>0</v>
      </c>
      <c r="H34" s="359">
        <f>ROUND(0.8*F34*G34,2)</f>
        <v>0</v>
      </c>
      <c r="I34" s="359">
        <f>J34-H34</f>
        <v>0</v>
      </c>
      <c r="J34" s="359">
        <f>ROUND(F34*G34,2)</f>
        <v>0</v>
      </c>
      <c r="K34" s="359">
        <v>0</v>
      </c>
      <c r="L34" s="359">
        <f>F34*K34</f>
        <v>0</v>
      </c>
      <c r="M34" s="167"/>
      <c r="N34" s="161"/>
      <c r="O34" s="162"/>
      <c r="Z34" s="162"/>
      <c r="AA34" s="162"/>
      <c r="AB34" s="162"/>
      <c r="AD34" s="163"/>
      <c r="AE34" s="163"/>
      <c r="AF34" s="163"/>
      <c r="AM34" s="163"/>
      <c r="AN34" s="163"/>
      <c r="AO34" s="164"/>
      <c r="AP34" s="164"/>
      <c r="AQ34" s="147"/>
    </row>
    <row r="35" spans="1:43" ht="12.75" customHeight="1" x14ac:dyDescent="0.25">
      <c r="A35" s="191"/>
      <c r="B35" s="192"/>
      <c r="C35" s="165" t="s">
        <v>165</v>
      </c>
      <c r="D35" s="491" t="s">
        <v>1245</v>
      </c>
      <c r="E35" s="492"/>
      <c r="F35" s="492"/>
      <c r="G35" s="492"/>
      <c r="H35" s="492"/>
      <c r="I35" s="492"/>
      <c r="J35" s="492"/>
      <c r="K35" s="492"/>
      <c r="L35" s="492"/>
      <c r="M35" s="493"/>
    </row>
    <row r="36" spans="1:43" s="366" customFormat="1" x14ac:dyDescent="0.25">
      <c r="A36" s="358" t="s">
        <v>166</v>
      </c>
      <c r="B36" s="168" t="s">
        <v>1227</v>
      </c>
      <c r="C36" s="168" t="s">
        <v>1246</v>
      </c>
      <c r="D36" s="168" t="s">
        <v>1247</v>
      </c>
      <c r="E36" s="168" t="s">
        <v>190</v>
      </c>
      <c r="F36" s="359">
        <v>1</v>
      </c>
      <c r="G36" s="311">
        <v>0</v>
      </c>
      <c r="H36" s="359">
        <f>ROUND(0.1*F36*G36,2)</f>
        <v>0</v>
      </c>
      <c r="I36" s="359">
        <f>J36-H36</f>
        <v>0</v>
      </c>
      <c r="J36" s="359">
        <f>ROUND(F36*G36,2)</f>
        <v>0</v>
      </c>
      <c r="K36" s="359">
        <v>0</v>
      </c>
      <c r="L36" s="359">
        <f>F36*K36</f>
        <v>0</v>
      </c>
      <c r="M36" s="363"/>
      <c r="N36" s="364"/>
      <c r="O36" s="365"/>
      <c r="Z36" s="365"/>
      <c r="AA36" s="365"/>
      <c r="AB36" s="365"/>
      <c r="AD36" s="365"/>
      <c r="AE36" s="365"/>
      <c r="AF36" s="365"/>
      <c r="AM36" s="365"/>
      <c r="AN36" s="365"/>
      <c r="AO36" s="364"/>
      <c r="AP36" s="364"/>
      <c r="AQ36" s="367"/>
    </row>
    <row r="37" spans="1:43" ht="25.5" customHeight="1" x14ac:dyDescent="0.25">
      <c r="A37" s="191"/>
      <c r="B37" s="192"/>
      <c r="C37" s="165" t="s">
        <v>165</v>
      </c>
      <c r="D37" s="491" t="s">
        <v>1248</v>
      </c>
      <c r="E37" s="492"/>
      <c r="F37" s="492"/>
      <c r="G37" s="492"/>
      <c r="H37" s="492"/>
      <c r="I37" s="492"/>
      <c r="J37" s="492"/>
      <c r="K37" s="492"/>
      <c r="L37" s="492"/>
      <c r="M37" s="493"/>
    </row>
    <row r="38" spans="1:43" s="366" customFormat="1" x14ac:dyDescent="0.25">
      <c r="A38" s="358" t="s">
        <v>169</v>
      </c>
      <c r="B38" s="168" t="s">
        <v>1227</v>
      </c>
      <c r="C38" s="168" t="s">
        <v>1249</v>
      </c>
      <c r="D38" s="168" t="s">
        <v>1250</v>
      </c>
      <c r="E38" s="168" t="s">
        <v>190</v>
      </c>
      <c r="F38" s="359">
        <v>1</v>
      </c>
      <c r="G38" s="311">
        <v>0</v>
      </c>
      <c r="H38" s="359">
        <f>ROUND(0.1*F38*G38,2)</f>
        <v>0</v>
      </c>
      <c r="I38" s="359">
        <f>J38-H38</f>
        <v>0</v>
      </c>
      <c r="J38" s="359">
        <f>ROUND(F38*G38,2)</f>
        <v>0</v>
      </c>
      <c r="K38" s="359">
        <v>0</v>
      </c>
      <c r="L38" s="359">
        <f>F38*K38</f>
        <v>0</v>
      </c>
      <c r="M38" s="363"/>
      <c r="N38" s="364"/>
      <c r="O38" s="365"/>
      <c r="Z38" s="365"/>
      <c r="AA38" s="365"/>
      <c r="AB38" s="365"/>
      <c r="AD38" s="365"/>
      <c r="AE38" s="365"/>
      <c r="AF38" s="365"/>
      <c r="AM38" s="365"/>
      <c r="AN38" s="365"/>
      <c r="AO38" s="364"/>
      <c r="AP38" s="364"/>
      <c r="AQ38" s="367"/>
    </row>
    <row r="39" spans="1:43" ht="66" customHeight="1" x14ac:dyDescent="0.25">
      <c r="A39" s="191"/>
      <c r="B39" s="192"/>
      <c r="C39" s="165" t="s">
        <v>165</v>
      </c>
      <c r="D39" s="491" t="s">
        <v>1251</v>
      </c>
      <c r="E39" s="491"/>
      <c r="F39" s="491"/>
      <c r="G39" s="491"/>
      <c r="H39" s="491"/>
      <c r="I39" s="491"/>
      <c r="J39" s="491"/>
      <c r="K39" s="491"/>
      <c r="L39" s="491"/>
      <c r="M39" s="166"/>
    </row>
    <row r="40" spans="1:43" s="366" customFormat="1" x14ac:dyDescent="0.25">
      <c r="A40" s="358" t="s">
        <v>173</v>
      </c>
      <c r="B40" s="168" t="s">
        <v>1227</v>
      </c>
      <c r="C40" s="168" t="s">
        <v>1252</v>
      </c>
      <c r="D40" s="168" t="s">
        <v>1253</v>
      </c>
      <c r="E40" s="168" t="s">
        <v>190</v>
      </c>
      <c r="F40" s="359">
        <v>1</v>
      </c>
      <c r="G40" s="311">
        <v>0</v>
      </c>
      <c r="H40" s="359">
        <f>ROUND(0.1*F40*G40,2)</f>
        <v>0</v>
      </c>
      <c r="I40" s="359">
        <f>J40-H40</f>
        <v>0</v>
      </c>
      <c r="J40" s="359">
        <f>ROUND(F40*G40,2)</f>
        <v>0</v>
      </c>
      <c r="K40" s="359">
        <v>0</v>
      </c>
      <c r="L40" s="359">
        <f>F40*K40</f>
        <v>0</v>
      </c>
      <c r="M40" s="363"/>
      <c r="N40" s="364"/>
      <c r="O40" s="365"/>
      <c r="Z40" s="365"/>
      <c r="AA40" s="365"/>
      <c r="AB40" s="365"/>
      <c r="AD40" s="365"/>
      <c r="AE40" s="365"/>
      <c r="AF40" s="365"/>
      <c r="AM40" s="365"/>
      <c r="AN40" s="365"/>
      <c r="AO40" s="364"/>
      <c r="AP40" s="364"/>
      <c r="AQ40" s="367"/>
    </row>
    <row r="41" spans="1:43" ht="67.2" customHeight="1" x14ac:dyDescent="0.25">
      <c r="A41" s="191"/>
      <c r="B41" s="192"/>
      <c r="C41" s="165" t="s">
        <v>165</v>
      </c>
      <c r="D41" s="491" t="s">
        <v>1254</v>
      </c>
      <c r="E41" s="491"/>
      <c r="F41" s="491"/>
      <c r="G41" s="491"/>
      <c r="H41" s="491"/>
      <c r="I41" s="491"/>
      <c r="J41" s="491"/>
      <c r="K41" s="491"/>
      <c r="L41" s="491"/>
      <c r="M41" s="166"/>
    </row>
    <row r="42" spans="1:43" s="366" customFormat="1" x14ac:dyDescent="0.25">
      <c r="A42" s="358" t="s">
        <v>177</v>
      </c>
      <c r="B42" s="168" t="s">
        <v>1227</v>
      </c>
      <c r="C42" s="168" t="s">
        <v>1255</v>
      </c>
      <c r="D42" s="168" t="s">
        <v>1256</v>
      </c>
      <c r="E42" s="168" t="s">
        <v>190</v>
      </c>
      <c r="F42" s="359">
        <v>1</v>
      </c>
      <c r="G42" s="311">
        <v>0</v>
      </c>
      <c r="H42" s="359">
        <f>ROUND(0.1*F42*G42,2)</f>
        <v>0</v>
      </c>
      <c r="I42" s="359">
        <f>J42-H42</f>
        <v>0</v>
      </c>
      <c r="J42" s="359">
        <f>ROUND(F42*G42,2)</f>
        <v>0</v>
      </c>
      <c r="K42" s="359">
        <v>0</v>
      </c>
      <c r="L42" s="359">
        <f>F42*K42</f>
        <v>0</v>
      </c>
      <c r="M42" s="363"/>
      <c r="N42" s="364"/>
      <c r="O42" s="365"/>
      <c r="Z42" s="365"/>
      <c r="AA42" s="365"/>
      <c r="AB42" s="365"/>
      <c r="AD42" s="365"/>
      <c r="AE42" s="365"/>
      <c r="AF42" s="365"/>
      <c r="AM42" s="365"/>
      <c r="AN42" s="365"/>
      <c r="AO42" s="364"/>
      <c r="AP42" s="364"/>
      <c r="AQ42" s="367"/>
    </row>
    <row r="43" spans="1:43" ht="54" customHeight="1" x14ac:dyDescent="0.25">
      <c r="A43" s="191"/>
      <c r="B43" s="192"/>
      <c r="C43" s="165" t="s">
        <v>165</v>
      </c>
      <c r="D43" s="491" t="s">
        <v>1257</v>
      </c>
      <c r="E43" s="491"/>
      <c r="F43" s="491"/>
      <c r="G43" s="491"/>
      <c r="H43" s="491"/>
      <c r="I43" s="491"/>
      <c r="J43" s="491"/>
      <c r="K43" s="491"/>
      <c r="L43" s="491"/>
      <c r="M43" s="166"/>
    </row>
    <row r="44" spans="1:43" s="366" customFormat="1" x14ac:dyDescent="0.25">
      <c r="A44" s="358" t="s">
        <v>181</v>
      </c>
      <c r="B44" s="168" t="s">
        <v>1227</v>
      </c>
      <c r="C44" s="168" t="s">
        <v>1258</v>
      </c>
      <c r="D44" s="168" t="s">
        <v>1259</v>
      </c>
      <c r="E44" s="168" t="s">
        <v>190</v>
      </c>
      <c r="F44" s="359">
        <v>1</v>
      </c>
      <c r="G44" s="311">
        <v>0</v>
      </c>
      <c r="H44" s="359">
        <f>ROUND(0.1*F44*G44,2)</f>
        <v>0</v>
      </c>
      <c r="I44" s="359">
        <f>J44-H44</f>
        <v>0</v>
      </c>
      <c r="J44" s="359">
        <f>ROUND(F44*G44,2)</f>
        <v>0</v>
      </c>
      <c r="K44" s="359">
        <v>0</v>
      </c>
      <c r="L44" s="359">
        <f>F44*K44</f>
        <v>0</v>
      </c>
      <c r="M44" s="363"/>
      <c r="N44" s="364"/>
      <c r="O44" s="365"/>
      <c r="Z44" s="365"/>
      <c r="AA44" s="365"/>
      <c r="AB44" s="365"/>
      <c r="AD44" s="365"/>
      <c r="AE44" s="365"/>
      <c r="AF44" s="365"/>
      <c r="AM44" s="365"/>
      <c r="AN44" s="365"/>
      <c r="AO44" s="364"/>
      <c r="AP44" s="364"/>
      <c r="AQ44" s="367"/>
    </row>
    <row r="45" spans="1:43" ht="66" customHeight="1" thickBot="1" x14ac:dyDescent="0.3">
      <c r="A45" s="368"/>
      <c r="B45" s="369"/>
      <c r="C45" s="175" t="s">
        <v>165</v>
      </c>
      <c r="D45" s="494" t="s">
        <v>1260</v>
      </c>
      <c r="E45" s="494"/>
      <c r="F45" s="494"/>
      <c r="G45" s="494"/>
      <c r="H45" s="494"/>
      <c r="I45" s="494"/>
      <c r="J45" s="494"/>
      <c r="K45" s="494"/>
      <c r="L45" s="494"/>
      <c r="M45" s="370"/>
    </row>
    <row r="46" spans="1:43" ht="5.25" customHeight="1" x14ac:dyDescent="0.25">
      <c r="A46" s="176"/>
      <c r="B46" s="176"/>
      <c r="C46" s="177"/>
      <c r="D46" s="178"/>
      <c r="E46" s="179"/>
      <c r="F46" s="179"/>
      <c r="G46" s="179"/>
      <c r="H46" s="179"/>
      <c r="I46" s="179"/>
      <c r="J46" s="179"/>
      <c r="K46" s="179"/>
      <c r="L46" s="179"/>
      <c r="M46" s="179"/>
      <c r="N46" s="161"/>
      <c r="O46" s="162"/>
      <c r="Z46" s="162"/>
      <c r="AA46" s="162"/>
      <c r="AB46" s="162"/>
      <c r="AD46" s="163"/>
      <c r="AE46" s="163"/>
      <c r="AF46" s="163"/>
      <c r="AM46" s="163"/>
      <c r="AN46" s="163"/>
      <c r="AO46" s="164"/>
      <c r="AP46" s="164"/>
      <c r="AQ46" s="147"/>
    </row>
    <row r="47" spans="1:43" ht="5.25" customHeight="1" thickBot="1" x14ac:dyDescent="0.3">
      <c r="A47" s="176"/>
      <c r="B47" s="176"/>
      <c r="C47" s="177"/>
      <c r="D47" s="178"/>
      <c r="E47" s="179"/>
      <c r="F47" s="179"/>
      <c r="G47" s="179"/>
      <c r="H47" s="179"/>
      <c r="I47" s="179"/>
      <c r="J47" s="179"/>
      <c r="K47" s="179"/>
      <c r="L47" s="179"/>
      <c r="M47" s="179"/>
      <c r="N47" s="161"/>
      <c r="O47" s="162"/>
      <c r="Z47" s="162"/>
      <c r="AA47" s="162"/>
      <c r="AB47" s="162"/>
      <c r="AD47" s="163"/>
      <c r="AE47" s="163"/>
      <c r="AF47" s="163"/>
      <c r="AM47" s="163"/>
      <c r="AN47" s="163"/>
      <c r="AO47" s="164"/>
      <c r="AP47" s="164"/>
      <c r="AQ47" s="147"/>
    </row>
    <row r="48" spans="1:43" x14ac:dyDescent="0.25">
      <c r="A48" s="134" t="s">
        <v>123</v>
      </c>
      <c r="B48" s="135" t="s">
        <v>1220</v>
      </c>
      <c r="C48" s="135" t="s">
        <v>124</v>
      </c>
      <c r="D48" s="135" t="s">
        <v>1221</v>
      </c>
      <c r="E48" s="135" t="s">
        <v>1222</v>
      </c>
      <c r="F48" s="136" t="s">
        <v>127</v>
      </c>
      <c r="G48" s="137" t="s">
        <v>140</v>
      </c>
      <c r="H48" s="483" t="s">
        <v>129</v>
      </c>
      <c r="I48" s="484"/>
      <c r="J48" s="485"/>
      <c r="K48" s="483" t="s">
        <v>130</v>
      </c>
      <c r="L48" s="485"/>
      <c r="M48" s="138" t="s">
        <v>131</v>
      </c>
    </row>
    <row r="49" spans="1:43" ht="13.8" thickBot="1" x14ac:dyDescent="0.3">
      <c r="A49" s="180" t="s">
        <v>114</v>
      </c>
      <c r="B49" s="181" t="s">
        <v>114</v>
      </c>
      <c r="C49" s="181" t="s">
        <v>114</v>
      </c>
      <c r="D49" s="182" t="s">
        <v>135</v>
      </c>
      <c r="E49" s="181" t="s">
        <v>114</v>
      </c>
      <c r="F49" s="181" t="s">
        <v>114</v>
      </c>
      <c r="G49" s="183" t="s">
        <v>1223</v>
      </c>
      <c r="H49" s="184" t="s">
        <v>137</v>
      </c>
      <c r="I49" s="185" t="s">
        <v>138</v>
      </c>
      <c r="J49" s="186" t="s">
        <v>139</v>
      </c>
      <c r="K49" s="184" t="s">
        <v>140</v>
      </c>
      <c r="L49" s="186" t="s">
        <v>139</v>
      </c>
      <c r="M49" s="187" t="s">
        <v>141</v>
      </c>
      <c r="P49" s="147"/>
      <c r="Q49" s="147"/>
      <c r="R49" s="147"/>
      <c r="S49" s="147"/>
      <c r="T49" s="147"/>
      <c r="U49" s="147"/>
      <c r="V49" s="147"/>
      <c r="W49" s="147"/>
      <c r="X49" s="147"/>
    </row>
    <row r="50" spans="1:43" ht="26.4" x14ac:dyDescent="0.25">
      <c r="A50" s="188"/>
      <c r="B50" s="189"/>
      <c r="C50" s="189" t="s">
        <v>1224</v>
      </c>
      <c r="D50" s="150" t="s">
        <v>2169</v>
      </c>
      <c r="E50" s="151"/>
      <c r="F50" s="151"/>
      <c r="G50" s="151"/>
      <c r="H50" s="152"/>
      <c r="I50" s="152"/>
      <c r="J50" s="152"/>
      <c r="K50" s="153"/>
      <c r="L50" s="152"/>
      <c r="M50" s="190" t="s">
        <v>1225</v>
      </c>
      <c r="P50" s="155"/>
      <c r="Q50" s="147"/>
      <c r="R50" s="155"/>
      <c r="S50" s="155"/>
      <c r="T50" s="155"/>
      <c r="U50" s="155"/>
      <c r="V50" s="155"/>
      <c r="W50" s="155"/>
      <c r="X50" s="155"/>
      <c r="Y50" s="147"/>
      <c r="AI50" s="155"/>
      <c r="AJ50" s="155"/>
      <c r="AK50" s="155"/>
    </row>
    <row r="51" spans="1:43" s="366" customFormat="1" x14ac:dyDescent="0.25">
      <c r="A51" s="358" t="s">
        <v>184</v>
      </c>
      <c r="B51" s="168" t="s">
        <v>1227</v>
      </c>
      <c r="C51" s="168" t="s">
        <v>1261</v>
      </c>
      <c r="D51" s="168" t="s">
        <v>1262</v>
      </c>
      <c r="E51" s="168" t="s">
        <v>190</v>
      </c>
      <c r="F51" s="359">
        <v>1</v>
      </c>
      <c r="G51" s="311">
        <v>0</v>
      </c>
      <c r="H51" s="359">
        <f>ROUND(0.1*F51*G51,2)</f>
        <v>0</v>
      </c>
      <c r="I51" s="359">
        <f>J51-H51</f>
        <v>0</v>
      </c>
      <c r="J51" s="359">
        <f>ROUND(F51*G51,2)</f>
        <v>0</v>
      </c>
      <c r="K51" s="359">
        <v>0</v>
      </c>
      <c r="L51" s="359">
        <f>F51*K51</f>
        <v>0</v>
      </c>
      <c r="M51" s="363"/>
      <c r="N51" s="364"/>
      <c r="O51" s="365"/>
      <c r="Z51" s="365"/>
      <c r="AA51" s="365"/>
      <c r="AB51" s="365"/>
      <c r="AD51" s="365"/>
      <c r="AE51" s="365"/>
      <c r="AF51" s="365"/>
      <c r="AM51" s="365"/>
      <c r="AN51" s="365"/>
      <c r="AO51" s="364"/>
      <c r="AP51" s="364"/>
      <c r="AQ51" s="367"/>
    </row>
    <row r="52" spans="1:43" ht="42.6" customHeight="1" x14ac:dyDescent="0.25">
      <c r="A52" s="191"/>
      <c r="B52" s="192"/>
      <c r="C52" s="165" t="s">
        <v>165</v>
      </c>
      <c r="D52" s="491" t="s">
        <v>1263</v>
      </c>
      <c r="E52" s="491"/>
      <c r="F52" s="491"/>
      <c r="G52" s="491"/>
      <c r="H52" s="491"/>
      <c r="I52" s="491"/>
      <c r="J52" s="491"/>
      <c r="K52" s="491"/>
      <c r="L52" s="491"/>
      <c r="M52" s="166"/>
    </row>
    <row r="53" spans="1:43" s="366" customFormat="1" ht="26.4" x14ac:dyDescent="0.25">
      <c r="A53" s="358" t="s">
        <v>187</v>
      </c>
      <c r="B53" s="168" t="s">
        <v>1227</v>
      </c>
      <c r="C53" s="168" t="s">
        <v>1264</v>
      </c>
      <c r="D53" s="360" t="s">
        <v>1265</v>
      </c>
      <c r="E53" s="168" t="s">
        <v>190</v>
      </c>
      <c r="F53" s="359">
        <v>1</v>
      </c>
      <c r="G53" s="311">
        <v>0</v>
      </c>
      <c r="H53" s="359">
        <f>ROUND(0.1*F53*G53,2)</f>
        <v>0</v>
      </c>
      <c r="I53" s="359">
        <f>J53-H53</f>
        <v>0</v>
      </c>
      <c r="J53" s="359">
        <f>ROUND(F53*G53,2)</f>
        <v>0</v>
      </c>
      <c r="K53" s="359">
        <v>0</v>
      </c>
      <c r="L53" s="359">
        <f>F53*K53</f>
        <v>0</v>
      </c>
      <c r="M53" s="363"/>
      <c r="N53" s="364"/>
      <c r="O53" s="365"/>
      <c r="Z53" s="365"/>
      <c r="AA53" s="365"/>
      <c r="AB53" s="365"/>
      <c r="AD53" s="365"/>
      <c r="AE53" s="365"/>
      <c r="AF53" s="365"/>
      <c r="AM53" s="365"/>
      <c r="AN53" s="365"/>
      <c r="AO53" s="364"/>
      <c r="AP53" s="364"/>
      <c r="AQ53" s="367"/>
    </row>
    <row r="54" spans="1:43" ht="28.5" customHeight="1" x14ac:dyDescent="0.25">
      <c r="A54" s="156"/>
      <c r="B54" s="157"/>
      <c r="C54" s="165" t="s">
        <v>165</v>
      </c>
      <c r="D54" s="491" t="s">
        <v>1266</v>
      </c>
      <c r="E54" s="491"/>
      <c r="F54" s="491"/>
      <c r="G54" s="491"/>
      <c r="H54" s="491"/>
      <c r="I54" s="491"/>
      <c r="J54" s="491"/>
      <c r="K54" s="491"/>
      <c r="L54" s="491"/>
      <c r="M54" s="166"/>
      <c r="N54" s="161"/>
      <c r="O54" s="162"/>
      <c r="Z54" s="162"/>
      <c r="AA54" s="162"/>
      <c r="AB54" s="162"/>
      <c r="AD54" s="163"/>
      <c r="AE54" s="163"/>
      <c r="AF54" s="163"/>
      <c r="AM54" s="163"/>
      <c r="AN54" s="163"/>
      <c r="AO54" s="164"/>
      <c r="AP54" s="164"/>
      <c r="AQ54" s="147"/>
    </row>
    <row r="55" spans="1:43" s="366" customFormat="1" ht="33.75" customHeight="1" x14ac:dyDescent="0.25">
      <c r="A55" s="358" t="s">
        <v>193</v>
      </c>
      <c r="B55" s="168" t="s">
        <v>1227</v>
      </c>
      <c r="C55" s="168" t="s">
        <v>1267</v>
      </c>
      <c r="D55" s="360" t="s">
        <v>1268</v>
      </c>
      <c r="E55" s="168" t="s">
        <v>190</v>
      </c>
      <c r="F55" s="359">
        <v>1</v>
      </c>
      <c r="G55" s="311">
        <v>0</v>
      </c>
      <c r="H55" s="359">
        <f>ROUND(0.1*F55*G55,2)</f>
        <v>0</v>
      </c>
      <c r="I55" s="359">
        <f>J55-H55</f>
        <v>0</v>
      </c>
      <c r="J55" s="359">
        <f>ROUND(F55*G55,2)</f>
        <v>0</v>
      </c>
      <c r="K55" s="359">
        <v>0</v>
      </c>
      <c r="L55" s="359">
        <f>F55*K55</f>
        <v>0</v>
      </c>
      <c r="M55" s="363"/>
      <c r="N55" s="364"/>
      <c r="O55" s="365"/>
      <c r="Z55" s="365"/>
      <c r="AA55" s="365"/>
      <c r="AB55" s="365"/>
      <c r="AD55" s="365"/>
      <c r="AE55" s="365"/>
      <c r="AF55" s="365"/>
      <c r="AM55" s="365"/>
      <c r="AN55" s="365"/>
      <c r="AO55" s="364"/>
      <c r="AP55" s="364"/>
      <c r="AQ55" s="367"/>
    </row>
    <row r="56" spans="1:43" ht="15.6" customHeight="1" thickBot="1" x14ac:dyDescent="0.3">
      <c r="A56" s="173"/>
      <c r="B56" s="174"/>
      <c r="C56" s="175" t="s">
        <v>165</v>
      </c>
      <c r="D56" s="494" t="s">
        <v>1269</v>
      </c>
      <c r="E56" s="494"/>
      <c r="F56" s="494"/>
      <c r="G56" s="494"/>
      <c r="H56" s="494"/>
      <c r="I56" s="494"/>
      <c r="J56" s="494"/>
      <c r="K56" s="494"/>
      <c r="L56" s="494"/>
      <c r="M56" s="193"/>
      <c r="N56" s="161"/>
      <c r="O56" s="162"/>
      <c r="Z56" s="162"/>
      <c r="AA56" s="162"/>
      <c r="AB56" s="162"/>
      <c r="AD56" s="163"/>
      <c r="AE56" s="163"/>
      <c r="AF56" s="163"/>
      <c r="AM56" s="163"/>
      <c r="AN56" s="163"/>
      <c r="AO56" s="164"/>
      <c r="AP56" s="164"/>
      <c r="AQ56" s="147"/>
    </row>
    <row r="57" spans="1:43" s="366" customFormat="1" ht="15.6" customHeight="1" x14ac:dyDescent="0.25">
      <c r="A57" s="358" t="s">
        <v>198</v>
      </c>
      <c r="B57" s="168" t="s">
        <v>1227</v>
      </c>
      <c r="C57" s="168" t="s">
        <v>1270</v>
      </c>
      <c r="D57" s="360" t="s">
        <v>1271</v>
      </c>
      <c r="E57" s="168" t="s">
        <v>190</v>
      </c>
      <c r="F57" s="359">
        <v>1</v>
      </c>
      <c r="G57" s="311">
        <v>0</v>
      </c>
      <c r="H57" s="359">
        <f>ROUND(0.1*F57*G57,2)</f>
        <v>0</v>
      </c>
      <c r="I57" s="359">
        <f>J57-H57</f>
        <v>0</v>
      </c>
      <c r="J57" s="359">
        <f>ROUND(F57*G57,2)</f>
        <v>0</v>
      </c>
      <c r="K57" s="359">
        <v>0</v>
      </c>
      <c r="L57" s="359">
        <f>F57*K57</f>
        <v>0</v>
      </c>
      <c r="M57" s="371"/>
      <c r="N57" s="364"/>
      <c r="O57" s="365"/>
      <c r="Z57" s="365"/>
      <c r="AA57" s="365"/>
      <c r="AB57" s="365"/>
      <c r="AD57" s="365"/>
      <c r="AE57" s="365"/>
      <c r="AF57" s="365"/>
      <c r="AM57" s="365"/>
      <c r="AN57" s="365"/>
      <c r="AO57" s="364"/>
      <c r="AP57" s="364"/>
      <c r="AQ57" s="367"/>
    </row>
    <row r="58" spans="1:43" ht="29.4" customHeight="1" x14ac:dyDescent="0.25">
      <c r="A58" s="156"/>
      <c r="B58" s="157"/>
      <c r="C58" s="165" t="s">
        <v>165</v>
      </c>
      <c r="D58" s="490" t="s">
        <v>1272</v>
      </c>
      <c r="E58" s="490"/>
      <c r="F58" s="490"/>
      <c r="G58" s="490"/>
      <c r="H58" s="490"/>
      <c r="I58" s="490"/>
      <c r="J58" s="490"/>
      <c r="K58" s="490"/>
      <c r="L58" s="490"/>
      <c r="M58" s="194"/>
      <c r="N58" s="161"/>
      <c r="O58" s="162"/>
      <c r="Z58" s="162"/>
      <c r="AA58" s="162"/>
      <c r="AB58" s="162"/>
      <c r="AD58" s="163"/>
      <c r="AE58" s="163"/>
      <c r="AF58" s="163"/>
      <c r="AM58" s="163"/>
      <c r="AN58" s="163"/>
      <c r="AO58" s="164"/>
      <c r="AP58" s="164"/>
      <c r="AQ58" s="147"/>
    </row>
    <row r="59" spans="1:43" s="366" customFormat="1" ht="41.4" customHeight="1" x14ac:dyDescent="0.25">
      <c r="A59" s="358" t="s">
        <v>155</v>
      </c>
      <c r="B59" s="168" t="s">
        <v>1227</v>
      </c>
      <c r="C59" s="168" t="s">
        <v>1273</v>
      </c>
      <c r="D59" s="360" t="s">
        <v>1274</v>
      </c>
      <c r="E59" s="168" t="s">
        <v>190</v>
      </c>
      <c r="F59" s="359">
        <v>1</v>
      </c>
      <c r="G59" s="311">
        <v>0</v>
      </c>
      <c r="H59" s="359">
        <f>ROUND(0.1*F59*G59,2)</f>
        <v>0</v>
      </c>
      <c r="I59" s="359">
        <f>J59-H59</f>
        <v>0</v>
      </c>
      <c r="J59" s="359">
        <f>ROUND(F59*G59,2)</f>
        <v>0</v>
      </c>
      <c r="K59" s="359">
        <v>0</v>
      </c>
      <c r="L59" s="359">
        <f>F59*K59</f>
        <v>0</v>
      </c>
      <c r="M59" s="363"/>
      <c r="N59" s="364"/>
      <c r="O59" s="365"/>
      <c r="Z59" s="365"/>
      <c r="AA59" s="365"/>
      <c r="AB59" s="365"/>
      <c r="AD59" s="365"/>
      <c r="AE59" s="365"/>
      <c r="AF59" s="365"/>
      <c r="AM59" s="365"/>
      <c r="AN59" s="365"/>
      <c r="AO59" s="364"/>
      <c r="AP59" s="364"/>
      <c r="AQ59" s="367"/>
    </row>
    <row r="60" spans="1:43" ht="15.6" customHeight="1" x14ac:dyDescent="0.25">
      <c r="A60" s="195"/>
      <c r="B60" s="196"/>
      <c r="C60" s="197" t="s">
        <v>165</v>
      </c>
      <c r="D60" s="489" t="s">
        <v>1275</v>
      </c>
      <c r="E60" s="489"/>
      <c r="F60" s="489"/>
      <c r="G60" s="489"/>
      <c r="H60" s="489"/>
      <c r="I60" s="489"/>
      <c r="J60" s="489"/>
      <c r="K60" s="489"/>
      <c r="L60" s="489"/>
      <c r="M60" s="198"/>
      <c r="N60" s="161"/>
      <c r="O60" s="162"/>
      <c r="Z60" s="162"/>
      <c r="AA60" s="162"/>
      <c r="AB60" s="162"/>
      <c r="AD60" s="163"/>
      <c r="AE60" s="163"/>
      <c r="AF60" s="163"/>
      <c r="AM60" s="163"/>
      <c r="AN60" s="163"/>
      <c r="AO60" s="164"/>
      <c r="AP60" s="164"/>
      <c r="AQ60" s="147"/>
    </row>
    <row r="61" spans="1:43" s="366" customFormat="1" ht="33" customHeight="1" x14ac:dyDescent="0.25">
      <c r="A61" s="358" t="s">
        <v>191</v>
      </c>
      <c r="B61" s="168" t="s">
        <v>1227</v>
      </c>
      <c r="C61" s="168" t="s">
        <v>1276</v>
      </c>
      <c r="D61" s="360" t="s">
        <v>1277</v>
      </c>
      <c r="E61" s="168" t="s">
        <v>190</v>
      </c>
      <c r="F61" s="359">
        <v>5</v>
      </c>
      <c r="G61" s="311">
        <v>0</v>
      </c>
      <c r="H61" s="359">
        <f>ROUND(0.1*F61*G61,2)</f>
        <v>0</v>
      </c>
      <c r="I61" s="359">
        <f>J61-H61</f>
        <v>0</v>
      </c>
      <c r="J61" s="359">
        <f>ROUND(F61*G61,2)</f>
        <v>0</v>
      </c>
      <c r="K61" s="359">
        <v>0</v>
      </c>
      <c r="L61" s="359">
        <f>F61*K61</f>
        <v>0</v>
      </c>
      <c r="M61" s="363"/>
      <c r="N61" s="364"/>
      <c r="O61" s="365"/>
      <c r="Z61" s="365"/>
      <c r="AA61" s="365"/>
      <c r="AB61" s="365"/>
      <c r="AD61" s="365"/>
      <c r="AE61" s="365"/>
      <c r="AF61" s="365"/>
      <c r="AM61" s="365"/>
      <c r="AN61" s="365"/>
      <c r="AO61" s="364"/>
      <c r="AP61" s="364"/>
      <c r="AQ61" s="367"/>
    </row>
    <row r="62" spans="1:43" ht="28.5" customHeight="1" x14ac:dyDescent="0.25">
      <c r="A62" s="156"/>
      <c r="B62" s="157"/>
      <c r="C62" s="165" t="s">
        <v>165</v>
      </c>
      <c r="D62" s="490" t="s">
        <v>1278</v>
      </c>
      <c r="E62" s="490"/>
      <c r="F62" s="490"/>
      <c r="G62" s="490"/>
      <c r="H62" s="490"/>
      <c r="I62" s="490"/>
      <c r="J62" s="490"/>
      <c r="K62" s="490"/>
      <c r="L62" s="490"/>
      <c r="M62" s="199"/>
      <c r="N62" s="161"/>
      <c r="O62" s="162"/>
      <c r="Z62" s="162"/>
      <c r="AA62" s="162"/>
      <c r="AB62" s="162"/>
      <c r="AD62" s="163"/>
      <c r="AE62" s="163"/>
      <c r="AF62" s="163"/>
      <c r="AM62" s="163"/>
      <c r="AN62" s="163"/>
      <c r="AO62" s="164"/>
      <c r="AP62" s="164"/>
      <c r="AQ62" s="147"/>
    </row>
    <row r="63" spans="1:43" s="366" customFormat="1" ht="17.25" customHeight="1" x14ac:dyDescent="0.25">
      <c r="A63" s="358" t="s">
        <v>201</v>
      </c>
      <c r="B63" s="168" t="s">
        <v>1227</v>
      </c>
      <c r="C63" s="168" t="s">
        <v>1279</v>
      </c>
      <c r="D63" s="360" t="s">
        <v>1280</v>
      </c>
      <c r="E63" s="168" t="s">
        <v>190</v>
      </c>
      <c r="F63" s="359">
        <v>1</v>
      </c>
      <c r="G63" s="311">
        <v>0</v>
      </c>
      <c r="H63" s="359">
        <f>ROUND(0.1*F63*G63,2)</f>
        <v>0</v>
      </c>
      <c r="I63" s="359">
        <f>J63-H63</f>
        <v>0</v>
      </c>
      <c r="J63" s="359">
        <f>ROUND(F63*G63,2)</f>
        <v>0</v>
      </c>
      <c r="K63" s="359">
        <v>0</v>
      </c>
      <c r="L63" s="359">
        <f>F63*K63</f>
        <v>0</v>
      </c>
      <c r="M63" s="371"/>
      <c r="N63" s="364"/>
      <c r="O63" s="365"/>
      <c r="Z63" s="365"/>
      <c r="AA63" s="365"/>
      <c r="AB63" s="365"/>
      <c r="AD63" s="365"/>
      <c r="AE63" s="365"/>
      <c r="AF63" s="365"/>
      <c r="AM63" s="365"/>
      <c r="AN63" s="365"/>
      <c r="AO63" s="364"/>
      <c r="AP63" s="364"/>
      <c r="AQ63" s="367"/>
    </row>
    <row r="64" spans="1:43" ht="16.5" customHeight="1" x14ac:dyDescent="0.25">
      <c r="A64" s="191"/>
      <c r="B64" s="192"/>
      <c r="C64" s="165" t="s">
        <v>165</v>
      </c>
      <c r="D64" s="490" t="s">
        <v>1281</v>
      </c>
      <c r="E64" s="490"/>
      <c r="F64" s="490"/>
      <c r="G64" s="490"/>
      <c r="H64" s="490"/>
      <c r="I64" s="490"/>
      <c r="J64" s="490"/>
      <c r="K64" s="490"/>
      <c r="L64" s="490"/>
      <c r="M64" s="194"/>
    </row>
    <row r="65" spans="1:43" s="366" customFormat="1" ht="27.6" customHeight="1" x14ac:dyDescent="0.25">
      <c r="A65" s="358" t="s">
        <v>210</v>
      </c>
      <c r="B65" s="168" t="s">
        <v>1227</v>
      </c>
      <c r="C65" s="168" t="s">
        <v>1282</v>
      </c>
      <c r="D65" s="360" t="s">
        <v>1283</v>
      </c>
      <c r="E65" s="168" t="s">
        <v>190</v>
      </c>
      <c r="F65" s="359">
        <v>7</v>
      </c>
      <c r="G65" s="311">
        <v>0</v>
      </c>
      <c r="H65" s="359">
        <f>ROUND(0.4*F65*G65,2)</f>
        <v>0</v>
      </c>
      <c r="I65" s="359">
        <f>J65-H65</f>
        <v>0</v>
      </c>
      <c r="J65" s="359">
        <f>ROUND(F65*G65,2)</f>
        <v>0</v>
      </c>
      <c r="K65" s="359">
        <v>0</v>
      </c>
      <c r="L65" s="359">
        <f>F65*K65</f>
        <v>0</v>
      </c>
      <c r="M65" s="363"/>
      <c r="N65" s="364"/>
      <c r="O65" s="365"/>
      <c r="Z65" s="365"/>
      <c r="AA65" s="365"/>
      <c r="AB65" s="365"/>
      <c r="AD65" s="365"/>
      <c r="AE65" s="365"/>
      <c r="AF65" s="365"/>
      <c r="AM65" s="365"/>
      <c r="AN65" s="365"/>
      <c r="AO65" s="364"/>
      <c r="AP65" s="364"/>
      <c r="AQ65" s="367"/>
    </row>
    <row r="66" spans="1:43" ht="33.6" customHeight="1" x14ac:dyDescent="0.25">
      <c r="A66" s="191"/>
      <c r="B66" s="192"/>
      <c r="C66" s="165" t="s">
        <v>165</v>
      </c>
      <c r="D66" s="490" t="s">
        <v>1284</v>
      </c>
      <c r="E66" s="490"/>
      <c r="F66" s="490"/>
      <c r="G66" s="490"/>
      <c r="H66" s="490"/>
      <c r="I66" s="490"/>
      <c r="J66" s="490"/>
      <c r="K66" s="490"/>
      <c r="L66" s="490"/>
      <c r="M66" s="194"/>
    </row>
    <row r="67" spans="1:43" s="366" customFormat="1" ht="28.5" customHeight="1" x14ac:dyDescent="0.25">
      <c r="A67" s="358" t="s">
        <v>161</v>
      </c>
      <c r="B67" s="168" t="s">
        <v>1227</v>
      </c>
      <c r="C67" s="168" t="s">
        <v>1285</v>
      </c>
      <c r="D67" s="360" t="s">
        <v>1286</v>
      </c>
      <c r="E67" s="168" t="s">
        <v>190</v>
      </c>
      <c r="F67" s="359">
        <v>7</v>
      </c>
      <c r="G67" s="311">
        <v>0</v>
      </c>
      <c r="H67" s="359">
        <f>ROUND(0.1*F67*G67,2)</f>
        <v>0</v>
      </c>
      <c r="I67" s="359">
        <f>J67-H67</f>
        <v>0</v>
      </c>
      <c r="J67" s="359">
        <f>ROUND(F67*G67,2)</f>
        <v>0</v>
      </c>
      <c r="K67" s="359">
        <v>0</v>
      </c>
      <c r="L67" s="359">
        <f>F67*K67</f>
        <v>0</v>
      </c>
      <c r="M67" s="363"/>
      <c r="N67" s="364"/>
      <c r="O67" s="365"/>
      <c r="Z67" s="365"/>
      <c r="AA67" s="365"/>
      <c r="AB67" s="365"/>
      <c r="AD67" s="365"/>
      <c r="AE67" s="365"/>
      <c r="AF67" s="365"/>
      <c r="AM67" s="365"/>
      <c r="AN67" s="365"/>
      <c r="AO67" s="364"/>
      <c r="AP67" s="364"/>
      <c r="AQ67" s="367"/>
    </row>
    <row r="68" spans="1:43" ht="20.399999999999999" customHeight="1" x14ac:dyDescent="0.25">
      <c r="A68" s="191"/>
      <c r="B68" s="192"/>
      <c r="C68" s="165" t="s">
        <v>165</v>
      </c>
      <c r="D68" s="490" t="s">
        <v>1287</v>
      </c>
      <c r="E68" s="490"/>
      <c r="F68" s="490"/>
      <c r="G68" s="490"/>
      <c r="H68" s="490"/>
      <c r="I68" s="490"/>
      <c r="J68" s="490"/>
      <c r="K68" s="490"/>
      <c r="L68" s="490"/>
      <c r="M68" s="194"/>
    </row>
    <row r="69" spans="1:43" s="366" customFormat="1" ht="57" customHeight="1" x14ac:dyDescent="0.25">
      <c r="A69" s="358" t="s">
        <v>2170</v>
      </c>
      <c r="B69" s="168" t="s">
        <v>1227</v>
      </c>
      <c r="C69" s="168" t="s">
        <v>1285</v>
      </c>
      <c r="D69" s="360" t="s">
        <v>2171</v>
      </c>
      <c r="E69" s="168" t="s">
        <v>190</v>
      </c>
      <c r="F69" s="359">
        <v>1</v>
      </c>
      <c r="G69" s="311">
        <v>0</v>
      </c>
      <c r="H69" s="359">
        <f>ROUND(0.3*F69*G69,2)</f>
        <v>0</v>
      </c>
      <c r="I69" s="359">
        <f>J69-H69</f>
        <v>0</v>
      </c>
      <c r="J69" s="359">
        <f>ROUND(F69*G69,2)</f>
        <v>0</v>
      </c>
      <c r="K69" s="359">
        <v>0</v>
      </c>
      <c r="L69" s="359">
        <f>F69*K69</f>
        <v>0</v>
      </c>
      <c r="M69" s="371"/>
    </row>
    <row r="70" spans="1:43" ht="71.400000000000006" customHeight="1" x14ac:dyDescent="0.25">
      <c r="A70" s="191"/>
      <c r="B70" s="192"/>
      <c r="C70" s="165" t="s">
        <v>165</v>
      </c>
      <c r="D70" s="490" t="s">
        <v>2172</v>
      </c>
      <c r="E70" s="490"/>
      <c r="F70" s="490"/>
      <c r="G70" s="490"/>
      <c r="H70" s="490"/>
      <c r="I70" s="490"/>
      <c r="J70" s="490"/>
      <c r="K70" s="490"/>
      <c r="L70" s="490"/>
      <c r="M70" s="194"/>
    </row>
    <row r="71" spans="1:43" s="366" customFormat="1" ht="20.25" customHeight="1" x14ac:dyDescent="0.25">
      <c r="A71" s="358" t="s">
        <v>215</v>
      </c>
      <c r="B71" s="168" t="s">
        <v>1227</v>
      </c>
      <c r="C71" s="168" t="s">
        <v>1288</v>
      </c>
      <c r="D71" s="360" t="s">
        <v>1289</v>
      </c>
      <c r="E71" s="168" t="s">
        <v>190</v>
      </c>
      <c r="F71" s="359">
        <v>1</v>
      </c>
      <c r="G71" s="311">
        <v>0</v>
      </c>
      <c r="H71" s="359">
        <f>ROUND(0.6*F71*G71,2)</f>
        <v>0</v>
      </c>
      <c r="I71" s="359">
        <f>J71-H71</f>
        <v>0</v>
      </c>
      <c r="J71" s="359">
        <f>ROUND(F71*G71,2)</f>
        <v>0</v>
      </c>
      <c r="K71" s="359">
        <v>0</v>
      </c>
      <c r="L71" s="359">
        <f>F71*K71</f>
        <v>0</v>
      </c>
      <c r="M71" s="372"/>
    </row>
    <row r="72" spans="1:43" ht="28.5" customHeight="1" x14ac:dyDescent="0.25">
      <c r="A72" s="191"/>
      <c r="B72" s="192"/>
      <c r="C72" s="165" t="s">
        <v>165</v>
      </c>
      <c r="D72" s="480" t="s">
        <v>1290</v>
      </c>
      <c r="E72" s="481"/>
      <c r="F72" s="481"/>
      <c r="G72" s="481"/>
      <c r="H72" s="481"/>
      <c r="I72" s="481"/>
      <c r="J72" s="481"/>
      <c r="K72" s="481"/>
      <c r="L72" s="482"/>
      <c r="M72" s="194"/>
    </row>
    <row r="73" spans="1:43" s="366" customFormat="1" ht="20.25" customHeight="1" x14ac:dyDescent="0.25">
      <c r="A73" s="358" t="s">
        <v>220</v>
      </c>
      <c r="B73" s="168" t="s">
        <v>1227</v>
      </c>
      <c r="C73" s="168" t="s">
        <v>1291</v>
      </c>
      <c r="D73" s="360" t="s">
        <v>1292</v>
      </c>
      <c r="E73" s="168" t="s">
        <v>190</v>
      </c>
      <c r="F73" s="359">
        <v>1</v>
      </c>
      <c r="G73" s="311">
        <v>0</v>
      </c>
      <c r="H73" s="359">
        <f>ROUND(0.6*F73*G73,2)</f>
        <v>0</v>
      </c>
      <c r="I73" s="359">
        <f>J73-H73</f>
        <v>0</v>
      </c>
      <c r="J73" s="359">
        <f>ROUND(F73*G73,2)</f>
        <v>0</v>
      </c>
      <c r="K73" s="359">
        <v>0</v>
      </c>
      <c r="L73" s="359">
        <f>F73*K73</f>
        <v>0</v>
      </c>
      <c r="M73" s="372"/>
    </row>
    <row r="74" spans="1:43" ht="16.5" customHeight="1" x14ac:dyDescent="0.25">
      <c r="A74" s="191"/>
      <c r="B74" s="192"/>
      <c r="C74" s="165" t="s">
        <v>165</v>
      </c>
      <c r="D74" s="480" t="s">
        <v>1293</v>
      </c>
      <c r="E74" s="481"/>
      <c r="F74" s="481"/>
      <c r="G74" s="481"/>
      <c r="H74" s="481"/>
      <c r="I74" s="481"/>
      <c r="J74" s="481"/>
      <c r="K74" s="481"/>
      <c r="L74" s="482"/>
      <c r="M74" s="194"/>
    </row>
    <row r="75" spans="1:43" s="366" customFormat="1" ht="20.25" customHeight="1" x14ac:dyDescent="0.25">
      <c r="A75" s="358" t="s">
        <v>224</v>
      </c>
      <c r="B75" s="168" t="s">
        <v>1227</v>
      </c>
      <c r="C75" s="168" t="s">
        <v>1294</v>
      </c>
      <c r="D75" s="360" t="s">
        <v>1295</v>
      </c>
      <c r="E75" s="168" t="s">
        <v>190</v>
      </c>
      <c r="F75" s="359">
        <v>1</v>
      </c>
      <c r="G75" s="311">
        <v>0</v>
      </c>
      <c r="H75" s="359">
        <f>ROUND(0.6*F75*G75,2)</f>
        <v>0</v>
      </c>
      <c r="I75" s="359">
        <f>J75-H75</f>
        <v>0</v>
      </c>
      <c r="J75" s="359">
        <f>ROUND(F75*G75,2)</f>
        <v>0</v>
      </c>
      <c r="K75" s="359">
        <v>0</v>
      </c>
      <c r="L75" s="359">
        <f>F75*K75</f>
        <v>0</v>
      </c>
      <c r="M75" s="372"/>
    </row>
    <row r="76" spans="1:43" ht="27.75" customHeight="1" x14ac:dyDescent="0.25">
      <c r="A76" s="191"/>
      <c r="B76" s="192"/>
      <c r="C76" s="165" t="s">
        <v>165</v>
      </c>
      <c r="D76" s="480" t="s">
        <v>1296</v>
      </c>
      <c r="E76" s="481"/>
      <c r="F76" s="481"/>
      <c r="G76" s="481"/>
      <c r="H76" s="481"/>
      <c r="I76" s="481"/>
      <c r="J76" s="481"/>
      <c r="K76" s="481"/>
      <c r="L76" s="482"/>
      <c r="M76" s="194"/>
    </row>
    <row r="77" spans="1:43" ht="5.25" customHeight="1" x14ac:dyDescent="0.25">
      <c r="A77" s="176"/>
      <c r="B77" s="176"/>
      <c r="C77" s="177"/>
      <c r="D77" s="178"/>
      <c r="E77" s="179"/>
      <c r="F77" s="179"/>
      <c r="G77" s="179"/>
      <c r="H77" s="179"/>
      <c r="I77" s="179"/>
      <c r="J77" s="179"/>
      <c r="K77" s="179"/>
      <c r="L77" s="179"/>
      <c r="M77" s="179"/>
      <c r="N77" s="161"/>
      <c r="O77" s="162"/>
      <c r="Z77" s="162"/>
      <c r="AA77" s="162"/>
      <c r="AB77" s="162"/>
      <c r="AD77" s="163"/>
      <c r="AE77" s="163"/>
      <c r="AF77" s="163"/>
      <c r="AM77" s="163"/>
      <c r="AN77" s="163"/>
      <c r="AO77" s="164"/>
      <c r="AP77" s="164"/>
      <c r="AQ77" s="147"/>
    </row>
    <row r="78" spans="1:43" ht="5.25" customHeight="1" thickBot="1" x14ac:dyDescent="0.3">
      <c r="A78" s="176"/>
      <c r="B78" s="176"/>
      <c r="C78" s="177"/>
      <c r="D78" s="178"/>
      <c r="E78" s="179"/>
      <c r="F78" s="179"/>
      <c r="G78" s="179"/>
      <c r="H78" s="179"/>
      <c r="I78" s="179"/>
      <c r="J78" s="179"/>
      <c r="K78" s="179"/>
      <c r="L78" s="179"/>
      <c r="M78" s="179"/>
      <c r="N78" s="161"/>
      <c r="O78" s="162"/>
      <c r="Z78" s="162"/>
      <c r="AA78" s="162"/>
      <c r="AB78" s="162"/>
      <c r="AD78" s="163"/>
      <c r="AE78" s="163"/>
      <c r="AF78" s="163"/>
      <c r="AM78" s="163"/>
      <c r="AN78" s="163"/>
      <c r="AO78" s="164"/>
      <c r="AP78" s="164"/>
      <c r="AQ78" s="147"/>
    </row>
    <row r="79" spans="1:43" x14ac:dyDescent="0.25">
      <c r="A79" s="134" t="s">
        <v>123</v>
      </c>
      <c r="B79" s="135" t="s">
        <v>1220</v>
      </c>
      <c r="C79" s="135" t="s">
        <v>124</v>
      </c>
      <c r="D79" s="135" t="s">
        <v>1221</v>
      </c>
      <c r="E79" s="135" t="s">
        <v>1222</v>
      </c>
      <c r="F79" s="136" t="s">
        <v>127</v>
      </c>
      <c r="G79" s="137" t="s">
        <v>140</v>
      </c>
      <c r="H79" s="483" t="s">
        <v>129</v>
      </c>
      <c r="I79" s="484"/>
      <c r="J79" s="485"/>
      <c r="K79" s="483" t="s">
        <v>130</v>
      </c>
      <c r="L79" s="485"/>
      <c r="M79" s="138" t="s">
        <v>131</v>
      </c>
    </row>
    <row r="80" spans="1:43" ht="13.8" thickBot="1" x14ac:dyDescent="0.3">
      <c r="A80" s="180" t="s">
        <v>114</v>
      </c>
      <c r="B80" s="181" t="s">
        <v>114</v>
      </c>
      <c r="C80" s="181" t="s">
        <v>114</v>
      </c>
      <c r="D80" s="182" t="s">
        <v>135</v>
      </c>
      <c r="E80" s="181" t="s">
        <v>114</v>
      </c>
      <c r="F80" s="181" t="s">
        <v>114</v>
      </c>
      <c r="G80" s="183" t="s">
        <v>1223</v>
      </c>
      <c r="H80" s="184" t="s">
        <v>137</v>
      </c>
      <c r="I80" s="185" t="s">
        <v>138</v>
      </c>
      <c r="J80" s="186" t="s">
        <v>139</v>
      </c>
      <c r="K80" s="184" t="s">
        <v>140</v>
      </c>
      <c r="L80" s="186" t="s">
        <v>139</v>
      </c>
      <c r="M80" s="187" t="s">
        <v>141</v>
      </c>
      <c r="P80" s="147"/>
      <c r="Q80" s="147"/>
      <c r="R80" s="147"/>
      <c r="S80" s="147"/>
      <c r="T80" s="147"/>
      <c r="U80" s="147"/>
      <c r="V80" s="147"/>
      <c r="W80" s="147"/>
      <c r="X80" s="147"/>
    </row>
    <row r="81" spans="1:43" ht="26.4" x14ac:dyDescent="0.25">
      <c r="A81" s="188"/>
      <c r="B81" s="189"/>
      <c r="C81" s="189" t="s">
        <v>1224</v>
      </c>
      <c r="D81" s="150" t="s">
        <v>2169</v>
      </c>
      <c r="E81" s="151"/>
      <c r="F81" s="151"/>
      <c r="G81" s="151"/>
      <c r="H81" s="152"/>
      <c r="I81" s="152"/>
      <c r="J81" s="152"/>
      <c r="K81" s="153"/>
      <c r="L81" s="152"/>
      <c r="M81" s="190" t="s">
        <v>1225</v>
      </c>
      <c r="P81" s="155"/>
      <c r="Q81" s="147"/>
      <c r="R81" s="155"/>
      <c r="S81" s="155"/>
      <c r="T81" s="155"/>
      <c r="U81" s="155"/>
      <c r="V81" s="155"/>
      <c r="W81" s="155"/>
      <c r="X81" s="155"/>
      <c r="Y81" s="147"/>
      <c r="AI81" s="155"/>
      <c r="AJ81" s="155"/>
      <c r="AK81" s="155"/>
    </row>
    <row r="82" spans="1:43" s="366" customFormat="1" ht="20.25" customHeight="1" x14ac:dyDescent="0.25">
      <c r="A82" s="358" t="s">
        <v>228</v>
      </c>
      <c r="B82" s="168" t="s">
        <v>1227</v>
      </c>
      <c r="C82" s="168" t="s">
        <v>1297</v>
      </c>
      <c r="D82" s="360" t="s">
        <v>1298</v>
      </c>
      <c r="E82" s="168" t="s">
        <v>190</v>
      </c>
      <c r="F82" s="359">
        <v>1</v>
      </c>
      <c r="G82" s="311">
        <v>0</v>
      </c>
      <c r="H82" s="359">
        <f>ROUND(0.6*F82*G82,2)</f>
        <v>0</v>
      </c>
      <c r="I82" s="359">
        <f>J82-H82</f>
        <v>0</v>
      </c>
      <c r="J82" s="359">
        <f>ROUND(F82*G82,2)</f>
        <v>0</v>
      </c>
      <c r="K82" s="359">
        <v>0</v>
      </c>
      <c r="L82" s="359">
        <f>F82*K82</f>
        <v>0</v>
      </c>
      <c r="M82" s="372"/>
    </row>
    <row r="83" spans="1:43" ht="27.75" customHeight="1" x14ac:dyDescent="0.25">
      <c r="A83" s="191"/>
      <c r="B83" s="192"/>
      <c r="C83" s="165" t="s">
        <v>165</v>
      </c>
      <c r="D83" s="480" t="s">
        <v>1299</v>
      </c>
      <c r="E83" s="481"/>
      <c r="F83" s="481"/>
      <c r="G83" s="481"/>
      <c r="H83" s="481"/>
      <c r="I83" s="481"/>
      <c r="J83" s="481"/>
      <c r="K83" s="481"/>
      <c r="L83" s="482"/>
      <c r="M83" s="194"/>
    </row>
    <row r="84" spans="1:43" s="366" customFormat="1" ht="30" customHeight="1" x14ac:dyDescent="0.25">
      <c r="A84" s="358" t="s">
        <v>232</v>
      </c>
      <c r="B84" s="168" t="s">
        <v>1227</v>
      </c>
      <c r="C84" s="168" t="s">
        <v>1300</v>
      </c>
      <c r="D84" s="360" t="s">
        <v>1301</v>
      </c>
      <c r="E84" s="168" t="s">
        <v>190</v>
      </c>
      <c r="F84" s="359">
        <v>1</v>
      </c>
      <c r="G84" s="311">
        <v>0</v>
      </c>
      <c r="H84" s="359">
        <f>ROUND(0.6*F84*G84,2)</f>
        <v>0</v>
      </c>
      <c r="I84" s="359">
        <f>J84-H84</f>
        <v>0</v>
      </c>
      <c r="J84" s="359">
        <f>ROUND(F84*G84,2)</f>
        <v>0</v>
      </c>
      <c r="K84" s="359">
        <v>0</v>
      </c>
      <c r="L84" s="359">
        <f>F84*K84</f>
        <v>0</v>
      </c>
      <c r="M84" s="372"/>
    </row>
    <row r="85" spans="1:43" ht="18.75" customHeight="1" x14ac:dyDescent="0.25">
      <c r="A85" s="191"/>
      <c r="B85" s="192"/>
      <c r="C85" s="165" t="s">
        <v>165</v>
      </c>
      <c r="D85" s="480" t="s">
        <v>1302</v>
      </c>
      <c r="E85" s="481"/>
      <c r="F85" s="481"/>
      <c r="G85" s="481"/>
      <c r="H85" s="481"/>
      <c r="I85" s="481"/>
      <c r="J85" s="481"/>
      <c r="K85" s="481"/>
      <c r="L85" s="482"/>
      <c r="M85" s="194"/>
    </row>
    <row r="86" spans="1:43" s="366" customFormat="1" ht="20.25" customHeight="1" x14ac:dyDescent="0.25">
      <c r="A86" s="358" t="s">
        <v>235</v>
      </c>
      <c r="B86" s="168" t="s">
        <v>1227</v>
      </c>
      <c r="C86" s="168" t="s">
        <v>1303</v>
      </c>
      <c r="D86" s="360" t="s">
        <v>1304</v>
      </c>
      <c r="E86" s="168" t="s">
        <v>190</v>
      </c>
      <c r="F86" s="359">
        <v>1</v>
      </c>
      <c r="G86" s="311">
        <v>0</v>
      </c>
      <c r="H86" s="359">
        <f>ROUND(0.6*F86*G86,2)</f>
        <v>0</v>
      </c>
      <c r="I86" s="359">
        <f>J86-H86</f>
        <v>0</v>
      </c>
      <c r="J86" s="359">
        <f>ROUND(F86*G86,2)</f>
        <v>0</v>
      </c>
      <c r="K86" s="359">
        <v>0</v>
      </c>
      <c r="L86" s="359">
        <f>F86*K86</f>
        <v>0</v>
      </c>
      <c r="M86" s="372"/>
    </row>
    <row r="87" spans="1:43" ht="52.5" customHeight="1" x14ac:dyDescent="0.25">
      <c r="A87" s="195"/>
      <c r="B87" s="200"/>
      <c r="C87" s="197" t="s">
        <v>165</v>
      </c>
      <c r="D87" s="480" t="s">
        <v>1305</v>
      </c>
      <c r="E87" s="481"/>
      <c r="F87" s="481"/>
      <c r="G87" s="481"/>
      <c r="H87" s="481"/>
      <c r="I87" s="481"/>
      <c r="J87" s="481"/>
      <c r="K87" s="481"/>
      <c r="L87" s="482"/>
      <c r="M87" s="198"/>
    </row>
    <row r="88" spans="1:43" s="366" customFormat="1" ht="16.5" customHeight="1" x14ac:dyDescent="0.25">
      <c r="A88" s="358" t="s">
        <v>238</v>
      </c>
      <c r="B88" s="168" t="s">
        <v>1227</v>
      </c>
      <c r="C88" s="168" t="s">
        <v>1306</v>
      </c>
      <c r="D88" s="360" t="s">
        <v>1307</v>
      </c>
      <c r="E88" s="168" t="s">
        <v>190</v>
      </c>
      <c r="F88" s="359">
        <v>16</v>
      </c>
      <c r="G88" s="311">
        <v>0</v>
      </c>
      <c r="H88" s="359">
        <f>ROUND(0.6*F88*G88,2)</f>
        <v>0</v>
      </c>
      <c r="I88" s="359">
        <f>J88-H88</f>
        <v>0</v>
      </c>
      <c r="J88" s="359">
        <f>ROUND(F88*G88,2)</f>
        <v>0</v>
      </c>
      <c r="K88" s="359">
        <v>0</v>
      </c>
      <c r="L88" s="359">
        <f>F88*K88</f>
        <v>0</v>
      </c>
      <c r="M88" s="372"/>
    </row>
    <row r="89" spans="1:43" ht="67.2" customHeight="1" x14ac:dyDescent="0.25">
      <c r="A89" s="156"/>
      <c r="B89" s="192"/>
      <c r="C89" s="165" t="s">
        <v>165</v>
      </c>
      <c r="D89" s="480" t="s">
        <v>1308</v>
      </c>
      <c r="E89" s="481"/>
      <c r="F89" s="481"/>
      <c r="G89" s="481"/>
      <c r="H89" s="481"/>
      <c r="I89" s="481"/>
      <c r="J89" s="481"/>
      <c r="K89" s="481"/>
      <c r="L89" s="482"/>
      <c r="M89" s="194"/>
    </row>
    <row r="90" spans="1:43" s="366" customFormat="1" ht="16.5" customHeight="1" x14ac:dyDescent="0.25">
      <c r="A90" s="358" t="s">
        <v>241</v>
      </c>
      <c r="B90" s="168" t="s">
        <v>1227</v>
      </c>
      <c r="C90" s="168" t="s">
        <v>1309</v>
      </c>
      <c r="D90" s="360" t="s">
        <v>1307</v>
      </c>
      <c r="E90" s="168" t="s">
        <v>190</v>
      </c>
      <c r="F90" s="359">
        <v>3</v>
      </c>
      <c r="G90" s="311">
        <v>0</v>
      </c>
      <c r="H90" s="359">
        <f>ROUND(0.6*F90*G90,2)</f>
        <v>0</v>
      </c>
      <c r="I90" s="359">
        <f>J90-H90</f>
        <v>0</v>
      </c>
      <c r="J90" s="359">
        <f>ROUND(F90*G90,2)</f>
        <v>0</v>
      </c>
      <c r="K90" s="359">
        <v>0</v>
      </c>
      <c r="L90" s="359">
        <f>F90*K90</f>
        <v>0</v>
      </c>
      <c r="M90" s="372"/>
    </row>
    <row r="91" spans="1:43" ht="28.5" customHeight="1" x14ac:dyDescent="0.25">
      <c r="A91" s="156"/>
      <c r="B91" s="192"/>
      <c r="C91" s="165" t="s">
        <v>165</v>
      </c>
      <c r="D91" s="480" t="s">
        <v>1310</v>
      </c>
      <c r="E91" s="481"/>
      <c r="F91" s="481"/>
      <c r="G91" s="481"/>
      <c r="H91" s="481"/>
      <c r="I91" s="481"/>
      <c r="J91" s="481"/>
      <c r="K91" s="481"/>
      <c r="L91" s="482"/>
      <c r="M91" s="194"/>
    </row>
    <row r="92" spans="1:43" s="366" customFormat="1" x14ac:dyDescent="0.25">
      <c r="A92" s="358" t="s">
        <v>244</v>
      </c>
      <c r="B92" s="168" t="s">
        <v>1227</v>
      </c>
      <c r="C92" s="168" t="s">
        <v>1311</v>
      </c>
      <c r="D92" s="168" t="s">
        <v>1312</v>
      </c>
      <c r="E92" s="168" t="s">
        <v>190</v>
      </c>
      <c r="F92" s="359">
        <v>1</v>
      </c>
      <c r="G92" s="311">
        <v>0</v>
      </c>
      <c r="H92" s="359">
        <f>ROUND(0.6*F92*G92,2)</f>
        <v>0</v>
      </c>
      <c r="I92" s="359">
        <f>J92-H92</f>
        <v>0</v>
      </c>
      <c r="J92" s="359">
        <f>ROUND(F92*G92,2)</f>
        <v>0</v>
      </c>
      <c r="K92" s="359">
        <v>0</v>
      </c>
      <c r="L92" s="359">
        <f>F92*K92</f>
        <v>0</v>
      </c>
      <c r="M92" s="363"/>
      <c r="N92" s="364"/>
      <c r="O92" s="365"/>
      <c r="Z92" s="365"/>
      <c r="AA92" s="365"/>
      <c r="AB92" s="365"/>
      <c r="AD92" s="365"/>
      <c r="AE92" s="365"/>
      <c r="AF92" s="365"/>
      <c r="AM92" s="365"/>
      <c r="AN92" s="365"/>
      <c r="AO92" s="364"/>
      <c r="AP92" s="364"/>
      <c r="AQ92" s="367"/>
    </row>
    <row r="93" spans="1:43" ht="31.5" customHeight="1" x14ac:dyDescent="0.25">
      <c r="A93" s="191"/>
      <c r="B93" s="192"/>
      <c r="C93" s="165" t="s">
        <v>165</v>
      </c>
      <c r="D93" s="480" t="s">
        <v>1313</v>
      </c>
      <c r="E93" s="481"/>
      <c r="F93" s="481"/>
      <c r="G93" s="481"/>
      <c r="H93" s="481"/>
      <c r="I93" s="481"/>
      <c r="J93" s="481"/>
      <c r="K93" s="481"/>
      <c r="L93" s="482"/>
      <c r="M93" s="194"/>
    </row>
    <row r="94" spans="1:43" s="366" customFormat="1" x14ac:dyDescent="0.25">
      <c r="A94" s="358" t="s">
        <v>247</v>
      </c>
      <c r="B94" s="168" t="s">
        <v>1227</v>
      </c>
      <c r="C94" s="168" t="s">
        <v>1314</v>
      </c>
      <c r="D94" s="168" t="s">
        <v>1315</v>
      </c>
      <c r="E94" s="168" t="s">
        <v>190</v>
      </c>
      <c r="F94" s="359">
        <v>1</v>
      </c>
      <c r="G94" s="311">
        <v>0</v>
      </c>
      <c r="H94" s="359">
        <f>ROUND(0.6*F94*G94,2)</f>
        <v>0</v>
      </c>
      <c r="I94" s="359">
        <f>J94-H94</f>
        <v>0</v>
      </c>
      <c r="J94" s="359">
        <f>ROUND(F94*G94,2)</f>
        <v>0</v>
      </c>
      <c r="K94" s="359">
        <v>0</v>
      </c>
      <c r="L94" s="359">
        <f>F94*K94</f>
        <v>0</v>
      </c>
      <c r="M94" s="363"/>
      <c r="N94" s="364"/>
      <c r="O94" s="365"/>
      <c r="Z94" s="365"/>
      <c r="AA94" s="365"/>
      <c r="AB94" s="365"/>
      <c r="AD94" s="365"/>
      <c r="AE94" s="365"/>
      <c r="AF94" s="365"/>
      <c r="AM94" s="365"/>
      <c r="AN94" s="365"/>
      <c r="AO94" s="364"/>
      <c r="AP94" s="364"/>
      <c r="AQ94" s="367"/>
    </row>
    <row r="95" spans="1:43" ht="31.5" customHeight="1" x14ac:dyDescent="0.25">
      <c r="A95" s="191"/>
      <c r="B95" s="192"/>
      <c r="C95" s="165" t="s">
        <v>165</v>
      </c>
      <c r="D95" s="480" t="s">
        <v>1316</v>
      </c>
      <c r="E95" s="481"/>
      <c r="F95" s="481"/>
      <c r="G95" s="481"/>
      <c r="H95" s="481"/>
      <c r="I95" s="481"/>
      <c r="J95" s="481"/>
      <c r="K95" s="481"/>
      <c r="L95" s="482"/>
      <c r="M95" s="194"/>
    </row>
    <row r="96" spans="1:43" s="366" customFormat="1" x14ac:dyDescent="0.25">
      <c r="A96" s="358" t="s">
        <v>250</v>
      </c>
      <c r="B96" s="168" t="s">
        <v>1227</v>
      </c>
      <c r="C96" s="168" t="s">
        <v>1317</v>
      </c>
      <c r="D96" s="168" t="s">
        <v>1315</v>
      </c>
      <c r="E96" s="168" t="s">
        <v>190</v>
      </c>
      <c r="F96" s="359">
        <v>1</v>
      </c>
      <c r="G96" s="311">
        <v>0</v>
      </c>
      <c r="H96" s="359">
        <f>ROUND(0.6*F96*G96,2)</f>
        <v>0</v>
      </c>
      <c r="I96" s="359">
        <f>J96-H96</f>
        <v>0</v>
      </c>
      <c r="J96" s="359">
        <f>ROUND(F96*G96,2)</f>
        <v>0</v>
      </c>
      <c r="K96" s="359">
        <v>0</v>
      </c>
      <c r="L96" s="359">
        <f>F96*K96</f>
        <v>0</v>
      </c>
      <c r="M96" s="363"/>
      <c r="N96" s="364"/>
      <c r="O96" s="365"/>
      <c r="Z96" s="365"/>
      <c r="AA96" s="365"/>
      <c r="AB96" s="365"/>
      <c r="AD96" s="365"/>
      <c r="AE96" s="365"/>
      <c r="AF96" s="365"/>
      <c r="AM96" s="365"/>
      <c r="AN96" s="365"/>
      <c r="AO96" s="364"/>
      <c r="AP96" s="364"/>
      <c r="AQ96" s="367"/>
    </row>
    <row r="97" spans="1:43" ht="31.5" customHeight="1" x14ac:dyDescent="0.25">
      <c r="A97" s="191"/>
      <c r="B97" s="192"/>
      <c r="C97" s="165" t="s">
        <v>165</v>
      </c>
      <c r="D97" s="480" t="s">
        <v>1318</v>
      </c>
      <c r="E97" s="481"/>
      <c r="F97" s="481"/>
      <c r="G97" s="481"/>
      <c r="H97" s="481"/>
      <c r="I97" s="481"/>
      <c r="J97" s="481"/>
      <c r="K97" s="481"/>
      <c r="L97" s="482"/>
      <c r="M97" s="194"/>
    </row>
    <row r="98" spans="1:43" s="366" customFormat="1" ht="16.5" customHeight="1" x14ac:dyDescent="0.25">
      <c r="A98" s="358" t="s">
        <v>253</v>
      </c>
      <c r="B98" s="168" t="s">
        <v>1227</v>
      </c>
      <c r="C98" s="168" t="s">
        <v>1319</v>
      </c>
      <c r="D98" s="168" t="s">
        <v>1320</v>
      </c>
      <c r="E98" s="168" t="s">
        <v>190</v>
      </c>
      <c r="F98" s="359">
        <v>1</v>
      </c>
      <c r="G98" s="311">
        <v>0</v>
      </c>
      <c r="H98" s="359">
        <f>ROUND(0.6*F98*G98,2)</f>
        <v>0</v>
      </c>
      <c r="I98" s="359">
        <f>J98-H98</f>
        <v>0</v>
      </c>
      <c r="J98" s="359">
        <f>ROUND(F98*G98,2)</f>
        <v>0</v>
      </c>
      <c r="K98" s="359">
        <v>0</v>
      </c>
      <c r="L98" s="359">
        <f>F98*K98</f>
        <v>0</v>
      </c>
      <c r="M98" s="363"/>
      <c r="N98" s="364"/>
      <c r="O98" s="365"/>
      <c r="Z98" s="365"/>
      <c r="AA98" s="365"/>
      <c r="AB98" s="365"/>
      <c r="AD98" s="365"/>
      <c r="AE98" s="365"/>
      <c r="AF98" s="365"/>
      <c r="AM98" s="365"/>
      <c r="AN98" s="365"/>
      <c r="AO98" s="364"/>
      <c r="AP98" s="364"/>
      <c r="AQ98" s="367"/>
    </row>
    <row r="99" spans="1:43" ht="31.5" customHeight="1" x14ac:dyDescent="0.25">
      <c r="A99" s="191"/>
      <c r="B99" s="192"/>
      <c r="C99" s="165" t="s">
        <v>165</v>
      </c>
      <c r="D99" s="480" t="s">
        <v>1321</v>
      </c>
      <c r="E99" s="481"/>
      <c r="F99" s="481"/>
      <c r="G99" s="481"/>
      <c r="H99" s="481"/>
      <c r="I99" s="481"/>
      <c r="J99" s="481"/>
      <c r="K99" s="481"/>
      <c r="L99" s="482"/>
      <c r="M99" s="194"/>
    </row>
    <row r="100" spans="1:43" s="366" customFormat="1" ht="26.4" x14ac:dyDescent="0.25">
      <c r="A100" s="358" t="s">
        <v>256</v>
      </c>
      <c r="B100" s="168" t="s">
        <v>1227</v>
      </c>
      <c r="C100" s="168" t="s">
        <v>1322</v>
      </c>
      <c r="D100" s="360" t="s">
        <v>1323</v>
      </c>
      <c r="E100" s="168" t="s">
        <v>190</v>
      </c>
      <c r="F100" s="359">
        <v>1</v>
      </c>
      <c r="G100" s="311">
        <v>0</v>
      </c>
      <c r="H100" s="359">
        <f>ROUND(0.6*F100*G100,2)</f>
        <v>0</v>
      </c>
      <c r="I100" s="359">
        <f>J100-H100</f>
        <v>0</v>
      </c>
      <c r="J100" s="359">
        <f>ROUND(F100*G100,2)</f>
        <v>0</v>
      </c>
      <c r="K100" s="359">
        <v>0</v>
      </c>
      <c r="L100" s="359">
        <f>F100*K100</f>
        <v>0</v>
      </c>
      <c r="M100" s="363"/>
      <c r="N100" s="364"/>
      <c r="O100" s="365"/>
      <c r="Z100" s="365"/>
      <c r="AA100" s="365"/>
      <c r="AB100" s="365"/>
      <c r="AD100" s="365"/>
      <c r="AE100" s="365"/>
      <c r="AF100" s="365"/>
      <c r="AM100" s="365"/>
      <c r="AN100" s="365"/>
      <c r="AO100" s="364"/>
      <c r="AP100" s="364"/>
      <c r="AQ100" s="367"/>
    </row>
    <row r="101" spans="1:43" ht="30" customHeight="1" x14ac:dyDescent="0.25">
      <c r="A101" s="156"/>
      <c r="B101" s="192"/>
      <c r="C101" s="165" t="s">
        <v>165</v>
      </c>
      <c r="D101" s="480" t="s">
        <v>1324</v>
      </c>
      <c r="E101" s="481"/>
      <c r="F101" s="481"/>
      <c r="G101" s="481"/>
      <c r="H101" s="481"/>
      <c r="I101" s="481"/>
      <c r="J101" s="481"/>
      <c r="K101" s="481"/>
      <c r="L101" s="482"/>
      <c r="M101" s="194"/>
    </row>
    <row r="102" spans="1:43" s="366" customFormat="1" ht="32.25" customHeight="1" x14ac:dyDescent="0.25">
      <c r="A102" s="358" t="s">
        <v>260</v>
      </c>
      <c r="B102" s="168" t="s">
        <v>1227</v>
      </c>
      <c r="C102" s="168" t="s">
        <v>1325</v>
      </c>
      <c r="D102" s="201" t="s">
        <v>1326</v>
      </c>
      <c r="E102" s="168" t="s">
        <v>190</v>
      </c>
      <c r="F102" s="359">
        <v>0</v>
      </c>
      <c r="G102" s="373"/>
      <c r="H102" s="359">
        <f>ROUND(0.6*F102*G102,2)</f>
        <v>0</v>
      </c>
      <c r="I102" s="359">
        <f>J102-H102</f>
        <v>0</v>
      </c>
      <c r="J102" s="359">
        <f>ROUND(F102*G102,2)</f>
        <v>0</v>
      </c>
      <c r="K102" s="359">
        <v>0</v>
      </c>
      <c r="L102" s="359">
        <f>F102*K102</f>
        <v>0</v>
      </c>
      <c r="M102" s="363"/>
      <c r="N102" s="364"/>
      <c r="O102" s="365"/>
      <c r="Z102" s="365"/>
      <c r="AA102" s="365"/>
      <c r="AB102" s="365"/>
      <c r="AD102" s="365"/>
      <c r="AE102" s="365"/>
      <c r="AF102" s="365"/>
      <c r="AM102" s="365"/>
      <c r="AN102" s="365"/>
      <c r="AO102" s="364"/>
      <c r="AP102" s="364"/>
      <c r="AQ102" s="367"/>
    </row>
    <row r="103" spans="1:43" ht="19.5" customHeight="1" thickBot="1" x14ac:dyDescent="0.3">
      <c r="A103" s="195"/>
      <c r="B103" s="200"/>
      <c r="C103" s="197" t="s">
        <v>165</v>
      </c>
      <c r="D103" s="486" t="s">
        <v>2173</v>
      </c>
      <c r="E103" s="487"/>
      <c r="F103" s="487"/>
      <c r="G103" s="487"/>
      <c r="H103" s="487"/>
      <c r="I103" s="487"/>
      <c r="J103" s="487"/>
      <c r="K103" s="487"/>
      <c r="L103" s="488"/>
      <c r="M103" s="198"/>
    </row>
    <row r="104" spans="1:43" s="366" customFormat="1" ht="20.25" customHeight="1" x14ac:dyDescent="0.25">
      <c r="A104" s="358" t="s">
        <v>264</v>
      </c>
      <c r="B104" s="168" t="s">
        <v>1227</v>
      </c>
      <c r="C104" s="168" t="s">
        <v>1327</v>
      </c>
      <c r="D104" s="360" t="s">
        <v>1328</v>
      </c>
      <c r="E104" s="168" t="s">
        <v>466</v>
      </c>
      <c r="F104" s="359">
        <v>4</v>
      </c>
      <c r="G104" s="311">
        <v>0</v>
      </c>
      <c r="H104" s="359">
        <f>ROUND(0.6*F104*G104,2)</f>
        <v>0</v>
      </c>
      <c r="I104" s="359">
        <f>J104-H104</f>
        <v>0</v>
      </c>
      <c r="J104" s="359">
        <f>ROUND(F104*G104,2)</f>
        <v>0</v>
      </c>
      <c r="K104" s="359">
        <v>0</v>
      </c>
      <c r="L104" s="359">
        <f>F104*K104</f>
        <v>0</v>
      </c>
      <c r="M104" s="363"/>
    </row>
    <row r="105" spans="1:43" ht="41.25" customHeight="1" x14ac:dyDescent="0.25">
      <c r="A105" s="156"/>
      <c r="B105" s="192"/>
      <c r="C105" s="165" t="s">
        <v>165</v>
      </c>
      <c r="D105" s="480" t="s">
        <v>1329</v>
      </c>
      <c r="E105" s="481"/>
      <c r="F105" s="481"/>
      <c r="G105" s="481"/>
      <c r="H105" s="481"/>
      <c r="I105" s="481"/>
      <c r="J105" s="481"/>
      <c r="K105" s="481"/>
      <c r="L105" s="482"/>
      <c r="M105" s="194"/>
    </row>
    <row r="106" spans="1:43" s="366" customFormat="1" ht="27" customHeight="1" x14ac:dyDescent="0.25">
      <c r="A106" s="358" t="s">
        <v>267</v>
      </c>
      <c r="B106" s="168" t="s">
        <v>1227</v>
      </c>
      <c r="C106" s="168" t="s">
        <v>1330</v>
      </c>
      <c r="D106" s="360" t="s">
        <v>1331</v>
      </c>
      <c r="E106" s="168" t="s">
        <v>466</v>
      </c>
      <c r="F106" s="359">
        <v>1</v>
      </c>
      <c r="G106" s="311">
        <v>0</v>
      </c>
      <c r="H106" s="359">
        <f>ROUND(0.6*F106*G106,2)</f>
        <v>0</v>
      </c>
      <c r="I106" s="359">
        <f>J106-H106</f>
        <v>0</v>
      </c>
      <c r="J106" s="359">
        <f>ROUND(F106*G106,2)</f>
        <v>0</v>
      </c>
      <c r="K106" s="359">
        <v>0</v>
      </c>
      <c r="L106" s="359">
        <f>F106*K106</f>
        <v>0</v>
      </c>
      <c r="M106" s="372"/>
    </row>
    <row r="107" spans="1:43" ht="29.25" customHeight="1" x14ac:dyDescent="0.25">
      <c r="A107" s="156"/>
      <c r="B107" s="192"/>
      <c r="C107" s="165" t="s">
        <v>165</v>
      </c>
      <c r="D107" s="480" t="s">
        <v>1332</v>
      </c>
      <c r="E107" s="481"/>
      <c r="F107" s="481"/>
      <c r="G107" s="481"/>
      <c r="H107" s="481"/>
      <c r="I107" s="481"/>
      <c r="J107" s="481"/>
      <c r="K107" s="481"/>
      <c r="L107" s="482"/>
      <c r="M107" s="194"/>
    </row>
    <row r="108" spans="1:43" ht="5.25" customHeight="1" x14ac:dyDescent="0.25">
      <c r="A108" s="176"/>
      <c r="B108" s="176"/>
      <c r="C108" s="177"/>
      <c r="D108" s="178"/>
      <c r="E108" s="179"/>
      <c r="F108" s="179"/>
      <c r="G108" s="179"/>
      <c r="H108" s="179"/>
      <c r="I108" s="179"/>
      <c r="J108" s="179"/>
      <c r="K108" s="179"/>
      <c r="L108" s="179"/>
      <c r="M108" s="179"/>
      <c r="N108" s="161"/>
      <c r="O108" s="162"/>
      <c r="Z108" s="162"/>
      <c r="AA108" s="162"/>
      <c r="AB108" s="162"/>
      <c r="AD108" s="163"/>
      <c r="AE108" s="163"/>
      <c r="AF108" s="163"/>
      <c r="AM108" s="163"/>
      <c r="AN108" s="163"/>
      <c r="AO108" s="164"/>
      <c r="AP108" s="164"/>
      <c r="AQ108" s="147"/>
    </row>
    <row r="109" spans="1:43" ht="5.25" customHeight="1" thickBot="1" x14ac:dyDescent="0.3">
      <c r="A109" s="176"/>
      <c r="B109" s="176"/>
      <c r="C109" s="177"/>
      <c r="D109" s="178"/>
      <c r="E109" s="179"/>
      <c r="F109" s="179"/>
      <c r="G109" s="179"/>
      <c r="H109" s="179"/>
      <c r="I109" s="179"/>
      <c r="J109" s="179"/>
      <c r="K109" s="179"/>
      <c r="L109" s="179"/>
      <c r="M109" s="179"/>
      <c r="N109" s="161"/>
      <c r="O109" s="162"/>
      <c r="Z109" s="162"/>
      <c r="AA109" s="162"/>
      <c r="AB109" s="162"/>
      <c r="AD109" s="163"/>
      <c r="AE109" s="163"/>
      <c r="AF109" s="163"/>
      <c r="AM109" s="163"/>
      <c r="AN109" s="163"/>
      <c r="AO109" s="164"/>
      <c r="AP109" s="164"/>
      <c r="AQ109" s="147"/>
    </row>
    <row r="110" spans="1:43" x14ac:dyDescent="0.25">
      <c r="A110" s="134" t="s">
        <v>123</v>
      </c>
      <c r="B110" s="135" t="s">
        <v>1220</v>
      </c>
      <c r="C110" s="135" t="s">
        <v>124</v>
      </c>
      <c r="D110" s="135" t="s">
        <v>1221</v>
      </c>
      <c r="E110" s="135" t="s">
        <v>1222</v>
      </c>
      <c r="F110" s="136" t="s">
        <v>127</v>
      </c>
      <c r="G110" s="137" t="s">
        <v>140</v>
      </c>
      <c r="H110" s="483" t="s">
        <v>129</v>
      </c>
      <c r="I110" s="484"/>
      <c r="J110" s="485"/>
      <c r="K110" s="483" t="s">
        <v>130</v>
      </c>
      <c r="L110" s="485"/>
      <c r="M110" s="138" t="s">
        <v>131</v>
      </c>
    </row>
    <row r="111" spans="1:43" ht="13.8" thickBot="1" x14ac:dyDescent="0.3">
      <c r="A111" s="180" t="s">
        <v>114</v>
      </c>
      <c r="B111" s="181" t="s">
        <v>114</v>
      </c>
      <c r="C111" s="181" t="s">
        <v>114</v>
      </c>
      <c r="D111" s="182" t="s">
        <v>135</v>
      </c>
      <c r="E111" s="181" t="s">
        <v>114</v>
      </c>
      <c r="F111" s="181" t="s">
        <v>114</v>
      </c>
      <c r="G111" s="183" t="s">
        <v>1223</v>
      </c>
      <c r="H111" s="184" t="s">
        <v>137</v>
      </c>
      <c r="I111" s="185" t="s">
        <v>138</v>
      </c>
      <c r="J111" s="186" t="s">
        <v>139</v>
      </c>
      <c r="K111" s="184" t="s">
        <v>140</v>
      </c>
      <c r="L111" s="186" t="s">
        <v>139</v>
      </c>
      <c r="M111" s="187" t="s">
        <v>141</v>
      </c>
      <c r="P111" s="147"/>
      <c r="Q111" s="147"/>
      <c r="R111" s="147"/>
      <c r="S111" s="147"/>
      <c r="T111" s="147"/>
      <c r="U111" s="147"/>
      <c r="V111" s="147"/>
      <c r="W111" s="147"/>
      <c r="X111" s="147"/>
    </row>
    <row r="112" spans="1:43" ht="26.4" x14ac:dyDescent="0.25">
      <c r="A112" s="188"/>
      <c r="B112" s="189"/>
      <c r="C112" s="189" t="s">
        <v>1224</v>
      </c>
      <c r="D112" s="150" t="s">
        <v>2169</v>
      </c>
      <c r="E112" s="151"/>
      <c r="F112" s="151"/>
      <c r="G112" s="151"/>
      <c r="H112" s="152"/>
      <c r="I112" s="152"/>
      <c r="J112" s="152"/>
      <c r="K112" s="153"/>
      <c r="L112" s="152"/>
      <c r="M112" s="190" t="s">
        <v>1225</v>
      </c>
      <c r="P112" s="155"/>
      <c r="Q112" s="147"/>
      <c r="R112" s="155"/>
      <c r="S112" s="155"/>
      <c r="T112" s="155"/>
      <c r="U112" s="155"/>
      <c r="V112" s="155"/>
      <c r="W112" s="155"/>
      <c r="X112" s="155"/>
      <c r="Y112" s="147"/>
      <c r="AI112" s="155"/>
      <c r="AJ112" s="155"/>
      <c r="AK112" s="155"/>
    </row>
    <row r="113" spans="1:43" s="366" customFormat="1" ht="18.75" customHeight="1" x14ac:dyDescent="0.25">
      <c r="A113" s="358" t="s">
        <v>271</v>
      </c>
      <c r="B113" s="168" t="s">
        <v>1227</v>
      </c>
      <c r="C113" s="168" t="s">
        <v>1333</v>
      </c>
      <c r="D113" s="360" t="s">
        <v>1334</v>
      </c>
      <c r="E113" s="168" t="s">
        <v>466</v>
      </c>
      <c r="F113" s="359">
        <v>12</v>
      </c>
      <c r="G113" s="311">
        <v>0</v>
      </c>
      <c r="H113" s="359">
        <f>ROUND(0.6*F113*G113,2)</f>
        <v>0</v>
      </c>
      <c r="I113" s="359">
        <f>J113-H113</f>
        <v>0</v>
      </c>
      <c r="J113" s="359">
        <f>ROUND(F113*G113,2)</f>
        <v>0</v>
      </c>
      <c r="K113" s="359">
        <v>0</v>
      </c>
      <c r="L113" s="359">
        <f>F113*K113</f>
        <v>0</v>
      </c>
      <c r="M113" s="372"/>
    </row>
    <row r="114" spans="1:43" ht="29.25" customHeight="1" x14ac:dyDescent="0.25">
      <c r="A114" s="156"/>
      <c r="B114" s="192"/>
      <c r="C114" s="165" t="s">
        <v>165</v>
      </c>
      <c r="D114" s="480" t="s">
        <v>1335</v>
      </c>
      <c r="E114" s="481"/>
      <c r="F114" s="481"/>
      <c r="G114" s="481"/>
      <c r="H114" s="481"/>
      <c r="I114" s="481"/>
      <c r="J114" s="481"/>
      <c r="K114" s="481"/>
      <c r="L114" s="482"/>
      <c r="M114" s="194"/>
    </row>
    <row r="115" spans="1:43" s="366" customFormat="1" x14ac:dyDescent="0.25">
      <c r="A115" s="358" t="s">
        <v>276</v>
      </c>
      <c r="B115" s="168" t="s">
        <v>1227</v>
      </c>
      <c r="C115" s="168" t="s">
        <v>1336</v>
      </c>
      <c r="D115" s="168" t="s">
        <v>1337</v>
      </c>
      <c r="E115" s="168" t="s">
        <v>190</v>
      </c>
      <c r="F115" s="359">
        <v>4</v>
      </c>
      <c r="G115" s="311">
        <v>0</v>
      </c>
      <c r="H115" s="359">
        <f>ROUND(F115*AE115,2)</f>
        <v>0</v>
      </c>
      <c r="I115" s="359">
        <f>J115-H115</f>
        <v>0</v>
      </c>
      <c r="J115" s="359">
        <f>ROUND(F115*G115,2)</f>
        <v>0</v>
      </c>
      <c r="K115" s="359">
        <v>0</v>
      </c>
      <c r="L115" s="359">
        <f>F115*K115</f>
        <v>0</v>
      </c>
      <c r="M115" s="363"/>
      <c r="N115" s="364"/>
      <c r="O115" s="365"/>
      <c r="Z115" s="365"/>
      <c r="AA115" s="365"/>
      <c r="AB115" s="365"/>
      <c r="AD115" s="365"/>
      <c r="AE115" s="365"/>
      <c r="AF115" s="365"/>
      <c r="AM115" s="365"/>
      <c r="AN115" s="365"/>
      <c r="AO115" s="364"/>
      <c r="AP115" s="364"/>
      <c r="AQ115" s="367"/>
    </row>
    <row r="116" spans="1:43" ht="29.25" customHeight="1" x14ac:dyDescent="0.25">
      <c r="A116" s="156"/>
      <c r="B116" s="192"/>
      <c r="C116" s="165" t="s">
        <v>165</v>
      </c>
      <c r="D116" s="480" t="s">
        <v>1338</v>
      </c>
      <c r="E116" s="481"/>
      <c r="F116" s="481"/>
      <c r="G116" s="481"/>
      <c r="H116" s="481"/>
      <c r="I116" s="481"/>
      <c r="J116" s="481"/>
      <c r="K116" s="481"/>
      <c r="L116" s="482"/>
      <c r="M116" s="194"/>
    </row>
    <row r="117" spans="1:43" s="366" customFormat="1" ht="32.25" customHeight="1" x14ac:dyDescent="0.25">
      <c r="A117" s="358" t="s">
        <v>281</v>
      </c>
      <c r="B117" s="168" t="s">
        <v>1227</v>
      </c>
      <c r="C117" s="168" t="s">
        <v>1339</v>
      </c>
      <c r="D117" s="360" t="s">
        <v>1340</v>
      </c>
      <c r="E117" s="168" t="s">
        <v>190</v>
      </c>
      <c r="F117" s="359">
        <v>1</v>
      </c>
      <c r="G117" s="311">
        <v>0</v>
      </c>
      <c r="H117" s="359">
        <f>ROUND(F117*AE117,2)</f>
        <v>0</v>
      </c>
      <c r="I117" s="359">
        <f>J117-H117</f>
        <v>0</v>
      </c>
      <c r="J117" s="359">
        <f>ROUND(F117*G117,2)</f>
        <v>0</v>
      </c>
      <c r="K117" s="359">
        <v>0</v>
      </c>
      <c r="L117" s="359">
        <f>F117*K117</f>
        <v>0</v>
      </c>
      <c r="M117" s="371"/>
    </row>
    <row r="118" spans="1:43" ht="15.75" customHeight="1" x14ac:dyDescent="0.25">
      <c r="A118" s="202"/>
      <c r="B118" s="200"/>
      <c r="C118" s="197" t="s">
        <v>165</v>
      </c>
      <c r="D118" s="480" t="s">
        <v>1341</v>
      </c>
      <c r="E118" s="481"/>
      <c r="F118" s="481"/>
      <c r="G118" s="481"/>
      <c r="H118" s="481"/>
      <c r="I118" s="481"/>
      <c r="J118" s="481"/>
      <c r="K118" s="481"/>
      <c r="L118" s="482"/>
      <c r="M118" s="198"/>
    </row>
    <row r="119" spans="1:43" s="366" customFormat="1" ht="30" customHeight="1" x14ac:dyDescent="0.25">
      <c r="A119" s="358" t="s">
        <v>285</v>
      </c>
      <c r="B119" s="168" t="s">
        <v>1227</v>
      </c>
      <c r="C119" s="168" t="s">
        <v>1342</v>
      </c>
      <c r="D119" s="360" t="s">
        <v>1343</v>
      </c>
      <c r="E119" s="168" t="s">
        <v>190</v>
      </c>
      <c r="F119" s="359">
        <v>1</v>
      </c>
      <c r="G119" s="311">
        <v>0</v>
      </c>
      <c r="H119" s="359">
        <f>ROUND(F119*AE119,2)</f>
        <v>0</v>
      </c>
      <c r="I119" s="359">
        <f>J119-H119</f>
        <v>0</v>
      </c>
      <c r="J119" s="359">
        <f>ROUND(F119*G119,2)</f>
        <v>0</v>
      </c>
      <c r="K119" s="359">
        <v>0</v>
      </c>
      <c r="L119" s="359">
        <f>F119*K119</f>
        <v>0</v>
      </c>
      <c r="M119" s="363"/>
      <c r="N119" s="364"/>
      <c r="O119" s="365"/>
      <c r="Z119" s="365"/>
      <c r="AA119" s="365"/>
      <c r="AB119" s="365"/>
      <c r="AD119" s="365"/>
      <c r="AE119" s="365"/>
      <c r="AF119" s="365"/>
      <c r="AM119" s="365"/>
      <c r="AN119" s="365"/>
      <c r="AO119" s="364"/>
      <c r="AP119" s="364"/>
      <c r="AQ119" s="367"/>
    </row>
    <row r="120" spans="1:43" ht="18.75" customHeight="1" x14ac:dyDescent="0.25">
      <c r="A120" s="191"/>
      <c r="B120" s="192"/>
      <c r="C120" s="165" t="s">
        <v>165</v>
      </c>
      <c r="D120" s="480" t="s">
        <v>1344</v>
      </c>
      <c r="E120" s="481"/>
      <c r="F120" s="481"/>
      <c r="G120" s="481"/>
      <c r="H120" s="481"/>
      <c r="I120" s="481"/>
      <c r="J120" s="481"/>
      <c r="K120" s="481"/>
      <c r="L120" s="482"/>
      <c r="M120" s="194"/>
    </row>
    <row r="121" spans="1:43" s="366" customFormat="1" ht="26.4" x14ac:dyDescent="0.25">
      <c r="A121" s="358" t="s">
        <v>290</v>
      </c>
      <c r="B121" s="168" t="s">
        <v>1227</v>
      </c>
      <c r="C121" s="168" t="s">
        <v>1345</v>
      </c>
      <c r="D121" s="360" t="s">
        <v>1346</v>
      </c>
      <c r="E121" s="168" t="s">
        <v>190</v>
      </c>
      <c r="F121" s="359">
        <v>5</v>
      </c>
      <c r="G121" s="311">
        <v>0</v>
      </c>
      <c r="H121" s="359">
        <f>ROUND(F121*AE121,2)</f>
        <v>0</v>
      </c>
      <c r="I121" s="359">
        <f>J121-H121</f>
        <v>0</v>
      </c>
      <c r="J121" s="359">
        <f>ROUND(F121*G121,2)</f>
        <v>0</v>
      </c>
      <c r="K121" s="359">
        <v>0</v>
      </c>
      <c r="L121" s="359">
        <f>F121*K121</f>
        <v>0</v>
      </c>
      <c r="M121" s="363"/>
      <c r="N121" s="364"/>
      <c r="O121" s="365"/>
      <c r="Z121" s="365"/>
      <c r="AA121" s="365"/>
      <c r="AB121" s="365"/>
      <c r="AD121" s="365"/>
      <c r="AE121" s="365"/>
      <c r="AF121" s="365"/>
      <c r="AM121" s="365"/>
      <c r="AN121" s="365"/>
      <c r="AO121" s="364"/>
      <c r="AP121" s="364"/>
      <c r="AQ121" s="367"/>
    </row>
    <row r="122" spans="1:43" ht="13.2" customHeight="1" x14ac:dyDescent="0.25">
      <c r="A122" s="156"/>
      <c r="B122" s="157"/>
      <c r="C122" s="165" t="s">
        <v>165</v>
      </c>
      <c r="D122" s="480" t="s">
        <v>1347</v>
      </c>
      <c r="E122" s="481"/>
      <c r="F122" s="481"/>
      <c r="G122" s="481"/>
      <c r="H122" s="481"/>
      <c r="I122" s="481"/>
      <c r="J122" s="481"/>
      <c r="K122" s="481"/>
      <c r="L122" s="482"/>
      <c r="M122" s="167"/>
      <c r="N122" s="161"/>
      <c r="O122" s="162"/>
      <c r="Z122" s="162"/>
      <c r="AA122" s="162"/>
      <c r="AB122" s="162"/>
      <c r="AD122" s="163"/>
      <c r="AE122" s="163"/>
      <c r="AF122" s="163"/>
      <c r="AM122" s="163"/>
      <c r="AN122" s="163"/>
      <c r="AO122" s="164"/>
      <c r="AP122" s="164"/>
      <c r="AQ122" s="147"/>
    </row>
    <row r="123" spans="1:43" s="366" customFormat="1" ht="26.4" x14ac:dyDescent="0.25">
      <c r="A123" s="358" t="s">
        <v>294</v>
      </c>
      <c r="B123" s="168" t="s">
        <v>1227</v>
      </c>
      <c r="C123" s="168" t="s">
        <v>1348</v>
      </c>
      <c r="D123" s="360" t="s">
        <v>1349</v>
      </c>
      <c r="E123" s="168" t="s">
        <v>190</v>
      </c>
      <c r="F123" s="359">
        <v>5</v>
      </c>
      <c r="G123" s="311">
        <v>0</v>
      </c>
      <c r="H123" s="359">
        <f>ROUND(F123*AE123,2)</f>
        <v>0</v>
      </c>
      <c r="I123" s="359">
        <f>J123-H123</f>
        <v>0</v>
      </c>
      <c r="J123" s="359">
        <f>ROUND(F123*G123,2)</f>
        <v>0</v>
      </c>
      <c r="K123" s="359">
        <v>0</v>
      </c>
      <c r="L123" s="359">
        <f>F123*K123</f>
        <v>0</v>
      </c>
      <c r="M123" s="363"/>
      <c r="N123" s="364"/>
      <c r="O123" s="365"/>
      <c r="Z123" s="365"/>
      <c r="AA123" s="365"/>
      <c r="AB123" s="365"/>
      <c r="AD123" s="365"/>
      <c r="AE123" s="365"/>
      <c r="AF123" s="365"/>
      <c r="AM123" s="365"/>
      <c r="AN123" s="365"/>
      <c r="AO123" s="364"/>
      <c r="AP123" s="364"/>
      <c r="AQ123" s="367"/>
    </row>
    <row r="124" spans="1:43" ht="15.75" customHeight="1" x14ac:dyDescent="0.25">
      <c r="A124" s="156"/>
      <c r="B124" s="192"/>
      <c r="C124" s="165" t="s">
        <v>165</v>
      </c>
      <c r="D124" s="480" t="s">
        <v>1350</v>
      </c>
      <c r="E124" s="481"/>
      <c r="F124" s="481"/>
      <c r="G124" s="481"/>
      <c r="H124" s="481"/>
      <c r="I124" s="481"/>
      <c r="J124" s="481"/>
      <c r="K124" s="481"/>
      <c r="L124" s="482"/>
      <c r="M124" s="194"/>
    </row>
    <row r="125" spans="1:43" s="366" customFormat="1" x14ac:dyDescent="0.25">
      <c r="A125" s="358" t="s">
        <v>300</v>
      </c>
      <c r="B125" s="168" t="s">
        <v>1227</v>
      </c>
      <c r="C125" s="168" t="s">
        <v>1351</v>
      </c>
      <c r="D125" s="168" t="s">
        <v>1352</v>
      </c>
      <c r="E125" s="168" t="s">
        <v>190</v>
      </c>
      <c r="F125" s="359">
        <v>1</v>
      </c>
      <c r="G125" s="311">
        <v>0</v>
      </c>
      <c r="H125" s="359">
        <f>ROUND(0.6*F125*G125,2)</f>
        <v>0</v>
      </c>
      <c r="I125" s="359">
        <f>J125-H125</f>
        <v>0</v>
      </c>
      <c r="J125" s="359">
        <f>ROUND(F125*G125,2)</f>
        <v>0</v>
      </c>
      <c r="K125" s="359">
        <v>0</v>
      </c>
      <c r="L125" s="359">
        <f>F125*K125</f>
        <v>0</v>
      </c>
      <c r="M125" s="363"/>
      <c r="N125" s="364"/>
      <c r="O125" s="365"/>
      <c r="Z125" s="365"/>
      <c r="AA125" s="365"/>
      <c r="AB125" s="365"/>
      <c r="AD125" s="365"/>
      <c r="AE125" s="365"/>
      <c r="AF125" s="365"/>
      <c r="AM125" s="365"/>
      <c r="AN125" s="365"/>
      <c r="AO125" s="364"/>
      <c r="AP125" s="364"/>
      <c r="AQ125" s="367"/>
    </row>
    <row r="126" spans="1:43" ht="30" customHeight="1" x14ac:dyDescent="0.25">
      <c r="A126" s="156"/>
      <c r="B126" s="157"/>
      <c r="C126" s="165" t="s">
        <v>165</v>
      </c>
      <c r="D126" s="480" t="s">
        <v>1353</v>
      </c>
      <c r="E126" s="481"/>
      <c r="F126" s="481"/>
      <c r="G126" s="481"/>
      <c r="H126" s="481"/>
      <c r="I126" s="481"/>
      <c r="J126" s="481"/>
      <c r="K126" s="481"/>
      <c r="L126" s="482"/>
      <c r="M126" s="194"/>
    </row>
    <row r="127" spans="1:43" s="366" customFormat="1" x14ac:dyDescent="0.25">
      <c r="A127" s="358" t="s">
        <v>307</v>
      </c>
      <c r="B127" s="168" t="s">
        <v>1227</v>
      </c>
      <c r="C127" s="168" t="s">
        <v>1354</v>
      </c>
      <c r="D127" s="168" t="s">
        <v>1355</v>
      </c>
      <c r="E127" s="168" t="s">
        <v>190</v>
      </c>
      <c r="F127" s="359">
        <v>1</v>
      </c>
      <c r="G127" s="311">
        <v>0</v>
      </c>
      <c r="H127" s="359">
        <f>ROUND(0.1*F127*G127,2)</f>
        <v>0</v>
      </c>
      <c r="I127" s="359">
        <f>J127-H127</f>
        <v>0</v>
      </c>
      <c r="J127" s="359">
        <f>ROUND(F127*G127,2)</f>
        <v>0</v>
      </c>
      <c r="K127" s="359">
        <v>0</v>
      </c>
      <c r="L127" s="359">
        <f>F127*K127</f>
        <v>0</v>
      </c>
      <c r="M127" s="374"/>
    </row>
    <row r="128" spans="1:43" ht="42" customHeight="1" x14ac:dyDescent="0.25">
      <c r="A128" s="156"/>
      <c r="B128" s="192"/>
      <c r="C128" s="165" t="s">
        <v>165</v>
      </c>
      <c r="D128" s="480" t="s">
        <v>1356</v>
      </c>
      <c r="E128" s="481"/>
      <c r="F128" s="481"/>
      <c r="G128" s="481"/>
      <c r="H128" s="481"/>
      <c r="I128" s="481"/>
      <c r="J128" s="481"/>
      <c r="K128" s="481"/>
      <c r="L128" s="482"/>
      <c r="M128" s="203"/>
    </row>
    <row r="129" spans="1:13" s="366" customFormat="1" x14ac:dyDescent="0.25">
      <c r="A129" s="358" t="s">
        <v>312</v>
      </c>
      <c r="B129" s="168" t="s">
        <v>1227</v>
      </c>
      <c r="C129" s="168" t="s">
        <v>1357</v>
      </c>
      <c r="D129" s="360" t="s">
        <v>1358</v>
      </c>
      <c r="E129" s="168" t="s">
        <v>190</v>
      </c>
      <c r="F129" s="359">
        <v>4</v>
      </c>
      <c r="G129" s="311">
        <v>0</v>
      </c>
      <c r="H129" s="359">
        <f>ROUND(0.1*F129*G129,2)</f>
        <v>0</v>
      </c>
      <c r="I129" s="359">
        <f>J129-H129</f>
        <v>0</v>
      </c>
      <c r="J129" s="359">
        <f>ROUND(F129*G129,2)</f>
        <v>0</v>
      </c>
      <c r="K129" s="359">
        <v>0</v>
      </c>
      <c r="L129" s="359">
        <f>F129*K129</f>
        <v>0</v>
      </c>
      <c r="M129" s="374"/>
    </row>
    <row r="130" spans="1:13" ht="13.95" customHeight="1" x14ac:dyDescent="0.25">
      <c r="A130" s="156"/>
      <c r="B130" s="192"/>
      <c r="C130" s="165" t="s">
        <v>165</v>
      </c>
      <c r="D130" s="480" t="s">
        <v>1359</v>
      </c>
      <c r="E130" s="481"/>
      <c r="F130" s="481"/>
      <c r="G130" s="481"/>
      <c r="H130" s="481"/>
      <c r="I130" s="481"/>
      <c r="J130" s="481"/>
      <c r="K130" s="481"/>
      <c r="L130" s="482"/>
      <c r="M130" s="203"/>
    </row>
    <row r="131" spans="1:13" s="366" customFormat="1" ht="15.6" customHeight="1" x14ac:dyDescent="0.25">
      <c r="A131" s="358" t="s">
        <v>315</v>
      </c>
      <c r="B131" s="168" t="s">
        <v>1227</v>
      </c>
      <c r="C131" s="168" t="s">
        <v>1360</v>
      </c>
      <c r="D131" s="360" t="s">
        <v>1361</v>
      </c>
      <c r="E131" s="168" t="s">
        <v>190</v>
      </c>
      <c r="F131" s="359">
        <v>4</v>
      </c>
      <c r="G131" s="311">
        <v>0</v>
      </c>
      <c r="H131" s="359">
        <f>ROUND(0.1*F131*G131,2)</f>
        <v>0</v>
      </c>
      <c r="I131" s="359">
        <f>J131-H131</f>
        <v>0</v>
      </c>
      <c r="J131" s="359">
        <f>ROUND(F131*G131,2)</f>
        <v>0</v>
      </c>
      <c r="K131" s="359">
        <v>0</v>
      </c>
      <c r="L131" s="359">
        <f>F131*K131</f>
        <v>0</v>
      </c>
      <c r="M131" s="374"/>
    </row>
    <row r="132" spans="1:13" ht="29.4" customHeight="1" x14ac:dyDescent="0.25">
      <c r="A132" s="156"/>
      <c r="B132" s="192"/>
      <c r="C132" s="165" t="s">
        <v>165</v>
      </c>
      <c r="D132" s="480" t="s">
        <v>1362</v>
      </c>
      <c r="E132" s="481"/>
      <c r="F132" s="481"/>
      <c r="G132" s="481"/>
      <c r="H132" s="481"/>
      <c r="I132" s="481"/>
      <c r="J132" s="481"/>
      <c r="K132" s="481"/>
      <c r="L132" s="482"/>
      <c r="M132" s="203"/>
    </row>
    <row r="133" spans="1:13" ht="17.25" customHeight="1" thickBot="1" x14ac:dyDescent="0.3">
      <c r="A133" s="204"/>
      <c r="C133" s="177"/>
      <c r="D133" s="178"/>
      <c r="E133" s="178"/>
      <c r="F133" s="178"/>
      <c r="G133" s="178"/>
      <c r="H133" s="469" t="s">
        <v>129</v>
      </c>
      <c r="I133" s="470"/>
      <c r="J133" s="471"/>
      <c r="K133" s="178"/>
      <c r="L133" s="178"/>
      <c r="M133" s="205"/>
    </row>
    <row r="134" spans="1:13" ht="22.5" customHeight="1" thickBot="1" x14ac:dyDescent="0.3">
      <c r="A134" s="472" t="s">
        <v>1363</v>
      </c>
      <c r="B134" s="473"/>
      <c r="C134" s="473"/>
      <c r="D134" s="473"/>
      <c r="E134" s="473"/>
      <c r="F134" s="473"/>
      <c r="G134" s="474"/>
      <c r="H134" s="206" t="s">
        <v>137</v>
      </c>
      <c r="I134" s="207" t="s">
        <v>138</v>
      </c>
      <c r="J134" s="208" t="s">
        <v>139</v>
      </c>
      <c r="K134" s="209"/>
      <c r="L134" s="210"/>
      <c r="M134" s="211"/>
    </row>
    <row r="135" spans="1:13" ht="24" customHeight="1" thickBot="1" x14ac:dyDescent="0.3">
      <c r="A135" s="475" t="s">
        <v>1364</v>
      </c>
      <c r="B135" s="476"/>
      <c r="C135" s="476"/>
      <c r="D135" s="476"/>
      <c r="E135" s="476"/>
      <c r="F135" s="476"/>
      <c r="G135" s="477"/>
      <c r="H135" s="212">
        <f>H15+H17+H19+H21+H23+H25+H27+H34+H36+H38+H40+H42+H44+H51+H53+H55+H57+H59+H61+H63+H65+H67+H69+H71+H73+H75+H82+H84+H86+H88+H90+H92+H94+H96+H98+H100+H102+H104+H106+H113+H115+H117+H119+H121+H123+H125+H127+H129+H131</f>
        <v>0</v>
      </c>
      <c r="I135" s="212">
        <f>I15+I17+I19+I21+I23+I25+I27+I34+I36+I38+I40+I42+I44+I51+I53+I55+I57+I59+I61+I63+I65+I67+I69+I71+I73+I75+I82+I84+I86+I88+I90+I92+I94+I96+I98+I100+I102+I104+I106+I113+I115+I117+I119+I121+I123+I125+I127+I129+I131</f>
        <v>0</v>
      </c>
      <c r="J135" s="212">
        <f>J15+J17+J19+J21+J23+J25+J27+J34+J36+J38+J40+J42+J44+J51+J53+J55+J57+J59+J61+J63+J65+J67+J69+J71+J73+J75+J82+J84+J86+J88+J90+J92+J94+J96+J98+J100+J102+J104+J106+J113+J115+J117+J119+J121+J123+J125+J127+J129+J131</f>
        <v>0</v>
      </c>
      <c r="K135" s="213" t="s">
        <v>1365</v>
      </c>
      <c r="L135" s="214"/>
      <c r="M135" s="215"/>
    </row>
    <row r="136" spans="1:13" ht="16.5" customHeight="1" x14ac:dyDescent="0.25">
      <c r="A136" s="216" t="s">
        <v>1366</v>
      </c>
      <c r="B136" s="217"/>
      <c r="C136" s="217"/>
      <c r="D136" s="217"/>
      <c r="E136" s="133"/>
      <c r="F136" s="218"/>
      <c r="G136" s="133"/>
      <c r="H136" s="219"/>
      <c r="I136" s="219"/>
      <c r="J136" s="219"/>
      <c r="K136" s="220"/>
      <c r="L136" s="219"/>
      <c r="M136" s="220"/>
    </row>
    <row r="137" spans="1:13" ht="24.75" customHeight="1" x14ac:dyDescent="0.25">
      <c r="A137" s="478" t="s">
        <v>2174</v>
      </c>
      <c r="B137" s="478"/>
      <c r="C137" s="478"/>
      <c r="D137" s="478"/>
      <c r="E137" s="478"/>
      <c r="F137" s="478"/>
      <c r="G137" s="478"/>
      <c r="H137" s="478"/>
      <c r="I137" s="478"/>
      <c r="J137" s="478"/>
      <c r="K137" s="478"/>
      <c r="L137" s="478"/>
      <c r="M137" s="478"/>
    </row>
    <row r="138" spans="1:13" ht="22.5" customHeight="1" x14ac:dyDescent="0.25">
      <c r="A138" s="479" t="s">
        <v>1367</v>
      </c>
      <c r="B138" s="479"/>
      <c r="C138" s="479"/>
      <c r="D138" s="479"/>
      <c r="E138" s="479"/>
      <c r="F138" s="479"/>
      <c r="G138" s="479"/>
      <c r="H138" s="479"/>
      <c r="I138" s="479"/>
      <c r="J138" s="479"/>
      <c r="K138" s="479"/>
      <c r="L138" s="479"/>
      <c r="M138" s="479"/>
    </row>
  </sheetData>
  <sheetProtection algorithmName="SHA-512" hashValue="+7FbRj9uaeXPknIDa7IMab/R9jIen98EjP3tgM5e6OOeBs8EmILeflOmn/p1Nq2ZG9I80Uwjs3R1hU/xAo+Cog==" saltValue="T7sB/brUH3/BMfdQYVx58w==" spinCount="100000" sheet="1" objects="1" scenarios="1" formatCells="0" formatColumns="0" formatRows="0" insertColumns="0" insertRows="0" insertHyperlinks="0"/>
  <mergeCells count="90">
    <mergeCell ref="A1:M1"/>
    <mergeCell ref="A2:C3"/>
    <mergeCell ref="D2:D3"/>
    <mergeCell ref="E2:F3"/>
    <mergeCell ref="G2:H3"/>
    <mergeCell ref="I2:I3"/>
    <mergeCell ref="J2:M3"/>
    <mergeCell ref="J6:M7"/>
    <mergeCell ref="A4:C5"/>
    <mergeCell ref="D4:D5"/>
    <mergeCell ref="E4:F5"/>
    <mergeCell ref="G4:H5"/>
    <mergeCell ref="I4:I5"/>
    <mergeCell ref="J4:M5"/>
    <mergeCell ref="A6:C7"/>
    <mergeCell ref="D6:D7"/>
    <mergeCell ref="E6:F7"/>
    <mergeCell ref="G6:H7"/>
    <mergeCell ref="I6:I7"/>
    <mergeCell ref="D20:M20"/>
    <mergeCell ref="A8:C9"/>
    <mergeCell ref="D8:D9"/>
    <mergeCell ref="E8:F9"/>
    <mergeCell ref="G8:H9"/>
    <mergeCell ref="I8:I9"/>
    <mergeCell ref="J8:M9"/>
    <mergeCell ref="A10:M10"/>
    <mergeCell ref="H12:J12"/>
    <mergeCell ref="K12:L12"/>
    <mergeCell ref="D16:M16"/>
    <mergeCell ref="D18:M18"/>
    <mergeCell ref="D22:M22"/>
    <mergeCell ref="D24:M24"/>
    <mergeCell ref="D26:M26"/>
    <mergeCell ref="D28:M28"/>
    <mergeCell ref="H31:J31"/>
    <mergeCell ref="K31:L31"/>
    <mergeCell ref="D58:L58"/>
    <mergeCell ref="D35:M35"/>
    <mergeCell ref="D37:M37"/>
    <mergeCell ref="D39:L39"/>
    <mergeCell ref="D41:L41"/>
    <mergeCell ref="D43:L43"/>
    <mergeCell ref="D45:L45"/>
    <mergeCell ref="H48:J48"/>
    <mergeCell ref="K48:L48"/>
    <mergeCell ref="D52:L52"/>
    <mergeCell ref="D54:L54"/>
    <mergeCell ref="D56:L56"/>
    <mergeCell ref="D83:L83"/>
    <mergeCell ref="D60:L60"/>
    <mergeCell ref="D62:L62"/>
    <mergeCell ref="D64:L64"/>
    <mergeCell ref="D66:L66"/>
    <mergeCell ref="D68:L68"/>
    <mergeCell ref="D70:L70"/>
    <mergeCell ref="D72:L72"/>
    <mergeCell ref="D74:L74"/>
    <mergeCell ref="D76:L76"/>
    <mergeCell ref="H79:J79"/>
    <mergeCell ref="K79:L79"/>
    <mergeCell ref="D107:L107"/>
    <mergeCell ref="D85:L85"/>
    <mergeCell ref="D87:L87"/>
    <mergeCell ref="D89:L89"/>
    <mergeCell ref="D91:L91"/>
    <mergeCell ref="D93:L93"/>
    <mergeCell ref="D95:L95"/>
    <mergeCell ref="D97:L97"/>
    <mergeCell ref="D99:L99"/>
    <mergeCell ref="D101:L101"/>
    <mergeCell ref="D103:L103"/>
    <mergeCell ref="D105:L105"/>
    <mergeCell ref="D132:L132"/>
    <mergeCell ref="H110:J110"/>
    <mergeCell ref="K110:L110"/>
    <mergeCell ref="D114:L114"/>
    <mergeCell ref="D116:L116"/>
    <mergeCell ref="D118:L118"/>
    <mergeCell ref="D120:L120"/>
    <mergeCell ref="D122:L122"/>
    <mergeCell ref="D124:L124"/>
    <mergeCell ref="D126:L126"/>
    <mergeCell ref="D128:L128"/>
    <mergeCell ref="D130:L130"/>
    <mergeCell ref="H133:J133"/>
    <mergeCell ref="A134:G134"/>
    <mergeCell ref="A135:G135"/>
    <mergeCell ref="A137:M137"/>
    <mergeCell ref="A138:M138"/>
  </mergeCells>
  <printOptions horizontalCentered="1"/>
  <pageMargins left="0.78740157480314965" right="0.39370078740157483" top="0.39370078740157483" bottom="0.39370078740157483" header="0" footer="0.39370078740157483"/>
  <pageSetup paperSize="9" scale="58" fitToHeight="0" orientation="landscape" r:id="rId1"/>
  <headerFooter>
    <oddFooter>&amp;L&amp;A&amp;C&amp;F&amp;Rstran &amp;N / strana &amp;P</oddFooter>
  </headerFooter>
  <rowBreaks count="3" manualBreakCount="3">
    <brk id="46" max="12" man="1"/>
    <brk id="77" max="12" man="1"/>
    <brk id="108" max="12"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2847B-8719-49AD-8859-0EB0195E1D6F}">
  <sheetPr codeName="List2">
    <pageSetUpPr fitToPage="1"/>
  </sheetPr>
  <dimension ref="A1:BV307"/>
  <sheetViews>
    <sheetView view="pageBreakPreview" zoomScale="55" zoomScaleNormal="55" zoomScaleSheetLayoutView="55" workbookViewId="0">
      <pane ySplit="11" topLeftCell="A12" activePane="bottomLeft" state="frozen"/>
      <selection pane="bottomLeft" sqref="A1:M1"/>
    </sheetView>
  </sheetViews>
  <sheetFormatPr defaultColWidth="12.109375" defaultRowHeight="15" customHeight="1" x14ac:dyDescent="0.3"/>
  <cols>
    <col min="1" max="1" width="4" style="221" customWidth="1"/>
    <col min="2" max="2" width="17.88671875" style="221" customWidth="1"/>
    <col min="3" max="3" width="42.88671875" style="221" customWidth="1"/>
    <col min="4" max="4" width="35.6640625" style="221" customWidth="1"/>
    <col min="5" max="5" width="6.44140625" style="221" customWidth="1"/>
    <col min="6" max="6" width="12.88671875" style="221" customWidth="1"/>
    <col min="7" max="7" width="12" style="221" customWidth="1"/>
    <col min="8" max="10" width="15.6640625" style="221" customWidth="1"/>
    <col min="11" max="12" width="11.6640625" style="221" customWidth="1"/>
    <col min="13" max="13" width="13.44140625" style="221" customWidth="1"/>
    <col min="14" max="73" width="12.109375" style="221"/>
    <col min="74" max="74" width="78.5546875" style="221" hidden="1" customWidth="1"/>
    <col min="75" max="16384" width="12.109375" style="221"/>
  </cols>
  <sheetData>
    <row r="1" spans="1:74" ht="54.75" customHeight="1" thickBot="1" x14ac:dyDescent="0.35">
      <c r="A1" s="523" t="s">
        <v>2303</v>
      </c>
      <c r="B1" s="524"/>
      <c r="C1" s="524"/>
      <c r="D1" s="524"/>
      <c r="E1" s="524"/>
      <c r="F1" s="524"/>
      <c r="G1" s="524"/>
      <c r="H1" s="524"/>
      <c r="I1" s="524"/>
      <c r="J1" s="524"/>
      <c r="K1" s="524"/>
      <c r="L1" s="524"/>
      <c r="M1" s="525"/>
      <c r="AQ1" s="235">
        <f>SUM(AH1:AH2)</f>
        <v>0</v>
      </c>
      <c r="AR1" s="235">
        <f>SUM(AI1:AI2)</f>
        <v>0</v>
      </c>
      <c r="AS1" s="235">
        <f>SUM(AJ1:AJ2)</f>
        <v>0</v>
      </c>
    </row>
    <row r="2" spans="1:74" ht="15" customHeight="1" x14ac:dyDescent="0.3">
      <c r="A2" s="518" t="s">
        <v>112</v>
      </c>
      <c r="B2" s="519"/>
      <c r="C2" s="526" t="s">
        <v>68</v>
      </c>
      <c r="D2" s="527"/>
      <c r="E2" s="519" t="s">
        <v>113</v>
      </c>
      <c r="F2" s="519"/>
      <c r="G2" s="522" t="s">
        <v>1156</v>
      </c>
      <c r="H2" s="551" t="s">
        <v>457</v>
      </c>
      <c r="I2" s="551" t="s">
        <v>69</v>
      </c>
      <c r="J2" s="551"/>
      <c r="K2" s="551"/>
      <c r="L2" s="551"/>
      <c r="M2" s="552"/>
    </row>
    <row r="3" spans="1:74" ht="14.4" x14ac:dyDescent="0.3">
      <c r="A3" s="520"/>
      <c r="B3" s="519"/>
      <c r="C3" s="527"/>
      <c r="D3" s="527"/>
      <c r="E3" s="519"/>
      <c r="F3" s="519"/>
      <c r="G3" s="522"/>
      <c r="H3" s="551"/>
      <c r="I3" s="551"/>
      <c r="J3" s="551"/>
      <c r="K3" s="551"/>
      <c r="L3" s="551"/>
      <c r="M3" s="552"/>
    </row>
    <row r="4" spans="1:74" ht="15" customHeight="1" x14ac:dyDescent="0.3">
      <c r="A4" s="518" t="s">
        <v>115</v>
      </c>
      <c r="B4" s="519"/>
      <c r="C4" s="521" t="s">
        <v>71</v>
      </c>
      <c r="D4" s="519"/>
      <c r="E4" s="519" t="s">
        <v>116</v>
      </c>
      <c r="F4" s="519"/>
      <c r="G4" s="522" t="s">
        <v>1156</v>
      </c>
      <c r="H4" s="551" t="s">
        <v>458</v>
      </c>
      <c r="I4" s="551" t="s">
        <v>1157</v>
      </c>
      <c r="J4" s="551"/>
      <c r="K4" s="551"/>
      <c r="L4" s="551"/>
      <c r="M4" s="552"/>
    </row>
    <row r="5" spans="1:74" ht="14.4" x14ac:dyDescent="0.3">
      <c r="A5" s="520"/>
      <c r="B5" s="519"/>
      <c r="C5" s="519"/>
      <c r="D5" s="519"/>
      <c r="E5" s="519"/>
      <c r="F5" s="519"/>
      <c r="G5" s="522"/>
      <c r="H5" s="551"/>
      <c r="I5" s="551"/>
      <c r="J5" s="551"/>
      <c r="K5" s="551"/>
      <c r="L5" s="551"/>
      <c r="M5" s="552"/>
    </row>
    <row r="6" spans="1:74" ht="15" customHeight="1" x14ac:dyDescent="0.3">
      <c r="A6" s="518" t="s">
        <v>117</v>
      </c>
      <c r="B6" s="519"/>
      <c r="C6" s="521" t="s">
        <v>459</v>
      </c>
      <c r="D6" s="519"/>
      <c r="E6" s="519" t="s">
        <v>119</v>
      </c>
      <c r="F6" s="519"/>
      <c r="G6" s="522" t="s">
        <v>1156</v>
      </c>
      <c r="H6" s="551" t="s">
        <v>460</v>
      </c>
      <c r="I6" s="551" t="s">
        <v>461</v>
      </c>
      <c r="J6" s="551"/>
      <c r="K6" s="551"/>
      <c r="L6" s="551"/>
      <c r="M6" s="552"/>
    </row>
    <row r="7" spans="1:74" ht="14.4" x14ac:dyDescent="0.3">
      <c r="A7" s="520"/>
      <c r="B7" s="519"/>
      <c r="C7" s="519"/>
      <c r="D7" s="519"/>
      <c r="E7" s="519"/>
      <c r="F7" s="519"/>
      <c r="G7" s="522"/>
      <c r="H7" s="551"/>
      <c r="I7" s="551"/>
      <c r="J7" s="551"/>
      <c r="K7" s="551"/>
      <c r="L7" s="551"/>
      <c r="M7" s="552"/>
    </row>
    <row r="8" spans="1:74" ht="15" customHeight="1" x14ac:dyDescent="0.3">
      <c r="A8" s="518" t="s">
        <v>120</v>
      </c>
      <c r="B8" s="519"/>
      <c r="C8" s="521" t="s">
        <v>425</v>
      </c>
      <c r="D8" s="519"/>
      <c r="E8" s="519" t="s">
        <v>122</v>
      </c>
      <c r="F8" s="519"/>
      <c r="G8" s="522" t="s">
        <v>1155</v>
      </c>
      <c r="H8" s="551" t="s">
        <v>462</v>
      </c>
      <c r="I8" s="551" t="s">
        <v>1158</v>
      </c>
      <c r="J8" s="551"/>
      <c r="K8" s="551"/>
      <c r="L8" s="551"/>
      <c r="M8" s="552"/>
    </row>
    <row r="9" spans="1:74" thickBot="1" x14ac:dyDescent="0.35">
      <c r="A9" s="520"/>
      <c r="B9" s="519"/>
      <c r="C9" s="519"/>
      <c r="D9" s="519"/>
      <c r="E9" s="533"/>
      <c r="F9" s="533"/>
      <c r="G9" s="534"/>
      <c r="H9" s="553"/>
      <c r="I9" s="553"/>
      <c r="J9" s="553"/>
      <c r="K9" s="553"/>
      <c r="L9" s="553"/>
      <c r="M9" s="554"/>
    </row>
    <row r="10" spans="1:74" ht="14.4" x14ac:dyDescent="0.3">
      <c r="A10" s="268" t="s">
        <v>123</v>
      </c>
      <c r="B10" s="226" t="s">
        <v>124</v>
      </c>
      <c r="C10" s="535" t="s">
        <v>125</v>
      </c>
      <c r="D10" s="536"/>
      <c r="E10" s="226" t="s">
        <v>126</v>
      </c>
      <c r="F10" s="227" t="s">
        <v>127</v>
      </c>
      <c r="G10" s="228" t="s">
        <v>128</v>
      </c>
      <c r="H10" s="537" t="s">
        <v>129</v>
      </c>
      <c r="I10" s="538"/>
      <c r="J10" s="539"/>
      <c r="K10" s="538" t="s">
        <v>130</v>
      </c>
      <c r="L10" s="538"/>
      <c r="M10" s="269" t="s">
        <v>131</v>
      </c>
      <c r="BI10" s="230" t="s">
        <v>132</v>
      </c>
      <c r="BJ10" s="230" t="s">
        <v>133</v>
      </c>
      <c r="BU10" s="230" t="s">
        <v>134</v>
      </c>
    </row>
    <row r="11" spans="1:74" thickBot="1" x14ac:dyDescent="0.35">
      <c r="A11" s="251" t="s">
        <v>114</v>
      </c>
      <c r="B11" s="252" t="s">
        <v>114</v>
      </c>
      <c r="C11" s="528" t="s">
        <v>135</v>
      </c>
      <c r="D11" s="529"/>
      <c r="E11" s="252" t="s">
        <v>114</v>
      </c>
      <c r="F11" s="252" t="s">
        <v>114</v>
      </c>
      <c r="G11" s="253" t="s">
        <v>136</v>
      </c>
      <c r="H11" s="254" t="s">
        <v>137</v>
      </c>
      <c r="I11" s="255" t="s">
        <v>138</v>
      </c>
      <c r="J11" s="256" t="s">
        <v>139</v>
      </c>
      <c r="K11" s="255" t="s">
        <v>140</v>
      </c>
      <c r="L11" s="253" t="s">
        <v>139</v>
      </c>
      <c r="M11" s="257" t="s">
        <v>141</v>
      </c>
      <c r="X11" s="230" t="s">
        <v>142</v>
      </c>
      <c r="Y11" s="230" t="s">
        <v>143</v>
      </c>
      <c r="Z11" s="230" t="s">
        <v>144</v>
      </c>
      <c r="AA11" s="230" t="s">
        <v>145</v>
      </c>
      <c r="AB11" s="230" t="s">
        <v>146</v>
      </c>
      <c r="AC11" s="230" t="s">
        <v>147</v>
      </c>
      <c r="AD11" s="230" t="s">
        <v>148</v>
      </c>
      <c r="AE11" s="230" t="s">
        <v>149</v>
      </c>
      <c r="AF11" s="230" t="s">
        <v>150</v>
      </c>
      <c r="BF11" s="230" t="s">
        <v>151</v>
      </c>
      <c r="BG11" s="230" t="s">
        <v>152</v>
      </c>
      <c r="BH11" s="230" t="s">
        <v>153</v>
      </c>
    </row>
    <row r="12" spans="1:74" ht="14.4" x14ac:dyDescent="0.3">
      <c r="A12" s="239" t="s">
        <v>154</v>
      </c>
      <c r="B12" s="224" t="s">
        <v>453</v>
      </c>
      <c r="C12" s="526" t="s">
        <v>463</v>
      </c>
      <c r="D12" s="527"/>
      <c r="E12" s="223" t="s">
        <v>114</v>
      </c>
      <c r="F12" s="223" t="s">
        <v>114</v>
      </c>
      <c r="G12" s="223" t="s">
        <v>114</v>
      </c>
      <c r="H12" s="235">
        <f>SUM(H13:H13)</f>
        <v>0</v>
      </c>
      <c r="I12" s="235">
        <f>SUM(I13:I13)</f>
        <v>0</v>
      </c>
      <c r="J12" s="235">
        <f>SUM(J13:J13)</f>
        <v>0</v>
      </c>
      <c r="K12" s="230" t="s">
        <v>154</v>
      </c>
      <c r="L12" s="235">
        <f>SUM(L13:L13)</f>
        <v>0</v>
      </c>
      <c r="M12" s="243" t="s">
        <v>154</v>
      </c>
      <c r="AG12" s="230" t="s">
        <v>154</v>
      </c>
      <c r="AQ12" s="235">
        <f>SUM(AH13:AH13)</f>
        <v>0</v>
      </c>
      <c r="AR12" s="235">
        <f>SUM(AI13:AI13)</f>
        <v>0</v>
      </c>
      <c r="AS12" s="235">
        <f>SUM(AJ13:AJ13)</f>
        <v>0</v>
      </c>
    </row>
    <row r="13" spans="1:74" ht="14.4" x14ac:dyDescent="0.3">
      <c r="A13" s="239" t="s">
        <v>157</v>
      </c>
      <c r="B13" s="223" t="s">
        <v>464</v>
      </c>
      <c r="C13" s="521" t="s">
        <v>465</v>
      </c>
      <c r="D13" s="519"/>
      <c r="E13" s="223" t="s">
        <v>466</v>
      </c>
      <c r="F13" s="233">
        <v>8</v>
      </c>
      <c r="G13" s="311">
        <v>0</v>
      </c>
      <c r="H13" s="233">
        <f>F13*AM13</f>
        <v>0</v>
      </c>
      <c r="I13" s="233">
        <f>F13*AN13</f>
        <v>0</v>
      </c>
      <c r="J13" s="233">
        <f>F13*G13</f>
        <v>0</v>
      </c>
      <c r="K13" s="233">
        <v>0</v>
      </c>
      <c r="L13" s="233">
        <f>F13*K13</f>
        <v>0</v>
      </c>
      <c r="M13" s="240" t="s">
        <v>154</v>
      </c>
      <c r="X13" s="233">
        <f>IF(AO13="5",BH13,0)</f>
        <v>0</v>
      </c>
      <c r="Z13" s="233">
        <f>IF(AO13="1",BF13,0)</f>
        <v>0</v>
      </c>
      <c r="AA13" s="233">
        <f>IF(AO13="1",BG13,0)</f>
        <v>0</v>
      </c>
      <c r="AB13" s="233">
        <f>IF(AO13="7",BF13,0)</f>
        <v>0</v>
      </c>
      <c r="AC13" s="233">
        <f>IF(AO13="7",BG13,0)</f>
        <v>0</v>
      </c>
      <c r="AD13" s="233">
        <f>IF(AO13="2",BF13,0)</f>
        <v>0</v>
      </c>
      <c r="AE13" s="233">
        <f>IF(AO13="2",BG13,0)</f>
        <v>0</v>
      </c>
      <c r="AF13" s="233">
        <f>IF(AO13="0",BH13,0)</f>
        <v>0</v>
      </c>
      <c r="AG13" s="230" t="s">
        <v>154</v>
      </c>
      <c r="AH13" s="233">
        <f>IF(AL13=0,J13,0)</f>
        <v>0</v>
      </c>
      <c r="AI13" s="233">
        <f>IF(AL13=15,J13,0)</f>
        <v>0</v>
      </c>
      <c r="AJ13" s="233">
        <f>IF(AL13=21,J13,0)</f>
        <v>0</v>
      </c>
      <c r="AL13" s="233">
        <v>21</v>
      </c>
      <c r="AM13" s="233">
        <f>G13*0.125865324</f>
        <v>0</v>
      </c>
      <c r="AN13" s="233">
        <f>G13*(1-0.125865324)</f>
        <v>0</v>
      </c>
      <c r="AO13" s="234" t="s">
        <v>157</v>
      </c>
      <c r="AT13" s="233">
        <f>AU13+AV13</f>
        <v>0</v>
      </c>
      <c r="AU13" s="233">
        <f>F13*AM13</f>
        <v>0</v>
      </c>
      <c r="AV13" s="233">
        <f>F13*AN13</f>
        <v>0</v>
      </c>
      <c r="AW13" s="234" t="s">
        <v>467</v>
      </c>
      <c r="AX13" s="234" t="s">
        <v>467</v>
      </c>
      <c r="AY13" s="230" t="s">
        <v>164</v>
      </c>
      <c r="BA13" s="233">
        <f>AU13+AV13</f>
        <v>0</v>
      </c>
      <c r="BB13" s="233">
        <f>G13/(100-BC13)*100</f>
        <v>0</v>
      </c>
      <c r="BC13" s="233">
        <v>0</v>
      </c>
      <c r="BD13" s="233">
        <f>L13</f>
        <v>0</v>
      </c>
      <c r="BF13" s="233">
        <f>F13*AM13</f>
        <v>0</v>
      </c>
      <c r="BG13" s="233">
        <f>F13*AN13</f>
        <v>0</v>
      </c>
      <c r="BH13" s="233">
        <f>F13*G13</f>
        <v>0</v>
      </c>
      <c r="BI13" s="233"/>
      <c r="BJ13" s="233">
        <v>0</v>
      </c>
      <c r="BU13" s="233" t="e">
        <f>#REF!</f>
        <v>#REF!</v>
      </c>
      <c r="BV13" s="225" t="s">
        <v>465</v>
      </c>
    </row>
    <row r="14" spans="1:74" ht="40.5" customHeight="1" x14ac:dyDescent="0.3">
      <c r="A14" s="241"/>
      <c r="B14" s="242" t="s">
        <v>165</v>
      </c>
      <c r="C14" s="530" t="s">
        <v>1388</v>
      </c>
      <c r="D14" s="531"/>
      <c r="E14" s="531"/>
      <c r="F14" s="531"/>
      <c r="G14" s="531"/>
      <c r="H14" s="531"/>
      <c r="I14" s="531"/>
      <c r="J14" s="531"/>
      <c r="K14" s="531"/>
      <c r="L14" s="531"/>
      <c r="M14" s="532"/>
    </row>
    <row r="15" spans="1:74" ht="14.4" x14ac:dyDescent="0.3">
      <c r="A15" s="239" t="s">
        <v>154</v>
      </c>
      <c r="B15" s="224" t="s">
        <v>468</v>
      </c>
      <c r="C15" s="526" t="s">
        <v>361</v>
      </c>
      <c r="D15" s="527"/>
      <c r="E15" s="223" t="s">
        <v>114</v>
      </c>
      <c r="F15" s="223" t="s">
        <v>114</v>
      </c>
      <c r="G15" s="223" t="s">
        <v>114</v>
      </c>
      <c r="H15" s="235">
        <f>SUM(H16:H16)</f>
        <v>0</v>
      </c>
      <c r="I15" s="235">
        <f>SUM(I16:I16)</f>
        <v>0</v>
      </c>
      <c r="J15" s="235">
        <f>SUM(J16:J16)</f>
        <v>0</v>
      </c>
      <c r="K15" s="230" t="s">
        <v>154</v>
      </c>
      <c r="L15" s="235">
        <f>SUM(L16:L16)</f>
        <v>0.01</v>
      </c>
      <c r="M15" s="243" t="s">
        <v>154</v>
      </c>
      <c r="AG15" s="230" t="s">
        <v>154</v>
      </c>
      <c r="AQ15" s="235">
        <f>SUM(AH16:AH16)</f>
        <v>0</v>
      </c>
      <c r="AR15" s="235">
        <f>SUM(AI16:AI16)</f>
        <v>0</v>
      </c>
      <c r="AS15" s="235">
        <f>SUM(AJ16:AJ16)</f>
        <v>0</v>
      </c>
    </row>
    <row r="16" spans="1:74" ht="14.4" x14ac:dyDescent="0.3">
      <c r="A16" s="239" t="s">
        <v>166</v>
      </c>
      <c r="B16" s="223" t="s">
        <v>469</v>
      </c>
      <c r="C16" s="521" t="s">
        <v>470</v>
      </c>
      <c r="D16" s="519"/>
      <c r="E16" s="223" t="s">
        <v>471</v>
      </c>
      <c r="F16" s="233">
        <v>1</v>
      </c>
      <c r="G16" s="311">
        <v>0</v>
      </c>
      <c r="H16" s="233">
        <f>F16*AM16</f>
        <v>0</v>
      </c>
      <c r="I16" s="233">
        <f>F16*AN16</f>
        <v>0</v>
      </c>
      <c r="J16" s="233">
        <f>F16*G16</f>
        <v>0</v>
      </c>
      <c r="K16" s="233">
        <v>0.01</v>
      </c>
      <c r="L16" s="233">
        <f>F16*K16</f>
        <v>0.01</v>
      </c>
      <c r="M16" s="240" t="s">
        <v>472</v>
      </c>
      <c r="X16" s="233">
        <f>IF(AO16="5",BH16,0)</f>
        <v>0</v>
      </c>
      <c r="Z16" s="233">
        <f>IF(AO16="1",BF16,0)</f>
        <v>0</v>
      </c>
      <c r="AA16" s="233">
        <f>IF(AO16="1",BG16,0)</f>
        <v>0</v>
      </c>
      <c r="AB16" s="233">
        <f>IF(AO16="7",BF16,0)</f>
        <v>0</v>
      </c>
      <c r="AC16" s="233">
        <f>IF(AO16="7",BG16,0)</f>
        <v>0</v>
      </c>
      <c r="AD16" s="233">
        <f>IF(AO16="2",BF16,0)</f>
        <v>0</v>
      </c>
      <c r="AE16" s="233">
        <f>IF(AO16="2",BG16,0)</f>
        <v>0</v>
      </c>
      <c r="AF16" s="233">
        <f>IF(AO16="0",BH16,0)</f>
        <v>0</v>
      </c>
      <c r="AG16" s="230" t="s">
        <v>154</v>
      </c>
      <c r="AH16" s="233">
        <f>IF(AL16=0,J16,0)</f>
        <v>0</v>
      </c>
      <c r="AI16" s="233">
        <f>IF(AL16=15,J16,0)</f>
        <v>0</v>
      </c>
      <c r="AJ16" s="233">
        <f>IF(AL16=21,J16,0)</f>
        <v>0</v>
      </c>
      <c r="AL16" s="233">
        <v>21</v>
      </c>
      <c r="AM16" s="233">
        <f>G16*0.275766017</f>
        <v>0</v>
      </c>
      <c r="AN16" s="233">
        <f>G16*(1-0.275766017)</f>
        <v>0</v>
      </c>
      <c r="AO16" s="234" t="s">
        <v>157</v>
      </c>
      <c r="AT16" s="233">
        <f>AU16+AV16</f>
        <v>0</v>
      </c>
      <c r="AU16" s="233">
        <f>F16*AM16</f>
        <v>0</v>
      </c>
      <c r="AV16" s="233">
        <f>F16*AN16</f>
        <v>0</v>
      </c>
      <c r="AW16" s="234" t="s">
        <v>473</v>
      </c>
      <c r="AX16" s="234" t="s">
        <v>467</v>
      </c>
      <c r="AY16" s="230" t="s">
        <v>164</v>
      </c>
      <c r="BA16" s="233">
        <f>AU16+AV16</f>
        <v>0</v>
      </c>
      <c r="BB16" s="233">
        <f>G16/(100-BC16)*100</f>
        <v>0</v>
      </c>
      <c r="BC16" s="233">
        <v>0</v>
      </c>
      <c r="BD16" s="233">
        <f>L16</f>
        <v>0.01</v>
      </c>
      <c r="BF16" s="233">
        <f>F16*AM16</f>
        <v>0</v>
      </c>
      <c r="BG16" s="233">
        <f>F16*AN16</f>
        <v>0</v>
      </c>
      <c r="BH16" s="233">
        <f>F16*G16</f>
        <v>0</v>
      </c>
      <c r="BI16" s="233"/>
      <c r="BJ16" s="233"/>
      <c r="BU16" s="233" t="e">
        <f>#REF!</f>
        <v>#REF!</v>
      </c>
      <c r="BV16" s="225" t="s">
        <v>470</v>
      </c>
    </row>
    <row r="17" spans="1:74" ht="40.5" customHeight="1" x14ac:dyDescent="0.3">
      <c r="A17" s="241"/>
      <c r="B17" s="242" t="s">
        <v>165</v>
      </c>
      <c r="C17" s="530" t="s">
        <v>1389</v>
      </c>
      <c r="D17" s="531"/>
      <c r="E17" s="531"/>
      <c r="F17" s="531"/>
      <c r="G17" s="531"/>
      <c r="H17" s="531"/>
      <c r="I17" s="531"/>
      <c r="J17" s="531"/>
      <c r="K17" s="531"/>
      <c r="L17" s="531"/>
      <c r="M17" s="532"/>
    </row>
    <row r="18" spans="1:74" ht="14.4" x14ac:dyDescent="0.3">
      <c r="A18" s="239" t="s">
        <v>154</v>
      </c>
      <c r="B18" s="224" t="s">
        <v>155</v>
      </c>
      <c r="C18" s="526" t="s">
        <v>156</v>
      </c>
      <c r="D18" s="527"/>
      <c r="E18" s="223" t="s">
        <v>114</v>
      </c>
      <c r="F18" s="223" t="s">
        <v>114</v>
      </c>
      <c r="G18" s="223" t="s">
        <v>114</v>
      </c>
      <c r="H18" s="235">
        <f>SUM(H19:H33)</f>
        <v>0</v>
      </c>
      <c r="I18" s="235">
        <f>SUM(I19:I33)</f>
        <v>0</v>
      </c>
      <c r="J18" s="235">
        <f>SUM(J19:J33)</f>
        <v>0</v>
      </c>
      <c r="K18" s="230" t="s">
        <v>154</v>
      </c>
      <c r="L18" s="235">
        <f>SUM(L19:L33)</f>
        <v>770.74784510000006</v>
      </c>
      <c r="M18" s="243" t="s">
        <v>154</v>
      </c>
      <c r="AG18" s="230" t="s">
        <v>154</v>
      </c>
      <c r="AQ18" s="235">
        <f>SUM(AH19:AH33)</f>
        <v>0</v>
      </c>
      <c r="AR18" s="235">
        <f>SUM(AI19:AI33)</f>
        <v>0</v>
      </c>
      <c r="AS18" s="235">
        <f>SUM(AJ19:AJ33)</f>
        <v>0</v>
      </c>
    </row>
    <row r="19" spans="1:74" ht="14.4" x14ac:dyDescent="0.3">
      <c r="A19" s="239" t="s">
        <v>169</v>
      </c>
      <c r="B19" s="223" t="s">
        <v>158</v>
      </c>
      <c r="C19" s="521" t="s">
        <v>159</v>
      </c>
      <c r="D19" s="519"/>
      <c r="E19" s="223" t="s">
        <v>160</v>
      </c>
      <c r="F19" s="233">
        <v>10.5</v>
      </c>
      <c r="G19" s="311">
        <v>0</v>
      </c>
      <c r="H19" s="233">
        <f>F19*AM19</f>
        <v>0</v>
      </c>
      <c r="I19" s="233">
        <f>F19*AN19</f>
        <v>0</v>
      </c>
      <c r="J19" s="233">
        <f>F19*G19</f>
        <v>0</v>
      </c>
      <c r="K19" s="233">
        <v>2.478E-2</v>
      </c>
      <c r="L19" s="233">
        <f>F19*K19</f>
        <v>0.26018999999999998</v>
      </c>
      <c r="M19" s="240" t="s">
        <v>472</v>
      </c>
      <c r="X19" s="233">
        <f>IF(AO19="5",BH19,0)</f>
        <v>0</v>
      </c>
      <c r="Z19" s="233">
        <f>IF(AO19="1",BF19,0)</f>
        <v>0</v>
      </c>
      <c r="AA19" s="233">
        <f>IF(AO19="1",BG19,0)</f>
        <v>0</v>
      </c>
      <c r="AB19" s="233">
        <f>IF(AO19="7",BF19,0)</f>
        <v>0</v>
      </c>
      <c r="AC19" s="233">
        <f>IF(AO19="7",BG19,0)</f>
        <v>0</v>
      </c>
      <c r="AD19" s="233">
        <f>IF(AO19="2",BF19,0)</f>
        <v>0</v>
      </c>
      <c r="AE19" s="233">
        <f>IF(AO19="2",BG19,0)</f>
        <v>0</v>
      </c>
      <c r="AF19" s="233">
        <f>IF(AO19="0",BH19,0)</f>
        <v>0</v>
      </c>
      <c r="AG19" s="230" t="s">
        <v>154</v>
      </c>
      <c r="AH19" s="233">
        <f>IF(AL19=0,J19,0)</f>
        <v>0</v>
      </c>
      <c r="AI19" s="233">
        <f>IF(AL19=15,J19,0)</f>
        <v>0</v>
      </c>
      <c r="AJ19" s="233">
        <f>IF(AL19=21,J19,0)</f>
        <v>0</v>
      </c>
      <c r="AL19" s="233">
        <v>21</v>
      </c>
      <c r="AM19" s="233">
        <f>G19*0.071410416</f>
        <v>0</v>
      </c>
      <c r="AN19" s="233">
        <f>G19*(1-0.071410416)</f>
        <v>0</v>
      </c>
      <c r="AO19" s="234" t="s">
        <v>157</v>
      </c>
      <c r="AT19" s="233">
        <f>AU19+AV19</f>
        <v>0</v>
      </c>
      <c r="AU19" s="233">
        <f>F19*AM19</f>
        <v>0</v>
      </c>
      <c r="AV19" s="233">
        <f>F19*AN19</f>
        <v>0</v>
      </c>
      <c r="AW19" s="234" t="s">
        <v>162</v>
      </c>
      <c r="AX19" s="234" t="s">
        <v>163</v>
      </c>
      <c r="AY19" s="230" t="s">
        <v>164</v>
      </c>
      <c r="BA19" s="233">
        <f>AU19+AV19</f>
        <v>0</v>
      </c>
      <c r="BB19" s="233">
        <f>G19/(100-BC19)*100</f>
        <v>0</v>
      </c>
      <c r="BC19" s="233">
        <v>0</v>
      </c>
      <c r="BD19" s="233">
        <f>L19</f>
        <v>0.26018999999999998</v>
      </c>
      <c r="BF19" s="233">
        <f>F19*AM19</f>
        <v>0</v>
      </c>
      <c r="BG19" s="233">
        <f>F19*AN19</f>
        <v>0</v>
      </c>
      <c r="BH19" s="233">
        <f>F19*G19</f>
        <v>0</v>
      </c>
      <c r="BI19" s="233"/>
      <c r="BJ19" s="233">
        <v>11</v>
      </c>
      <c r="BU19" s="233" t="e">
        <f>#REF!</f>
        <v>#REF!</v>
      </c>
      <c r="BV19" s="225" t="s">
        <v>159</v>
      </c>
    </row>
    <row r="20" spans="1:74" ht="40.5" customHeight="1" x14ac:dyDescent="0.3">
      <c r="A20" s="241"/>
      <c r="B20" s="242" t="s">
        <v>165</v>
      </c>
      <c r="C20" s="530" t="s">
        <v>1390</v>
      </c>
      <c r="D20" s="531"/>
      <c r="E20" s="531"/>
      <c r="F20" s="531"/>
      <c r="G20" s="531"/>
      <c r="H20" s="531"/>
      <c r="I20" s="531"/>
      <c r="J20" s="531"/>
      <c r="K20" s="531"/>
      <c r="L20" s="531"/>
      <c r="M20" s="532"/>
    </row>
    <row r="21" spans="1:74" ht="14.4" x14ac:dyDescent="0.3">
      <c r="A21" s="239" t="s">
        <v>173</v>
      </c>
      <c r="B21" s="223" t="s">
        <v>167</v>
      </c>
      <c r="C21" s="521" t="s">
        <v>168</v>
      </c>
      <c r="D21" s="519"/>
      <c r="E21" s="223" t="s">
        <v>160</v>
      </c>
      <c r="F21" s="233">
        <v>3</v>
      </c>
      <c r="G21" s="311">
        <v>0</v>
      </c>
      <c r="H21" s="233">
        <f>F21*AM21</f>
        <v>0</v>
      </c>
      <c r="I21" s="233">
        <f>F21*AN21</f>
        <v>0</v>
      </c>
      <c r="J21" s="233">
        <f>F21*G21</f>
        <v>0</v>
      </c>
      <c r="K21" s="233">
        <v>8.6899999999999998E-3</v>
      </c>
      <c r="L21" s="233">
        <f>F21*K21</f>
        <v>2.6069999999999999E-2</v>
      </c>
      <c r="M21" s="240" t="s">
        <v>472</v>
      </c>
      <c r="X21" s="233">
        <f>IF(AO21="5",BH21,0)</f>
        <v>0</v>
      </c>
      <c r="Z21" s="233">
        <f>IF(AO21="1",BF21,0)</f>
        <v>0</v>
      </c>
      <c r="AA21" s="233">
        <f>IF(AO21="1",BG21,0)</f>
        <v>0</v>
      </c>
      <c r="AB21" s="233">
        <f>IF(AO21="7",BF21,0)</f>
        <v>0</v>
      </c>
      <c r="AC21" s="233">
        <f>IF(AO21="7",BG21,0)</f>
        <v>0</v>
      </c>
      <c r="AD21" s="233">
        <f>IF(AO21="2",BF21,0)</f>
        <v>0</v>
      </c>
      <c r="AE21" s="233">
        <f>IF(AO21="2",BG21,0)</f>
        <v>0</v>
      </c>
      <c r="AF21" s="233">
        <f>IF(AO21="0",BH21,0)</f>
        <v>0</v>
      </c>
      <c r="AG21" s="230" t="s">
        <v>154</v>
      </c>
      <c r="AH21" s="233">
        <f>IF(AL21=0,J21,0)</f>
        <v>0</v>
      </c>
      <c r="AI21" s="233">
        <f>IF(AL21=15,J21,0)</f>
        <v>0</v>
      </c>
      <c r="AJ21" s="233">
        <f>IF(AL21=21,J21,0)</f>
        <v>0</v>
      </c>
      <c r="AL21" s="233">
        <v>21</v>
      </c>
      <c r="AM21" s="233">
        <f>G21*0.06387434</f>
        <v>0</v>
      </c>
      <c r="AN21" s="233">
        <f>G21*(1-0.06387434)</f>
        <v>0</v>
      </c>
      <c r="AO21" s="234" t="s">
        <v>157</v>
      </c>
      <c r="AT21" s="233">
        <f>AU21+AV21</f>
        <v>0</v>
      </c>
      <c r="AU21" s="233">
        <f>F21*AM21</f>
        <v>0</v>
      </c>
      <c r="AV21" s="233">
        <f>F21*AN21</f>
        <v>0</v>
      </c>
      <c r="AW21" s="234" t="s">
        <v>162</v>
      </c>
      <c r="AX21" s="234" t="s">
        <v>163</v>
      </c>
      <c r="AY21" s="230" t="s">
        <v>164</v>
      </c>
      <c r="BA21" s="233">
        <f>AU21+AV21</f>
        <v>0</v>
      </c>
      <c r="BB21" s="233">
        <f>G21/(100-BC21)*100</f>
        <v>0</v>
      </c>
      <c r="BC21" s="233">
        <v>0</v>
      </c>
      <c r="BD21" s="233">
        <f>L21</f>
        <v>2.6069999999999999E-2</v>
      </c>
      <c r="BF21" s="233">
        <f>F21*AM21</f>
        <v>0</v>
      </c>
      <c r="BG21" s="233">
        <f>F21*AN21</f>
        <v>0</v>
      </c>
      <c r="BH21" s="233">
        <f>F21*G21</f>
        <v>0</v>
      </c>
      <c r="BI21" s="233"/>
      <c r="BJ21" s="233">
        <v>11</v>
      </c>
      <c r="BU21" s="233" t="e">
        <f>#REF!</f>
        <v>#REF!</v>
      </c>
      <c r="BV21" s="225" t="s">
        <v>168</v>
      </c>
    </row>
    <row r="22" spans="1:74" ht="40.5" customHeight="1" x14ac:dyDescent="0.3">
      <c r="A22" s="241"/>
      <c r="B22" s="242" t="s">
        <v>165</v>
      </c>
      <c r="C22" s="530" t="s">
        <v>1391</v>
      </c>
      <c r="D22" s="531"/>
      <c r="E22" s="531"/>
      <c r="F22" s="531"/>
      <c r="G22" s="531"/>
      <c r="H22" s="531"/>
      <c r="I22" s="531"/>
      <c r="J22" s="531"/>
      <c r="K22" s="531"/>
      <c r="L22" s="531"/>
      <c r="M22" s="532"/>
    </row>
    <row r="23" spans="1:74" ht="14.4" x14ac:dyDescent="0.3">
      <c r="A23" s="239" t="s">
        <v>177</v>
      </c>
      <c r="B23" s="223" t="s">
        <v>170</v>
      </c>
      <c r="C23" s="521" t="s">
        <v>171</v>
      </c>
      <c r="D23" s="519"/>
      <c r="E23" s="223" t="s">
        <v>172</v>
      </c>
      <c r="F23" s="233">
        <v>96</v>
      </c>
      <c r="G23" s="311">
        <v>0</v>
      </c>
      <c r="H23" s="233">
        <f>F23*AM23</f>
        <v>0</v>
      </c>
      <c r="I23" s="233">
        <f>F23*AN23</f>
        <v>0</v>
      </c>
      <c r="J23" s="233">
        <f>F23*G23</f>
        <v>0</v>
      </c>
      <c r="K23" s="233">
        <v>0</v>
      </c>
      <c r="L23" s="233">
        <f>F23*K23</f>
        <v>0</v>
      </c>
      <c r="M23" s="240" t="s">
        <v>472</v>
      </c>
      <c r="X23" s="233">
        <f>IF(AO23="5",BH23,0)</f>
        <v>0</v>
      </c>
      <c r="Z23" s="233">
        <f>IF(AO23="1",BF23,0)</f>
        <v>0</v>
      </c>
      <c r="AA23" s="233">
        <f>IF(AO23="1",BG23,0)</f>
        <v>0</v>
      </c>
      <c r="AB23" s="233">
        <f>IF(AO23="7",BF23,0)</f>
        <v>0</v>
      </c>
      <c r="AC23" s="233">
        <f>IF(AO23="7",BG23,0)</f>
        <v>0</v>
      </c>
      <c r="AD23" s="233">
        <f>IF(AO23="2",BF23,0)</f>
        <v>0</v>
      </c>
      <c r="AE23" s="233">
        <f>IF(AO23="2",BG23,0)</f>
        <v>0</v>
      </c>
      <c r="AF23" s="233">
        <f>IF(AO23="0",BH23,0)</f>
        <v>0</v>
      </c>
      <c r="AG23" s="230" t="s">
        <v>154</v>
      </c>
      <c r="AH23" s="233">
        <f>IF(AL23=0,J23,0)</f>
        <v>0</v>
      </c>
      <c r="AI23" s="233">
        <f>IF(AL23=15,J23,0)</f>
        <v>0</v>
      </c>
      <c r="AJ23" s="233">
        <f>IF(AL23=21,J23,0)</f>
        <v>0</v>
      </c>
      <c r="AL23" s="233">
        <v>21</v>
      </c>
      <c r="AM23" s="233">
        <f>G23*0</f>
        <v>0</v>
      </c>
      <c r="AN23" s="233">
        <f>G23*(1-0)</f>
        <v>0</v>
      </c>
      <c r="AO23" s="234" t="s">
        <v>157</v>
      </c>
      <c r="AT23" s="233">
        <f>AU23+AV23</f>
        <v>0</v>
      </c>
      <c r="AU23" s="233">
        <f>F23*AM23</f>
        <v>0</v>
      </c>
      <c r="AV23" s="233">
        <f>F23*AN23</f>
        <v>0</v>
      </c>
      <c r="AW23" s="234" t="s">
        <v>162</v>
      </c>
      <c r="AX23" s="234" t="s">
        <v>163</v>
      </c>
      <c r="AY23" s="230" t="s">
        <v>164</v>
      </c>
      <c r="BA23" s="233">
        <f>AU23+AV23</f>
        <v>0</v>
      </c>
      <c r="BB23" s="233">
        <f>G23/(100-BC23)*100</f>
        <v>0</v>
      </c>
      <c r="BC23" s="233">
        <v>0</v>
      </c>
      <c r="BD23" s="233">
        <f>L23</f>
        <v>0</v>
      </c>
      <c r="BF23" s="233">
        <f>F23*AM23</f>
        <v>0</v>
      </c>
      <c r="BG23" s="233">
        <f>F23*AN23</f>
        <v>0</v>
      </c>
      <c r="BH23" s="233">
        <f>F23*G23</f>
        <v>0</v>
      </c>
      <c r="BI23" s="233"/>
      <c r="BJ23" s="233">
        <v>11</v>
      </c>
      <c r="BU23" s="233" t="e">
        <f>#REF!</f>
        <v>#REF!</v>
      </c>
      <c r="BV23" s="225" t="s">
        <v>171</v>
      </c>
    </row>
    <row r="24" spans="1:74" ht="40.5" customHeight="1" x14ac:dyDescent="0.3">
      <c r="A24" s="241"/>
      <c r="B24" s="242" t="s">
        <v>165</v>
      </c>
      <c r="C24" s="530" t="s">
        <v>1392</v>
      </c>
      <c r="D24" s="531"/>
      <c r="E24" s="531"/>
      <c r="F24" s="531"/>
      <c r="G24" s="531"/>
      <c r="H24" s="531"/>
      <c r="I24" s="531"/>
      <c r="J24" s="531"/>
      <c r="K24" s="531"/>
      <c r="L24" s="531"/>
      <c r="M24" s="532"/>
    </row>
    <row r="25" spans="1:74" ht="14.4" x14ac:dyDescent="0.3">
      <c r="A25" s="239" t="s">
        <v>181</v>
      </c>
      <c r="B25" s="223" t="s">
        <v>174</v>
      </c>
      <c r="C25" s="521" t="s">
        <v>175</v>
      </c>
      <c r="D25" s="519"/>
      <c r="E25" s="223" t="s">
        <v>176</v>
      </c>
      <c r="F25" s="233">
        <v>12</v>
      </c>
      <c r="G25" s="311">
        <v>0</v>
      </c>
      <c r="H25" s="233">
        <f>F25*AM25</f>
        <v>0</v>
      </c>
      <c r="I25" s="233">
        <f>F25*AN25</f>
        <v>0</v>
      </c>
      <c r="J25" s="233">
        <f>F25*G25</f>
        <v>0</v>
      </c>
      <c r="K25" s="233">
        <v>0</v>
      </c>
      <c r="L25" s="233">
        <f>F25*K25</f>
        <v>0</v>
      </c>
      <c r="M25" s="240" t="s">
        <v>472</v>
      </c>
      <c r="X25" s="233">
        <f>IF(AO25="5",BH25,0)</f>
        <v>0</v>
      </c>
      <c r="Z25" s="233">
        <f>IF(AO25="1",BF25,0)</f>
        <v>0</v>
      </c>
      <c r="AA25" s="233">
        <f>IF(AO25="1",BG25,0)</f>
        <v>0</v>
      </c>
      <c r="AB25" s="233">
        <f>IF(AO25="7",BF25,0)</f>
        <v>0</v>
      </c>
      <c r="AC25" s="233">
        <f>IF(AO25="7",BG25,0)</f>
        <v>0</v>
      </c>
      <c r="AD25" s="233">
        <f>IF(AO25="2",BF25,0)</f>
        <v>0</v>
      </c>
      <c r="AE25" s="233">
        <f>IF(AO25="2",BG25,0)</f>
        <v>0</v>
      </c>
      <c r="AF25" s="233">
        <f>IF(AO25="0",BH25,0)</f>
        <v>0</v>
      </c>
      <c r="AG25" s="230" t="s">
        <v>154</v>
      </c>
      <c r="AH25" s="233">
        <f>IF(AL25=0,J25,0)</f>
        <v>0</v>
      </c>
      <c r="AI25" s="233">
        <f>IF(AL25=15,J25,0)</f>
        <v>0</v>
      </c>
      <c r="AJ25" s="233">
        <f>IF(AL25=21,J25,0)</f>
        <v>0</v>
      </c>
      <c r="AL25" s="233">
        <v>21</v>
      </c>
      <c r="AM25" s="233">
        <f>G25*0</f>
        <v>0</v>
      </c>
      <c r="AN25" s="233">
        <f>G25*(1-0)</f>
        <v>0</v>
      </c>
      <c r="AO25" s="234" t="s">
        <v>157</v>
      </c>
      <c r="AT25" s="233">
        <f>AU25+AV25</f>
        <v>0</v>
      </c>
      <c r="AU25" s="233">
        <f>F25*AM25</f>
        <v>0</v>
      </c>
      <c r="AV25" s="233">
        <f>F25*AN25</f>
        <v>0</v>
      </c>
      <c r="AW25" s="234" t="s">
        <v>162</v>
      </c>
      <c r="AX25" s="234" t="s">
        <v>163</v>
      </c>
      <c r="AY25" s="230" t="s">
        <v>164</v>
      </c>
      <c r="BA25" s="233">
        <f>AU25+AV25</f>
        <v>0</v>
      </c>
      <c r="BB25" s="233">
        <f>G25/(100-BC25)*100</f>
        <v>0</v>
      </c>
      <c r="BC25" s="233">
        <v>0</v>
      </c>
      <c r="BD25" s="233">
        <f>L25</f>
        <v>0</v>
      </c>
      <c r="BF25" s="233">
        <f>F25*AM25</f>
        <v>0</v>
      </c>
      <c r="BG25" s="233">
        <f>F25*AN25</f>
        <v>0</v>
      </c>
      <c r="BH25" s="233">
        <f>F25*G25</f>
        <v>0</v>
      </c>
      <c r="BI25" s="233"/>
      <c r="BJ25" s="233">
        <v>11</v>
      </c>
      <c r="BU25" s="233" t="e">
        <f>#REF!</f>
        <v>#REF!</v>
      </c>
      <c r="BV25" s="225" t="s">
        <v>175</v>
      </c>
    </row>
    <row r="26" spans="1:74" ht="40.5" customHeight="1" x14ac:dyDescent="0.3">
      <c r="A26" s="241"/>
      <c r="B26" s="242" t="s">
        <v>165</v>
      </c>
      <c r="C26" s="530" t="s">
        <v>1393</v>
      </c>
      <c r="D26" s="531"/>
      <c r="E26" s="531"/>
      <c r="F26" s="531"/>
      <c r="G26" s="531"/>
      <c r="H26" s="531"/>
      <c r="I26" s="531"/>
      <c r="J26" s="531"/>
      <c r="K26" s="531"/>
      <c r="L26" s="531"/>
      <c r="M26" s="532"/>
    </row>
    <row r="27" spans="1:74" ht="14.4" x14ac:dyDescent="0.3">
      <c r="A27" s="239" t="s">
        <v>184</v>
      </c>
      <c r="B27" s="223" t="s">
        <v>182</v>
      </c>
      <c r="C27" s="521" t="s">
        <v>183</v>
      </c>
      <c r="D27" s="519"/>
      <c r="E27" s="223" t="s">
        <v>180</v>
      </c>
      <c r="F27" s="233">
        <v>25.79</v>
      </c>
      <c r="G27" s="311">
        <v>0</v>
      </c>
      <c r="H27" s="233">
        <f>F27*AM27</f>
        <v>0</v>
      </c>
      <c r="I27" s="233">
        <f>F27*AN27</f>
        <v>0</v>
      </c>
      <c r="J27" s="233">
        <f>F27*G27</f>
        <v>0</v>
      </c>
      <c r="K27" s="233">
        <v>0.90010000000000001</v>
      </c>
      <c r="L27" s="233">
        <f>F27*K27</f>
        <v>23.213578999999999</v>
      </c>
      <c r="M27" s="240" t="s">
        <v>472</v>
      </c>
      <c r="X27" s="233">
        <f>IF(AO27="5",BH27,0)</f>
        <v>0</v>
      </c>
      <c r="Z27" s="233">
        <f>IF(AO27="1",BF27,0)</f>
        <v>0</v>
      </c>
      <c r="AA27" s="233">
        <f>IF(AO27="1",BG27,0)</f>
        <v>0</v>
      </c>
      <c r="AB27" s="233">
        <f>IF(AO27="7",BF27,0)</f>
        <v>0</v>
      </c>
      <c r="AC27" s="233">
        <f>IF(AO27="7",BG27,0)</f>
        <v>0</v>
      </c>
      <c r="AD27" s="233">
        <f>IF(AO27="2",BF27,0)</f>
        <v>0</v>
      </c>
      <c r="AE27" s="233">
        <f>IF(AO27="2",BG27,0)</f>
        <v>0</v>
      </c>
      <c r="AF27" s="233">
        <f>IF(AO27="0",BH27,0)</f>
        <v>0</v>
      </c>
      <c r="AG27" s="230" t="s">
        <v>154</v>
      </c>
      <c r="AH27" s="233">
        <f>IF(AL27=0,J27,0)</f>
        <v>0</v>
      </c>
      <c r="AI27" s="233">
        <f>IF(AL27=15,J27,0)</f>
        <v>0</v>
      </c>
      <c r="AJ27" s="233">
        <f>IF(AL27=21,J27,0)</f>
        <v>0</v>
      </c>
      <c r="AL27" s="233">
        <v>21</v>
      </c>
      <c r="AM27" s="233">
        <f>G27*0.006693262</f>
        <v>0</v>
      </c>
      <c r="AN27" s="233">
        <f>G27*(1-0.006693262)</f>
        <v>0</v>
      </c>
      <c r="AO27" s="234" t="s">
        <v>157</v>
      </c>
      <c r="AT27" s="233">
        <f>AU27+AV27</f>
        <v>0</v>
      </c>
      <c r="AU27" s="233">
        <f>F27*AM27</f>
        <v>0</v>
      </c>
      <c r="AV27" s="233">
        <f>F27*AN27</f>
        <v>0</v>
      </c>
      <c r="AW27" s="234" t="s">
        <v>162</v>
      </c>
      <c r="AX27" s="234" t="s">
        <v>163</v>
      </c>
      <c r="AY27" s="230" t="s">
        <v>164</v>
      </c>
      <c r="BA27" s="233">
        <f>AU27+AV27</f>
        <v>0</v>
      </c>
      <c r="BB27" s="233">
        <f>G27/(100-BC27)*100</f>
        <v>0</v>
      </c>
      <c r="BC27" s="233">
        <v>0</v>
      </c>
      <c r="BD27" s="233">
        <f>L27</f>
        <v>23.213578999999999</v>
      </c>
      <c r="BF27" s="233">
        <f>F27*AM27</f>
        <v>0</v>
      </c>
      <c r="BG27" s="233">
        <f>F27*AN27</f>
        <v>0</v>
      </c>
      <c r="BH27" s="233">
        <f>F27*G27</f>
        <v>0</v>
      </c>
      <c r="BI27" s="233"/>
      <c r="BJ27" s="233">
        <v>11</v>
      </c>
      <c r="BU27" s="233" t="e">
        <f>#REF!</f>
        <v>#REF!</v>
      </c>
      <c r="BV27" s="225" t="s">
        <v>183</v>
      </c>
    </row>
    <row r="28" spans="1:74" ht="162" customHeight="1" x14ac:dyDescent="0.3">
      <c r="A28" s="244"/>
      <c r="B28" s="245" t="s">
        <v>165</v>
      </c>
      <c r="C28" s="540" t="s">
        <v>1394</v>
      </c>
      <c r="D28" s="541"/>
      <c r="E28" s="541"/>
      <c r="F28" s="541"/>
      <c r="G28" s="541"/>
      <c r="H28" s="541"/>
      <c r="I28" s="541"/>
      <c r="J28" s="541"/>
      <c r="K28" s="541"/>
      <c r="L28" s="541"/>
      <c r="M28" s="542"/>
    </row>
    <row r="29" spans="1:74" ht="14.4" x14ac:dyDescent="0.3">
      <c r="A29" s="237" t="s">
        <v>187</v>
      </c>
      <c r="B29" s="238" t="s">
        <v>178</v>
      </c>
      <c r="C29" s="543" t="s">
        <v>179</v>
      </c>
      <c r="D29" s="544"/>
      <c r="E29" s="238" t="s">
        <v>180</v>
      </c>
      <c r="F29" s="258">
        <v>579.11</v>
      </c>
      <c r="G29" s="311">
        <v>0</v>
      </c>
      <c r="H29" s="258">
        <f>F29*AM29</f>
        <v>0</v>
      </c>
      <c r="I29" s="258">
        <f>F29*AN29</f>
        <v>0</v>
      </c>
      <c r="J29" s="258">
        <f>F29*G29</f>
        <v>0</v>
      </c>
      <c r="K29" s="258">
        <v>0.90051000000000003</v>
      </c>
      <c r="L29" s="258">
        <f>F29*K29</f>
        <v>521.49434610000003</v>
      </c>
      <c r="M29" s="259" t="s">
        <v>472</v>
      </c>
      <c r="X29" s="233">
        <f>IF(AO29="5",BH29,0)</f>
        <v>0</v>
      </c>
      <c r="Z29" s="233">
        <f>IF(AO29="1",BF29,0)</f>
        <v>0</v>
      </c>
      <c r="AA29" s="233">
        <f>IF(AO29="1",BG29,0)</f>
        <v>0</v>
      </c>
      <c r="AB29" s="233">
        <f>IF(AO29="7",BF29,0)</f>
        <v>0</v>
      </c>
      <c r="AC29" s="233">
        <f>IF(AO29="7",BG29,0)</f>
        <v>0</v>
      </c>
      <c r="AD29" s="233">
        <f>IF(AO29="2",BF29,0)</f>
        <v>0</v>
      </c>
      <c r="AE29" s="233">
        <f>IF(AO29="2",BG29,0)</f>
        <v>0</v>
      </c>
      <c r="AF29" s="233">
        <f>IF(AO29="0",BH29,0)</f>
        <v>0</v>
      </c>
      <c r="AG29" s="230" t="s">
        <v>154</v>
      </c>
      <c r="AH29" s="233">
        <f>IF(AL29=0,J29,0)</f>
        <v>0</v>
      </c>
      <c r="AI29" s="233">
        <f>IF(AL29=15,J29,0)</f>
        <v>0</v>
      </c>
      <c r="AJ29" s="233">
        <f>IF(AL29=21,J29,0)</f>
        <v>0</v>
      </c>
      <c r="AL29" s="233">
        <v>21</v>
      </c>
      <c r="AM29" s="233">
        <f>G29*0.022141011</f>
        <v>0</v>
      </c>
      <c r="AN29" s="233">
        <f>G29*(1-0.022141011)</f>
        <v>0</v>
      </c>
      <c r="AO29" s="234" t="s">
        <v>157</v>
      </c>
      <c r="AT29" s="233">
        <f>AU29+AV29</f>
        <v>0</v>
      </c>
      <c r="AU29" s="233">
        <f>F29*AM29</f>
        <v>0</v>
      </c>
      <c r="AV29" s="233">
        <f>F29*AN29</f>
        <v>0</v>
      </c>
      <c r="AW29" s="234" t="s">
        <v>162</v>
      </c>
      <c r="AX29" s="234" t="s">
        <v>163</v>
      </c>
      <c r="AY29" s="230" t="s">
        <v>164</v>
      </c>
      <c r="BA29" s="233">
        <f>AU29+AV29</f>
        <v>0</v>
      </c>
      <c r="BB29" s="233">
        <f>G29/(100-BC29)*100</f>
        <v>0</v>
      </c>
      <c r="BC29" s="233">
        <v>0</v>
      </c>
      <c r="BD29" s="233">
        <f>L29</f>
        <v>521.49434610000003</v>
      </c>
      <c r="BF29" s="233">
        <f>F29*AM29</f>
        <v>0</v>
      </c>
      <c r="BG29" s="233">
        <f>F29*AN29</f>
        <v>0</v>
      </c>
      <c r="BH29" s="233">
        <f>F29*G29</f>
        <v>0</v>
      </c>
      <c r="BI29" s="233"/>
      <c r="BJ29" s="233">
        <v>11</v>
      </c>
      <c r="BU29" s="233" t="e">
        <f>#REF!</f>
        <v>#REF!</v>
      </c>
      <c r="BV29" s="225" t="s">
        <v>179</v>
      </c>
    </row>
    <row r="30" spans="1:74" ht="229.5" customHeight="1" x14ac:dyDescent="0.3">
      <c r="A30" s="241"/>
      <c r="B30" s="242" t="s">
        <v>165</v>
      </c>
      <c r="C30" s="530" t="s">
        <v>1395</v>
      </c>
      <c r="D30" s="531"/>
      <c r="E30" s="531"/>
      <c r="F30" s="531"/>
      <c r="G30" s="531"/>
      <c r="H30" s="531"/>
      <c r="I30" s="531"/>
      <c r="J30" s="531"/>
      <c r="K30" s="531"/>
      <c r="L30" s="531"/>
      <c r="M30" s="532"/>
    </row>
    <row r="31" spans="1:74" ht="14.4" x14ac:dyDescent="0.3">
      <c r="A31" s="239" t="s">
        <v>193</v>
      </c>
      <c r="B31" s="223" t="s">
        <v>476</v>
      </c>
      <c r="C31" s="521" t="s">
        <v>477</v>
      </c>
      <c r="D31" s="519"/>
      <c r="E31" s="223" t="s">
        <v>180</v>
      </c>
      <c r="F31" s="233">
        <v>549.61</v>
      </c>
      <c r="G31" s="311">
        <v>0</v>
      </c>
      <c r="H31" s="233">
        <f>F31*AM31</f>
        <v>0</v>
      </c>
      <c r="I31" s="233">
        <f>F31*AN31</f>
        <v>0</v>
      </c>
      <c r="J31" s="233">
        <f>F31*G31</f>
        <v>0</v>
      </c>
      <c r="K31" s="233">
        <v>0.39600000000000002</v>
      </c>
      <c r="L31" s="233">
        <f>F31*K31</f>
        <v>217.64556000000002</v>
      </c>
      <c r="M31" s="240" t="s">
        <v>472</v>
      </c>
      <c r="X31" s="233">
        <f>IF(AO31="5",BH31,0)</f>
        <v>0</v>
      </c>
      <c r="Z31" s="233">
        <f>IF(AO31="1",BF31,0)</f>
        <v>0</v>
      </c>
      <c r="AA31" s="233">
        <f>IF(AO31="1",BG31,0)</f>
        <v>0</v>
      </c>
      <c r="AB31" s="233">
        <f>IF(AO31="7",BF31,0)</f>
        <v>0</v>
      </c>
      <c r="AC31" s="233">
        <f>IF(AO31="7",BG31,0)</f>
        <v>0</v>
      </c>
      <c r="AD31" s="233">
        <f>IF(AO31="2",BF31,0)</f>
        <v>0</v>
      </c>
      <c r="AE31" s="233">
        <f>IF(AO31="2",BG31,0)</f>
        <v>0</v>
      </c>
      <c r="AF31" s="233">
        <f>IF(AO31="0",BH31,0)</f>
        <v>0</v>
      </c>
      <c r="AG31" s="230" t="s">
        <v>154</v>
      </c>
      <c r="AH31" s="233">
        <f>IF(AL31=0,J31,0)</f>
        <v>0</v>
      </c>
      <c r="AI31" s="233">
        <f>IF(AL31=15,J31,0)</f>
        <v>0</v>
      </c>
      <c r="AJ31" s="233">
        <f>IF(AL31=21,J31,0)</f>
        <v>0</v>
      </c>
      <c r="AL31" s="233">
        <v>21</v>
      </c>
      <c r="AM31" s="233">
        <f>G31*0</f>
        <v>0</v>
      </c>
      <c r="AN31" s="233">
        <f>G31*(1-0)</f>
        <v>0</v>
      </c>
      <c r="AO31" s="234" t="s">
        <v>157</v>
      </c>
      <c r="AT31" s="233">
        <f>AU31+AV31</f>
        <v>0</v>
      </c>
      <c r="AU31" s="233">
        <f>F31*AM31</f>
        <v>0</v>
      </c>
      <c r="AV31" s="233">
        <f>F31*AN31</f>
        <v>0</v>
      </c>
      <c r="AW31" s="234" t="s">
        <v>162</v>
      </c>
      <c r="AX31" s="234" t="s">
        <v>163</v>
      </c>
      <c r="AY31" s="230" t="s">
        <v>164</v>
      </c>
      <c r="BA31" s="233">
        <f>AU31+AV31</f>
        <v>0</v>
      </c>
      <c r="BB31" s="233">
        <f>G31/(100-BC31)*100</f>
        <v>0</v>
      </c>
      <c r="BC31" s="233">
        <v>0</v>
      </c>
      <c r="BD31" s="233">
        <f>L31</f>
        <v>217.64556000000002</v>
      </c>
      <c r="BF31" s="233">
        <f>F31*AM31</f>
        <v>0</v>
      </c>
      <c r="BG31" s="233">
        <f>F31*AN31</f>
        <v>0</v>
      </c>
      <c r="BH31" s="233">
        <f>F31*G31</f>
        <v>0</v>
      </c>
      <c r="BI31" s="233"/>
      <c r="BJ31" s="233">
        <v>11</v>
      </c>
      <c r="BU31" s="233" t="e">
        <f>#REF!</f>
        <v>#REF!</v>
      </c>
      <c r="BV31" s="225" t="s">
        <v>477</v>
      </c>
    </row>
    <row r="32" spans="1:74" ht="135" customHeight="1" x14ac:dyDescent="0.3">
      <c r="A32" s="241"/>
      <c r="B32" s="242" t="s">
        <v>165</v>
      </c>
      <c r="C32" s="530" t="s">
        <v>1396</v>
      </c>
      <c r="D32" s="531"/>
      <c r="E32" s="531"/>
      <c r="F32" s="531"/>
      <c r="G32" s="531"/>
      <c r="H32" s="531"/>
      <c r="I32" s="531"/>
      <c r="J32" s="531"/>
      <c r="K32" s="531"/>
      <c r="L32" s="531"/>
      <c r="M32" s="532"/>
    </row>
    <row r="33" spans="1:74" ht="14.4" x14ac:dyDescent="0.3">
      <c r="A33" s="239" t="s">
        <v>198</v>
      </c>
      <c r="B33" s="223" t="s">
        <v>478</v>
      </c>
      <c r="C33" s="521" t="s">
        <v>479</v>
      </c>
      <c r="D33" s="519"/>
      <c r="E33" s="223" t="s">
        <v>180</v>
      </c>
      <c r="F33" s="233">
        <v>24.57</v>
      </c>
      <c r="G33" s="311">
        <v>0</v>
      </c>
      <c r="H33" s="233">
        <f>F33*AM33</f>
        <v>0</v>
      </c>
      <c r="I33" s="233">
        <f>F33*AN33</f>
        <v>0</v>
      </c>
      <c r="J33" s="233">
        <f>F33*G33</f>
        <v>0</v>
      </c>
      <c r="K33" s="233">
        <v>0.33</v>
      </c>
      <c r="L33" s="233">
        <f>F33*K33</f>
        <v>8.1081000000000003</v>
      </c>
      <c r="M33" s="240" t="s">
        <v>472</v>
      </c>
      <c r="X33" s="233">
        <f>IF(AO33="5",BH33,0)</f>
        <v>0</v>
      </c>
      <c r="Z33" s="233">
        <f>IF(AO33="1",BF33,0)</f>
        <v>0</v>
      </c>
      <c r="AA33" s="233">
        <f>IF(AO33="1",BG33,0)</f>
        <v>0</v>
      </c>
      <c r="AB33" s="233">
        <f>IF(AO33="7",BF33,0)</f>
        <v>0</v>
      </c>
      <c r="AC33" s="233">
        <f>IF(AO33="7",BG33,0)</f>
        <v>0</v>
      </c>
      <c r="AD33" s="233">
        <f>IF(AO33="2",BF33,0)</f>
        <v>0</v>
      </c>
      <c r="AE33" s="233">
        <f>IF(AO33="2",BG33,0)</f>
        <v>0</v>
      </c>
      <c r="AF33" s="233">
        <f>IF(AO33="0",BH33,0)</f>
        <v>0</v>
      </c>
      <c r="AG33" s="230" t="s">
        <v>154</v>
      </c>
      <c r="AH33" s="233">
        <f>IF(AL33=0,J33,0)</f>
        <v>0</v>
      </c>
      <c r="AI33" s="233">
        <f>IF(AL33=15,J33,0)</f>
        <v>0</v>
      </c>
      <c r="AJ33" s="233">
        <f>IF(AL33=21,J33,0)</f>
        <v>0</v>
      </c>
      <c r="AL33" s="233">
        <v>21</v>
      </c>
      <c r="AM33" s="233">
        <f>G33*0</f>
        <v>0</v>
      </c>
      <c r="AN33" s="233">
        <f>G33*(1-0)</f>
        <v>0</v>
      </c>
      <c r="AO33" s="234" t="s">
        <v>157</v>
      </c>
      <c r="AT33" s="233">
        <f>AU33+AV33</f>
        <v>0</v>
      </c>
      <c r="AU33" s="233">
        <f>F33*AM33</f>
        <v>0</v>
      </c>
      <c r="AV33" s="233">
        <f>F33*AN33</f>
        <v>0</v>
      </c>
      <c r="AW33" s="234" t="s">
        <v>162</v>
      </c>
      <c r="AX33" s="234" t="s">
        <v>163</v>
      </c>
      <c r="AY33" s="230" t="s">
        <v>164</v>
      </c>
      <c r="BA33" s="233">
        <f>AU33+AV33</f>
        <v>0</v>
      </c>
      <c r="BB33" s="233">
        <f>G33/(100-BC33)*100</f>
        <v>0</v>
      </c>
      <c r="BC33" s="233">
        <v>0</v>
      </c>
      <c r="BD33" s="233">
        <f>L33</f>
        <v>8.1081000000000003</v>
      </c>
      <c r="BF33" s="233">
        <f>F33*AM33</f>
        <v>0</v>
      </c>
      <c r="BG33" s="233">
        <f>F33*AN33</f>
        <v>0</v>
      </c>
      <c r="BH33" s="233">
        <f>F33*G33</f>
        <v>0</v>
      </c>
      <c r="BI33" s="233"/>
      <c r="BJ33" s="233">
        <v>11</v>
      </c>
      <c r="BU33" s="233" t="e">
        <f>#REF!</f>
        <v>#REF!</v>
      </c>
      <c r="BV33" s="225" t="s">
        <v>479</v>
      </c>
    </row>
    <row r="34" spans="1:74" ht="67.5" customHeight="1" x14ac:dyDescent="0.3">
      <c r="A34" s="241"/>
      <c r="B34" s="242" t="s">
        <v>165</v>
      </c>
      <c r="C34" s="530" t="s">
        <v>1397</v>
      </c>
      <c r="D34" s="531"/>
      <c r="E34" s="531"/>
      <c r="F34" s="531"/>
      <c r="G34" s="531"/>
      <c r="H34" s="531"/>
      <c r="I34" s="531"/>
      <c r="J34" s="531"/>
      <c r="K34" s="531"/>
      <c r="L34" s="531"/>
      <c r="M34" s="532"/>
    </row>
    <row r="35" spans="1:74" ht="14.4" x14ac:dyDescent="0.3">
      <c r="A35" s="239" t="s">
        <v>154</v>
      </c>
      <c r="B35" s="224" t="s">
        <v>191</v>
      </c>
      <c r="C35" s="526" t="s">
        <v>192</v>
      </c>
      <c r="D35" s="527"/>
      <c r="E35" s="223" t="s">
        <v>114</v>
      </c>
      <c r="F35" s="223" t="s">
        <v>114</v>
      </c>
      <c r="G35" s="223" t="s">
        <v>114</v>
      </c>
      <c r="H35" s="235">
        <f>SUM(H36:H38)</f>
        <v>0</v>
      </c>
      <c r="I35" s="235">
        <f>SUM(I36:I38)</f>
        <v>0</v>
      </c>
      <c r="J35" s="235">
        <f>SUM(J36:J38)</f>
        <v>0</v>
      </c>
      <c r="K35" s="230" t="s">
        <v>154</v>
      </c>
      <c r="L35" s="235">
        <f>SUM(L36:L38)</f>
        <v>0</v>
      </c>
      <c r="M35" s="243" t="s">
        <v>154</v>
      </c>
      <c r="AG35" s="230" t="s">
        <v>154</v>
      </c>
      <c r="AQ35" s="235">
        <f>SUM(AH36:AH38)</f>
        <v>0</v>
      </c>
      <c r="AR35" s="235">
        <f>SUM(AI36:AI38)</f>
        <v>0</v>
      </c>
      <c r="AS35" s="235">
        <f>SUM(AJ36:AJ38)</f>
        <v>0</v>
      </c>
    </row>
    <row r="36" spans="1:74" ht="14.4" x14ac:dyDescent="0.3">
      <c r="A36" s="239" t="s">
        <v>155</v>
      </c>
      <c r="B36" s="223" t="s">
        <v>194</v>
      </c>
      <c r="C36" s="521" t="s">
        <v>195</v>
      </c>
      <c r="D36" s="519"/>
      <c r="E36" s="223" t="s">
        <v>196</v>
      </c>
      <c r="F36" s="233">
        <v>9.99</v>
      </c>
      <c r="G36" s="311">
        <v>0</v>
      </c>
      <c r="H36" s="233">
        <f>F36*AM36</f>
        <v>0</v>
      </c>
      <c r="I36" s="233">
        <f>F36*AN36</f>
        <v>0</v>
      </c>
      <c r="J36" s="233">
        <f>F36*G36</f>
        <v>0</v>
      </c>
      <c r="K36" s="233">
        <v>0</v>
      </c>
      <c r="L36" s="233">
        <f>F36*K36</f>
        <v>0</v>
      </c>
      <c r="M36" s="240" t="s">
        <v>472</v>
      </c>
      <c r="X36" s="233">
        <f>IF(AO36="5",BH36,0)</f>
        <v>0</v>
      </c>
      <c r="Z36" s="233">
        <f>IF(AO36="1",BF36,0)</f>
        <v>0</v>
      </c>
      <c r="AA36" s="233">
        <f>IF(AO36="1",BG36,0)</f>
        <v>0</v>
      </c>
      <c r="AB36" s="233">
        <f>IF(AO36="7",BF36,0)</f>
        <v>0</v>
      </c>
      <c r="AC36" s="233">
        <f>IF(AO36="7",BG36,0)</f>
        <v>0</v>
      </c>
      <c r="AD36" s="233">
        <f>IF(AO36="2",BF36,0)</f>
        <v>0</v>
      </c>
      <c r="AE36" s="233">
        <f>IF(AO36="2",BG36,0)</f>
        <v>0</v>
      </c>
      <c r="AF36" s="233">
        <f>IF(AO36="0",BH36,0)</f>
        <v>0</v>
      </c>
      <c r="AG36" s="230" t="s">
        <v>154</v>
      </c>
      <c r="AH36" s="233">
        <f>IF(AL36=0,J36,0)</f>
        <v>0</v>
      </c>
      <c r="AI36" s="233">
        <f>IF(AL36=15,J36,0)</f>
        <v>0</v>
      </c>
      <c r="AJ36" s="233">
        <f>IF(AL36=21,J36,0)</f>
        <v>0</v>
      </c>
      <c r="AL36" s="233">
        <v>21</v>
      </c>
      <c r="AM36" s="233">
        <f>G36*0</f>
        <v>0</v>
      </c>
      <c r="AN36" s="233">
        <f>G36*(1-0)</f>
        <v>0</v>
      </c>
      <c r="AO36" s="234" t="s">
        <v>157</v>
      </c>
      <c r="AT36" s="233">
        <f>AU36+AV36</f>
        <v>0</v>
      </c>
      <c r="AU36" s="233">
        <f>F36*AM36</f>
        <v>0</v>
      </c>
      <c r="AV36" s="233">
        <f>F36*AN36</f>
        <v>0</v>
      </c>
      <c r="AW36" s="234" t="s">
        <v>197</v>
      </c>
      <c r="AX36" s="234" t="s">
        <v>163</v>
      </c>
      <c r="AY36" s="230" t="s">
        <v>164</v>
      </c>
      <c r="BA36" s="233">
        <f>AU36+AV36</f>
        <v>0</v>
      </c>
      <c r="BB36" s="233">
        <f>G36/(100-BC36)*100</f>
        <v>0</v>
      </c>
      <c r="BC36" s="233">
        <v>0</v>
      </c>
      <c r="BD36" s="233">
        <f>L36</f>
        <v>0</v>
      </c>
      <c r="BF36" s="233">
        <f>F36*AM36</f>
        <v>0</v>
      </c>
      <c r="BG36" s="233">
        <f>F36*AN36</f>
        <v>0</v>
      </c>
      <c r="BH36" s="233">
        <f>F36*G36</f>
        <v>0</v>
      </c>
      <c r="BI36" s="233"/>
      <c r="BJ36" s="233">
        <v>12</v>
      </c>
      <c r="BU36" s="233" t="e">
        <f>#REF!</f>
        <v>#REF!</v>
      </c>
      <c r="BV36" s="225" t="s">
        <v>195</v>
      </c>
    </row>
    <row r="37" spans="1:74" ht="67.5" customHeight="1" x14ac:dyDescent="0.3">
      <c r="A37" s="241"/>
      <c r="B37" s="242" t="s">
        <v>165</v>
      </c>
      <c r="C37" s="530" t="s">
        <v>1398</v>
      </c>
      <c r="D37" s="531"/>
      <c r="E37" s="531"/>
      <c r="F37" s="531"/>
      <c r="G37" s="531"/>
      <c r="H37" s="531"/>
      <c r="I37" s="531"/>
      <c r="J37" s="531"/>
      <c r="K37" s="531"/>
      <c r="L37" s="531"/>
      <c r="M37" s="532"/>
    </row>
    <row r="38" spans="1:74" ht="14.4" x14ac:dyDescent="0.3">
      <c r="A38" s="239" t="s">
        <v>191</v>
      </c>
      <c r="B38" s="223" t="s">
        <v>199</v>
      </c>
      <c r="C38" s="521" t="s">
        <v>200</v>
      </c>
      <c r="D38" s="519"/>
      <c r="E38" s="223" t="s">
        <v>196</v>
      </c>
      <c r="F38" s="233">
        <v>4</v>
      </c>
      <c r="G38" s="311">
        <v>0</v>
      </c>
      <c r="H38" s="233">
        <f>F38*AM38</f>
        <v>0</v>
      </c>
      <c r="I38" s="233">
        <f>F38*AN38</f>
        <v>0</v>
      </c>
      <c r="J38" s="233">
        <f>F38*G38</f>
        <v>0</v>
      </c>
      <c r="K38" s="233">
        <v>0</v>
      </c>
      <c r="L38" s="233">
        <f>F38*K38</f>
        <v>0</v>
      </c>
      <c r="M38" s="240" t="s">
        <v>472</v>
      </c>
      <c r="X38" s="233">
        <f>IF(AO38="5",BH38,0)</f>
        <v>0</v>
      </c>
      <c r="Z38" s="233">
        <f>IF(AO38="1",BF38,0)</f>
        <v>0</v>
      </c>
      <c r="AA38" s="233">
        <f>IF(AO38="1",BG38,0)</f>
        <v>0</v>
      </c>
      <c r="AB38" s="233">
        <f>IF(AO38="7",BF38,0)</f>
        <v>0</v>
      </c>
      <c r="AC38" s="233">
        <f>IF(AO38="7",BG38,0)</f>
        <v>0</v>
      </c>
      <c r="AD38" s="233">
        <f>IF(AO38="2",BF38,0)</f>
        <v>0</v>
      </c>
      <c r="AE38" s="233">
        <f>IF(AO38="2",BG38,0)</f>
        <v>0</v>
      </c>
      <c r="AF38" s="233">
        <f>IF(AO38="0",BH38,0)</f>
        <v>0</v>
      </c>
      <c r="AG38" s="230" t="s">
        <v>154</v>
      </c>
      <c r="AH38" s="233">
        <f>IF(AL38=0,J38,0)</f>
        <v>0</v>
      </c>
      <c r="AI38" s="233">
        <f>IF(AL38=15,J38,0)</f>
        <v>0</v>
      </c>
      <c r="AJ38" s="233">
        <f>IF(AL38=21,J38,0)</f>
        <v>0</v>
      </c>
      <c r="AL38" s="233">
        <v>21</v>
      </c>
      <c r="AM38" s="233">
        <f>G38*0</f>
        <v>0</v>
      </c>
      <c r="AN38" s="233">
        <f>G38*(1-0)</f>
        <v>0</v>
      </c>
      <c r="AO38" s="234" t="s">
        <v>157</v>
      </c>
      <c r="AT38" s="233">
        <f>AU38+AV38</f>
        <v>0</v>
      </c>
      <c r="AU38" s="233">
        <f>F38*AM38</f>
        <v>0</v>
      </c>
      <c r="AV38" s="233">
        <f>F38*AN38</f>
        <v>0</v>
      </c>
      <c r="AW38" s="234" t="s">
        <v>197</v>
      </c>
      <c r="AX38" s="234" t="s">
        <v>163</v>
      </c>
      <c r="AY38" s="230" t="s">
        <v>164</v>
      </c>
      <c r="BA38" s="233">
        <f>AU38+AV38</f>
        <v>0</v>
      </c>
      <c r="BB38" s="233">
        <f>G38/(100-BC38)*100</f>
        <v>0</v>
      </c>
      <c r="BC38" s="233">
        <v>0</v>
      </c>
      <c r="BD38" s="233">
        <f>L38</f>
        <v>0</v>
      </c>
      <c r="BF38" s="233">
        <f>F38*AM38</f>
        <v>0</v>
      </c>
      <c r="BG38" s="233">
        <f>F38*AN38</f>
        <v>0</v>
      </c>
      <c r="BH38" s="233">
        <f>F38*G38</f>
        <v>0</v>
      </c>
      <c r="BI38" s="233"/>
      <c r="BJ38" s="233">
        <v>12</v>
      </c>
      <c r="BU38" s="233" t="e">
        <f>#REF!</f>
        <v>#REF!</v>
      </c>
      <c r="BV38" s="225" t="s">
        <v>200</v>
      </c>
    </row>
    <row r="39" spans="1:74" ht="13.5" customHeight="1" x14ac:dyDescent="0.3">
      <c r="A39" s="241"/>
      <c r="B39" s="242" t="s">
        <v>165</v>
      </c>
      <c r="C39" s="530" t="s">
        <v>480</v>
      </c>
      <c r="D39" s="531"/>
      <c r="E39" s="531"/>
      <c r="F39" s="531"/>
      <c r="G39" s="531"/>
      <c r="H39" s="531"/>
      <c r="I39" s="531"/>
      <c r="J39" s="531"/>
      <c r="K39" s="531"/>
      <c r="L39" s="531"/>
      <c r="M39" s="532"/>
    </row>
    <row r="40" spans="1:74" ht="14.4" x14ac:dyDescent="0.3">
      <c r="A40" s="239" t="s">
        <v>154</v>
      </c>
      <c r="B40" s="224" t="s">
        <v>201</v>
      </c>
      <c r="C40" s="526" t="s">
        <v>202</v>
      </c>
      <c r="D40" s="527"/>
      <c r="E40" s="223" t="s">
        <v>114</v>
      </c>
      <c r="F40" s="223" t="s">
        <v>114</v>
      </c>
      <c r="G40" s="223" t="s">
        <v>114</v>
      </c>
      <c r="H40" s="235">
        <f>SUM(H41:H59)</f>
        <v>0</v>
      </c>
      <c r="I40" s="235">
        <f>SUM(I41:I59)</f>
        <v>0</v>
      </c>
      <c r="J40" s="235">
        <f>SUM(J41:J59)</f>
        <v>0</v>
      </c>
      <c r="K40" s="230" t="s">
        <v>154</v>
      </c>
      <c r="L40" s="235">
        <f>SUM(L41:L59)</f>
        <v>0</v>
      </c>
      <c r="M40" s="243" t="s">
        <v>154</v>
      </c>
      <c r="AG40" s="230" t="s">
        <v>154</v>
      </c>
      <c r="AQ40" s="235">
        <f>SUM(AH41:AH59)</f>
        <v>0</v>
      </c>
      <c r="AR40" s="235">
        <f>SUM(AI41:AI59)</f>
        <v>0</v>
      </c>
      <c r="AS40" s="235">
        <f>SUM(AJ41:AJ59)</f>
        <v>0</v>
      </c>
    </row>
    <row r="41" spans="1:74" ht="14.4" x14ac:dyDescent="0.3">
      <c r="A41" s="239" t="s">
        <v>201</v>
      </c>
      <c r="B41" s="223" t="s">
        <v>203</v>
      </c>
      <c r="C41" s="521" t="s">
        <v>204</v>
      </c>
      <c r="D41" s="519"/>
      <c r="E41" s="223" t="s">
        <v>196</v>
      </c>
      <c r="F41" s="233">
        <v>245.31</v>
      </c>
      <c r="G41" s="311">
        <v>0</v>
      </c>
      <c r="H41" s="233">
        <f>F41*AM41</f>
        <v>0</v>
      </c>
      <c r="I41" s="233">
        <f>F41*AN41</f>
        <v>0</v>
      </c>
      <c r="J41" s="233">
        <f>F41*G41</f>
        <v>0</v>
      </c>
      <c r="K41" s="233">
        <v>0</v>
      </c>
      <c r="L41" s="233">
        <f>F41*K41</f>
        <v>0</v>
      </c>
      <c r="M41" s="240" t="s">
        <v>472</v>
      </c>
      <c r="X41" s="233">
        <f>IF(AO41="5",BH41,0)</f>
        <v>0</v>
      </c>
      <c r="Z41" s="233">
        <f>IF(AO41="1",BF41,0)</f>
        <v>0</v>
      </c>
      <c r="AA41" s="233">
        <f>IF(AO41="1",BG41,0)</f>
        <v>0</v>
      </c>
      <c r="AB41" s="233">
        <f>IF(AO41="7",BF41,0)</f>
        <v>0</v>
      </c>
      <c r="AC41" s="233">
        <f>IF(AO41="7",BG41,0)</f>
        <v>0</v>
      </c>
      <c r="AD41" s="233">
        <f>IF(AO41="2",BF41,0)</f>
        <v>0</v>
      </c>
      <c r="AE41" s="233">
        <f>IF(AO41="2",BG41,0)</f>
        <v>0</v>
      </c>
      <c r="AF41" s="233">
        <f>IF(AO41="0",BH41,0)</f>
        <v>0</v>
      </c>
      <c r="AG41" s="230" t="s">
        <v>154</v>
      </c>
      <c r="AH41" s="233">
        <f>IF(AL41=0,J41,0)</f>
        <v>0</v>
      </c>
      <c r="AI41" s="233">
        <f>IF(AL41=15,J41,0)</f>
        <v>0</v>
      </c>
      <c r="AJ41" s="233">
        <f>IF(AL41=21,J41,0)</f>
        <v>0</v>
      </c>
      <c r="AL41" s="233">
        <v>21</v>
      </c>
      <c r="AM41" s="233">
        <f>G41*0</f>
        <v>0</v>
      </c>
      <c r="AN41" s="233">
        <f>G41*(1-0)</f>
        <v>0</v>
      </c>
      <c r="AO41" s="234" t="s">
        <v>157</v>
      </c>
      <c r="AT41" s="233">
        <f>AU41+AV41</f>
        <v>0</v>
      </c>
      <c r="AU41" s="233">
        <f>F41*AM41</f>
        <v>0</v>
      </c>
      <c r="AV41" s="233">
        <f>F41*AN41</f>
        <v>0</v>
      </c>
      <c r="AW41" s="234" t="s">
        <v>205</v>
      </c>
      <c r="AX41" s="234" t="s">
        <v>163</v>
      </c>
      <c r="AY41" s="230" t="s">
        <v>164</v>
      </c>
      <c r="BA41" s="233">
        <f>AU41+AV41</f>
        <v>0</v>
      </c>
      <c r="BB41" s="233">
        <f>G41/(100-BC41)*100</f>
        <v>0</v>
      </c>
      <c r="BC41" s="233">
        <v>0</v>
      </c>
      <c r="BD41" s="233">
        <f>L41</f>
        <v>0</v>
      </c>
      <c r="BF41" s="233">
        <f>F41*AM41</f>
        <v>0</v>
      </c>
      <c r="BG41" s="233">
        <f>F41*AN41</f>
        <v>0</v>
      </c>
      <c r="BH41" s="233">
        <f>F41*G41</f>
        <v>0</v>
      </c>
      <c r="BI41" s="233"/>
      <c r="BJ41" s="233">
        <v>13</v>
      </c>
      <c r="BU41" s="233" t="e">
        <f>#REF!</f>
        <v>#REF!</v>
      </c>
      <c r="BV41" s="225" t="s">
        <v>204</v>
      </c>
    </row>
    <row r="42" spans="1:74" ht="175.5" customHeight="1" x14ac:dyDescent="0.3">
      <c r="A42" s="244"/>
      <c r="B42" s="245" t="s">
        <v>165</v>
      </c>
      <c r="C42" s="540" t="s">
        <v>1399</v>
      </c>
      <c r="D42" s="541"/>
      <c r="E42" s="541"/>
      <c r="F42" s="541"/>
      <c r="G42" s="541"/>
      <c r="H42" s="541"/>
      <c r="I42" s="541"/>
      <c r="J42" s="541"/>
      <c r="K42" s="541"/>
      <c r="L42" s="541"/>
      <c r="M42" s="542"/>
    </row>
    <row r="43" spans="1:74" ht="14.4" x14ac:dyDescent="0.3">
      <c r="A43" s="237" t="s">
        <v>210</v>
      </c>
      <c r="B43" s="238" t="s">
        <v>206</v>
      </c>
      <c r="C43" s="543" t="s">
        <v>481</v>
      </c>
      <c r="D43" s="544"/>
      <c r="E43" s="238" t="s">
        <v>196</v>
      </c>
      <c r="F43" s="258">
        <v>122.66</v>
      </c>
      <c r="G43" s="311">
        <v>0</v>
      </c>
      <c r="H43" s="258">
        <f>F43*AM43</f>
        <v>0</v>
      </c>
      <c r="I43" s="258">
        <f>F43*AN43</f>
        <v>0</v>
      </c>
      <c r="J43" s="258">
        <f>F43*G43</f>
        <v>0</v>
      </c>
      <c r="K43" s="258">
        <v>0</v>
      </c>
      <c r="L43" s="258">
        <f>F43*K43</f>
        <v>0</v>
      </c>
      <c r="M43" s="259" t="s">
        <v>472</v>
      </c>
      <c r="X43" s="233">
        <f>IF(AO43="5",BH43,0)</f>
        <v>0</v>
      </c>
      <c r="Z43" s="233">
        <f>IF(AO43="1",BF43,0)</f>
        <v>0</v>
      </c>
      <c r="AA43" s="233">
        <f>IF(AO43="1",BG43,0)</f>
        <v>0</v>
      </c>
      <c r="AB43" s="233">
        <f>IF(AO43="7",BF43,0)</f>
        <v>0</v>
      </c>
      <c r="AC43" s="233">
        <f>IF(AO43="7",BG43,0)</f>
        <v>0</v>
      </c>
      <c r="AD43" s="233">
        <f>IF(AO43="2",BF43,0)</f>
        <v>0</v>
      </c>
      <c r="AE43" s="233">
        <f>IF(AO43="2",BG43,0)</f>
        <v>0</v>
      </c>
      <c r="AF43" s="233">
        <f>IF(AO43="0",BH43,0)</f>
        <v>0</v>
      </c>
      <c r="AG43" s="230" t="s">
        <v>154</v>
      </c>
      <c r="AH43" s="233">
        <f>IF(AL43=0,J43,0)</f>
        <v>0</v>
      </c>
      <c r="AI43" s="233">
        <f>IF(AL43=15,J43,0)</f>
        <v>0</v>
      </c>
      <c r="AJ43" s="233">
        <f>IF(AL43=21,J43,0)</f>
        <v>0</v>
      </c>
      <c r="AL43" s="233">
        <v>21</v>
      </c>
      <c r="AM43" s="233">
        <f>G43*0</f>
        <v>0</v>
      </c>
      <c r="AN43" s="233">
        <f>G43*(1-0)</f>
        <v>0</v>
      </c>
      <c r="AO43" s="234" t="s">
        <v>157</v>
      </c>
      <c r="AT43" s="233">
        <f>AU43+AV43</f>
        <v>0</v>
      </c>
      <c r="AU43" s="233">
        <f>F43*AM43</f>
        <v>0</v>
      </c>
      <c r="AV43" s="233">
        <f>F43*AN43</f>
        <v>0</v>
      </c>
      <c r="AW43" s="234" t="s">
        <v>205</v>
      </c>
      <c r="AX43" s="234" t="s">
        <v>163</v>
      </c>
      <c r="AY43" s="230" t="s">
        <v>164</v>
      </c>
      <c r="BA43" s="233">
        <f>AU43+AV43</f>
        <v>0</v>
      </c>
      <c r="BB43" s="233">
        <f>G43/(100-BC43)*100</f>
        <v>0</v>
      </c>
      <c r="BC43" s="233">
        <v>0</v>
      </c>
      <c r="BD43" s="233">
        <f>L43</f>
        <v>0</v>
      </c>
      <c r="BF43" s="233">
        <f>F43*AM43</f>
        <v>0</v>
      </c>
      <c r="BG43" s="233">
        <f>F43*AN43</f>
        <v>0</v>
      </c>
      <c r="BH43" s="233">
        <f>F43*G43</f>
        <v>0</v>
      </c>
      <c r="BI43" s="233"/>
      <c r="BJ43" s="233">
        <v>13</v>
      </c>
      <c r="BU43" s="233" t="e">
        <f>#REF!</f>
        <v>#REF!</v>
      </c>
      <c r="BV43" s="225" t="s">
        <v>481</v>
      </c>
    </row>
    <row r="44" spans="1:74" ht="40.5" customHeight="1" x14ac:dyDescent="0.3">
      <c r="A44" s="241"/>
      <c r="B44" s="242" t="s">
        <v>165</v>
      </c>
      <c r="C44" s="530" t="s">
        <v>1400</v>
      </c>
      <c r="D44" s="531"/>
      <c r="E44" s="531"/>
      <c r="F44" s="531"/>
      <c r="G44" s="531"/>
      <c r="H44" s="531"/>
      <c r="I44" s="531"/>
      <c r="J44" s="531"/>
      <c r="K44" s="531"/>
      <c r="L44" s="531"/>
      <c r="M44" s="532"/>
    </row>
    <row r="45" spans="1:74" ht="14.4" x14ac:dyDescent="0.3">
      <c r="A45" s="239" t="s">
        <v>161</v>
      </c>
      <c r="B45" s="223" t="s">
        <v>208</v>
      </c>
      <c r="C45" s="521" t="s">
        <v>209</v>
      </c>
      <c r="D45" s="519"/>
      <c r="E45" s="223" t="s">
        <v>196</v>
      </c>
      <c r="F45" s="233">
        <v>196.25</v>
      </c>
      <c r="G45" s="311">
        <v>0</v>
      </c>
      <c r="H45" s="233">
        <f>F45*AM45</f>
        <v>0</v>
      </c>
      <c r="I45" s="233">
        <f>F45*AN45</f>
        <v>0</v>
      </c>
      <c r="J45" s="233">
        <f>F45*G45</f>
        <v>0</v>
      </c>
      <c r="K45" s="233">
        <v>0</v>
      </c>
      <c r="L45" s="233">
        <f>F45*K45</f>
        <v>0</v>
      </c>
      <c r="M45" s="240" t="s">
        <v>472</v>
      </c>
      <c r="X45" s="233">
        <f>IF(AO45="5",BH45,0)</f>
        <v>0</v>
      </c>
      <c r="Z45" s="233">
        <f>IF(AO45="1",BF45,0)</f>
        <v>0</v>
      </c>
      <c r="AA45" s="233">
        <f>IF(AO45="1",BG45,0)</f>
        <v>0</v>
      </c>
      <c r="AB45" s="233">
        <f>IF(AO45="7",BF45,0)</f>
        <v>0</v>
      </c>
      <c r="AC45" s="233">
        <f>IF(AO45="7",BG45,0)</f>
        <v>0</v>
      </c>
      <c r="AD45" s="233">
        <f>IF(AO45="2",BF45,0)</f>
        <v>0</v>
      </c>
      <c r="AE45" s="233">
        <f>IF(AO45="2",BG45,0)</f>
        <v>0</v>
      </c>
      <c r="AF45" s="233">
        <f>IF(AO45="0",BH45,0)</f>
        <v>0</v>
      </c>
      <c r="AG45" s="230" t="s">
        <v>154</v>
      </c>
      <c r="AH45" s="233">
        <f>IF(AL45=0,J45,0)</f>
        <v>0</v>
      </c>
      <c r="AI45" s="233">
        <f>IF(AL45=15,J45,0)</f>
        <v>0</v>
      </c>
      <c r="AJ45" s="233">
        <f>IF(AL45=21,J45,0)</f>
        <v>0</v>
      </c>
      <c r="AL45" s="233">
        <v>21</v>
      </c>
      <c r="AM45" s="233">
        <f>G45*0</f>
        <v>0</v>
      </c>
      <c r="AN45" s="233">
        <f>G45*(1-0)</f>
        <v>0</v>
      </c>
      <c r="AO45" s="234" t="s">
        <v>157</v>
      </c>
      <c r="AT45" s="233">
        <f>AU45+AV45</f>
        <v>0</v>
      </c>
      <c r="AU45" s="233">
        <f>F45*AM45</f>
        <v>0</v>
      </c>
      <c r="AV45" s="233">
        <f>F45*AN45</f>
        <v>0</v>
      </c>
      <c r="AW45" s="234" t="s">
        <v>205</v>
      </c>
      <c r="AX45" s="234" t="s">
        <v>163</v>
      </c>
      <c r="AY45" s="230" t="s">
        <v>164</v>
      </c>
      <c r="BA45" s="233">
        <f>AU45+AV45</f>
        <v>0</v>
      </c>
      <c r="BB45" s="233">
        <f>G45/(100-BC45)*100</f>
        <v>0</v>
      </c>
      <c r="BC45" s="233">
        <v>0</v>
      </c>
      <c r="BD45" s="233">
        <f>L45</f>
        <v>0</v>
      </c>
      <c r="BF45" s="233">
        <f>F45*AM45</f>
        <v>0</v>
      </c>
      <c r="BG45" s="233">
        <f>F45*AN45</f>
        <v>0</v>
      </c>
      <c r="BH45" s="233">
        <f>F45*G45</f>
        <v>0</v>
      </c>
      <c r="BI45" s="233"/>
      <c r="BJ45" s="233">
        <v>13</v>
      </c>
      <c r="BU45" s="233" t="e">
        <f>#REF!</f>
        <v>#REF!</v>
      </c>
      <c r="BV45" s="225" t="s">
        <v>209</v>
      </c>
    </row>
    <row r="46" spans="1:74" ht="175.5" customHeight="1" x14ac:dyDescent="0.3">
      <c r="A46" s="241"/>
      <c r="B46" s="242" t="s">
        <v>165</v>
      </c>
      <c r="C46" s="530" t="s">
        <v>1401</v>
      </c>
      <c r="D46" s="531"/>
      <c r="E46" s="531"/>
      <c r="F46" s="531"/>
      <c r="G46" s="531"/>
      <c r="H46" s="531"/>
      <c r="I46" s="531"/>
      <c r="J46" s="531"/>
      <c r="K46" s="531"/>
      <c r="L46" s="531"/>
      <c r="M46" s="532"/>
    </row>
    <row r="47" spans="1:74" ht="14.4" x14ac:dyDescent="0.3">
      <c r="A47" s="239" t="s">
        <v>215</v>
      </c>
      <c r="B47" s="223" t="s">
        <v>211</v>
      </c>
      <c r="C47" s="521" t="s">
        <v>482</v>
      </c>
      <c r="D47" s="519"/>
      <c r="E47" s="223" t="s">
        <v>196</v>
      </c>
      <c r="F47" s="233">
        <v>49.06</v>
      </c>
      <c r="G47" s="311">
        <v>0</v>
      </c>
      <c r="H47" s="233">
        <f>F47*AM47</f>
        <v>0</v>
      </c>
      <c r="I47" s="233">
        <f>F47*AN47</f>
        <v>0</v>
      </c>
      <c r="J47" s="233">
        <f>F47*G47</f>
        <v>0</v>
      </c>
      <c r="K47" s="233">
        <v>0</v>
      </c>
      <c r="L47" s="233">
        <f>F47*K47</f>
        <v>0</v>
      </c>
      <c r="M47" s="240" t="s">
        <v>472</v>
      </c>
      <c r="X47" s="233">
        <f>IF(AO47="5",BH47,0)</f>
        <v>0</v>
      </c>
      <c r="Z47" s="233">
        <f>IF(AO47="1",BF47,0)</f>
        <v>0</v>
      </c>
      <c r="AA47" s="233">
        <f>IF(AO47="1",BG47,0)</f>
        <v>0</v>
      </c>
      <c r="AB47" s="233">
        <f>IF(AO47="7",BF47,0)</f>
        <v>0</v>
      </c>
      <c r="AC47" s="233">
        <f>IF(AO47="7",BG47,0)</f>
        <v>0</v>
      </c>
      <c r="AD47" s="233">
        <f>IF(AO47="2",BF47,0)</f>
        <v>0</v>
      </c>
      <c r="AE47" s="233">
        <f>IF(AO47="2",BG47,0)</f>
        <v>0</v>
      </c>
      <c r="AF47" s="233">
        <f>IF(AO47="0",BH47,0)</f>
        <v>0</v>
      </c>
      <c r="AG47" s="230" t="s">
        <v>154</v>
      </c>
      <c r="AH47" s="233">
        <f>IF(AL47=0,J47,0)</f>
        <v>0</v>
      </c>
      <c r="AI47" s="233">
        <f>IF(AL47=15,J47,0)</f>
        <v>0</v>
      </c>
      <c r="AJ47" s="233">
        <f>IF(AL47=21,J47,0)</f>
        <v>0</v>
      </c>
      <c r="AL47" s="233">
        <v>21</v>
      </c>
      <c r="AM47" s="233">
        <f>G47*0</f>
        <v>0</v>
      </c>
      <c r="AN47" s="233">
        <f>G47*(1-0)</f>
        <v>0</v>
      </c>
      <c r="AO47" s="234" t="s">
        <v>157</v>
      </c>
      <c r="AT47" s="233">
        <f>AU47+AV47</f>
        <v>0</v>
      </c>
      <c r="AU47" s="233">
        <f>F47*AM47</f>
        <v>0</v>
      </c>
      <c r="AV47" s="233">
        <f>F47*AN47</f>
        <v>0</v>
      </c>
      <c r="AW47" s="234" t="s">
        <v>205</v>
      </c>
      <c r="AX47" s="234" t="s">
        <v>163</v>
      </c>
      <c r="AY47" s="230" t="s">
        <v>164</v>
      </c>
      <c r="BA47" s="233">
        <f>AU47+AV47</f>
        <v>0</v>
      </c>
      <c r="BB47" s="233">
        <f>G47/(100-BC47)*100</f>
        <v>0</v>
      </c>
      <c r="BC47" s="233">
        <v>0</v>
      </c>
      <c r="BD47" s="233">
        <f>L47</f>
        <v>0</v>
      </c>
      <c r="BF47" s="233">
        <f>F47*AM47</f>
        <v>0</v>
      </c>
      <c r="BG47" s="233">
        <f>F47*AN47</f>
        <v>0</v>
      </c>
      <c r="BH47" s="233">
        <f>F47*G47</f>
        <v>0</v>
      </c>
      <c r="BI47" s="233"/>
      <c r="BJ47" s="233">
        <v>13</v>
      </c>
      <c r="BU47" s="233" t="e">
        <f>#REF!</f>
        <v>#REF!</v>
      </c>
      <c r="BV47" s="225" t="s">
        <v>482</v>
      </c>
    </row>
    <row r="48" spans="1:74" ht="40.5" customHeight="1" x14ac:dyDescent="0.3">
      <c r="A48" s="241"/>
      <c r="B48" s="242" t="s">
        <v>165</v>
      </c>
      <c r="C48" s="530" t="s">
        <v>1402</v>
      </c>
      <c r="D48" s="531"/>
      <c r="E48" s="531"/>
      <c r="F48" s="531"/>
      <c r="G48" s="531"/>
      <c r="H48" s="531"/>
      <c r="I48" s="531"/>
      <c r="J48" s="531"/>
      <c r="K48" s="531"/>
      <c r="L48" s="531"/>
      <c r="M48" s="532"/>
    </row>
    <row r="49" spans="1:74" ht="14.4" x14ac:dyDescent="0.3">
      <c r="A49" s="239" t="s">
        <v>220</v>
      </c>
      <c r="B49" s="223" t="s">
        <v>213</v>
      </c>
      <c r="C49" s="521" t="s">
        <v>214</v>
      </c>
      <c r="D49" s="519"/>
      <c r="E49" s="223" t="s">
        <v>196</v>
      </c>
      <c r="F49" s="233">
        <v>49.06</v>
      </c>
      <c r="G49" s="311">
        <v>0</v>
      </c>
      <c r="H49" s="233">
        <f>F49*AM49</f>
        <v>0</v>
      </c>
      <c r="I49" s="233">
        <f>F49*AN49</f>
        <v>0</v>
      </c>
      <c r="J49" s="233">
        <f>F49*G49</f>
        <v>0</v>
      </c>
      <c r="K49" s="233">
        <v>0</v>
      </c>
      <c r="L49" s="233">
        <f>F49*K49</f>
        <v>0</v>
      </c>
      <c r="M49" s="240" t="s">
        <v>472</v>
      </c>
      <c r="X49" s="233">
        <f>IF(AO49="5",BH49,0)</f>
        <v>0</v>
      </c>
      <c r="Z49" s="233">
        <f>IF(AO49="1",BF49,0)</f>
        <v>0</v>
      </c>
      <c r="AA49" s="233">
        <f>IF(AO49="1",BG49,0)</f>
        <v>0</v>
      </c>
      <c r="AB49" s="233">
        <f>IF(AO49="7",BF49,0)</f>
        <v>0</v>
      </c>
      <c r="AC49" s="233">
        <f>IF(AO49="7",BG49,0)</f>
        <v>0</v>
      </c>
      <c r="AD49" s="233">
        <f>IF(AO49="2",BF49,0)</f>
        <v>0</v>
      </c>
      <c r="AE49" s="233">
        <f>IF(AO49="2",BG49,0)</f>
        <v>0</v>
      </c>
      <c r="AF49" s="233">
        <f>IF(AO49="0",BH49,0)</f>
        <v>0</v>
      </c>
      <c r="AG49" s="230" t="s">
        <v>154</v>
      </c>
      <c r="AH49" s="233">
        <f>IF(AL49=0,J49,0)</f>
        <v>0</v>
      </c>
      <c r="AI49" s="233">
        <f>IF(AL49=15,J49,0)</f>
        <v>0</v>
      </c>
      <c r="AJ49" s="233">
        <f>IF(AL49=21,J49,0)</f>
        <v>0</v>
      </c>
      <c r="AL49" s="233">
        <v>21</v>
      </c>
      <c r="AM49" s="233">
        <f>G49*0</f>
        <v>0</v>
      </c>
      <c r="AN49" s="233">
        <f>G49*(1-0)</f>
        <v>0</v>
      </c>
      <c r="AO49" s="234" t="s">
        <v>157</v>
      </c>
      <c r="AT49" s="233">
        <f>AU49+AV49</f>
        <v>0</v>
      </c>
      <c r="AU49" s="233">
        <f>F49*AM49</f>
        <v>0</v>
      </c>
      <c r="AV49" s="233">
        <f>F49*AN49</f>
        <v>0</v>
      </c>
      <c r="AW49" s="234" t="s">
        <v>205</v>
      </c>
      <c r="AX49" s="234" t="s">
        <v>163</v>
      </c>
      <c r="AY49" s="230" t="s">
        <v>164</v>
      </c>
      <c r="BA49" s="233">
        <f>AU49+AV49</f>
        <v>0</v>
      </c>
      <c r="BB49" s="233">
        <f>G49/(100-BC49)*100</f>
        <v>0</v>
      </c>
      <c r="BC49" s="233">
        <v>0</v>
      </c>
      <c r="BD49" s="233">
        <f>L49</f>
        <v>0</v>
      </c>
      <c r="BF49" s="233">
        <f>F49*AM49</f>
        <v>0</v>
      </c>
      <c r="BG49" s="233">
        <f>F49*AN49</f>
        <v>0</v>
      </c>
      <c r="BH49" s="233">
        <f>F49*G49</f>
        <v>0</v>
      </c>
      <c r="BI49" s="233"/>
      <c r="BJ49" s="233">
        <v>13</v>
      </c>
      <c r="BU49" s="233" t="e">
        <f>#REF!</f>
        <v>#REF!</v>
      </c>
      <c r="BV49" s="225" t="s">
        <v>214</v>
      </c>
    </row>
    <row r="50" spans="1:74" ht="189" customHeight="1" x14ac:dyDescent="0.3">
      <c r="A50" s="241"/>
      <c r="B50" s="242" t="s">
        <v>165</v>
      </c>
      <c r="C50" s="530" t="s">
        <v>1403</v>
      </c>
      <c r="D50" s="531"/>
      <c r="E50" s="531"/>
      <c r="F50" s="531"/>
      <c r="G50" s="531"/>
      <c r="H50" s="531"/>
      <c r="I50" s="531"/>
      <c r="J50" s="531"/>
      <c r="K50" s="531"/>
      <c r="L50" s="531"/>
      <c r="M50" s="532"/>
    </row>
    <row r="51" spans="1:74" ht="14.4" x14ac:dyDescent="0.3">
      <c r="A51" s="239" t="s">
        <v>224</v>
      </c>
      <c r="B51" s="223" t="s">
        <v>216</v>
      </c>
      <c r="C51" s="521" t="s">
        <v>217</v>
      </c>
      <c r="D51" s="519"/>
      <c r="E51" s="223" t="s">
        <v>196</v>
      </c>
      <c r="F51" s="233">
        <v>5</v>
      </c>
      <c r="G51" s="311">
        <v>0</v>
      </c>
      <c r="H51" s="233">
        <f>F51*AM51</f>
        <v>0</v>
      </c>
      <c r="I51" s="233">
        <f>F51*AN51</f>
        <v>0</v>
      </c>
      <c r="J51" s="233">
        <f>F51*G51</f>
        <v>0</v>
      </c>
      <c r="K51" s="233">
        <v>0</v>
      </c>
      <c r="L51" s="233">
        <f>F51*K51</f>
        <v>0</v>
      </c>
      <c r="M51" s="240" t="s">
        <v>472</v>
      </c>
      <c r="X51" s="233">
        <f>IF(AO51="5",BH51,0)</f>
        <v>0</v>
      </c>
      <c r="Z51" s="233">
        <f>IF(AO51="1",BF51,0)</f>
        <v>0</v>
      </c>
      <c r="AA51" s="233">
        <f>IF(AO51="1",BG51,0)</f>
        <v>0</v>
      </c>
      <c r="AB51" s="233">
        <f>IF(AO51="7",BF51,0)</f>
        <v>0</v>
      </c>
      <c r="AC51" s="233">
        <f>IF(AO51="7",BG51,0)</f>
        <v>0</v>
      </c>
      <c r="AD51" s="233">
        <f>IF(AO51="2",BF51,0)</f>
        <v>0</v>
      </c>
      <c r="AE51" s="233">
        <f>IF(AO51="2",BG51,0)</f>
        <v>0</v>
      </c>
      <c r="AF51" s="233">
        <f>IF(AO51="0",BH51,0)</f>
        <v>0</v>
      </c>
      <c r="AG51" s="230" t="s">
        <v>154</v>
      </c>
      <c r="AH51" s="233">
        <f>IF(AL51=0,J51,0)</f>
        <v>0</v>
      </c>
      <c r="AI51" s="233">
        <f>IF(AL51=15,J51,0)</f>
        <v>0</v>
      </c>
      <c r="AJ51" s="233">
        <f>IF(AL51=21,J51,0)</f>
        <v>0</v>
      </c>
      <c r="AL51" s="233">
        <v>21</v>
      </c>
      <c r="AM51" s="233">
        <f>G51*0</f>
        <v>0</v>
      </c>
      <c r="AN51" s="233">
        <f>G51*(1-0)</f>
        <v>0</v>
      </c>
      <c r="AO51" s="234" t="s">
        <v>157</v>
      </c>
      <c r="AT51" s="233">
        <f>AU51+AV51</f>
        <v>0</v>
      </c>
      <c r="AU51" s="233">
        <f>F51*AM51</f>
        <v>0</v>
      </c>
      <c r="AV51" s="233">
        <f>F51*AN51</f>
        <v>0</v>
      </c>
      <c r="AW51" s="234" t="s">
        <v>205</v>
      </c>
      <c r="AX51" s="234" t="s">
        <v>163</v>
      </c>
      <c r="AY51" s="230" t="s">
        <v>164</v>
      </c>
      <c r="BA51" s="233">
        <f>AU51+AV51</f>
        <v>0</v>
      </c>
      <c r="BB51" s="233">
        <f>G51/(100-BC51)*100</f>
        <v>0</v>
      </c>
      <c r="BC51" s="233">
        <v>0</v>
      </c>
      <c r="BD51" s="233">
        <f>L51</f>
        <v>0</v>
      </c>
      <c r="BF51" s="233">
        <f>F51*AM51</f>
        <v>0</v>
      </c>
      <c r="BG51" s="233">
        <f>F51*AN51</f>
        <v>0</v>
      </c>
      <c r="BH51" s="233">
        <f>F51*G51</f>
        <v>0</v>
      </c>
      <c r="BI51" s="233"/>
      <c r="BJ51" s="233">
        <v>13</v>
      </c>
      <c r="BU51" s="233" t="e">
        <f>#REF!</f>
        <v>#REF!</v>
      </c>
      <c r="BV51" s="225" t="s">
        <v>217</v>
      </c>
    </row>
    <row r="52" spans="1:74" ht="13.5" customHeight="1" x14ac:dyDescent="0.3">
      <c r="A52" s="241"/>
      <c r="B52" s="242" t="s">
        <v>165</v>
      </c>
      <c r="C52" s="530" t="s">
        <v>218</v>
      </c>
      <c r="D52" s="531"/>
      <c r="E52" s="531"/>
      <c r="F52" s="531"/>
      <c r="G52" s="531"/>
      <c r="H52" s="531"/>
      <c r="I52" s="531"/>
      <c r="J52" s="531"/>
      <c r="K52" s="531"/>
      <c r="L52" s="531"/>
      <c r="M52" s="532"/>
    </row>
    <row r="53" spans="1:74" ht="14.4" x14ac:dyDescent="0.3">
      <c r="A53" s="239" t="s">
        <v>228</v>
      </c>
      <c r="B53" s="223" t="s">
        <v>483</v>
      </c>
      <c r="C53" s="521" t="s">
        <v>484</v>
      </c>
      <c r="D53" s="519"/>
      <c r="E53" s="223" t="s">
        <v>196</v>
      </c>
      <c r="F53" s="233">
        <v>2.75</v>
      </c>
      <c r="G53" s="311">
        <v>0</v>
      </c>
      <c r="H53" s="233">
        <f>F53*AM53</f>
        <v>0</v>
      </c>
      <c r="I53" s="233">
        <f>F53*AN53</f>
        <v>0</v>
      </c>
      <c r="J53" s="233">
        <f>F53*G53</f>
        <v>0</v>
      </c>
      <c r="K53" s="233">
        <v>0</v>
      </c>
      <c r="L53" s="233">
        <f>F53*K53</f>
        <v>0</v>
      </c>
      <c r="M53" s="240" t="s">
        <v>472</v>
      </c>
      <c r="X53" s="233">
        <f>IF(AO53="5",BH53,0)</f>
        <v>0</v>
      </c>
      <c r="Z53" s="233">
        <f>IF(AO53="1",BF53,0)</f>
        <v>0</v>
      </c>
      <c r="AA53" s="233">
        <f>IF(AO53="1",BG53,0)</f>
        <v>0</v>
      </c>
      <c r="AB53" s="233">
        <f>IF(AO53="7",BF53,0)</f>
        <v>0</v>
      </c>
      <c r="AC53" s="233">
        <f>IF(AO53="7",BG53,0)</f>
        <v>0</v>
      </c>
      <c r="AD53" s="233">
        <f>IF(AO53="2",BF53,0)</f>
        <v>0</v>
      </c>
      <c r="AE53" s="233">
        <f>IF(AO53="2",BG53,0)</f>
        <v>0</v>
      </c>
      <c r="AF53" s="233">
        <f>IF(AO53="0",BH53,0)</f>
        <v>0</v>
      </c>
      <c r="AG53" s="230" t="s">
        <v>154</v>
      </c>
      <c r="AH53" s="233">
        <f>IF(AL53=0,J53,0)</f>
        <v>0</v>
      </c>
      <c r="AI53" s="233">
        <f>IF(AL53=15,J53,0)</f>
        <v>0</v>
      </c>
      <c r="AJ53" s="233">
        <f>IF(AL53=21,J53,0)</f>
        <v>0</v>
      </c>
      <c r="AL53" s="233">
        <v>21</v>
      </c>
      <c r="AM53" s="233">
        <f>G53*0</f>
        <v>0</v>
      </c>
      <c r="AN53" s="233">
        <f>G53*(1-0)</f>
        <v>0</v>
      </c>
      <c r="AO53" s="234" t="s">
        <v>157</v>
      </c>
      <c r="AT53" s="233">
        <f>AU53+AV53</f>
        <v>0</v>
      </c>
      <c r="AU53" s="233">
        <f>F53*AM53</f>
        <v>0</v>
      </c>
      <c r="AV53" s="233">
        <f>F53*AN53</f>
        <v>0</v>
      </c>
      <c r="AW53" s="234" t="s">
        <v>205</v>
      </c>
      <c r="AX53" s="234" t="s">
        <v>163</v>
      </c>
      <c r="AY53" s="230" t="s">
        <v>164</v>
      </c>
      <c r="BA53" s="233">
        <f>AU53+AV53</f>
        <v>0</v>
      </c>
      <c r="BB53" s="233">
        <f>G53/(100-BC53)*100</f>
        <v>0</v>
      </c>
      <c r="BC53" s="233">
        <v>0</v>
      </c>
      <c r="BD53" s="233">
        <f>L53</f>
        <v>0</v>
      </c>
      <c r="BF53" s="233">
        <f>F53*AM53</f>
        <v>0</v>
      </c>
      <c r="BG53" s="233">
        <f>F53*AN53</f>
        <v>0</v>
      </c>
      <c r="BH53" s="233">
        <f>F53*G53</f>
        <v>0</v>
      </c>
      <c r="BI53" s="233"/>
      <c r="BJ53" s="233">
        <v>13</v>
      </c>
      <c r="BU53" s="233" t="e">
        <f>#REF!</f>
        <v>#REF!</v>
      </c>
      <c r="BV53" s="225" t="s">
        <v>484</v>
      </c>
    </row>
    <row r="54" spans="1:74" ht="40.5" customHeight="1" x14ac:dyDescent="0.3">
      <c r="A54" s="241"/>
      <c r="B54" s="242" t="s">
        <v>165</v>
      </c>
      <c r="C54" s="530" t="s">
        <v>1404</v>
      </c>
      <c r="D54" s="531"/>
      <c r="E54" s="531"/>
      <c r="F54" s="531"/>
      <c r="G54" s="531"/>
      <c r="H54" s="531"/>
      <c r="I54" s="531"/>
      <c r="J54" s="531"/>
      <c r="K54" s="531"/>
      <c r="L54" s="531"/>
      <c r="M54" s="532"/>
    </row>
    <row r="55" spans="1:74" ht="14.4" x14ac:dyDescent="0.3">
      <c r="A55" s="239" t="s">
        <v>232</v>
      </c>
      <c r="B55" s="223" t="s">
        <v>486</v>
      </c>
      <c r="C55" s="521" t="s">
        <v>487</v>
      </c>
      <c r="D55" s="519"/>
      <c r="E55" s="223" t="s">
        <v>196</v>
      </c>
      <c r="F55" s="233">
        <v>34.020000000000003</v>
      </c>
      <c r="G55" s="311">
        <v>0</v>
      </c>
      <c r="H55" s="233">
        <f>F55*AM55</f>
        <v>0</v>
      </c>
      <c r="I55" s="233">
        <f>F55*AN55</f>
        <v>0</v>
      </c>
      <c r="J55" s="233">
        <f>F55*G55</f>
        <v>0</v>
      </c>
      <c r="K55" s="233">
        <v>0</v>
      </c>
      <c r="L55" s="233">
        <f>F55*K55</f>
        <v>0</v>
      </c>
      <c r="M55" s="240" t="s">
        <v>472</v>
      </c>
      <c r="X55" s="233">
        <f>IF(AO55="5",BH55,0)</f>
        <v>0</v>
      </c>
      <c r="Z55" s="233">
        <f>IF(AO55="1",BF55,0)</f>
        <v>0</v>
      </c>
      <c r="AA55" s="233">
        <f>IF(AO55="1",BG55,0)</f>
        <v>0</v>
      </c>
      <c r="AB55" s="233">
        <f>IF(AO55="7",BF55,0)</f>
        <v>0</v>
      </c>
      <c r="AC55" s="233">
        <f>IF(AO55="7",BG55,0)</f>
        <v>0</v>
      </c>
      <c r="AD55" s="233">
        <f>IF(AO55="2",BF55,0)</f>
        <v>0</v>
      </c>
      <c r="AE55" s="233">
        <f>IF(AO55="2",BG55,0)</f>
        <v>0</v>
      </c>
      <c r="AF55" s="233">
        <f>IF(AO55="0",BH55,0)</f>
        <v>0</v>
      </c>
      <c r="AG55" s="230" t="s">
        <v>154</v>
      </c>
      <c r="AH55" s="233">
        <f>IF(AL55=0,J55,0)</f>
        <v>0</v>
      </c>
      <c r="AI55" s="233">
        <f>IF(AL55=15,J55,0)</f>
        <v>0</v>
      </c>
      <c r="AJ55" s="233">
        <f>IF(AL55=21,J55,0)</f>
        <v>0</v>
      </c>
      <c r="AL55" s="233">
        <v>21</v>
      </c>
      <c r="AM55" s="233">
        <f>G55*0</f>
        <v>0</v>
      </c>
      <c r="AN55" s="233">
        <f>G55*(1-0)</f>
        <v>0</v>
      </c>
      <c r="AO55" s="234" t="s">
        <v>157</v>
      </c>
      <c r="AT55" s="233">
        <f>AU55+AV55</f>
        <v>0</v>
      </c>
      <c r="AU55" s="233">
        <f>F55*AM55</f>
        <v>0</v>
      </c>
      <c r="AV55" s="233">
        <f>F55*AN55</f>
        <v>0</v>
      </c>
      <c r="AW55" s="234" t="s">
        <v>205</v>
      </c>
      <c r="AX55" s="234" t="s">
        <v>163</v>
      </c>
      <c r="AY55" s="230" t="s">
        <v>164</v>
      </c>
      <c r="BA55" s="233">
        <f>AU55+AV55</f>
        <v>0</v>
      </c>
      <c r="BB55" s="233">
        <f>G55/(100-BC55)*100</f>
        <v>0</v>
      </c>
      <c r="BC55" s="233">
        <v>0</v>
      </c>
      <c r="BD55" s="233">
        <f>L55</f>
        <v>0</v>
      </c>
      <c r="BF55" s="233">
        <f>F55*AM55</f>
        <v>0</v>
      </c>
      <c r="BG55" s="233">
        <f>F55*AN55</f>
        <v>0</v>
      </c>
      <c r="BH55" s="233">
        <f>F55*G55</f>
        <v>0</v>
      </c>
      <c r="BI55" s="233"/>
      <c r="BJ55" s="233">
        <v>13</v>
      </c>
      <c r="BU55" s="233" t="e">
        <f>#REF!</f>
        <v>#REF!</v>
      </c>
      <c r="BV55" s="225" t="s">
        <v>487</v>
      </c>
    </row>
    <row r="56" spans="1:74" ht="67.5" customHeight="1" x14ac:dyDescent="0.3">
      <c r="A56" s="241"/>
      <c r="B56" s="242" t="s">
        <v>165</v>
      </c>
      <c r="C56" s="530" t="s">
        <v>1405</v>
      </c>
      <c r="D56" s="531"/>
      <c r="E56" s="531"/>
      <c r="F56" s="531"/>
      <c r="G56" s="531"/>
      <c r="H56" s="531"/>
      <c r="I56" s="531"/>
      <c r="J56" s="531"/>
      <c r="K56" s="531"/>
      <c r="L56" s="531"/>
      <c r="M56" s="532"/>
    </row>
    <row r="57" spans="1:74" ht="14.4" x14ac:dyDescent="0.3">
      <c r="A57" s="239" t="s">
        <v>235</v>
      </c>
      <c r="B57" s="223" t="s">
        <v>489</v>
      </c>
      <c r="C57" s="521" t="s">
        <v>490</v>
      </c>
      <c r="D57" s="519"/>
      <c r="E57" s="223" t="s">
        <v>196</v>
      </c>
      <c r="F57" s="233">
        <v>27.21</v>
      </c>
      <c r="G57" s="311">
        <v>0</v>
      </c>
      <c r="H57" s="233">
        <f>F57*AM57</f>
        <v>0</v>
      </c>
      <c r="I57" s="233">
        <f>F57*AN57</f>
        <v>0</v>
      </c>
      <c r="J57" s="233">
        <f>F57*G57</f>
        <v>0</v>
      </c>
      <c r="K57" s="233">
        <v>0</v>
      </c>
      <c r="L57" s="233">
        <f>F57*K57</f>
        <v>0</v>
      </c>
      <c r="M57" s="240" t="s">
        <v>472</v>
      </c>
      <c r="X57" s="233">
        <f>IF(AO57="5",BH57,0)</f>
        <v>0</v>
      </c>
      <c r="Z57" s="233">
        <f>IF(AO57="1",BF57,0)</f>
        <v>0</v>
      </c>
      <c r="AA57" s="233">
        <f>IF(AO57="1",BG57,0)</f>
        <v>0</v>
      </c>
      <c r="AB57" s="233">
        <f>IF(AO57="7",BF57,0)</f>
        <v>0</v>
      </c>
      <c r="AC57" s="233">
        <f>IF(AO57="7",BG57,0)</f>
        <v>0</v>
      </c>
      <c r="AD57" s="233">
        <f>IF(AO57="2",BF57,0)</f>
        <v>0</v>
      </c>
      <c r="AE57" s="233">
        <f>IF(AO57="2",BG57,0)</f>
        <v>0</v>
      </c>
      <c r="AF57" s="233">
        <f>IF(AO57="0",BH57,0)</f>
        <v>0</v>
      </c>
      <c r="AG57" s="230" t="s">
        <v>154</v>
      </c>
      <c r="AH57" s="233">
        <f>IF(AL57=0,J57,0)</f>
        <v>0</v>
      </c>
      <c r="AI57" s="233">
        <f>IF(AL57=15,J57,0)</f>
        <v>0</v>
      </c>
      <c r="AJ57" s="233">
        <f>IF(AL57=21,J57,0)</f>
        <v>0</v>
      </c>
      <c r="AL57" s="233">
        <v>21</v>
      </c>
      <c r="AM57" s="233">
        <f>G57*0</f>
        <v>0</v>
      </c>
      <c r="AN57" s="233">
        <f>G57*(1-0)</f>
        <v>0</v>
      </c>
      <c r="AO57" s="234" t="s">
        <v>157</v>
      </c>
      <c r="AT57" s="233">
        <f>AU57+AV57</f>
        <v>0</v>
      </c>
      <c r="AU57" s="233">
        <f>F57*AM57</f>
        <v>0</v>
      </c>
      <c r="AV57" s="233">
        <f>F57*AN57</f>
        <v>0</v>
      </c>
      <c r="AW57" s="234" t="s">
        <v>205</v>
      </c>
      <c r="AX57" s="234" t="s">
        <v>163</v>
      </c>
      <c r="AY57" s="230" t="s">
        <v>164</v>
      </c>
      <c r="BA57" s="233">
        <f>AU57+AV57</f>
        <v>0</v>
      </c>
      <c r="BB57" s="233">
        <f>G57/(100-BC57)*100</f>
        <v>0</v>
      </c>
      <c r="BC57" s="233">
        <v>0</v>
      </c>
      <c r="BD57" s="233">
        <f>L57</f>
        <v>0</v>
      </c>
      <c r="BF57" s="233">
        <f>F57*AM57</f>
        <v>0</v>
      </c>
      <c r="BG57" s="233">
        <f>F57*AN57</f>
        <v>0</v>
      </c>
      <c r="BH57" s="233">
        <f>F57*G57</f>
        <v>0</v>
      </c>
      <c r="BI57" s="233"/>
      <c r="BJ57" s="233">
        <v>13</v>
      </c>
      <c r="BU57" s="233" t="e">
        <f>#REF!</f>
        <v>#REF!</v>
      </c>
      <c r="BV57" s="225" t="s">
        <v>490</v>
      </c>
    </row>
    <row r="58" spans="1:74" ht="67.5" customHeight="1" x14ac:dyDescent="0.3">
      <c r="A58" s="241"/>
      <c r="B58" s="242" t="s">
        <v>165</v>
      </c>
      <c r="C58" s="530" t="s">
        <v>1406</v>
      </c>
      <c r="D58" s="531"/>
      <c r="E58" s="531"/>
      <c r="F58" s="531"/>
      <c r="G58" s="531"/>
      <c r="H58" s="531"/>
      <c r="I58" s="531"/>
      <c r="J58" s="531"/>
      <c r="K58" s="531"/>
      <c r="L58" s="531"/>
      <c r="M58" s="532"/>
    </row>
    <row r="59" spans="1:74" ht="14.4" x14ac:dyDescent="0.3">
      <c r="A59" s="239" t="s">
        <v>238</v>
      </c>
      <c r="B59" s="223" t="s">
        <v>492</v>
      </c>
      <c r="C59" s="521" t="s">
        <v>493</v>
      </c>
      <c r="D59" s="519"/>
      <c r="E59" s="223" t="s">
        <v>196</v>
      </c>
      <c r="F59" s="233">
        <v>6.81</v>
      </c>
      <c r="G59" s="311">
        <v>0</v>
      </c>
      <c r="H59" s="233">
        <f>F59*AM59</f>
        <v>0</v>
      </c>
      <c r="I59" s="233">
        <f>F59*AN59</f>
        <v>0</v>
      </c>
      <c r="J59" s="233">
        <f>F59*G59</f>
        <v>0</v>
      </c>
      <c r="K59" s="233">
        <v>0</v>
      </c>
      <c r="L59" s="233">
        <f>F59*K59</f>
        <v>0</v>
      </c>
      <c r="M59" s="240" t="s">
        <v>472</v>
      </c>
      <c r="X59" s="233">
        <f>IF(AO59="5",BH59,0)</f>
        <v>0</v>
      </c>
      <c r="Z59" s="233">
        <f>IF(AO59="1",BF59,0)</f>
        <v>0</v>
      </c>
      <c r="AA59" s="233">
        <f>IF(AO59="1",BG59,0)</f>
        <v>0</v>
      </c>
      <c r="AB59" s="233">
        <f>IF(AO59="7",BF59,0)</f>
        <v>0</v>
      </c>
      <c r="AC59" s="233">
        <f>IF(AO59="7",BG59,0)</f>
        <v>0</v>
      </c>
      <c r="AD59" s="233">
        <f>IF(AO59="2",BF59,0)</f>
        <v>0</v>
      </c>
      <c r="AE59" s="233">
        <f>IF(AO59="2",BG59,0)</f>
        <v>0</v>
      </c>
      <c r="AF59" s="233">
        <f>IF(AO59="0",BH59,0)</f>
        <v>0</v>
      </c>
      <c r="AG59" s="230" t="s">
        <v>154</v>
      </c>
      <c r="AH59" s="233">
        <f>IF(AL59=0,J59,0)</f>
        <v>0</v>
      </c>
      <c r="AI59" s="233">
        <f>IF(AL59=15,J59,0)</f>
        <v>0</v>
      </c>
      <c r="AJ59" s="233">
        <f>IF(AL59=21,J59,0)</f>
        <v>0</v>
      </c>
      <c r="AL59" s="233">
        <v>21</v>
      </c>
      <c r="AM59" s="233">
        <f>G59*0</f>
        <v>0</v>
      </c>
      <c r="AN59" s="233">
        <f>G59*(1-0)</f>
        <v>0</v>
      </c>
      <c r="AO59" s="234" t="s">
        <v>157</v>
      </c>
      <c r="AT59" s="233">
        <f>AU59+AV59</f>
        <v>0</v>
      </c>
      <c r="AU59" s="233">
        <f>F59*AM59</f>
        <v>0</v>
      </c>
      <c r="AV59" s="233">
        <f>F59*AN59</f>
        <v>0</v>
      </c>
      <c r="AW59" s="234" t="s">
        <v>205</v>
      </c>
      <c r="AX59" s="234" t="s">
        <v>163</v>
      </c>
      <c r="AY59" s="230" t="s">
        <v>164</v>
      </c>
      <c r="BA59" s="233">
        <f>AU59+AV59</f>
        <v>0</v>
      </c>
      <c r="BB59" s="233">
        <f>G59/(100-BC59)*100</f>
        <v>0</v>
      </c>
      <c r="BC59" s="233">
        <v>0</v>
      </c>
      <c r="BD59" s="233">
        <f>L59</f>
        <v>0</v>
      </c>
      <c r="BF59" s="233">
        <f>F59*AM59</f>
        <v>0</v>
      </c>
      <c r="BG59" s="233">
        <f>F59*AN59</f>
        <v>0</v>
      </c>
      <c r="BH59" s="233">
        <f>F59*G59</f>
        <v>0</v>
      </c>
      <c r="BI59" s="233"/>
      <c r="BJ59" s="233">
        <v>13</v>
      </c>
      <c r="BU59" s="233" t="e">
        <f>#REF!</f>
        <v>#REF!</v>
      </c>
      <c r="BV59" s="225" t="s">
        <v>493</v>
      </c>
    </row>
    <row r="60" spans="1:74" ht="67.5" customHeight="1" x14ac:dyDescent="0.3">
      <c r="A60" s="244"/>
      <c r="B60" s="245" t="s">
        <v>165</v>
      </c>
      <c r="C60" s="540" t="s">
        <v>1407</v>
      </c>
      <c r="D60" s="541"/>
      <c r="E60" s="541"/>
      <c r="F60" s="541"/>
      <c r="G60" s="541"/>
      <c r="H60" s="541"/>
      <c r="I60" s="541"/>
      <c r="J60" s="541"/>
      <c r="K60" s="541"/>
      <c r="L60" s="541"/>
      <c r="M60" s="542"/>
    </row>
    <row r="61" spans="1:74" ht="14.4" x14ac:dyDescent="0.3">
      <c r="A61" s="237" t="s">
        <v>154</v>
      </c>
      <c r="B61" s="260" t="s">
        <v>210</v>
      </c>
      <c r="C61" s="545" t="s">
        <v>495</v>
      </c>
      <c r="D61" s="546"/>
      <c r="E61" s="238" t="s">
        <v>114</v>
      </c>
      <c r="F61" s="238" t="s">
        <v>114</v>
      </c>
      <c r="G61" s="238" t="s">
        <v>114</v>
      </c>
      <c r="H61" s="261">
        <f>SUM(H62:H62)</f>
        <v>0</v>
      </c>
      <c r="I61" s="261">
        <f>SUM(I62:I62)</f>
        <v>0</v>
      </c>
      <c r="J61" s="261">
        <f>SUM(J62:J62)</f>
        <v>0</v>
      </c>
      <c r="K61" s="262" t="s">
        <v>154</v>
      </c>
      <c r="L61" s="261">
        <f>SUM(L62:L62)</f>
        <v>8.3519999999999997E-2</v>
      </c>
      <c r="M61" s="263" t="s">
        <v>154</v>
      </c>
      <c r="AG61" s="230" t="s">
        <v>154</v>
      </c>
      <c r="AQ61" s="235">
        <f>SUM(AH62:AH62)</f>
        <v>0</v>
      </c>
      <c r="AR61" s="235">
        <f>SUM(AI62:AI62)</f>
        <v>0</v>
      </c>
      <c r="AS61" s="235">
        <f>SUM(AJ62:AJ62)</f>
        <v>0</v>
      </c>
    </row>
    <row r="62" spans="1:74" ht="14.4" x14ac:dyDescent="0.3">
      <c r="A62" s="239" t="s">
        <v>241</v>
      </c>
      <c r="B62" s="223" t="s">
        <v>496</v>
      </c>
      <c r="C62" s="521" t="s">
        <v>497</v>
      </c>
      <c r="D62" s="519"/>
      <c r="E62" s="223" t="s">
        <v>160</v>
      </c>
      <c r="F62" s="233">
        <v>12</v>
      </c>
      <c r="G62" s="311">
        <v>0</v>
      </c>
      <c r="H62" s="233">
        <f>F62*AM62</f>
        <v>0</v>
      </c>
      <c r="I62" s="233">
        <f>F62*AN62</f>
        <v>0</v>
      </c>
      <c r="J62" s="233">
        <f>F62*G62</f>
        <v>0</v>
      </c>
      <c r="K62" s="233">
        <v>6.96E-3</v>
      </c>
      <c r="L62" s="233">
        <f>F62*K62</f>
        <v>8.3519999999999997E-2</v>
      </c>
      <c r="M62" s="240" t="s">
        <v>472</v>
      </c>
      <c r="X62" s="233">
        <f>IF(AO62="5",BH62,0)</f>
        <v>0</v>
      </c>
      <c r="Z62" s="233">
        <f>IF(AO62="1",BF62,0)</f>
        <v>0</v>
      </c>
      <c r="AA62" s="233">
        <f>IF(AO62="1",BG62,0)</f>
        <v>0</v>
      </c>
      <c r="AB62" s="233">
        <f>IF(AO62="7",BF62,0)</f>
        <v>0</v>
      </c>
      <c r="AC62" s="233">
        <f>IF(AO62="7",BG62,0)</f>
        <v>0</v>
      </c>
      <c r="AD62" s="233">
        <f>IF(AO62="2",BF62,0)</f>
        <v>0</v>
      </c>
      <c r="AE62" s="233">
        <f>IF(AO62="2",BG62,0)</f>
        <v>0</v>
      </c>
      <c r="AF62" s="233">
        <f>IF(AO62="0",BH62,0)</f>
        <v>0</v>
      </c>
      <c r="AG62" s="230" t="s">
        <v>154</v>
      </c>
      <c r="AH62" s="233">
        <f>IF(AL62=0,J62,0)</f>
        <v>0</v>
      </c>
      <c r="AI62" s="233">
        <f>IF(AL62=15,J62,0)</f>
        <v>0</v>
      </c>
      <c r="AJ62" s="233">
        <f>IF(AL62=21,J62,0)</f>
        <v>0</v>
      </c>
      <c r="AL62" s="233">
        <v>21</v>
      </c>
      <c r="AM62" s="233">
        <f>G62*0.008619681</f>
        <v>0</v>
      </c>
      <c r="AN62" s="233">
        <f>G62*(1-0.008619681)</f>
        <v>0</v>
      </c>
      <c r="AO62" s="234" t="s">
        <v>157</v>
      </c>
      <c r="AT62" s="233">
        <f>AU62+AV62</f>
        <v>0</v>
      </c>
      <c r="AU62" s="233">
        <f>F62*AM62</f>
        <v>0</v>
      </c>
      <c r="AV62" s="233">
        <f>F62*AN62</f>
        <v>0</v>
      </c>
      <c r="AW62" s="234" t="s">
        <v>498</v>
      </c>
      <c r="AX62" s="234" t="s">
        <v>163</v>
      </c>
      <c r="AY62" s="230" t="s">
        <v>164</v>
      </c>
      <c r="BA62" s="233">
        <f>AU62+AV62</f>
        <v>0</v>
      </c>
      <c r="BB62" s="233">
        <f>G62/(100-BC62)*100</f>
        <v>0</v>
      </c>
      <c r="BC62" s="233">
        <v>0</v>
      </c>
      <c r="BD62" s="233">
        <f>L62</f>
        <v>8.3519999999999997E-2</v>
      </c>
      <c r="BF62" s="233">
        <f>F62*AM62</f>
        <v>0</v>
      </c>
      <c r="BG62" s="233">
        <f>F62*AN62</f>
        <v>0</v>
      </c>
      <c r="BH62" s="233">
        <f>F62*G62</f>
        <v>0</v>
      </c>
      <c r="BI62" s="233"/>
      <c r="BJ62" s="233">
        <v>14</v>
      </c>
      <c r="BU62" s="233" t="e">
        <f>#REF!</f>
        <v>#REF!</v>
      </c>
      <c r="BV62" s="225" t="s">
        <v>497</v>
      </c>
    </row>
    <row r="63" spans="1:74" ht="108" customHeight="1" x14ac:dyDescent="0.3">
      <c r="A63" s="241"/>
      <c r="B63" s="242" t="s">
        <v>165</v>
      </c>
      <c r="C63" s="530" t="s">
        <v>1408</v>
      </c>
      <c r="D63" s="531"/>
      <c r="E63" s="531"/>
      <c r="F63" s="531"/>
      <c r="G63" s="531"/>
      <c r="H63" s="531"/>
      <c r="I63" s="531"/>
      <c r="J63" s="531"/>
      <c r="K63" s="531"/>
      <c r="L63" s="531"/>
      <c r="M63" s="532"/>
    </row>
    <row r="64" spans="1:74" ht="14.4" x14ac:dyDescent="0.3">
      <c r="A64" s="239" t="s">
        <v>154</v>
      </c>
      <c r="B64" s="224" t="s">
        <v>161</v>
      </c>
      <c r="C64" s="526" t="s">
        <v>219</v>
      </c>
      <c r="D64" s="527"/>
      <c r="E64" s="223" t="s">
        <v>114</v>
      </c>
      <c r="F64" s="223" t="s">
        <v>114</v>
      </c>
      <c r="G64" s="223" t="s">
        <v>114</v>
      </c>
      <c r="H64" s="235">
        <f>SUM(H65:H67)</f>
        <v>0</v>
      </c>
      <c r="I64" s="235">
        <f>SUM(I65:I67)</f>
        <v>0</v>
      </c>
      <c r="J64" s="235">
        <f>SUM(J65:J67)</f>
        <v>0</v>
      </c>
      <c r="K64" s="230" t="s">
        <v>154</v>
      </c>
      <c r="L64" s="235">
        <f>SUM(L65:L67)</f>
        <v>0.3318084</v>
      </c>
      <c r="M64" s="243" t="s">
        <v>154</v>
      </c>
      <c r="AG64" s="230" t="s">
        <v>154</v>
      </c>
      <c r="AQ64" s="235">
        <f>SUM(AH65:AH67)</f>
        <v>0</v>
      </c>
      <c r="AR64" s="235">
        <f>SUM(AI65:AI67)</f>
        <v>0</v>
      </c>
      <c r="AS64" s="235">
        <f>SUM(AJ65:AJ67)</f>
        <v>0</v>
      </c>
    </row>
    <row r="65" spans="1:74" ht="14.4" x14ac:dyDescent="0.3">
      <c r="A65" s="239" t="s">
        <v>244</v>
      </c>
      <c r="B65" s="223" t="s">
        <v>499</v>
      </c>
      <c r="C65" s="521" t="s">
        <v>500</v>
      </c>
      <c r="D65" s="519"/>
      <c r="E65" s="223" t="s">
        <v>180</v>
      </c>
      <c r="F65" s="233">
        <v>335.16</v>
      </c>
      <c r="G65" s="311">
        <v>0</v>
      </c>
      <c r="H65" s="233">
        <f>F65*AM65</f>
        <v>0</v>
      </c>
      <c r="I65" s="233">
        <f>F65*AN65</f>
        <v>0</v>
      </c>
      <c r="J65" s="233">
        <f>F65*G65</f>
        <v>0</v>
      </c>
      <c r="K65" s="233">
        <v>9.8999999999999999E-4</v>
      </c>
      <c r="L65" s="233">
        <f>F65*K65</f>
        <v>0.3318084</v>
      </c>
      <c r="M65" s="240" t="s">
        <v>472</v>
      </c>
      <c r="X65" s="233">
        <f>IF(AO65="5",BH65,0)</f>
        <v>0</v>
      </c>
      <c r="Z65" s="233">
        <f>IF(AO65="1",BF65,0)</f>
        <v>0</v>
      </c>
      <c r="AA65" s="233">
        <f>IF(AO65="1",BG65,0)</f>
        <v>0</v>
      </c>
      <c r="AB65" s="233">
        <f>IF(AO65="7",BF65,0)</f>
        <v>0</v>
      </c>
      <c r="AC65" s="233">
        <f>IF(AO65="7",BG65,0)</f>
        <v>0</v>
      </c>
      <c r="AD65" s="233">
        <f>IF(AO65="2",BF65,0)</f>
        <v>0</v>
      </c>
      <c r="AE65" s="233">
        <f>IF(AO65="2",BG65,0)</f>
        <v>0</v>
      </c>
      <c r="AF65" s="233">
        <f>IF(AO65="0",BH65,0)</f>
        <v>0</v>
      </c>
      <c r="AG65" s="230" t="s">
        <v>154</v>
      </c>
      <c r="AH65" s="233">
        <f>IF(AL65=0,J65,0)</f>
        <v>0</v>
      </c>
      <c r="AI65" s="233">
        <f>IF(AL65=15,J65,0)</f>
        <v>0</v>
      </c>
      <c r="AJ65" s="233">
        <f>IF(AL65=21,J65,0)</f>
        <v>0</v>
      </c>
      <c r="AL65" s="233">
        <v>21</v>
      </c>
      <c r="AM65" s="233">
        <f>G65*0.085202971</f>
        <v>0</v>
      </c>
      <c r="AN65" s="233">
        <f>G65*(1-0.085202971)</f>
        <v>0</v>
      </c>
      <c r="AO65" s="234" t="s">
        <v>157</v>
      </c>
      <c r="AT65" s="233">
        <f>AU65+AV65</f>
        <v>0</v>
      </c>
      <c r="AU65" s="233">
        <f>F65*AM65</f>
        <v>0</v>
      </c>
      <c r="AV65" s="233">
        <f>F65*AN65</f>
        <v>0</v>
      </c>
      <c r="AW65" s="234" t="s">
        <v>223</v>
      </c>
      <c r="AX65" s="234" t="s">
        <v>163</v>
      </c>
      <c r="AY65" s="230" t="s">
        <v>164</v>
      </c>
      <c r="BA65" s="233">
        <f>AU65+AV65</f>
        <v>0</v>
      </c>
      <c r="BB65" s="233">
        <f>G65/(100-BC65)*100</f>
        <v>0</v>
      </c>
      <c r="BC65" s="233">
        <v>0</v>
      </c>
      <c r="BD65" s="233">
        <f>L65</f>
        <v>0.3318084</v>
      </c>
      <c r="BF65" s="233">
        <f>F65*AM65</f>
        <v>0</v>
      </c>
      <c r="BG65" s="233">
        <f>F65*AN65</f>
        <v>0</v>
      </c>
      <c r="BH65" s="233">
        <f>F65*G65</f>
        <v>0</v>
      </c>
      <c r="BI65" s="233"/>
      <c r="BJ65" s="233">
        <v>15</v>
      </c>
      <c r="BU65" s="233" t="e">
        <f>#REF!</f>
        <v>#REF!</v>
      </c>
      <c r="BV65" s="225" t="s">
        <v>500</v>
      </c>
    </row>
    <row r="66" spans="1:74" ht="40.5" customHeight="1" x14ac:dyDescent="0.3">
      <c r="A66" s="241"/>
      <c r="B66" s="242" t="s">
        <v>165</v>
      </c>
      <c r="C66" s="530" t="s">
        <v>1409</v>
      </c>
      <c r="D66" s="531"/>
      <c r="E66" s="531"/>
      <c r="F66" s="531"/>
      <c r="G66" s="531"/>
      <c r="H66" s="531"/>
      <c r="I66" s="531"/>
      <c r="J66" s="531"/>
      <c r="K66" s="531"/>
      <c r="L66" s="531"/>
      <c r="M66" s="532"/>
    </row>
    <row r="67" spans="1:74" ht="14.4" x14ac:dyDescent="0.3">
      <c r="A67" s="239" t="s">
        <v>247</v>
      </c>
      <c r="B67" s="223" t="s">
        <v>501</v>
      </c>
      <c r="C67" s="521" t="s">
        <v>502</v>
      </c>
      <c r="D67" s="519"/>
      <c r="E67" s="223" t="s">
        <v>180</v>
      </c>
      <c r="F67" s="233">
        <v>335.16</v>
      </c>
      <c r="G67" s="311">
        <v>0</v>
      </c>
      <c r="H67" s="233">
        <f>F67*AM67</f>
        <v>0</v>
      </c>
      <c r="I67" s="233">
        <f>F67*AN67</f>
        <v>0</v>
      </c>
      <c r="J67" s="233">
        <f>F67*G67</f>
        <v>0</v>
      </c>
      <c r="K67" s="233">
        <v>0</v>
      </c>
      <c r="L67" s="233">
        <f>F67*K67</f>
        <v>0</v>
      </c>
      <c r="M67" s="240" t="s">
        <v>472</v>
      </c>
      <c r="X67" s="233">
        <f>IF(AO67="5",BH67,0)</f>
        <v>0</v>
      </c>
      <c r="Z67" s="233">
        <f>IF(AO67="1",BF67,0)</f>
        <v>0</v>
      </c>
      <c r="AA67" s="233">
        <f>IF(AO67="1",BG67,0)</f>
        <v>0</v>
      </c>
      <c r="AB67" s="233">
        <f>IF(AO67="7",BF67,0)</f>
        <v>0</v>
      </c>
      <c r="AC67" s="233">
        <f>IF(AO67="7",BG67,0)</f>
        <v>0</v>
      </c>
      <c r="AD67" s="233">
        <f>IF(AO67="2",BF67,0)</f>
        <v>0</v>
      </c>
      <c r="AE67" s="233">
        <f>IF(AO67="2",BG67,0)</f>
        <v>0</v>
      </c>
      <c r="AF67" s="233">
        <f>IF(AO67="0",BH67,0)</f>
        <v>0</v>
      </c>
      <c r="AG67" s="230" t="s">
        <v>154</v>
      </c>
      <c r="AH67" s="233">
        <f>IF(AL67=0,J67,0)</f>
        <v>0</v>
      </c>
      <c r="AI67" s="233">
        <f>IF(AL67=15,J67,0)</f>
        <v>0</v>
      </c>
      <c r="AJ67" s="233">
        <f>IF(AL67=21,J67,0)</f>
        <v>0</v>
      </c>
      <c r="AL67" s="233">
        <v>21</v>
      </c>
      <c r="AM67" s="233">
        <f>G67*0</f>
        <v>0</v>
      </c>
      <c r="AN67" s="233">
        <f>G67*(1-0)</f>
        <v>0</v>
      </c>
      <c r="AO67" s="234" t="s">
        <v>157</v>
      </c>
      <c r="AT67" s="233">
        <f>AU67+AV67</f>
        <v>0</v>
      </c>
      <c r="AU67" s="233">
        <f>F67*AM67</f>
        <v>0</v>
      </c>
      <c r="AV67" s="233">
        <f>F67*AN67</f>
        <v>0</v>
      </c>
      <c r="AW67" s="234" t="s">
        <v>223</v>
      </c>
      <c r="AX67" s="234" t="s">
        <v>163</v>
      </c>
      <c r="AY67" s="230" t="s">
        <v>164</v>
      </c>
      <c r="BA67" s="233">
        <f>AU67+AV67</f>
        <v>0</v>
      </c>
      <c r="BB67" s="233">
        <f>G67/(100-BC67)*100</f>
        <v>0</v>
      </c>
      <c r="BC67" s="233">
        <v>0</v>
      </c>
      <c r="BD67" s="233">
        <f>L67</f>
        <v>0</v>
      </c>
      <c r="BF67" s="233">
        <f>F67*AM67</f>
        <v>0</v>
      </c>
      <c r="BG67" s="233">
        <f>F67*AN67</f>
        <v>0</v>
      </c>
      <c r="BH67" s="233">
        <f>F67*G67</f>
        <v>0</v>
      </c>
      <c r="BI67" s="233"/>
      <c r="BJ67" s="233">
        <v>15</v>
      </c>
      <c r="BU67" s="233" t="e">
        <f>#REF!</f>
        <v>#REF!</v>
      </c>
      <c r="BV67" s="225" t="s">
        <v>502</v>
      </c>
    </row>
    <row r="68" spans="1:74" ht="40.5" customHeight="1" x14ac:dyDescent="0.3">
      <c r="A68" s="241"/>
      <c r="B68" s="242" t="s">
        <v>165</v>
      </c>
      <c r="C68" s="530" t="s">
        <v>1410</v>
      </c>
      <c r="D68" s="531"/>
      <c r="E68" s="531"/>
      <c r="F68" s="531"/>
      <c r="G68" s="531"/>
      <c r="H68" s="531"/>
      <c r="I68" s="531"/>
      <c r="J68" s="531"/>
      <c r="K68" s="531"/>
      <c r="L68" s="531"/>
      <c r="M68" s="532"/>
    </row>
    <row r="69" spans="1:74" ht="14.4" x14ac:dyDescent="0.3">
      <c r="A69" s="239" t="s">
        <v>154</v>
      </c>
      <c r="B69" s="224" t="s">
        <v>215</v>
      </c>
      <c r="C69" s="526" t="s">
        <v>227</v>
      </c>
      <c r="D69" s="527"/>
      <c r="E69" s="223" t="s">
        <v>114</v>
      </c>
      <c r="F69" s="223" t="s">
        <v>114</v>
      </c>
      <c r="G69" s="223" t="s">
        <v>114</v>
      </c>
      <c r="H69" s="235">
        <f>SUM(H70:H88)</f>
        <v>0</v>
      </c>
      <c r="I69" s="235">
        <f>SUM(I70:I88)</f>
        <v>0</v>
      </c>
      <c r="J69" s="235">
        <f>SUM(J70:J88)</f>
        <v>0</v>
      </c>
      <c r="K69" s="230" t="s">
        <v>154</v>
      </c>
      <c r="L69" s="235">
        <f>SUM(L70:L88)</f>
        <v>0</v>
      </c>
      <c r="M69" s="243" t="s">
        <v>154</v>
      </c>
      <c r="AG69" s="230" t="s">
        <v>154</v>
      </c>
      <c r="AQ69" s="235">
        <f>SUM(AH70:AH88)</f>
        <v>0</v>
      </c>
      <c r="AR69" s="235">
        <f>SUM(AI70:AI88)</f>
        <v>0</v>
      </c>
      <c r="AS69" s="235">
        <f>SUM(AJ70:AJ88)</f>
        <v>0</v>
      </c>
    </row>
    <row r="70" spans="1:74" ht="14.4" x14ac:dyDescent="0.3">
      <c r="A70" s="239" t="s">
        <v>250</v>
      </c>
      <c r="B70" s="223" t="s">
        <v>229</v>
      </c>
      <c r="C70" s="521" t="s">
        <v>230</v>
      </c>
      <c r="D70" s="519"/>
      <c r="E70" s="223" t="s">
        <v>196</v>
      </c>
      <c r="F70" s="233">
        <v>15.08</v>
      </c>
      <c r="G70" s="311">
        <v>0</v>
      </c>
      <c r="H70" s="233">
        <f>F70*AM70</f>
        <v>0</v>
      </c>
      <c r="I70" s="233">
        <f>F70*AN70</f>
        <v>0</v>
      </c>
      <c r="J70" s="233">
        <f>F70*G70</f>
        <v>0</v>
      </c>
      <c r="K70" s="233">
        <v>0</v>
      </c>
      <c r="L70" s="233">
        <f>F70*K70</f>
        <v>0</v>
      </c>
      <c r="M70" s="240" t="s">
        <v>472</v>
      </c>
      <c r="X70" s="233">
        <f>IF(AO70="5",BH70,0)</f>
        <v>0</v>
      </c>
      <c r="Z70" s="233">
        <f>IF(AO70="1",BF70,0)</f>
        <v>0</v>
      </c>
      <c r="AA70" s="233">
        <f>IF(AO70="1",BG70,0)</f>
        <v>0</v>
      </c>
      <c r="AB70" s="233">
        <f>IF(AO70="7",BF70,0)</f>
        <v>0</v>
      </c>
      <c r="AC70" s="233">
        <f>IF(AO70="7",BG70,0)</f>
        <v>0</v>
      </c>
      <c r="AD70" s="233">
        <f>IF(AO70="2",BF70,0)</f>
        <v>0</v>
      </c>
      <c r="AE70" s="233">
        <f>IF(AO70="2",BG70,0)</f>
        <v>0</v>
      </c>
      <c r="AF70" s="233">
        <f>IF(AO70="0",BH70,0)</f>
        <v>0</v>
      </c>
      <c r="AG70" s="230" t="s">
        <v>154</v>
      </c>
      <c r="AH70" s="233">
        <f>IF(AL70=0,J70,0)</f>
        <v>0</v>
      </c>
      <c r="AI70" s="233">
        <f>IF(AL70=15,J70,0)</f>
        <v>0</v>
      </c>
      <c r="AJ70" s="233">
        <f>IF(AL70=21,J70,0)</f>
        <v>0</v>
      </c>
      <c r="AL70" s="233">
        <v>21</v>
      </c>
      <c r="AM70" s="233">
        <f>G70*0</f>
        <v>0</v>
      </c>
      <c r="AN70" s="233">
        <f>G70*(1-0)</f>
        <v>0</v>
      </c>
      <c r="AO70" s="234" t="s">
        <v>157</v>
      </c>
      <c r="AT70" s="233">
        <f>AU70+AV70</f>
        <v>0</v>
      </c>
      <c r="AU70" s="233">
        <f>F70*AM70</f>
        <v>0</v>
      </c>
      <c r="AV70" s="233">
        <f>F70*AN70</f>
        <v>0</v>
      </c>
      <c r="AW70" s="234" t="s">
        <v>231</v>
      </c>
      <c r="AX70" s="234" t="s">
        <v>163</v>
      </c>
      <c r="AY70" s="230" t="s">
        <v>164</v>
      </c>
      <c r="BA70" s="233">
        <f>AU70+AV70</f>
        <v>0</v>
      </c>
      <c r="BB70" s="233">
        <f>G70/(100-BC70)*100</f>
        <v>0</v>
      </c>
      <c r="BC70" s="233">
        <v>0</v>
      </c>
      <c r="BD70" s="233">
        <f>L70</f>
        <v>0</v>
      </c>
      <c r="BF70" s="233">
        <f>F70*AM70</f>
        <v>0</v>
      </c>
      <c r="BG70" s="233">
        <f>F70*AN70</f>
        <v>0</v>
      </c>
      <c r="BH70" s="233">
        <f>F70*G70</f>
        <v>0</v>
      </c>
      <c r="BI70" s="233"/>
      <c r="BJ70" s="233">
        <v>16</v>
      </c>
      <c r="BU70" s="233" t="e">
        <f>#REF!</f>
        <v>#REF!</v>
      </c>
      <c r="BV70" s="225" t="s">
        <v>230</v>
      </c>
    </row>
    <row r="71" spans="1:74" ht="54" customHeight="1" x14ac:dyDescent="0.3">
      <c r="A71" s="241"/>
      <c r="B71" s="242" t="s">
        <v>165</v>
      </c>
      <c r="C71" s="530" t="s">
        <v>1411</v>
      </c>
      <c r="D71" s="531"/>
      <c r="E71" s="531"/>
      <c r="F71" s="531"/>
      <c r="G71" s="531"/>
      <c r="H71" s="531"/>
      <c r="I71" s="531"/>
      <c r="J71" s="531"/>
      <c r="K71" s="531"/>
      <c r="L71" s="531"/>
      <c r="M71" s="532"/>
    </row>
    <row r="72" spans="1:74" ht="14.4" x14ac:dyDescent="0.3">
      <c r="A72" s="239" t="s">
        <v>253</v>
      </c>
      <c r="B72" s="223" t="s">
        <v>233</v>
      </c>
      <c r="C72" s="521" t="s">
        <v>234</v>
      </c>
      <c r="D72" s="519"/>
      <c r="E72" s="223" t="s">
        <v>196</v>
      </c>
      <c r="F72" s="233">
        <v>1.91</v>
      </c>
      <c r="G72" s="311">
        <v>0</v>
      </c>
      <c r="H72" s="233">
        <f>F72*AM72</f>
        <v>0</v>
      </c>
      <c r="I72" s="233">
        <f>F72*AN72</f>
        <v>0</v>
      </c>
      <c r="J72" s="233">
        <f>F72*G72</f>
        <v>0</v>
      </c>
      <c r="K72" s="233">
        <v>0</v>
      </c>
      <c r="L72" s="233">
        <f>F72*K72</f>
        <v>0</v>
      </c>
      <c r="M72" s="240" t="s">
        <v>472</v>
      </c>
      <c r="X72" s="233">
        <f>IF(AO72="5",BH72,0)</f>
        <v>0</v>
      </c>
      <c r="Z72" s="233">
        <f>IF(AO72="1",BF72,0)</f>
        <v>0</v>
      </c>
      <c r="AA72" s="233">
        <f>IF(AO72="1",BG72,0)</f>
        <v>0</v>
      </c>
      <c r="AB72" s="233">
        <f>IF(AO72="7",BF72,0)</f>
        <v>0</v>
      </c>
      <c r="AC72" s="233">
        <f>IF(AO72="7",BG72,0)</f>
        <v>0</v>
      </c>
      <c r="AD72" s="233">
        <f>IF(AO72="2",BF72,0)</f>
        <v>0</v>
      </c>
      <c r="AE72" s="233">
        <f>IF(AO72="2",BG72,0)</f>
        <v>0</v>
      </c>
      <c r="AF72" s="233">
        <f>IF(AO72="0",BH72,0)</f>
        <v>0</v>
      </c>
      <c r="AG72" s="230" t="s">
        <v>154</v>
      </c>
      <c r="AH72" s="233">
        <f>IF(AL72=0,J72,0)</f>
        <v>0</v>
      </c>
      <c r="AI72" s="233">
        <f>IF(AL72=15,J72,0)</f>
        <v>0</v>
      </c>
      <c r="AJ72" s="233">
        <f>IF(AL72=21,J72,0)</f>
        <v>0</v>
      </c>
      <c r="AL72" s="233">
        <v>21</v>
      </c>
      <c r="AM72" s="233">
        <f>G72*0</f>
        <v>0</v>
      </c>
      <c r="AN72" s="233">
        <f>G72*(1-0)</f>
        <v>0</v>
      </c>
      <c r="AO72" s="234" t="s">
        <v>157</v>
      </c>
      <c r="AT72" s="233">
        <f>AU72+AV72</f>
        <v>0</v>
      </c>
      <c r="AU72" s="233">
        <f>F72*AM72</f>
        <v>0</v>
      </c>
      <c r="AV72" s="233">
        <f>F72*AN72</f>
        <v>0</v>
      </c>
      <c r="AW72" s="234" t="s">
        <v>231</v>
      </c>
      <c r="AX72" s="234" t="s">
        <v>163</v>
      </c>
      <c r="AY72" s="230" t="s">
        <v>164</v>
      </c>
      <c r="BA72" s="233">
        <f>AU72+AV72</f>
        <v>0</v>
      </c>
      <c r="BB72" s="233">
        <f>G72/(100-BC72)*100</f>
        <v>0</v>
      </c>
      <c r="BC72" s="233">
        <v>0</v>
      </c>
      <c r="BD72" s="233">
        <f>L72</f>
        <v>0</v>
      </c>
      <c r="BF72" s="233">
        <f>F72*AM72</f>
        <v>0</v>
      </c>
      <c r="BG72" s="233">
        <f>F72*AN72</f>
        <v>0</v>
      </c>
      <c r="BH72" s="233">
        <f>F72*G72</f>
        <v>0</v>
      </c>
      <c r="BI72" s="233"/>
      <c r="BJ72" s="233">
        <v>16</v>
      </c>
      <c r="BU72" s="233" t="e">
        <f>#REF!</f>
        <v>#REF!</v>
      </c>
      <c r="BV72" s="225" t="s">
        <v>234</v>
      </c>
    </row>
    <row r="73" spans="1:74" ht="54" customHeight="1" x14ac:dyDescent="0.3">
      <c r="A73" s="241"/>
      <c r="B73" s="242" t="s">
        <v>165</v>
      </c>
      <c r="C73" s="530" t="s">
        <v>1412</v>
      </c>
      <c r="D73" s="531"/>
      <c r="E73" s="531"/>
      <c r="F73" s="531"/>
      <c r="G73" s="531"/>
      <c r="H73" s="531"/>
      <c r="I73" s="531"/>
      <c r="J73" s="531"/>
      <c r="K73" s="531"/>
      <c r="L73" s="531"/>
      <c r="M73" s="532"/>
    </row>
    <row r="74" spans="1:74" ht="14.4" x14ac:dyDescent="0.3">
      <c r="A74" s="239" t="s">
        <v>256</v>
      </c>
      <c r="B74" s="223" t="s">
        <v>503</v>
      </c>
      <c r="C74" s="521" t="s">
        <v>237</v>
      </c>
      <c r="D74" s="519"/>
      <c r="E74" s="223" t="s">
        <v>196</v>
      </c>
      <c r="F74" s="233">
        <v>327.07</v>
      </c>
      <c r="G74" s="311">
        <v>0</v>
      </c>
      <c r="H74" s="233">
        <f>F74*AM74</f>
        <v>0</v>
      </c>
      <c r="I74" s="233">
        <f>F74*AN74</f>
        <v>0</v>
      </c>
      <c r="J74" s="233">
        <f>F74*G74</f>
        <v>0</v>
      </c>
      <c r="K74" s="233">
        <v>0</v>
      </c>
      <c r="L74" s="233">
        <f>F74*K74</f>
        <v>0</v>
      </c>
      <c r="M74" s="240" t="s">
        <v>472</v>
      </c>
      <c r="X74" s="233">
        <f>IF(AO74="5",BH74,0)</f>
        <v>0</v>
      </c>
      <c r="Z74" s="233">
        <f>IF(AO74="1",BF74,0)</f>
        <v>0</v>
      </c>
      <c r="AA74" s="233">
        <f>IF(AO74="1",BG74,0)</f>
        <v>0</v>
      </c>
      <c r="AB74" s="233">
        <f>IF(AO74="7",BF74,0)</f>
        <v>0</v>
      </c>
      <c r="AC74" s="233">
        <f>IF(AO74="7",BG74,0)</f>
        <v>0</v>
      </c>
      <c r="AD74" s="233">
        <f>IF(AO74="2",BF74,0)</f>
        <v>0</v>
      </c>
      <c r="AE74" s="233">
        <f>IF(AO74="2",BG74,0)</f>
        <v>0</v>
      </c>
      <c r="AF74" s="233">
        <f>IF(AO74="0",BH74,0)</f>
        <v>0</v>
      </c>
      <c r="AG74" s="230" t="s">
        <v>154</v>
      </c>
      <c r="AH74" s="233">
        <f>IF(AL74=0,J74,0)</f>
        <v>0</v>
      </c>
      <c r="AI74" s="233">
        <f>IF(AL74=15,J74,0)</f>
        <v>0</v>
      </c>
      <c r="AJ74" s="233">
        <f>IF(AL74=21,J74,0)</f>
        <v>0</v>
      </c>
      <c r="AL74" s="233">
        <v>21</v>
      </c>
      <c r="AM74" s="233">
        <f>G74*0</f>
        <v>0</v>
      </c>
      <c r="AN74" s="233">
        <f>G74*(1-0)</f>
        <v>0</v>
      </c>
      <c r="AO74" s="234" t="s">
        <v>157</v>
      </c>
      <c r="AT74" s="233">
        <f>AU74+AV74</f>
        <v>0</v>
      </c>
      <c r="AU74" s="233">
        <f>F74*AM74</f>
        <v>0</v>
      </c>
      <c r="AV74" s="233">
        <f>F74*AN74</f>
        <v>0</v>
      </c>
      <c r="AW74" s="234" t="s">
        <v>231</v>
      </c>
      <c r="AX74" s="234" t="s">
        <v>163</v>
      </c>
      <c r="AY74" s="230" t="s">
        <v>164</v>
      </c>
      <c r="BA74" s="233">
        <f>AU74+AV74</f>
        <v>0</v>
      </c>
      <c r="BB74" s="233">
        <f>G74/(100-BC74)*100</f>
        <v>0</v>
      </c>
      <c r="BC74" s="233">
        <v>0</v>
      </c>
      <c r="BD74" s="233">
        <f>L74</f>
        <v>0</v>
      </c>
      <c r="BF74" s="233">
        <f>F74*AM74</f>
        <v>0</v>
      </c>
      <c r="BG74" s="233">
        <f>F74*AN74</f>
        <v>0</v>
      </c>
      <c r="BH74" s="233">
        <f>F74*G74</f>
        <v>0</v>
      </c>
      <c r="BI74" s="233"/>
      <c r="BJ74" s="233">
        <v>16</v>
      </c>
      <c r="BU74" s="233" t="e">
        <f>#REF!</f>
        <v>#REF!</v>
      </c>
      <c r="BV74" s="225" t="s">
        <v>237</v>
      </c>
    </row>
    <row r="75" spans="1:74" ht="67.5" customHeight="1" x14ac:dyDescent="0.3">
      <c r="A75" s="241"/>
      <c r="B75" s="242" t="s">
        <v>165</v>
      </c>
      <c r="C75" s="530" t="s">
        <v>1413</v>
      </c>
      <c r="D75" s="531"/>
      <c r="E75" s="531"/>
      <c r="F75" s="531"/>
      <c r="G75" s="531"/>
      <c r="H75" s="531"/>
      <c r="I75" s="531"/>
      <c r="J75" s="531"/>
      <c r="K75" s="531"/>
      <c r="L75" s="531"/>
      <c r="M75" s="532"/>
    </row>
    <row r="76" spans="1:74" ht="14.4" x14ac:dyDescent="0.3">
      <c r="A76" s="239" t="s">
        <v>260</v>
      </c>
      <c r="B76" s="223" t="s">
        <v>504</v>
      </c>
      <c r="C76" s="521" t="s">
        <v>240</v>
      </c>
      <c r="D76" s="519"/>
      <c r="E76" s="223" t="s">
        <v>196</v>
      </c>
      <c r="F76" s="233">
        <v>4578.9799999999996</v>
      </c>
      <c r="G76" s="311">
        <v>0</v>
      </c>
      <c r="H76" s="233">
        <f>F76*AM76</f>
        <v>0</v>
      </c>
      <c r="I76" s="233">
        <f>F76*AN76</f>
        <v>0</v>
      </c>
      <c r="J76" s="233">
        <f>F76*G76</f>
        <v>0</v>
      </c>
      <c r="K76" s="233">
        <v>0</v>
      </c>
      <c r="L76" s="233">
        <f>F76*K76</f>
        <v>0</v>
      </c>
      <c r="M76" s="240" t="s">
        <v>472</v>
      </c>
      <c r="X76" s="233">
        <f>IF(AO76="5",BH76,0)</f>
        <v>0</v>
      </c>
      <c r="Z76" s="233">
        <f>IF(AO76="1",BF76,0)</f>
        <v>0</v>
      </c>
      <c r="AA76" s="233">
        <f>IF(AO76="1",BG76,0)</f>
        <v>0</v>
      </c>
      <c r="AB76" s="233">
        <f>IF(AO76="7",BF76,0)</f>
        <v>0</v>
      </c>
      <c r="AC76" s="233">
        <f>IF(AO76="7",BG76,0)</f>
        <v>0</v>
      </c>
      <c r="AD76" s="233">
        <f>IF(AO76="2",BF76,0)</f>
        <v>0</v>
      </c>
      <c r="AE76" s="233">
        <f>IF(AO76="2",BG76,0)</f>
        <v>0</v>
      </c>
      <c r="AF76" s="233">
        <f>IF(AO76="0",BH76,0)</f>
        <v>0</v>
      </c>
      <c r="AG76" s="230" t="s">
        <v>154</v>
      </c>
      <c r="AH76" s="233">
        <f>IF(AL76=0,J76,0)</f>
        <v>0</v>
      </c>
      <c r="AI76" s="233">
        <f>IF(AL76=15,J76,0)</f>
        <v>0</v>
      </c>
      <c r="AJ76" s="233">
        <f>IF(AL76=21,J76,0)</f>
        <v>0</v>
      </c>
      <c r="AL76" s="233">
        <v>21</v>
      </c>
      <c r="AM76" s="233">
        <f>G76*0</f>
        <v>0</v>
      </c>
      <c r="AN76" s="233">
        <f>G76*(1-0)</f>
        <v>0</v>
      </c>
      <c r="AO76" s="234" t="s">
        <v>157</v>
      </c>
      <c r="AT76" s="233">
        <f>AU76+AV76</f>
        <v>0</v>
      </c>
      <c r="AU76" s="233">
        <f>F76*AM76</f>
        <v>0</v>
      </c>
      <c r="AV76" s="233">
        <f>F76*AN76</f>
        <v>0</v>
      </c>
      <c r="AW76" s="234" t="s">
        <v>231</v>
      </c>
      <c r="AX76" s="234" t="s">
        <v>163</v>
      </c>
      <c r="AY76" s="230" t="s">
        <v>164</v>
      </c>
      <c r="BA76" s="233">
        <f>AU76+AV76</f>
        <v>0</v>
      </c>
      <c r="BB76" s="233">
        <f>G76/(100-BC76)*100</f>
        <v>0</v>
      </c>
      <c r="BC76" s="233">
        <v>0</v>
      </c>
      <c r="BD76" s="233">
        <f>L76</f>
        <v>0</v>
      </c>
      <c r="BF76" s="233">
        <f>F76*AM76</f>
        <v>0</v>
      </c>
      <c r="BG76" s="233">
        <f>F76*AN76</f>
        <v>0</v>
      </c>
      <c r="BH76" s="233">
        <f>F76*G76</f>
        <v>0</v>
      </c>
      <c r="BI76" s="233"/>
      <c r="BJ76" s="233">
        <v>16</v>
      </c>
      <c r="BU76" s="233" t="e">
        <f>#REF!</f>
        <v>#REF!</v>
      </c>
      <c r="BV76" s="225" t="s">
        <v>240</v>
      </c>
    </row>
    <row r="77" spans="1:74" ht="54" customHeight="1" x14ac:dyDescent="0.3">
      <c r="A77" s="241"/>
      <c r="B77" s="242" t="s">
        <v>165</v>
      </c>
      <c r="C77" s="530" t="s">
        <v>1414</v>
      </c>
      <c r="D77" s="531"/>
      <c r="E77" s="531"/>
      <c r="F77" s="531"/>
      <c r="G77" s="531"/>
      <c r="H77" s="531"/>
      <c r="I77" s="531"/>
      <c r="J77" s="531"/>
      <c r="K77" s="531"/>
      <c r="L77" s="531"/>
      <c r="M77" s="532"/>
    </row>
    <row r="78" spans="1:74" ht="14.4" x14ac:dyDescent="0.3">
      <c r="A78" s="239" t="s">
        <v>264</v>
      </c>
      <c r="B78" s="223" t="s">
        <v>505</v>
      </c>
      <c r="C78" s="521" t="s">
        <v>243</v>
      </c>
      <c r="D78" s="519"/>
      <c r="E78" s="223" t="s">
        <v>196</v>
      </c>
      <c r="F78" s="233">
        <v>63.62</v>
      </c>
      <c r="G78" s="311">
        <v>0</v>
      </c>
      <c r="H78" s="233">
        <f>F78*AM78</f>
        <v>0</v>
      </c>
      <c r="I78" s="233">
        <f>F78*AN78</f>
        <v>0</v>
      </c>
      <c r="J78" s="233">
        <f>F78*G78</f>
        <v>0</v>
      </c>
      <c r="K78" s="233">
        <v>0</v>
      </c>
      <c r="L78" s="233">
        <f>F78*K78</f>
        <v>0</v>
      </c>
      <c r="M78" s="240" t="s">
        <v>472</v>
      </c>
      <c r="X78" s="233">
        <f>IF(AO78="5",BH78,0)</f>
        <v>0</v>
      </c>
      <c r="Z78" s="233">
        <f>IF(AO78="1",BF78,0)</f>
        <v>0</v>
      </c>
      <c r="AA78" s="233">
        <f>IF(AO78="1",BG78,0)</f>
        <v>0</v>
      </c>
      <c r="AB78" s="233">
        <f>IF(AO78="7",BF78,0)</f>
        <v>0</v>
      </c>
      <c r="AC78" s="233">
        <f>IF(AO78="7",BG78,0)</f>
        <v>0</v>
      </c>
      <c r="AD78" s="233">
        <f>IF(AO78="2",BF78,0)</f>
        <v>0</v>
      </c>
      <c r="AE78" s="233">
        <f>IF(AO78="2",BG78,0)</f>
        <v>0</v>
      </c>
      <c r="AF78" s="233">
        <f>IF(AO78="0",BH78,0)</f>
        <v>0</v>
      </c>
      <c r="AG78" s="230" t="s">
        <v>154</v>
      </c>
      <c r="AH78" s="233">
        <f>IF(AL78=0,J78,0)</f>
        <v>0</v>
      </c>
      <c r="AI78" s="233">
        <f>IF(AL78=15,J78,0)</f>
        <v>0</v>
      </c>
      <c r="AJ78" s="233">
        <f>IF(AL78=21,J78,0)</f>
        <v>0</v>
      </c>
      <c r="AL78" s="233">
        <v>21</v>
      </c>
      <c r="AM78" s="233">
        <f>G78*0</f>
        <v>0</v>
      </c>
      <c r="AN78" s="233">
        <f>G78*(1-0)</f>
        <v>0</v>
      </c>
      <c r="AO78" s="234" t="s">
        <v>157</v>
      </c>
      <c r="AT78" s="233">
        <f>AU78+AV78</f>
        <v>0</v>
      </c>
      <c r="AU78" s="233">
        <f>F78*AM78</f>
        <v>0</v>
      </c>
      <c r="AV78" s="233">
        <f>F78*AN78</f>
        <v>0</v>
      </c>
      <c r="AW78" s="234" t="s">
        <v>231</v>
      </c>
      <c r="AX78" s="234" t="s">
        <v>163</v>
      </c>
      <c r="AY78" s="230" t="s">
        <v>164</v>
      </c>
      <c r="BA78" s="233">
        <f>AU78+AV78</f>
        <v>0</v>
      </c>
      <c r="BB78" s="233">
        <f>G78/(100-BC78)*100</f>
        <v>0</v>
      </c>
      <c r="BC78" s="233">
        <v>0</v>
      </c>
      <c r="BD78" s="233">
        <f>L78</f>
        <v>0</v>
      </c>
      <c r="BF78" s="233">
        <f>F78*AM78</f>
        <v>0</v>
      </c>
      <c r="BG78" s="233">
        <f>F78*AN78</f>
        <v>0</v>
      </c>
      <c r="BH78" s="233">
        <f>F78*G78</f>
        <v>0</v>
      </c>
      <c r="BI78" s="233"/>
      <c r="BJ78" s="233">
        <v>16</v>
      </c>
      <c r="BU78" s="233" t="e">
        <f>#REF!</f>
        <v>#REF!</v>
      </c>
      <c r="BV78" s="225" t="s">
        <v>243</v>
      </c>
    </row>
    <row r="79" spans="1:74" ht="54" customHeight="1" x14ac:dyDescent="0.3">
      <c r="A79" s="241"/>
      <c r="B79" s="242" t="s">
        <v>165</v>
      </c>
      <c r="C79" s="530" t="s">
        <v>1415</v>
      </c>
      <c r="D79" s="531"/>
      <c r="E79" s="531"/>
      <c r="F79" s="531"/>
      <c r="G79" s="531"/>
      <c r="H79" s="531"/>
      <c r="I79" s="531"/>
      <c r="J79" s="531"/>
      <c r="K79" s="531"/>
      <c r="L79" s="531"/>
      <c r="M79" s="532"/>
    </row>
    <row r="80" spans="1:74" ht="14.4" x14ac:dyDescent="0.3">
      <c r="A80" s="239" t="s">
        <v>267</v>
      </c>
      <c r="B80" s="223" t="s">
        <v>506</v>
      </c>
      <c r="C80" s="521" t="s">
        <v>246</v>
      </c>
      <c r="D80" s="519"/>
      <c r="E80" s="223" t="s">
        <v>196</v>
      </c>
      <c r="F80" s="233">
        <v>890.68</v>
      </c>
      <c r="G80" s="311">
        <v>0</v>
      </c>
      <c r="H80" s="233">
        <f>F80*AM80</f>
        <v>0</v>
      </c>
      <c r="I80" s="233">
        <f>F80*AN80</f>
        <v>0</v>
      </c>
      <c r="J80" s="233">
        <f>F80*G80</f>
        <v>0</v>
      </c>
      <c r="K80" s="233">
        <v>0</v>
      </c>
      <c r="L80" s="233">
        <f>F80*K80</f>
        <v>0</v>
      </c>
      <c r="M80" s="240" t="s">
        <v>472</v>
      </c>
      <c r="X80" s="233">
        <f>IF(AO80="5",BH80,0)</f>
        <v>0</v>
      </c>
      <c r="Z80" s="233">
        <f>IF(AO80="1",BF80,0)</f>
        <v>0</v>
      </c>
      <c r="AA80" s="233">
        <f>IF(AO80="1",BG80,0)</f>
        <v>0</v>
      </c>
      <c r="AB80" s="233">
        <f>IF(AO80="7",BF80,0)</f>
        <v>0</v>
      </c>
      <c r="AC80" s="233">
        <f>IF(AO80="7",BG80,0)</f>
        <v>0</v>
      </c>
      <c r="AD80" s="233">
        <f>IF(AO80="2",BF80,0)</f>
        <v>0</v>
      </c>
      <c r="AE80" s="233">
        <f>IF(AO80="2",BG80,0)</f>
        <v>0</v>
      </c>
      <c r="AF80" s="233">
        <f>IF(AO80="0",BH80,0)</f>
        <v>0</v>
      </c>
      <c r="AG80" s="230" t="s">
        <v>154</v>
      </c>
      <c r="AH80" s="233">
        <f>IF(AL80=0,J80,0)</f>
        <v>0</v>
      </c>
      <c r="AI80" s="233">
        <f>IF(AL80=15,J80,0)</f>
        <v>0</v>
      </c>
      <c r="AJ80" s="233">
        <f>IF(AL80=21,J80,0)</f>
        <v>0</v>
      </c>
      <c r="AL80" s="233">
        <v>21</v>
      </c>
      <c r="AM80" s="233">
        <f>G80*0</f>
        <v>0</v>
      </c>
      <c r="AN80" s="233">
        <f>G80*(1-0)</f>
        <v>0</v>
      </c>
      <c r="AO80" s="234" t="s">
        <v>157</v>
      </c>
      <c r="AT80" s="233">
        <f>AU80+AV80</f>
        <v>0</v>
      </c>
      <c r="AU80" s="233">
        <f>F80*AM80</f>
        <v>0</v>
      </c>
      <c r="AV80" s="233">
        <f>F80*AN80</f>
        <v>0</v>
      </c>
      <c r="AW80" s="234" t="s">
        <v>231</v>
      </c>
      <c r="AX80" s="234" t="s">
        <v>163</v>
      </c>
      <c r="AY80" s="230" t="s">
        <v>164</v>
      </c>
      <c r="BA80" s="233">
        <f>AU80+AV80</f>
        <v>0</v>
      </c>
      <c r="BB80" s="233">
        <f>G80/(100-BC80)*100</f>
        <v>0</v>
      </c>
      <c r="BC80" s="233">
        <v>0</v>
      </c>
      <c r="BD80" s="233">
        <f>L80</f>
        <v>0</v>
      </c>
      <c r="BF80" s="233">
        <f>F80*AM80</f>
        <v>0</v>
      </c>
      <c r="BG80" s="233">
        <f>F80*AN80</f>
        <v>0</v>
      </c>
      <c r="BH80" s="233">
        <f>F80*G80</f>
        <v>0</v>
      </c>
      <c r="BI80" s="233"/>
      <c r="BJ80" s="233">
        <v>16</v>
      </c>
      <c r="BU80" s="233" t="e">
        <f>#REF!</f>
        <v>#REF!</v>
      </c>
      <c r="BV80" s="225" t="s">
        <v>246</v>
      </c>
    </row>
    <row r="81" spans="1:74" ht="54" customHeight="1" x14ac:dyDescent="0.3">
      <c r="A81" s="241"/>
      <c r="B81" s="242" t="s">
        <v>165</v>
      </c>
      <c r="C81" s="530" t="s">
        <v>1416</v>
      </c>
      <c r="D81" s="531"/>
      <c r="E81" s="531"/>
      <c r="F81" s="531"/>
      <c r="G81" s="531"/>
      <c r="H81" s="531"/>
      <c r="I81" s="531"/>
      <c r="J81" s="531"/>
      <c r="K81" s="531"/>
      <c r="L81" s="531"/>
      <c r="M81" s="532"/>
    </row>
    <row r="82" spans="1:74" ht="14.4" x14ac:dyDescent="0.3">
      <c r="A82" s="239" t="s">
        <v>271</v>
      </c>
      <c r="B82" s="223" t="s">
        <v>248</v>
      </c>
      <c r="C82" s="521" t="s">
        <v>249</v>
      </c>
      <c r="D82" s="519"/>
      <c r="E82" s="223" t="s">
        <v>196</v>
      </c>
      <c r="F82" s="233">
        <v>502.2</v>
      </c>
      <c r="G82" s="311">
        <v>0</v>
      </c>
      <c r="H82" s="233">
        <f>F82*AM82</f>
        <v>0</v>
      </c>
      <c r="I82" s="233">
        <f>F82*AN82</f>
        <v>0</v>
      </c>
      <c r="J82" s="233">
        <f>F82*G82</f>
        <v>0</v>
      </c>
      <c r="K82" s="233">
        <v>0</v>
      </c>
      <c r="L82" s="233">
        <f>F82*K82</f>
        <v>0</v>
      </c>
      <c r="M82" s="240" t="s">
        <v>472</v>
      </c>
      <c r="X82" s="233">
        <f>IF(AO82="5",BH82,0)</f>
        <v>0</v>
      </c>
      <c r="Z82" s="233">
        <f>IF(AO82="1",BF82,0)</f>
        <v>0</v>
      </c>
      <c r="AA82" s="233">
        <f>IF(AO82="1",BG82,0)</f>
        <v>0</v>
      </c>
      <c r="AB82" s="233">
        <f>IF(AO82="7",BF82,0)</f>
        <v>0</v>
      </c>
      <c r="AC82" s="233">
        <f>IF(AO82="7",BG82,0)</f>
        <v>0</v>
      </c>
      <c r="AD82" s="233">
        <f>IF(AO82="2",BF82,0)</f>
        <v>0</v>
      </c>
      <c r="AE82" s="233">
        <f>IF(AO82="2",BG82,0)</f>
        <v>0</v>
      </c>
      <c r="AF82" s="233">
        <f>IF(AO82="0",BH82,0)</f>
        <v>0</v>
      </c>
      <c r="AG82" s="230" t="s">
        <v>154</v>
      </c>
      <c r="AH82" s="233">
        <f>IF(AL82=0,J82,0)</f>
        <v>0</v>
      </c>
      <c r="AI82" s="233">
        <f>IF(AL82=15,J82,0)</f>
        <v>0</v>
      </c>
      <c r="AJ82" s="233">
        <f>IF(AL82=21,J82,0)</f>
        <v>0</v>
      </c>
      <c r="AL82" s="233">
        <v>21</v>
      </c>
      <c r="AM82" s="233">
        <f>G82*0</f>
        <v>0</v>
      </c>
      <c r="AN82" s="233">
        <f>G82*(1-0)</f>
        <v>0</v>
      </c>
      <c r="AO82" s="234" t="s">
        <v>157</v>
      </c>
      <c r="AT82" s="233">
        <f>AU82+AV82</f>
        <v>0</v>
      </c>
      <c r="AU82" s="233">
        <f>F82*AM82</f>
        <v>0</v>
      </c>
      <c r="AV82" s="233">
        <f>F82*AN82</f>
        <v>0</v>
      </c>
      <c r="AW82" s="234" t="s">
        <v>231</v>
      </c>
      <c r="AX82" s="234" t="s">
        <v>163</v>
      </c>
      <c r="AY82" s="230" t="s">
        <v>164</v>
      </c>
      <c r="BA82" s="233">
        <f>AU82+AV82</f>
        <v>0</v>
      </c>
      <c r="BB82" s="233">
        <f>G82/(100-BC82)*100</f>
        <v>0</v>
      </c>
      <c r="BC82" s="233">
        <v>0</v>
      </c>
      <c r="BD82" s="233">
        <f>L82</f>
        <v>0</v>
      </c>
      <c r="BF82" s="233">
        <f>F82*AM82</f>
        <v>0</v>
      </c>
      <c r="BG82" s="233">
        <f>F82*AN82</f>
        <v>0</v>
      </c>
      <c r="BH82" s="233">
        <f>F82*G82</f>
        <v>0</v>
      </c>
      <c r="BI82" s="233"/>
      <c r="BJ82" s="233">
        <v>16</v>
      </c>
      <c r="BU82" s="233" t="e">
        <f>#REF!</f>
        <v>#REF!</v>
      </c>
      <c r="BV82" s="225" t="s">
        <v>249</v>
      </c>
    </row>
    <row r="83" spans="1:74" ht="40.5" customHeight="1" x14ac:dyDescent="0.3">
      <c r="A83" s="241"/>
      <c r="B83" s="242" t="s">
        <v>165</v>
      </c>
      <c r="C83" s="530" t="s">
        <v>1417</v>
      </c>
      <c r="D83" s="531"/>
      <c r="E83" s="531"/>
      <c r="F83" s="531"/>
      <c r="G83" s="531"/>
      <c r="H83" s="531"/>
      <c r="I83" s="531"/>
      <c r="J83" s="531"/>
      <c r="K83" s="531"/>
      <c r="L83" s="531"/>
      <c r="M83" s="532"/>
    </row>
    <row r="84" spans="1:74" ht="14.4" x14ac:dyDescent="0.3">
      <c r="A84" s="239" t="s">
        <v>276</v>
      </c>
      <c r="B84" s="223" t="s">
        <v>251</v>
      </c>
      <c r="C84" s="521" t="s">
        <v>252</v>
      </c>
      <c r="D84" s="519"/>
      <c r="E84" s="223" t="s">
        <v>196</v>
      </c>
      <c r="F84" s="233">
        <v>502.2</v>
      </c>
      <c r="G84" s="311">
        <v>0</v>
      </c>
      <c r="H84" s="233">
        <f>F84*AM84</f>
        <v>0</v>
      </c>
      <c r="I84" s="233">
        <f>F84*AN84</f>
        <v>0</v>
      </c>
      <c r="J84" s="233">
        <f>F84*G84</f>
        <v>0</v>
      </c>
      <c r="K84" s="233">
        <v>0</v>
      </c>
      <c r="L84" s="233">
        <f>F84*K84</f>
        <v>0</v>
      </c>
      <c r="M84" s="240" t="s">
        <v>472</v>
      </c>
      <c r="X84" s="233">
        <f>IF(AO84="5",BH84,0)</f>
        <v>0</v>
      </c>
      <c r="Z84" s="233">
        <f>IF(AO84="1",BF84,0)</f>
        <v>0</v>
      </c>
      <c r="AA84" s="233">
        <f>IF(AO84="1",BG84,0)</f>
        <v>0</v>
      </c>
      <c r="AB84" s="233">
        <f>IF(AO84="7",BF84,0)</f>
        <v>0</v>
      </c>
      <c r="AC84" s="233">
        <f>IF(AO84="7",BG84,0)</f>
        <v>0</v>
      </c>
      <c r="AD84" s="233">
        <f>IF(AO84="2",BF84,0)</f>
        <v>0</v>
      </c>
      <c r="AE84" s="233">
        <f>IF(AO84="2",BG84,0)</f>
        <v>0</v>
      </c>
      <c r="AF84" s="233">
        <f>IF(AO84="0",BH84,0)</f>
        <v>0</v>
      </c>
      <c r="AG84" s="230" t="s">
        <v>154</v>
      </c>
      <c r="AH84" s="233">
        <f>IF(AL84=0,J84,0)</f>
        <v>0</v>
      </c>
      <c r="AI84" s="233">
        <f>IF(AL84=15,J84,0)</f>
        <v>0</v>
      </c>
      <c r="AJ84" s="233">
        <f>IF(AL84=21,J84,0)</f>
        <v>0</v>
      </c>
      <c r="AL84" s="233">
        <v>21</v>
      </c>
      <c r="AM84" s="233">
        <f>G84*0</f>
        <v>0</v>
      </c>
      <c r="AN84" s="233">
        <f>G84*(1-0)</f>
        <v>0</v>
      </c>
      <c r="AO84" s="234" t="s">
        <v>157</v>
      </c>
      <c r="AT84" s="233">
        <f>AU84+AV84</f>
        <v>0</v>
      </c>
      <c r="AU84" s="233">
        <f>F84*AM84</f>
        <v>0</v>
      </c>
      <c r="AV84" s="233">
        <f>F84*AN84</f>
        <v>0</v>
      </c>
      <c r="AW84" s="234" t="s">
        <v>231</v>
      </c>
      <c r="AX84" s="234" t="s">
        <v>163</v>
      </c>
      <c r="AY84" s="230" t="s">
        <v>164</v>
      </c>
      <c r="BA84" s="233">
        <f>AU84+AV84</f>
        <v>0</v>
      </c>
      <c r="BB84" s="233">
        <f>G84/(100-BC84)*100</f>
        <v>0</v>
      </c>
      <c r="BC84" s="233">
        <v>0</v>
      </c>
      <c r="BD84" s="233">
        <f>L84</f>
        <v>0</v>
      </c>
      <c r="BF84" s="233">
        <f>F84*AM84</f>
        <v>0</v>
      </c>
      <c r="BG84" s="233">
        <f>F84*AN84</f>
        <v>0</v>
      </c>
      <c r="BH84" s="233">
        <f>F84*G84</f>
        <v>0</v>
      </c>
      <c r="BI84" s="233"/>
      <c r="BJ84" s="233">
        <v>16</v>
      </c>
      <c r="BU84" s="233" t="e">
        <f>#REF!</f>
        <v>#REF!</v>
      </c>
      <c r="BV84" s="225" t="s">
        <v>252</v>
      </c>
    </row>
    <row r="85" spans="1:74" ht="40.5" customHeight="1" x14ac:dyDescent="0.3">
      <c r="A85" s="244"/>
      <c r="B85" s="245" t="s">
        <v>165</v>
      </c>
      <c r="C85" s="540" t="s">
        <v>1418</v>
      </c>
      <c r="D85" s="541"/>
      <c r="E85" s="541"/>
      <c r="F85" s="541"/>
      <c r="G85" s="541"/>
      <c r="H85" s="541"/>
      <c r="I85" s="541"/>
      <c r="J85" s="541"/>
      <c r="K85" s="541"/>
      <c r="L85" s="541"/>
      <c r="M85" s="542"/>
    </row>
    <row r="86" spans="1:74" ht="14.4" x14ac:dyDescent="0.3">
      <c r="A86" s="237" t="s">
        <v>281</v>
      </c>
      <c r="B86" s="238" t="s">
        <v>254</v>
      </c>
      <c r="C86" s="543" t="s">
        <v>255</v>
      </c>
      <c r="D86" s="544"/>
      <c r="E86" s="238" t="s">
        <v>196</v>
      </c>
      <c r="F86" s="258">
        <v>19.98</v>
      </c>
      <c r="G86" s="311">
        <v>0</v>
      </c>
      <c r="H86" s="258">
        <f>F86*AM86</f>
        <v>0</v>
      </c>
      <c r="I86" s="258">
        <f>F86*AN86</f>
        <v>0</v>
      </c>
      <c r="J86" s="258">
        <f>F86*G86</f>
        <v>0</v>
      </c>
      <c r="K86" s="258">
        <v>0</v>
      </c>
      <c r="L86" s="258">
        <f>F86*K86</f>
        <v>0</v>
      </c>
      <c r="M86" s="259" t="s">
        <v>472</v>
      </c>
      <c r="X86" s="233">
        <f>IF(AO86="5",BH86,0)</f>
        <v>0</v>
      </c>
      <c r="Z86" s="233">
        <f>IF(AO86="1",BF86,0)</f>
        <v>0</v>
      </c>
      <c r="AA86" s="233">
        <f>IF(AO86="1",BG86,0)</f>
        <v>0</v>
      </c>
      <c r="AB86" s="233">
        <f>IF(AO86="7",BF86,0)</f>
        <v>0</v>
      </c>
      <c r="AC86" s="233">
        <f>IF(AO86="7",BG86,0)</f>
        <v>0</v>
      </c>
      <c r="AD86" s="233">
        <f>IF(AO86="2",BF86,0)</f>
        <v>0</v>
      </c>
      <c r="AE86" s="233">
        <f>IF(AO86="2",BG86,0)</f>
        <v>0</v>
      </c>
      <c r="AF86" s="233">
        <f>IF(AO86="0",BH86,0)</f>
        <v>0</v>
      </c>
      <c r="AG86" s="230" t="s">
        <v>154</v>
      </c>
      <c r="AH86" s="233">
        <f>IF(AL86=0,J86,0)</f>
        <v>0</v>
      </c>
      <c r="AI86" s="233">
        <f>IF(AL86=15,J86,0)</f>
        <v>0</v>
      </c>
      <c r="AJ86" s="233">
        <f>IF(AL86=21,J86,0)</f>
        <v>0</v>
      </c>
      <c r="AL86" s="233">
        <v>21</v>
      </c>
      <c r="AM86" s="233">
        <f>G86*0</f>
        <v>0</v>
      </c>
      <c r="AN86" s="233">
        <f>G86*(1-0)</f>
        <v>0</v>
      </c>
      <c r="AO86" s="234" t="s">
        <v>157</v>
      </c>
      <c r="AT86" s="233">
        <f>AU86+AV86</f>
        <v>0</v>
      </c>
      <c r="AU86" s="233">
        <f>F86*AM86</f>
        <v>0</v>
      </c>
      <c r="AV86" s="233">
        <f>F86*AN86</f>
        <v>0</v>
      </c>
      <c r="AW86" s="234" t="s">
        <v>231</v>
      </c>
      <c r="AX86" s="234" t="s">
        <v>163</v>
      </c>
      <c r="AY86" s="230" t="s">
        <v>164</v>
      </c>
      <c r="BA86" s="233">
        <f>AU86+AV86</f>
        <v>0</v>
      </c>
      <c r="BB86" s="233">
        <f>G86/(100-BC86)*100</f>
        <v>0</v>
      </c>
      <c r="BC86" s="233">
        <v>0</v>
      </c>
      <c r="BD86" s="233">
        <f>L86</f>
        <v>0</v>
      </c>
      <c r="BF86" s="233">
        <f>F86*AM86</f>
        <v>0</v>
      </c>
      <c r="BG86" s="233">
        <f>F86*AN86</f>
        <v>0</v>
      </c>
      <c r="BH86" s="233">
        <f>F86*G86</f>
        <v>0</v>
      </c>
      <c r="BI86" s="233"/>
      <c r="BJ86" s="233">
        <v>16</v>
      </c>
      <c r="BU86" s="233" t="e">
        <f>#REF!</f>
        <v>#REF!</v>
      </c>
      <c r="BV86" s="225" t="s">
        <v>255</v>
      </c>
    </row>
    <row r="87" spans="1:74" ht="40.5" customHeight="1" x14ac:dyDescent="0.3">
      <c r="A87" s="241"/>
      <c r="B87" s="242" t="s">
        <v>165</v>
      </c>
      <c r="C87" s="530" t="s">
        <v>1419</v>
      </c>
      <c r="D87" s="531"/>
      <c r="E87" s="531"/>
      <c r="F87" s="531"/>
      <c r="G87" s="531"/>
      <c r="H87" s="531"/>
      <c r="I87" s="531"/>
      <c r="J87" s="531"/>
      <c r="K87" s="531"/>
      <c r="L87" s="531"/>
      <c r="M87" s="532"/>
    </row>
    <row r="88" spans="1:74" ht="14.4" x14ac:dyDescent="0.3">
      <c r="A88" s="239" t="s">
        <v>285</v>
      </c>
      <c r="B88" s="223" t="s">
        <v>257</v>
      </c>
      <c r="C88" s="521" t="s">
        <v>258</v>
      </c>
      <c r="D88" s="519"/>
      <c r="E88" s="223" t="s">
        <v>196</v>
      </c>
      <c r="F88" s="233">
        <v>19.98</v>
      </c>
      <c r="G88" s="311">
        <v>0</v>
      </c>
      <c r="H88" s="233">
        <f>F88*AM88</f>
        <v>0</v>
      </c>
      <c r="I88" s="233">
        <f>F88*AN88</f>
        <v>0</v>
      </c>
      <c r="J88" s="233">
        <f>F88*G88</f>
        <v>0</v>
      </c>
      <c r="K88" s="233">
        <v>0</v>
      </c>
      <c r="L88" s="233">
        <f>F88*K88</f>
        <v>0</v>
      </c>
      <c r="M88" s="240" t="s">
        <v>472</v>
      </c>
      <c r="X88" s="233">
        <f>IF(AO88="5",BH88,0)</f>
        <v>0</v>
      </c>
      <c r="Z88" s="233">
        <f>IF(AO88="1",BF88,0)</f>
        <v>0</v>
      </c>
      <c r="AA88" s="233">
        <f>IF(AO88="1",BG88,0)</f>
        <v>0</v>
      </c>
      <c r="AB88" s="233">
        <f>IF(AO88="7",BF88,0)</f>
        <v>0</v>
      </c>
      <c r="AC88" s="233">
        <f>IF(AO88="7",BG88,0)</f>
        <v>0</v>
      </c>
      <c r="AD88" s="233">
        <f>IF(AO88="2",BF88,0)</f>
        <v>0</v>
      </c>
      <c r="AE88" s="233">
        <f>IF(AO88="2",BG88,0)</f>
        <v>0</v>
      </c>
      <c r="AF88" s="233">
        <f>IF(AO88="0",BH88,0)</f>
        <v>0</v>
      </c>
      <c r="AG88" s="230" t="s">
        <v>154</v>
      </c>
      <c r="AH88" s="233">
        <f>IF(AL88=0,J88,0)</f>
        <v>0</v>
      </c>
      <c r="AI88" s="233">
        <f>IF(AL88=15,J88,0)</f>
        <v>0</v>
      </c>
      <c r="AJ88" s="233">
        <f>IF(AL88=21,J88,0)</f>
        <v>0</v>
      </c>
      <c r="AL88" s="233">
        <v>21</v>
      </c>
      <c r="AM88" s="233">
        <f>G88*0</f>
        <v>0</v>
      </c>
      <c r="AN88" s="233">
        <f>G88*(1-0)</f>
        <v>0</v>
      </c>
      <c r="AO88" s="234" t="s">
        <v>157</v>
      </c>
      <c r="AT88" s="233">
        <f>AU88+AV88</f>
        <v>0</v>
      </c>
      <c r="AU88" s="233">
        <f>F88*AM88</f>
        <v>0</v>
      </c>
      <c r="AV88" s="233">
        <f>F88*AN88</f>
        <v>0</v>
      </c>
      <c r="AW88" s="234" t="s">
        <v>231</v>
      </c>
      <c r="AX88" s="234" t="s">
        <v>163</v>
      </c>
      <c r="AY88" s="230" t="s">
        <v>164</v>
      </c>
      <c r="BA88" s="233">
        <f>AU88+AV88</f>
        <v>0</v>
      </c>
      <c r="BB88" s="233">
        <f>G88/(100-BC88)*100</f>
        <v>0</v>
      </c>
      <c r="BC88" s="233">
        <v>0</v>
      </c>
      <c r="BD88" s="233">
        <f>L88</f>
        <v>0</v>
      </c>
      <c r="BF88" s="233">
        <f>F88*AM88</f>
        <v>0</v>
      </c>
      <c r="BG88" s="233">
        <f>F88*AN88</f>
        <v>0</v>
      </c>
      <c r="BH88" s="233">
        <f>F88*G88</f>
        <v>0</v>
      </c>
      <c r="BI88" s="233"/>
      <c r="BJ88" s="233">
        <v>16</v>
      </c>
      <c r="BU88" s="233" t="e">
        <f>#REF!</f>
        <v>#REF!</v>
      </c>
      <c r="BV88" s="225" t="s">
        <v>258</v>
      </c>
    </row>
    <row r="89" spans="1:74" ht="40.5" customHeight="1" x14ac:dyDescent="0.3">
      <c r="A89" s="241"/>
      <c r="B89" s="242" t="s">
        <v>165</v>
      </c>
      <c r="C89" s="530" t="s">
        <v>1420</v>
      </c>
      <c r="D89" s="531"/>
      <c r="E89" s="531"/>
      <c r="F89" s="531"/>
      <c r="G89" s="531"/>
      <c r="H89" s="531"/>
      <c r="I89" s="531"/>
      <c r="J89" s="531"/>
      <c r="K89" s="531"/>
      <c r="L89" s="531"/>
      <c r="M89" s="532"/>
    </row>
    <row r="90" spans="1:74" ht="14.4" x14ac:dyDescent="0.3">
      <c r="A90" s="239" t="s">
        <v>154</v>
      </c>
      <c r="B90" s="224" t="s">
        <v>220</v>
      </c>
      <c r="C90" s="526" t="s">
        <v>259</v>
      </c>
      <c r="D90" s="527"/>
      <c r="E90" s="223" t="s">
        <v>114</v>
      </c>
      <c r="F90" s="223" t="s">
        <v>114</v>
      </c>
      <c r="G90" s="223" t="s">
        <v>114</v>
      </c>
      <c r="H90" s="235">
        <f>SUM(H91:H94)</f>
        <v>0</v>
      </c>
      <c r="I90" s="235">
        <f>SUM(I91:I94)</f>
        <v>0</v>
      </c>
      <c r="J90" s="235">
        <f>SUM(J91:J94)</f>
        <v>0</v>
      </c>
      <c r="K90" s="230" t="s">
        <v>154</v>
      </c>
      <c r="L90" s="235">
        <f>SUM(L91:L94)</f>
        <v>326.43400000000003</v>
      </c>
      <c r="M90" s="243" t="s">
        <v>154</v>
      </c>
      <c r="AG90" s="230" t="s">
        <v>154</v>
      </c>
      <c r="AQ90" s="235">
        <f>SUM(AH91:AH94)</f>
        <v>0</v>
      </c>
      <c r="AR90" s="235">
        <f>SUM(AI91:AI94)</f>
        <v>0</v>
      </c>
      <c r="AS90" s="235">
        <f>SUM(AJ91:AJ94)</f>
        <v>0</v>
      </c>
    </row>
    <row r="91" spans="1:74" ht="14.4" x14ac:dyDescent="0.3">
      <c r="A91" s="239" t="s">
        <v>290</v>
      </c>
      <c r="B91" s="223" t="s">
        <v>261</v>
      </c>
      <c r="C91" s="521" t="s">
        <v>262</v>
      </c>
      <c r="D91" s="519"/>
      <c r="E91" s="223" t="s">
        <v>196</v>
      </c>
      <c r="F91" s="233">
        <v>192.02</v>
      </c>
      <c r="G91" s="311">
        <v>0</v>
      </c>
      <c r="H91" s="233">
        <f>F91*AM91</f>
        <v>0</v>
      </c>
      <c r="I91" s="233">
        <f>F91*AN91</f>
        <v>0</v>
      </c>
      <c r="J91" s="233">
        <f>F91*G91</f>
        <v>0</v>
      </c>
      <c r="K91" s="233">
        <v>1.7</v>
      </c>
      <c r="L91" s="233">
        <f>F91*K91</f>
        <v>326.43400000000003</v>
      </c>
      <c r="M91" s="240" t="s">
        <v>472</v>
      </c>
      <c r="X91" s="233">
        <f>IF(AO91="5",BH91,0)</f>
        <v>0</v>
      </c>
      <c r="Z91" s="233">
        <f>IF(AO91="1",BF91,0)</f>
        <v>0</v>
      </c>
      <c r="AA91" s="233">
        <f>IF(AO91="1",BG91,0)</f>
        <v>0</v>
      </c>
      <c r="AB91" s="233">
        <f>IF(AO91="7",BF91,0)</f>
        <v>0</v>
      </c>
      <c r="AC91" s="233">
        <f>IF(AO91="7",BG91,0)</f>
        <v>0</v>
      </c>
      <c r="AD91" s="233">
        <f>IF(AO91="2",BF91,0)</f>
        <v>0</v>
      </c>
      <c r="AE91" s="233">
        <f>IF(AO91="2",BG91,0)</f>
        <v>0</v>
      </c>
      <c r="AF91" s="233">
        <f>IF(AO91="0",BH91,0)</f>
        <v>0</v>
      </c>
      <c r="AG91" s="230" t="s">
        <v>154</v>
      </c>
      <c r="AH91" s="233">
        <f>IF(AL91=0,J91,0)</f>
        <v>0</v>
      </c>
      <c r="AI91" s="233">
        <f>IF(AL91=15,J91,0)</f>
        <v>0</v>
      </c>
      <c r="AJ91" s="233">
        <f>IF(AL91=21,J91,0)</f>
        <v>0</v>
      </c>
      <c r="AL91" s="233">
        <v>21</v>
      </c>
      <c r="AM91" s="233">
        <f>G91*0.517505126</f>
        <v>0</v>
      </c>
      <c r="AN91" s="233">
        <f>G91*(1-0.517505126)</f>
        <v>0</v>
      </c>
      <c r="AO91" s="234" t="s">
        <v>157</v>
      </c>
      <c r="AT91" s="233">
        <f>AU91+AV91</f>
        <v>0</v>
      </c>
      <c r="AU91" s="233">
        <f>F91*AM91</f>
        <v>0</v>
      </c>
      <c r="AV91" s="233">
        <f>F91*AN91</f>
        <v>0</v>
      </c>
      <c r="AW91" s="234" t="s">
        <v>263</v>
      </c>
      <c r="AX91" s="234" t="s">
        <v>163</v>
      </c>
      <c r="AY91" s="230" t="s">
        <v>164</v>
      </c>
      <c r="BA91" s="233">
        <f>AU91+AV91</f>
        <v>0</v>
      </c>
      <c r="BB91" s="233">
        <f>G91/(100-BC91)*100</f>
        <v>0</v>
      </c>
      <c r="BC91" s="233">
        <v>0</v>
      </c>
      <c r="BD91" s="233">
        <f>L91</f>
        <v>326.43400000000003</v>
      </c>
      <c r="BF91" s="233">
        <f>F91*AM91</f>
        <v>0</v>
      </c>
      <c r="BG91" s="233">
        <f>F91*AN91</f>
        <v>0</v>
      </c>
      <c r="BH91" s="233">
        <f>F91*G91</f>
        <v>0</v>
      </c>
      <c r="BI91" s="233"/>
      <c r="BJ91" s="233">
        <v>17</v>
      </c>
      <c r="BU91" s="233" t="e">
        <f>#REF!</f>
        <v>#REF!</v>
      </c>
      <c r="BV91" s="225" t="s">
        <v>262</v>
      </c>
    </row>
    <row r="92" spans="1:74" ht="67.5" customHeight="1" x14ac:dyDescent="0.3">
      <c r="A92" s="241"/>
      <c r="B92" s="242" t="s">
        <v>165</v>
      </c>
      <c r="C92" s="530" t="s">
        <v>1421</v>
      </c>
      <c r="D92" s="531"/>
      <c r="E92" s="531"/>
      <c r="F92" s="531"/>
      <c r="G92" s="531"/>
      <c r="H92" s="531"/>
      <c r="I92" s="531"/>
      <c r="J92" s="531"/>
      <c r="K92" s="531"/>
      <c r="L92" s="531"/>
      <c r="M92" s="532"/>
    </row>
    <row r="93" spans="1:74" ht="14.4" x14ac:dyDescent="0.3">
      <c r="A93" s="239" t="s">
        <v>294</v>
      </c>
      <c r="B93" s="223" t="s">
        <v>265</v>
      </c>
      <c r="C93" s="521" t="s">
        <v>266</v>
      </c>
      <c r="D93" s="519"/>
      <c r="E93" s="223" t="s">
        <v>196</v>
      </c>
      <c r="F93" s="233">
        <v>192.02</v>
      </c>
      <c r="G93" s="311">
        <v>0</v>
      </c>
      <c r="H93" s="233">
        <f>F93*AM93</f>
        <v>0</v>
      </c>
      <c r="I93" s="233">
        <f>F93*AN93</f>
        <v>0</v>
      </c>
      <c r="J93" s="233">
        <f>F93*G93</f>
        <v>0</v>
      </c>
      <c r="K93" s="233">
        <v>0</v>
      </c>
      <c r="L93" s="233">
        <f>F93*K93</f>
        <v>0</v>
      </c>
      <c r="M93" s="240" t="s">
        <v>472</v>
      </c>
      <c r="X93" s="233">
        <f>IF(AO93="5",BH93,0)</f>
        <v>0</v>
      </c>
      <c r="Z93" s="233">
        <f>IF(AO93="1",BF93,0)</f>
        <v>0</v>
      </c>
      <c r="AA93" s="233">
        <f>IF(AO93="1",BG93,0)</f>
        <v>0</v>
      </c>
      <c r="AB93" s="233">
        <f>IF(AO93="7",BF93,0)</f>
        <v>0</v>
      </c>
      <c r="AC93" s="233">
        <f>IF(AO93="7",BG93,0)</f>
        <v>0</v>
      </c>
      <c r="AD93" s="233">
        <f>IF(AO93="2",BF93,0)</f>
        <v>0</v>
      </c>
      <c r="AE93" s="233">
        <f>IF(AO93="2",BG93,0)</f>
        <v>0</v>
      </c>
      <c r="AF93" s="233">
        <f>IF(AO93="0",BH93,0)</f>
        <v>0</v>
      </c>
      <c r="AG93" s="230" t="s">
        <v>154</v>
      </c>
      <c r="AH93" s="233">
        <f>IF(AL93=0,J93,0)</f>
        <v>0</v>
      </c>
      <c r="AI93" s="233">
        <f>IF(AL93=15,J93,0)</f>
        <v>0</v>
      </c>
      <c r="AJ93" s="233">
        <f>IF(AL93=21,J93,0)</f>
        <v>0</v>
      </c>
      <c r="AL93" s="233">
        <v>21</v>
      </c>
      <c r="AM93" s="233">
        <f>G93*0</f>
        <v>0</v>
      </c>
      <c r="AN93" s="233">
        <f>G93*(1-0)</f>
        <v>0</v>
      </c>
      <c r="AO93" s="234" t="s">
        <v>157</v>
      </c>
      <c r="AT93" s="233">
        <f>AU93+AV93</f>
        <v>0</v>
      </c>
      <c r="AU93" s="233">
        <f>F93*AM93</f>
        <v>0</v>
      </c>
      <c r="AV93" s="233">
        <f>F93*AN93</f>
        <v>0</v>
      </c>
      <c r="AW93" s="234" t="s">
        <v>263</v>
      </c>
      <c r="AX93" s="234" t="s">
        <v>163</v>
      </c>
      <c r="AY93" s="230" t="s">
        <v>164</v>
      </c>
      <c r="BA93" s="233">
        <f>AU93+AV93</f>
        <v>0</v>
      </c>
      <c r="BB93" s="233">
        <f>G93/(100-BC93)*100</f>
        <v>0</v>
      </c>
      <c r="BC93" s="233">
        <v>0</v>
      </c>
      <c r="BD93" s="233">
        <f>L93</f>
        <v>0</v>
      </c>
      <c r="BF93" s="233">
        <f>F93*AM93</f>
        <v>0</v>
      </c>
      <c r="BG93" s="233">
        <f>F93*AN93</f>
        <v>0</v>
      </c>
      <c r="BH93" s="233">
        <f>F93*G93</f>
        <v>0</v>
      </c>
      <c r="BI93" s="233"/>
      <c r="BJ93" s="233">
        <v>17</v>
      </c>
      <c r="BU93" s="233" t="e">
        <f>#REF!</f>
        <v>#REF!</v>
      </c>
      <c r="BV93" s="225" t="s">
        <v>266</v>
      </c>
    </row>
    <row r="94" spans="1:74" ht="14.4" x14ac:dyDescent="0.3">
      <c r="A94" s="239" t="s">
        <v>300</v>
      </c>
      <c r="B94" s="223" t="s">
        <v>268</v>
      </c>
      <c r="C94" s="521" t="s">
        <v>269</v>
      </c>
      <c r="D94" s="519"/>
      <c r="E94" s="223" t="s">
        <v>196</v>
      </c>
      <c r="F94" s="233">
        <v>175.72</v>
      </c>
      <c r="G94" s="311">
        <v>0</v>
      </c>
      <c r="H94" s="233">
        <f>F94*AM94</f>
        <v>0</v>
      </c>
      <c r="I94" s="233">
        <f>F94*AN94</f>
        <v>0</v>
      </c>
      <c r="J94" s="233">
        <f>F94*G94</f>
        <v>0</v>
      </c>
      <c r="K94" s="233">
        <v>0</v>
      </c>
      <c r="L94" s="233">
        <f>F94*K94</f>
        <v>0</v>
      </c>
      <c r="M94" s="240" t="s">
        <v>472</v>
      </c>
      <c r="X94" s="233">
        <f>IF(AO94="5",BH94,0)</f>
        <v>0</v>
      </c>
      <c r="Z94" s="233">
        <f>IF(AO94="1",BF94,0)</f>
        <v>0</v>
      </c>
      <c r="AA94" s="233">
        <f>IF(AO94="1",BG94,0)</f>
        <v>0</v>
      </c>
      <c r="AB94" s="233">
        <f>IF(AO94="7",BF94,0)</f>
        <v>0</v>
      </c>
      <c r="AC94" s="233">
        <f>IF(AO94="7",BG94,0)</f>
        <v>0</v>
      </c>
      <c r="AD94" s="233">
        <f>IF(AO94="2",BF94,0)</f>
        <v>0</v>
      </c>
      <c r="AE94" s="233">
        <f>IF(AO94="2",BG94,0)</f>
        <v>0</v>
      </c>
      <c r="AF94" s="233">
        <f>IF(AO94="0",BH94,0)</f>
        <v>0</v>
      </c>
      <c r="AG94" s="230" t="s">
        <v>154</v>
      </c>
      <c r="AH94" s="233">
        <f>IF(AL94=0,J94,0)</f>
        <v>0</v>
      </c>
      <c r="AI94" s="233">
        <f>IF(AL94=15,J94,0)</f>
        <v>0</v>
      </c>
      <c r="AJ94" s="233">
        <f>IF(AL94=21,J94,0)</f>
        <v>0</v>
      </c>
      <c r="AL94" s="233">
        <v>21</v>
      </c>
      <c r="AM94" s="233">
        <f>G94*0</f>
        <v>0</v>
      </c>
      <c r="AN94" s="233">
        <f>G94*(1-0)</f>
        <v>0</v>
      </c>
      <c r="AO94" s="234" t="s">
        <v>157</v>
      </c>
      <c r="AT94" s="233">
        <f>AU94+AV94</f>
        <v>0</v>
      </c>
      <c r="AU94" s="233">
        <f>F94*AM94</f>
        <v>0</v>
      </c>
      <c r="AV94" s="233">
        <f>F94*AN94</f>
        <v>0</v>
      </c>
      <c r="AW94" s="234" t="s">
        <v>263</v>
      </c>
      <c r="AX94" s="234" t="s">
        <v>163</v>
      </c>
      <c r="AY94" s="230" t="s">
        <v>164</v>
      </c>
      <c r="BA94" s="233">
        <f>AU94+AV94</f>
        <v>0</v>
      </c>
      <c r="BB94" s="233">
        <f>G94/(100-BC94)*100</f>
        <v>0</v>
      </c>
      <c r="BC94" s="233">
        <v>0</v>
      </c>
      <c r="BD94" s="233">
        <f>L94</f>
        <v>0</v>
      </c>
      <c r="BF94" s="233">
        <f>F94*AM94</f>
        <v>0</v>
      </c>
      <c r="BG94" s="233">
        <f>F94*AN94</f>
        <v>0</v>
      </c>
      <c r="BH94" s="233">
        <f>F94*G94</f>
        <v>0</v>
      </c>
      <c r="BI94" s="233"/>
      <c r="BJ94" s="233">
        <v>17</v>
      </c>
      <c r="BU94" s="233" t="e">
        <f>#REF!</f>
        <v>#REF!</v>
      </c>
      <c r="BV94" s="225" t="s">
        <v>269</v>
      </c>
    </row>
    <row r="95" spans="1:74" ht="162" customHeight="1" x14ac:dyDescent="0.3">
      <c r="A95" s="241"/>
      <c r="B95" s="242" t="s">
        <v>165</v>
      </c>
      <c r="C95" s="530" t="s">
        <v>1422</v>
      </c>
      <c r="D95" s="531"/>
      <c r="E95" s="531"/>
      <c r="F95" s="531"/>
      <c r="G95" s="531"/>
      <c r="H95" s="531"/>
      <c r="I95" s="531"/>
      <c r="J95" s="531"/>
      <c r="K95" s="531"/>
      <c r="L95" s="531"/>
      <c r="M95" s="532"/>
    </row>
    <row r="96" spans="1:74" ht="14.4" x14ac:dyDescent="0.3">
      <c r="A96" s="239" t="s">
        <v>154</v>
      </c>
      <c r="B96" s="224" t="s">
        <v>224</v>
      </c>
      <c r="C96" s="526" t="s">
        <v>270</v>
      </c>
      <c r="D96" s="527"/>
      <c r="E96" s="223" t="s">
        <v>114</v>
      </c>
      <c r="F96" s="223" t="s">
        <v>114</v>
      </c>
      <c r="G96" s="223" t="s">
        <v>114</v>
      </c>
      <c r="H96" s="235">
        <f>SUM(H97:H97)</f>
        <v>0</v>
      </c>
      <c r="I96" s="235">
        <f>SUM(I97:I97)</f>
        <v>0</v>
      </c>
      <c r="J96" s="235">
        <f>SUM(J97:J97)</f>
        <v>0</v>
      </c>
      <c r="K96" s="230" t="s">
        <v>154</v>
      </c>
      <c r="L96" s="235">
        <f>SUM(L97:L97)</f>
        <v>1.4991E-3</v>
      </c>
      <c r="M96" s="243" t="s">
        <v>154</v>
      </c>
      <c r="AG96" s="230" t="s">
        <v>154</v>
      </c>
      <c r="AQ96" s="235">
        <f>SUM(AH97:AH97)</f>
        <v>0</v>
      </c>
      <c r="AR96" s="235">
        <f>SUM(AI97:AI97)</f>
        <v>0</v>
      </c>
      <c r="AS96" s="235">
        <f>SUM(AJ97:AJ97)</f>
        <v>0</v>
      </c>
    </row>
    <row r="97" spans="1:74" ht="14.4" x14ac:dyDescent="0.3">
      <c r="A97" s="239" t="s">
        <v>307</v>
      </c>
      <c r="B97" s="223" t="s">
        <v>272</v>
      </c>
      <c r="C97" s="521" t="s">
        <v>273</v>
      </c>
      <c r="D97" s="519"/>
      <c r="E97" s="223" t="s">
        <v>180</v>
      </c>
      <c r="F97" s="233">
        <v>49.97</v>
      </c>
      <c r="G97" s="311">
        <v>0</v>
      </c>
      <c r="H97" s="233">
        <f>F97*AM97</f>
        <v>0</v>
      </c>
      <c r="I97" s="233">
        <f>F97*AN97</f>
        <v>0</v>
      </c>
      <c r="J97" s="233">
        <f>F97*G97</f>
        <v>0</v>
      </c>
      <c r="K97" s="233">
        <v>3.0000000000000001E-5</v>
      </c>
      <c r="L97" s="233">
        <f>F97*K97</f>
        <v>1.4991E-3</v>
      </c>
      <c r="M97" s="240" t="s">
        <v>472</v>
      </c>
      <c r="X97" s="233">
        <f>IF(AO97="5",BH97,0)</f>
        <v>0</v>
      </c>
      <c r="Z97" s="233">
        <f>IF(AO97="1",BF97,0)</f>
        <v>0</v>
      </c>
      <c r="AA97" s="233">
        <f>IF(AO97="1",BG97,0)</f>
        <v>0</v>
      </c>
      <c r="AB97" s="233">
        <f>IF(AO97="7",BF97,0)</f>
        <v>0</v>
      </c>
      <c r="AC97" s="233">
        <f>IF(AO97="7",BG97,0)</f>
        <v>0</v>
      </c>
      <c r="AD97" s="233">
        <f>IF(AO97="2",BF97,0)</f>
        <v>0</v>
      </c>
      <c r="AE97" s="233">
        <f>IF(AO97="2",BG97,0)</f>
        <v>0</v>
      </c>
      <c r="AF97" s="233">
        <f>IF(AO97="0",BH97,0)</f>
        <v>0</v>
      </c>
      <c r="AG97" s="230" t="s">
        <v>154</v>
      </c>
      <c r="AH97" s="233">
        <f>IF(AL97=0,J97,0)</f>
        <v>0</v>
      </c>
      <c r="AI97" s="233">
        <f>IF(AL97=15,J97,0)</f>
        <v>0</v>
      </c>
      <c r="AJ97" s="233">
        <f>IF(AL97=21,J97,0)</f>
        <v>0</v>
      </c>
      <c r="AL97" s="233">
        <v>21</v>
      </c>
      <c r="AM97" s="233">
        <f>G97*0.041715942</f>
        <v>0</v>
      </c>
      <c r="AN97" s="233">
        <f>G97*(1-0.041715942)</f>
        <v>0</v>
      </c>
      <c r="AO97" s="234" t="s">
        <v>157</v>
      </c>
      <c r="AT97" s="233">
        <f>AU97+AV97</f>
        <v>0</v>
      </c>
      <c r="AU97" s="233">
        <f>F97*AM97</f>
        <v>0</v>
      </c>
      <c r="AV97" s="233">
        <f>F97*AN97</f>
        <v>0</v>
      </c>
      <c r="AW97" s="234" t="s">
        <v>274</v>
      </c>
      <c r="AX97" s="234" t="s">
        <v>163</v>
      </c>
      <c r="AY97" s="230" t="s">
        <v>164</v>
      </c>
      <c r="BA97" s="233">
        <f>AU97+AV97</f>
        <v>0</v>
      </c>
      <c r="BB97" s="233">
        <f>G97/(100-BC97)*100</f>
        <v>0</v>
      </c>
      <c r="BC97" s="233">
        <v>0</v>
      </c>
      <c r="BD97" s="233">
        <f>L97</f>
        <v>1.4991E-3</v>
      </c>
      <c r="BF97" s="233">
        <f>F97*AM97</f>
        <v>0</v>
      </c>
      <c r="BG97" s="233">
        <f>F97*AN97</f>
        <v>0</v>
      </c>
      <c r="BH97" s="233">
        <f>F97*G97</f>
        <v>0</v>
      </c>
      <c r="BI97" s="233"/>
      <c r="BJ97" s="233">
        <v>18</v>
      </c>
      <c r="BU97" s="233" t="e">
        <f>#REF!</f>
        <v>#REF!</v>
      </c>
      <c r="BV97" s="225" t="s">
        <v>273</v>
      </c>
    </row>
    <row r="98" spans="1:74" ht="67.5" customHeight="1" x14ac:dyDescent="0.3">
      <c r="A98" s="241"/>
      <c r="B98" s="242" t="s">
        <v>165</v>
      </c>
      <c r="C98" s="530" t="s">
        <v>1423</v>
      </c>
      <c r="D98" s="531"/>
      <c r="E98" s="531"/>
      <c r="F98" s="531"/>
      <c r="G98" s="531"/>
      <c r="H98" s="531"/>
      <c r="I98" s="531"/>
      <c r="J98" s="531"/>
      <c r="K98" s="531"/>
      <c r="L98" s="531"/>
      <c r="M98" s="532"/>
    </row>
    <row r="99" spans="1:74" ht="14.4" x14ac:dyDescent="0.3">
      <c r="A99" s="239" t="s">
        <v>154</v>
      </c>
      <c r="B99" s="224" t="s">
        <v>228</v>
      </c>
      <c r="C99" s="526" t="s">
        <v>275</v>
      </c>
      <c r="D99" s="527"/>
      <c r="E99" s="223" t="s">
        <v>114</v>
      </c>
      <c r="F99" s="223" t="s">
        <v>114</v>
      </c>
      <c r="G99" s="223" t="s">
        <v>114</v>
      </c>
      <c r="H99" s="235">
        <f>SUM(H100:H102)</f>
        <v>0</v>
      </c>
      <c r="I99" s="235">
        <f>SUM(I100:I102)</f>
        <v>0</v>
      </c>
      <c r="J99" s="235">
        <f>SUM(J100:J102)</f>
        <v>0</v>
      </c>
      <c r="K99" s="230" t="s">
        <v>154</v>
      </c>
      <c r="L99" s="235">
        <f>SUM(L100:L102)</f>
        <v>0</v>
      </c>
      <c r="M99" s="243" t="s">
        <v>154</v>
      </c>
      <c r="AG99" s="230" t="s">
        <v>154</v>
      </c>
      <c r="AQ99" s="235">
        <f>SUM(AH100:AH102)</f>
        <v>0</v>
      </c>
      <c r="AR99" s="235">
        <f>SUM(AI100:AI102)</f>
        <v>0</v>
      </c>
      <c r="AS99" s="235">
        <f>SUM(AJ100:AJ102)</f>
        <v>0</v>
      </c>
    </row>
    <row r="100" spans="1:74" ht="14.4" x14ac:dyDescent="0.3">
      <c r="A100" s="239" t="s">
        <v>312</v>
      </c>
      <c r="B100" s="223" t="s">
        <v>277</v>
      </c>
      <c r="C100" s="521" t="s">
        <v>278</v>
      </c>
      <c r="D100" s="519"/>
      <c r="E100" s="223" t="s">
        <v>196</v>
      </c>
      <c r="F100" s="233">
        <v>327.07</v>
      </c>
      <c r="G100" s="311">
        <v>0</v>
      </c>
      <c r="H100" s="233">
        <f>F100*AM100</f>
        <v>0</v>
      </c>
      <c r="I100" s="233">
        <f>F100*AN100</f>
        <v>0</v>
      </c>
      <c r="J100" s="233">
        <f>F100*G100</f>
        <v>0</v>
      </c>
      <c r="K100" s="233">
        <v>0</v>
      </c>
      <c r="L100" s="233">
        <f>F100*K100</f>
        <v>0</v>
      </c>
      <c r="M100" s="240" t="s">
        <v>472</v>
      </c>
      <c r="X100" s="233">
        <f>IF(AO100="5",BH100,0)</f>
        <v>0</v>
      </c>
      <c r="Z100" s="233">
        <f>IF(AO100="1",BF100,0)</f>
        <v>0</v>
      </c>
      <c r="AA100" s="233">
        <f>IF(AO100="1",BG100,0)</f>
        <v>0</v>
      </c>
      <c r="AB100" s="233">
        <f>IF(AO100="7",BF100,0)</f>
        <v>0</v>
      </c>
      <c r="AC100" s="233">
        <f>IF(AO100="7",BG100,0)</f>
        <v>0</v>
      </c>
      <c r="AD100" s="233">
        <f>IF(AO100="2",BF100,0)</f>
        <v>0</v>
      </c>
      <c r="AE100" s="233">
        <f>IF(AO100="2",BG100,0)</f>
        <v>0</v>
      </c>
      <c r="AF100" s="233">
        <f>IF(AO100="0",BH100,0)</f>
        <v>0</v>
      </c>
      <c r="AG100" s="230" t="s">
        <v>154</v>
      </c>
      <c r="AH100" s="233">
        <f>IF(AL100=0,J100,0)</f>
        <v>0</v>
      </c>
      <c r="AI100" s="233">
        <f>IF(AL100=15,J100,0)</f>
        <v>0</v>
      </c>
      <c r="AJ100" s="233">
        <f>IF(AL100=21,J100,0)</f>
        <v>0</v>
      </c>
      <c r="AL100" s="233">
        <v>21</v>
      </c>
      <c r="AM100" s="233">
        <f>G100*0</f>
        <v>0</v>
      </c>
      <c r="AN100" s="233">
        <f>G100*(1-0)</f>
        <v>0</v>
      </c>
      <c r="AO100" s="234" t="s">
        <v>157</v>
      </c>
      <c r="AT100" s="233">
        <f>AU100+AV100</f>
        <v>0</v>
      </c>
      <c r="AU100" s="233">
        <f>F100*AM100</f>
        <v>0</v>
      </c>
      <c r="AV100" s="233">
        <f>F100*AN100</f>
        <v>0</v>
      </c>
      <c r="AW100" s="234" t="s">
        <v>279</v>
      </c>
      <c r="AX100" s="234" t="s">
        <v>163</v>
      </c>
      <c r="AY100" s="230" t="s">
        <v>164</v>
      </c>
      <c r="BA100" s="233">
        <f>AU100+AV100</f>
        <v>0</v>
      </c>
      <c r="BB100" s="233">
        <f>G100/(100-BC100)*100</f>
        <v>0</v>
      </c>
      <c r="BC100" s="233">
        <v>0</v>
      </c>
      <c r="BD100" s="233">
        <f>L100</f>
        <v>0</v>
      </c>
      <c r="BF100" s="233">
        <f>F100*AM100</f>
        <v>0</v>
      </c>
      <c r="BG100" s="233">
        <f>F100*AN100</f>
        <v>0</v>
      </c>
      <c r="BH100" s="233">
        <f>F100*G100</f>
        <v>0</v>
      </c>
      <c r="BI100" s="233"/>
      <c r="BJ100" s="233">
        <v>19</v>
      </c>
      <c r="BU100" s="233" t="e">
        <f>#REF!</f>
        <v>#REF!</v>
      </c>
      <c r="BV100" s="225" t="s">
        <v>278</v>
      </c>
    </row>
    <row r="101" spans="1:74" ht="13.5" customHeight="1" x14ac:dyDescent="0.3">
      <c r="A101" s="241"/>
      <c r="B101" s="242" t="s">
        <v>165</v>
      </c>
      <c r="C101" s="530" t="s">
        <v>280</v>
      </c>
      <c r="D101" s="531"/>
      <c r="E101" s="531"/>
      <c r="F101" s="531"/>
      <c r="G101" s="531"/>
      <c r="H101" s="531"/>
      <c r="I101" s="531"/>
      <c r="J101" s="531"/>
      <c r="K101" s="531"/>
      <c r="L101" s="531"/>
      <c r="M101" s="532"/>
    </row>
    <row r="102" spans="1:74" ht="14.4" x14ac:dyDescent="0.3">
      <c r="A102" s="239" t="s">
        <v>315</v>
      </c>
      <c r="B102" s="223" t="s">
        <v>282</v>
      </c>
      <c r="C102" s="521" t="s">
        <v>283</v>
      </c>
      <c r="D102" s="519"/>
      <c r="E102" s="223" t="s">
        <v>196</v>
      </c>
      <c r="F102" s="233">
        <v>63.62</v>
      </c>
      <c r="G102" s="311">
        <v>0</v>
      </c>
      <c r="H102" s="233">
        <f>F102*AM102</f>
        <v>0</v>
      </c>
      <c r="I102" s="233">
        <f>F102*AN102</f>
        <v>0</v>
      </c>
      <c r="J102" s="233">
        <f>F102*G102</f>
        <v>0</v>
      </c>
      <c r="K102" s="233">
        <v>0</v>
      </c>
      <c r="L102" s="233">
        <f>F102*K102</f>
        <v>0</v>
      </c>
      <c r="M102" s="240" t="s">
        <v>472</v>
      </c>
      <c r="X102" s="233">
        <f>IF(AO102="5",BH102,0)</f>
        <v>0</v>
      </c>
      <c r="Z102" s="233">
        <f>IF(AO102="1",BF102,0)</f>
        <v>0</v>
      </c>
      <c r="AA102" s="233">
        <f>IF(AO102="1",BG102,0)</f>
        <v>0</v>
      </c>
      <c r="AB102" s="233">
        <f>IF(AO102="7",BF102,0)</f>
        <v>0</v>
      </c>
      <c r="AC102" s="233">
        <f>IF(AO102="7",BG102,0)</f>
        <v>0</v>
      </c>
      <c r="AD102" s="233">
        <f>IF(AO102="2",BF102,0)</f>
        <v>0</v>
      </c>
      <c r="AE102" s="233">
        <f>IF(AO102="2",BG102,0)</f>
        <v>0</v>
      </c>
      <c r="AF102" s="233">
        <f>IF(AO102="0",BH102,0)</f>
        <v>0</v>
      </c>
      <c r="AG102" s="230" t="s">
        <v>154</v>
      </c>
      <c r="AH102" s="233">
        <f>IF(AL102=0,J102,0)</f>
        <v>0</v>
      </c>
      <c r="AI102" s="233">
        <f>IF(AL102=15,J102,0)</f>
        <v>0</v>
      </c>
      <c r="AJ102" s="233">
        <f>IF(AL102=21,J102,0)</f>
        <v>0</v>
      </c>
      <c r="AL102" s="233">
        <v>21</v>
      </c>
      <c r="AM102" s="233">
        <f>G102*0</f>
        <v>0</v>
      </c>
      <c r="AN102" s="233">
        <f>G102*(1-0)</f>
        <v>0</v>
      </c>
      <c r="AO102" s="234" t="s">
        <v>157</v>
      </c>
      <c r="AT102" s="233">
        <f>AU102+AV102</f>
        <v>0</v>
      </c>
      <c r="AU102" s="233">
        <f>F102*AM102</f>
        <v>0</v>
      </c>
      <c r="AV102" s="233">
        <f>F102*AN102</f>
        <v>0</v>
      </c>
      <c r="AW102" s="234" t="s">
        <v>279</v>
      </c>
      <c r="AX102" s="234" t="s">
        <v>163</v>
      </c>
      <c r="AY102" s="230" t="s">
        <v>164</v>
      </c>
      <c r="BA102" s="233">
        <f>AU102+AV102</f>
        <v>0</v>
      </c>
      <c r="BB102" s="233">
        <f>G102/(100-BC102)*100</f>
        <v>0</v>
      </c>
      <c r="BC102" s="233">
        <v>0</v>
      </c>
      <c r="BD102" s="233">
        <f>L102</f>
        <v>0</v>
      </c>
      <c r="BF102" s="233">
        <f>F102*AM102</f>
        <v>0</v>
      </c>
      <c r="BG102" s="233">
        <f>F102*AN102</f>
        <v>0</v>
      </c>
      <c r="BH102" s="233">
        <f>F102*G102</f>
        <v>0</v>
      </c>
      <c r="BI102" s="233"/>
      <c r="BJ102" s="233">
        <v>19</v>
      </c>
      <c r="BU102" s="233" t="e">
        <f>#REF!</f>
        <v>#REF!</v>
      </c>
      <c r="BV102" s="225" t="s">
        <v>283</v>
      </c>
    </row>
    <row r="103" spans="1:74" ht="13.5" customHeight="1" x14ac:dyDescent="0.3">
      <c r="A103" s="241"/>
      <c r="B103" s="242" t="s">
        <v>165</v>
      </c>
      <c r="C103" s="530" t="s">
        <v>280</v>
      </c>
      <c r="D103" s="531"/>
      <c r="E103" s="531"/>
      <c r="F103" s="531"/>
      <c r="G103" s="531"/>
      <c r="H103" s="531"/>
      <c r="I103" s="531"/>
      <c r="J103" s="531"/>
      <c r="K103" s="531"/>
      <c r="L103" s="531"/>
      <c r="M103" s="532"/>
    </row>
    <row r="104" spans="1:74" ht="14.4" x14ac:dyDescent="0.3">
      <c r="A104" s="239" t="s">
        <v>154</v>
      </c>
      <c r="B104" s="224" t="s">
        <v>235</v>
      </c>
      <c r="C104" s="526" t="s">
        <v>284</v>
      </c>
      <c r="D104" s="527"/>
      <c r="E104" s="223" t="s">
        <v>114</v>
      </c>
      <c r="F104" s="223" t="s">
        <v>114</v>
      </c>
      <c r="G104" s="223" t="s">
        <v>114</v>
      </c>
      <c r="H104" s="235">
        <f>SUM(H105:H107)</f>
        <v>0</v>
      </c>
      <c r="I104" s="235">
        <f>SUM(I105:I107)</f>
        <v>0</v>
      </c>
      <c r="J104" s="235">
        <f>SUM(J105:J107)</f>
        <v>0</v>
      </c>
      <c r="K104" s="230" t="s">
        <v>154</v>
      </c>
      <c r="L104" s="235">
        <f>SUM(L105:L107)</f>
        <v>4.3625000000000007</v>
      </c>
      <c r="M104" s="243" t="s">
        <v>154</v>
      </c>
      <c r="AG104" s="230" t="s">
        <v>154</v>
      </c>
      <c r="AQ104" s="235">
        <f>SUM(AH105:AH107)</f>
        <v>0</v>
      </c>
      <c r="AR104" s="235">
        <f>SUM(AI105:AI107)</f>
        <v>0</v>
      </c>
      <c r="AS104" s="235">
        <f>SUM(AJ105:AJ107)</f>
        <v>0</v>
      </c>
    </row>
    <row r="105" spans="1:74" ht="14.4" x14ac:dyDescent="0.3">
      <c r="A105" s="239" t="s">
        <v>318</v>
      </c>
      <c r="B105" s="223" t="s">
        <v>507</v>
      </c>
      <c r="C105" s="521" t="s">
        <v>287</v>
      </c>
      <c r="D105" s="519"/>
      <c r="E105" s="223" t="s">
        <v>180</v>
      </c>
      <c r="F105" s="233">
        <v>445.44</v>
      </c>
      <c r="G105" s="311">
        <v>0</v>
      </c>
      <c r="H105" s="233">
        <f>F105*AM105</f>
        <v>0</v>
      </c>
      <c r="I105" s="233">
        <f>F105*AN105</f>
        <v>0</v>
      </c>
      <c r="J105" s="233">
        <f>F105*G105</f>
        <v>0</v>
      </c>
      <c r="K105" s="233">
        <v>0</v>
      </c>
      <c r="L105" s="233">
        <f>F105*K105</f>
        <v>0</v>
      </c>
      <c r="M105" s="240" t="s">
        <v>472</v>
      </c>
      <c r="X105" s="233">
        <f>IF(AO105="5",BH105,0)</f>
        <v>0</v>
      </c>
      <c r="Z105" s="233">
        <f>IF(AO105="1",BF105,0)</f>
        <v>0</v>
      </c>
      <c r="AA105" s="233">
        <f>IF(AO105="1",BG105,0)</f>
        <v>0</v>
      </c>
      <c r="AB105" s="233">
        <f>IF(AO105="7",BF105,0)</f>
        <v>0</v>
      </c>
      <c r="AC105" s="233">
        <f>IF(AO105="7",BG105,0)</f>
        <v>0</v>
      </c>
      <c r="AD105" s="233">
        <f>IF(AO105="2",BF105,0)</f>
        <v>0</v>
      </c>
      <c r="AE105" s="233">
        <f>IF(AO105="2",BG105,0)</f>
        <v>0</v>
      </c>
      <c r="AF105" s="233">
        <f>IF(AO105="0",BH105,0)</f>
        <v>0</v>
      </c>
      <c r="AG105" s="230" t="s">
        <v>154</v>
      </c>
      <c r="AH105" s="233">
        <f>IF(AL105=0,J105,0)</f>
        <v>0</v>
      </c>
      <c r="AI105" s="233">
        <f>IF(AL105=15,J105,0)</f>
        <v>0</v>
      </c>
      <c r="AJ105" s="233">
        <f>IF(AL105=21,J105,0)</f>
        <v>0</v>
      </c>
      <c r="AL105" s="233">
        <v>21</v>
      </c>
      <c r="AM105" s="233">
        <f>G105*0</f>
        <v>0</v>
      </c>
      <c r="AN105" s="233">
        <f>G105*(1-0)</f>
        <v>0</v>
      </c>
      <c r="AO105" s="234" t="s">
        <v>157</v>
      </c>
      <c r="AT105" s="233">
        <f>AU105+AV105</f>
        <v>0</v>
      </c>
      <c r="AU105" s="233">
        <f>F105*AM105</f>
        <v>0</v>
      </c>
      <c r="AV105" s="233">
        <f>F105*AN105</f>
        <v>0</v>
      </c>
      <c r="AW105" s="234" t="s">
        <v>288</v>
      </c>
      <c r="AX105" s="234" t="s">
        <v>289</v>
      </c>
      <c r="AY105" s="230" t="s">
        <v>164</v>
      </c>
      <c r="BA105" s="233">
        <f>AU105+AV105</f>
        <v>0</v>
      </c>
      <c r="BB105" s="233">
        <f>G105/(100-BC105)*100</f>
        <v>0</v>
      </c>
      <c r="BC105" s="233">
        <v>0</v>
      </c>
      <c r="BD105" s="233">
        <f>L105</f>
        <v>0</v>
      </c>
      <c r="BF105" s="233">
        <f>F105*AM105</f>
        <v>0</v>
      </c>
      <c r="BG105" s="233">
        <f>F105*AN105</f>
        <v>0</v>
      </c>
      <c r="BH105" s="233">
        <f>F105*G105</f>
        <v>0</v>
      </c>
      <c r="BI105" s="233"/>
      <c r="BJ105" s="233">
        <v>21</v>
      </c>
      <c r="BU105" s="233" t="e">
        <f>#REF!</f>
        <v>#REF!</v>
      </c>
      <c r="BV105" s="225" t="s">
        <v>287</v>
      </c>
    </row>
    <row r="106" spans="1:74" ht="40.5" customHeight="1" x14ac:dyDescent="0.3">
      <c r="A106" s="241"/>
      <c r="B106" s="242" t="s">
        <v>165</v>
      </c>
      <c r="C106" s="530" t="s">
        <v>1424</v>
      </c>
      <c r="D106" s="531"/>
      <c r="E106" s="531"/>
      <c r="F106" s="531"/>
      <c r="G106" s="531"/>
      <c r="H106" s="531"/>
      <c r="I106" s="531"/>
      <c r="J106" s="531"/>
      <c r="K106" s="531"/>
      <c r="L106" s="531"/>
      <c r="M106" s="532"/>
    </row>
    <row r="107" spans="1:74" ht="14.4" x14ac:dyDescent="0.3">
      <c r="A107" s="239" t="s">
        <v>319</v>
      </c>
      <c r="B107" s="223" t="s">
        <v>291</v>
      </c>
      <c r="C107" s="521" t="s">
        <v>292</v>
      </c>
      <c r="D107" s="519"/>
      <c r="E107" s="223" t="s">
        <v>160</v>
      </c>
      <c r="F107" s="233">
        <v>10</v>
      </c>
      <c r="G107" s="311">
        <v>0</v>
      </c>
      <c r="H107" s="233">
        <f>F107*AM107</f>
        <v>0</v>
      </c>
      <c r="I107" s="233">
        <f>F107*AN107</f>
        <v>0</v>
      </c>
      <c r="J107" s="233">
        <f>F107*G107</f>
        <v>0</v>
      </c>
      <c r="K107" s="233">
        <v>0.43625000000000003</v>
      </c>
      <c r="L107" s="233">
        <f>F107*K107</f>
        <v>4.3625000000000007</v>
      </c>
      <c r="M107" s="240" t="s">
        <v>472</v>
      </c>
      <c r="X107" s="233">
        <f>IF(AO107="5",BH107,0)</f>
        <v>0</v>
      </c>
      <c r="Z107" s="233">
        <f>IF(AO107="1",BF107,0)</f>
        <v>0</v>
      </c>
      <c r="AA107" s="233">
        <f>IF(AO107="1",BG107,0)</f>
        <v>0</v>
      </c>
      <c r="AB107" s="233">
        <f>IF(AO107="7",BF107,0)</f>
        <v>0</v>
      </c>
      <c r="AC107" s="233">
        <f>IF(AO107="7",BG107,0)</f>
        <v>0</v>
      </c>
      <c r="AD107" s="233">
        <f>IF(AO107="2",BF107,0)</f>
        <v>0</v>
      </c>
      <c r="AE107" s="233">
        <f>IF(AO107="2",BG107,0)</f>
        <v>0</v>
      </c>
      <c r="AF107" s="233">
        <f>IF(AO107="0",BH107,0)</f>
        <v>0</v>
      </c>
      <c r="AG107" s="230" t="s">
        <v>154</v>
      </c>
      <c r="AH107" s="233">
        <f>IF(AL107=0,J107,0)</f>
        <v>0</v>
      </c>
      <c r="AI107" s="233">
        <f>IF(AL107=15,J107,0)</f>
        <v>0</v>
      </c>
      <c r="AJ107" s="233">
        <f>IF(AL107=21,J107,0)</f>
        <v>0</v>
      </c>
      <c r="AL107" s="233">
        <v>21</v>
      </c>
      <c r="AM107" s="233">
        <f>G107*0.447203746</f>
        <v>0</v>
      </c>
      <c r="AN107" s="233">
        <f>G107*(1-0.447203746)</f>
        <v>0</v>
      </c>
      <c r="AO107" s="234" t="s">
        <v>157</v>
      </c>
      <c r="AT107" s="233">
        <f>AU107+AV107</f>
        <v>0</v>
      </c>
      <c r="AU107" s="233">
        <f>F107*AM107</f>
        <v>0</v>
      </c>
      <c r="AV107" s="233">
        <f>F107*AN107</f>
        <v>0</v>
      </c>
      <c r="AW107" s="234" t="s">
        <v>288</v>
      </c>
      <c r="AX107" s="234" t="s">
        <v>289</v>
      </c>
      <c r="AY107" s="230" t="s">
        <v>164</v>
      </c>
      <c r="BA107" s="233">
        <f>AU107+AV107</f>
        <v>0</v>
      </c>
      <c r="BB107" s="233">
        <f>G107/(100-BC107)*100</f>
        <v>0</v>
      </c>
      <c r="BC107" s="233">
        <v>0</v>
      </c>
      <c r="BD107" s="233">
        <f>L107</f>
        <v>4.3625000000000007</v>
      </c>
      <c r="BF107" s="233">
        <f>F107*AM107</f>
        <v>0</v>
      </c>
      <c r="BG107" s="233">
        <f>F107*AN107</f>
        <v>0</v>
      </c>
      <c r="BH107" s="233">
        <f>F107*G107</f>
        <v>0</v>
      </c>
      <c r="BI107" s="233"/>
      <c r="BJ107" s="233">
        <v>21</v>
      </c>
      <c r="BU107" s="233" t="e">
        <f>#REF!</f>
        <v>#REF!</v>
      </c>
      <c r="BV107" s="225" t="s">
        <v>292</v>
      </c>
    </row>
    <row r="108" spans="1:74" ht="27" customHeight="1" x14ac:dyDescent="0.3">
      <c r="A108" s="241"/>
      <c r="B108" s="242" t="s">
        <v>165</v>
      </c>
      <c r="C108" s="530" t="s">
        <v>1425</v>
      </c>
      <c r="D108" s="531"/>
      <c r="E108" s="531"/>
      <c r="F108" s="531"/>
      <c r="G108" s="531"/>
      <c r="H108" s="531"/>
      <c r="I108" s="531"/>
      <c r="J108" s="531"/>
      <c r="K108" s="531"/>
      <c r="L108" s="531"/>
      <c r="M108" s="532"/>
    </row>
    <row r="109" spans="1:74" ht="14.4" x14ac:dyDescent="0.3">
      <c r="A109" s="239" t="s">
        <v>154</v>
      </c>
      <c r="B109" s="224" t="s">
        <v>318</v>
      </c>
      <c r="C109" s="526" t="s">
        <v>508</v>
      </c>
      <c r="D109" s="527"/>
      <c r="E109" s="223" t="s">
        <v>114</v>
      </c>
      <c r="F109" s="223" t="s">
        <v>114</v>
      </c>
      <c r="G109" s="223" t="s">
        <v>114</v>
      </c>
      <c r="H109" s="235">
        <f>SUM(H110:H112)</f>
        <v>0</v>
      </c>
      <c r="I109" s="235">
        <f>SUM(I110:I112)</f>
        <v>0</v>
      </c>
      <c r="J109" s="235">
        <f>SUM(J110:J112)</f>
        <v>0</v>
      </c>
      <c r="K109" s="230" t="s">
        <v>154</v>
      </c>
      <c r="L109" s="235">
        <f>SUM(L110:L112)</f>
        <v>0.21300000000000002</v>
      </c>
      <c r="M109" s="243" t="s">
        <v>154</v>
      </c>
      <c r="AG109" s="230" t="s">
        <v>154</v>
      </c>
      <c r="AQ109" s="235">
        <f>SUM(AH110:AH112)</f>
        <v>0</v>
      </c>
      <c r="AR109" s="235">
        <f>SUM(AI110:AI112)</f>
        <v>0</v>
      </c>
      <c r="AS109" s="235">
        <f>SUM(AJ110:AJ112)</f>
        <v>0</v>
      </c>
    </row>
    <row r="110" spans="1:74" ht="14.4" x14ac:dyDescent="0.3">
      <c r="A110" s="239" t="s">
        <v>322</v>
      </c>
      <c r="B110" s="223" t="s">
        <v>509</v>
      </c>
      <c r="C110" s="521" t="s">
        <v>510</v>
      </c>
      <c r="D110" s="519"/>
      <c r="E110" s="223" t="s">
        <v>365</v>
      </c>
      <c r="F110" s="233">
        <v>42</v>
      </c>
      <c r="G110" s="311">
        <v>0</v>
      </c>
      <c r="H110" s="233">
        <f>F110*AM110</f>
        <v>0</v>
      </c>
      <c r="I110" s="233">
        <f>F110*AN110</f>
        <v>0</v>
      </c>
      <c r="J110" s="233">
        <f>F110*G110</f>
        <v>0</v>
      </c>
      <c r="K110" s="233">
        <v>3.0000000000000001E-3</v>
      </c>
      <c r="L110" s="233">
        <f>F110*K110</f>
        <v>0.126</v>
      </c>
      <c r="M110" s="240" t="s">
        <v>472</v>
      </c>
      <c r="X110" s="233">
        <f>IF(AO110="5",BH110,0)</f>
        <v>0</v>
      </c>
      <c r="Z110" s="233">
        <f>IF(AO110="1",BF110,0)</f>
        <v>0</v>
      </c>
      <c r="AA110" s="233">
        <f>IF(AO110="1",BG110,0)</f>
        <v>0</v>
      </c>
      <c r="AB110" s="233">
        <f>IF(AO110="7",BF110,0)</f>
        <v>0</v>
      </c>
      <c r="AC110" s="233">
        <f>IF(AO110="7",BG110,0)</f>
        <v>0</v>
      </c>
      <c r="AD110" s="233">
        <f>IF(AO110="2",BF110,0)</f>
        <v>0</v>
      </c>
      <c r="AE110" s="233">
        <f>IF(AO110="2",BG110,0)</f>
        <v>0</v>
      </c>
      <c r="AF110" s="233">
        <f>IF(AO110="0",BH110,0)</f>
        <v>0</v>
      </c>
      <c r="AG110" s="230" t="s">
        <v>154</v>
      </c>
      <c r="AH110" s="233">
        <f>IF(AL110=0,J110,0)</f>
        <v>0</v>
      </c>
      <c r="AI110" s="233">
        <f>IF(AL110=15,J110,0)</f>
        <v>0</v>
      </c>
      <c r="AJ110" s="233">
        <f>IF(AL110=21,J110,0)</f>
        <v>0</v>
      </c>
      <c r="AL110" s="233">
        <v>21</v>
      </c>
      <c r="AM110" s="233">
        <f>G110*0.01186457</f>
        <v>0</v>
      </c>
      <c r="AN110" s="233">
        <f>G110*(1-0.01186457)</f>
        <v>0</v>
      </c>
      <c r="AO110" s="234" t="s">
        <v>157</v>
      </c>
      <c r="AT110" s="233">
        <f>AU110+AV110</f>
        <v>0</v>
      </c>
      <c r="AU110" s="233">
        <f>F110*AM110</f>
        <v>0</v>
      </c>
      <c r="AV110" s="233">
        <f>F110*AN110</f>
        <v>0</v>
      </c>
      <c r="AW110" s="234" t="s">
        <v>511</v>
      </c>
      <c r="AX110" s="234" t="s">
        <v>304</v>
      </c>
      <c r="AY110" s="230" t="s">
        <v>164</v>
      </c>
      <c r="BA110" s="233">
        <f>AU110+AV110</f>
        <v>0</v>
      </c>
      <c r="BB110" s="233">
        <f>G110/(100-BC110)*100</f>
        <v>0</v>
      </c>
      <c r="BC110" s="233">
        <v>0</v>
      </c>
      <c r="BD110" s="233">
        <f>L110</f>
        <v>0.126</v>
      </c>
      <c r="BF110" s="233">
        <f>F110*AM110</f>
        <v>0</v>
      </c>
      <c r="BG110" s="233">
        <f>F110*AN110</f>
        <v>0</v>
      </c>
      <c r="BH110" s="233">
        <f>F110*G110</f>
        <v>0</v>
      </c>
      <c r="BI110" s="233"/>
      <c r="BJ110" s="233">
        <v>42</v>
      </c>
      <c r="BU110" s="233" t="e">
        <f>#REF!</f>
        <v>#REF!</v>
      </c>
      <c r="BV110" s="225" t="s">
        <v>510</v>
      </c>
    </row>
    <row r="111" spans="1:74" ht="13.5" customHeight="1" x14ac:dyDescent="0.3">
      <c r="A111" s="241"/>
      <c r="B111" s="242" t="s">
        <v>165</v>
      </c>
      <c r="C111" s="530" t="s">
        <v>512</v>
      </c>
      <c r="D111" s="531"/>
      <c r="E111" s="531"/>
      <c r="F111" s="531"/>
      <c r="G111" s="531"/>
      <c r="H111" s="531"/>
      <c r="I111" s="531"/>
      <c r="J111" s="531"/>
      <c r="K111" s="531"/>
      <c r="L111" s="531"/>
      <c r="M111" s="532"/>
    </row>
    <row r="112" spans="1:74" ht="14.4" x14ac:dyDescent="0.3">
      <c r="A112" s="239" t="s">
        <v>298</v>
      </c>
      <c r="B112" s="223" t="s">
        <v>509</v>
      </c>
      <c r="C112" s="521" t="s">
        <v>510</v>
      </c>
      <c r="D112" s="519"/>
      <c r="E112" s="223" t="s">
        <v>365</v>
      </c>
      <c r="F112" s="233">
        <v>29</v>
      </c>
      <c r="G112" s="311">
        <v>0</v>
      </c>
      <c r="H112" s="233">
        <f>F112*AM112</f>
        <v>0</v>
      </c>
      <c r="I112" s="233">
        <f>F112*AN112</f>
        <v>0</v>
      </c>
      <c r="J112" s="233">
        <f>F112*G112</f>
        <v>0</v>
      </c>
      <c r="K112" s="233">
        <v>3.0000000000000001E-3</v>
      </c>
      <c r="L112" s="233">
        <f>F112*K112</f>
        <v>8.7000000000000008E-2</v>
      </c>
      <c r="M112" s="240" t="s">
        <v>472</v>
      </c>
      <c r="X112" s="233">
        <f>IF(AO112="5",BH112,0)</f>
        <v>0</v>
      </c>
      <c r="Z112" s="233">
        <f>IF(AO112="1",BF112,0)</f>
        <v>0</v>
      </c>
      <c r="AA112" s="233">
        <f>IF(AO112="1",BG112,0)</f>
        <v>0</v>
      </c>
      <c r="AB112" s="233">
        <f>IF(AO112="7",BF112,0)</f>
        <v>0</v>
      </c>
      <c r="AC112" s="233">
        <f>IF(AO112="7",BG112,0)</f>
        <v>0</v>
      </c>
      <c r="AD112" s="233">
        <f>IF(AO112="2",BF112,0)</f>
        <v>0</v>
      </c>
      <c r="AE112" s="233">
        <f>IF(AO112="2",BG112,0)</f>
        <v>0</v>
      </c>
      <c r="AF112" s="233">
        <f>IF(AO112="0",BH112,0)</f>
        <v>0</v>
      </c>
      <c r="AG112" s="230" t="s">
        <v>154</v>
      </c>
      <c r="AH112" s="233">
        <f>IF(AL112=0,J112,0)</f>
        <v>0</v>
      </c>
      <c r="AI112" s="233">
        <f>IF(AL112=15,J112,0)</f>
        <v>0</v>
      </c>
      <c r="AJ112" s="233">
        <f>IF(AL112=21,J112,0)</f>
        <v>0</v>
      </c>
      <c r="AL112" s="233">
        <v>21</v>
      </c>
      <c r="AM112" s="233">
        <f>G112*0.01186457</f>
        <v>0</v>
      </c>
      <c r="AN112" s="233">
        <f>G112*(1-0.01186457)</f>
        <v>0</v>
      </c>
      <c r="AO112" s="234" t="s">
        <v>157</v>
      </c>
      <c r="AT112" s="233">
        <f>AU112+AV112</f>
        <v>0</v>
      </c>
      <c r="AU112" s="233">
        <f>F112*AM112</f>
        <v>0</v>
      </c>
      <c r="AV112" s="233">
        <f>F112*AN112</f>
        <v>0</v>
      </c>
      <c r="AW112" s="234" t="s">
        <v>511</v>
      </c>
      <c r="AX112" s="234" t="s">
        <v>304</v>
      </c>
      <c r="AY112" s="230" t="s">
        <v>164</v>
      </c>
      <c r="BA112" s="233">
        <f>AU112+AV112</f>
        <v>0</v>
      </c>
      <c r="BB112" s="233">
        <f>G112/(100-BC112)*100</f>
        <v>0</v>
      </c>
      <c r="BC112" s="233">
        <v>0</v>
      </c>
      <c r="BD112" s="233">
        <f>L112</f>
        <v>8.7000000000000008E-2</v>
      </c>
      <c r="BF112" s="233">
        <f>F112*AM112</f>
        <v>0</v>
      </c>
      <c r="BG112" s="233">
        <f>F112*AN112</f>
        <v>0</v>
      </c>
      <c r="BH112" s="233">
        <f>F112*G112</f>
        <v>0</v>
      </c>
      <c r="BI112" s="233"/>
      <c r="BJ112" s="233">
        <v>42</v>
      </c>
      <c r="BU112" s="233" t="e">
        <f>#REF!</f>
        <v>#REF!</v>
      </c>
      <c r="BV112" s="225" t="s">
        <v>510</v>
      </c>
    </row>
    <row r="113" spans="1:74" ht="13.5" customHeight="1" x14ac:dyDescent="0.3">
      <c r="A113" s="241"/>
      <c r="B113" s="242" t="s">
        <v>165</v>
      </c>
      <c r="C113" s="530" t="s">
        <v>513</v>
      </c>
      <c r="D113" s="531"/>
      <c r="E113" s="531"/>
      <c r="F113" s="531"/>
      <c r="G113" s="531"/>
      <c r="H113" s="531"/>
      <c r="I113" s="531"/>
      <c r="J113" s="531"/>
      <c r="K113" s="531"/>
      <c r="L113" s="531"/>
      <c r="M113" s="532"/>
    </row>
    <row r="114" spans="1:74" ht="14.4" x14ac:dyDescent="0.3">
      <c r="A114" s="239" t="s">
        <v>154</v>
      </c>
      <c r="B114" s="224" t="s">
        <v>298</v>
      </c>
      <c r="C114" s="526" t="s">
        <v>299</v>
      </c>
      <c r="D114" s="527"/>
      <c r="E114" s="223" t="s">
        <v>114</v>
      </c>
      <c r="F114" s="223" t="s">
        <v>114</v>
      </c>
      <c r="G114" s="223" t="s">
        <v>114</v>
      </c>
      <c r="H114" s="235">
        <f>SUM(H115:H115)</f>
        <v>0</v>
      </c>
      <c r="I114" s="235">
        <f>SUM(I115:I115)</f>
        <v>0</v>
      </c>
      <c r="J114" s="235">
        <f>SUM(J115:J115)</f>
        <v>0</v>
      </c>
      <c r="K114" s="230" t="s">
        <v>154</v>
      </c>
      <c r="L114" s="235">
        <f>SUM(L115:L115)</f>
        <v>132.07028449999999</v>
      </c>
      <c r="M114" s="243" t="s">
        <v>154</v>
      </c>
      <c r="AG114" s="230" t="s">
        <v>154</v>
      </c>
      <c r="AQ114" s="235">
        <f>SUM(AH115:AH115)</f>
        <v>0</v>
      </c>
      <c r="AR114" s="235">
        <f>SUM(AI115:AI115)</f>
        <v>0</v>
      </c>
      <c r="AS114" s="235">
        <f>SUM(AJ115:AJ115)</f>
        <v>0</v>
      </c>
    </row>
    <row r="115" spans="1:74" ht="14.4" x14ac:dyDescent="0.3">
      <c r="A115" s="239" t="s">
        <v>327</v>
      </c>
      <c r="B115" s="223" t="s">
        <v>301</v>
      </c>
      <c r="C115" s="521" t="s">
        <v>302</v>
      </c>
      <c r="D115" s="519"/>
      <c r="E115" s="223" t="s">
        <v>196</v>
      </c>
      <c r="F115" s="233">
        <v>69.849999999999994</v>
      </c>
      <c r="G115" s="311">
        <v>0</v>
      </c>
      <c r="H115" s="233">
        <f>F115*AM115</f>
        <v>0</v>
      </c>
      <c r="I115" s="233">
        <f>F115*AN115</f>
        <v>0</v>
      </c>
      <c r="J115" s="233">
        <f>F115*G115</f>
        <v>0</v>
      </c>
      <c r="K115" s="233">
        <v>1.8907700000000001</v>
      </c>
      <c r="L115" s="233">
        <f>F115*K115</f>
        <v>132.07028449999999</v>
      </c>
      <c r="M115" s="240" t="s">
        <v>472</v>
      </c>
      <c r="X115" s="233">
        <f>IF(AO115="5",BH115,0)</f>
        <v>0</v>
      </c>
      <c r="Z115" s="233">
        <f>IF(AO115="1",BF115,0)</f>
        <v>0</v>
      </c>
      <c r="AA115" s="233">
        <f>IF(AO115="1",BG115,0)</f>
        <v>0</v>
      </c>
      <c r="AB115" s="233">
        <f>IF(AO115="7",BF115,0)</f>
        <v>0</v>
      </c>
      <c r="AC115" s="233">
        <f>IF(AO115="7",BG115,0)</f>
        <v>0</v>
      </c>
      <c r="AD115" s="233">
        <f>IF(AO115="2",BF115,0)</f>
        <v>0</v>
      </c>
      <c r="AE115" s="233">
        <f>IF(AO115="2",BG115,0)</f>
        <v>0</v>
      </c>
      <c r="AF115" s="233">
        <f>IF(AO115="0",BH115,0)</f>
        <v>0</v>
      </c>
      <c r="AG115" s="230" t="s">
        <v>154</v>
      </c>
      <c r="AH115" s="233">
        <f>IF(AL115=0,J115,0)</f>
        <v>0</v>
      </c>
      <c r="AI115" s="233">
        <f>IF(AL115=15,J115,0)</f>
        <v>0</v>
      </c>
      <c r="AJ115" s="233">
        <f>IF(AL115=21,J115,0)</f>
        <v>0</v>
      </c>
      <c r="AL115" s="233">
        <v>21</v>
      </c>
      <c r="AM115" s="233">
        <f>G115*0.492383016</f>
        <v>0</v>
      </c>
      <c r="AN115" s="233">
        <f>G115*(1-0.492383016)</f>
        <v>0</v>
      </c>
      <c r="AO115" s="234" t="s">
        <v>157</v>
      </c>
      <c r="AT115" s="233">
        <f>AU115+AV115</f>
        <v>0</v>
      </c>
      <c r="AU115" s="233">
        <f>F115*AM115</f>
        <v>0</v>
      </c>
      <c r="AV115" s="233">
        <f>F115*AN115</f>
        <v>0</v>
      </c>
      <c r="AW115" s="234" t="s">
        <v>303</v>
      </c>
      <c r="AX115" s="234" t="s">
        <v>304</v>
      </c>
      <c r="AY115" s="230" t="s">
        <v>164</v>
      </c>
      <c r="BA115" s="233">
        <f>AU115+AV115</f>
        <v>0</v>
      </c>
      <c r="BB115" s="233">
        <f>G115/(100-BC115)*100</f>
        <v>0</v>
      </c>
      <c r="BC115" s="233">
        <v>0</v>
      </c>
      <c r="BD115" s="233">
        <f>L115</f>
        <v>132.07028449999999</v>
      </c>
      <c r="BF115" s="233">
        <f>F115*AM115</f>
        <v>0</v>
      </c>
      <c r="BG115" s="233">
        <f>F115*AN115</f>
        <v>0</v>
      </c>
      <c r="BH115" s="233">
        <f>F115*G115</f>
        <v>0</v>
      </c>
      <c r="BI115" s="233"/>
      <c r="BJ115" s="233">
        <v>45</v>
      </c>
      <c r="BU115" s="233" t="e">
        <f>#REF!</f>
        <v>#REF!</v>
      </c>
      <c r="BV115" s="225" t="s">
        <v>302</v>
      </c>
    </row>
    <row r="116" spans="1:74" ht="54" customHeight="1" x14ac:dyDescent="0.3">
      <c r="A116" s="244"/>
      <c r="B116" s="245" t="s">
        <v>165</v>
      </c>
      <c r="C116" s="540" t="s">
        <v>1426</v>
      </c>
      <c r="D116" s="541"/>
      <c r="E116" s="541"/>
      <c r="F116" s="541"/>
      <c r="G116" s="541"/>
      <c r="H116" s="541"/>
      <c r="I116" s="541"/>
      <c r="J116" s="541"/>
      <c r="K116" s="541"/>
      <c r="L116" s="541"/>
      <c r="M116" s="542"/>
    </row>
    <row r="117" spans="1:74" ht="14.4" x14ac:dyDescent="0.3">
      <c r="A117" s="237" t="s">
        <v>154</v>
      </c>
      <c r="B117" s="260" t="s">
        <v>305</v>
      </c>
      <c r="C117" s="545" t="s">
        <v>306</v>
      </c>
      <c r="D117" s="546"/>
      <c r="E117" s="238" t="s">
        <v>114</v>
      </c>
      <c r="F117" s="238" t="s">
        <v>114</v>
      </c>
      <c r="G117" s="238" t="s">
        <v>114</v>
      </c>
      <c r="H117" s="261">
        <f>SUM(H118:H138)</f>
        <v>0</v>
      </c>
      <c r="I117" s="261">
        <f>SUM(I118:I138)</f>
        <v>0</v>
      </c>
      <c r="J117" s="261">
        <f>SUM(J118:J138)</f>
        <v>0</v>
      </c>
      <c r="K117" s="262" t="s">
        <v>154</v>
      </c>
      <c r="L117" s="261">
        <f>SUM(L118:L138)</f>
        <v>1480.3255313000002</v>
      </c>
      <c r="M117" s="263" t="s">
        <v>154</v>
      </c>
      <c r="AG117" s="230" t="s">
        <v>154</v>
      </c>
      <c r="AQ117" s="235">
        <f>SUM(AH118:AH138)</f>
        <v>0</v>
      </c>
      <c r="AR117" s="235">
        <f>SUM(AI118:AI138)</f>
        <v>0</v>
      </c>
      <c r="AS117" s="235">
        <f>SUM(AJ118:AJ138)</f>
        <v>0</v>
      </c>
    </row>
    <row r="118" spans="1:74" ht="14.4" x14ac:dyDescent="0.3">
      <c r="A118" s="239" t="s">
        <v>329</v>
      </c>
      <c r="B118" s="223" t="s">
        <v>308</v>
      </c>
      <c r="C118" s="521" t="s">
        <v>309</v>
      </c>
      <c r="D118" s="519"/>
      <c r="E118" s="223" t="s">
        <v>180</v>
      </c>
      <c r="F118" s="233">
        <v>484.88</v>
      </c>
      <c r="G118" s="311">
        <v>0</v>
      </c>
      <c r="H118" s="233">
        <f>F118*AM118</f>
        <v>0</v>
      </c>
      <c r="I118" s="233">
        <f>F118*AN118</f>
        <v>0</v>
      </c>
      <c r="J118" s="233">
        <f>F118*G118</f>
        <v>0</v>
      </c>
      <c r="K118" s="233">
        <v>0.4284</v>
      </c>
      <c r="L118" s="233">
        <f>F118*K118</f>
        <v>207.72259199999999</v>
      </c>
      <c r="M118" s="240" t="s">
        <v>472</v>
      </c>
      <c r="X118" s="233">
        <f>IF(AO118="5",BH118,0)</f>
        <v>0</v>
      </c>
      <c r="Z118" s="233">
        <f>IF(AO118="1",BF118,0)</f>
        <v>0</v>
      </c>
      <c r="AA118" s="233">
        <f>IF(AO118="1",BG118,0)</f>
        <v>0</v>
      </c>
      <c r="AB118" s="233">
        <f>IF(AO118="7",BF118,0)</f>
        <v>0</v>
      </c>
      <c r="AC118" s="233">
        <f>IF(AO118="7",BG118,0)</f>
        <v>0</v>
      </c>
      <c r="AD118" s="233">
        <f>IF(AO118="2",BF118,0)</f>
        <v>0</v>
      </c>
      <c r="AE118" s="233">
        <f>IF(AO118="2",BG118,0)</f>
        <v>0</v>
      </c>
      <c r="AF118" s="233">
        <f>IF(AO118="0",BH118,0)</f>
        <v>0</v>
      </c>
      <c r="AG118" s="230" t="s">
        <v>154</v>
      </c>
      <c r="AH118" s="233">
        <f>IF(AL118=0,J118,0)</f>
        <v>0</v>
      </c>
      <c r="AI118" s="233">
        <f>IF(AL118=15,J118,0)</f>
        <v>0</v>
      </c>
      <c r="AJ118" s="233">
        <f>IF(AL118=21,J118,0)</f>
        <v>0</v>
      </c>
      <c r="AL118" s="233">
        <v>21</v>
      </c>
      <c r="AM118" s="233">
        <f>G118*0.84797066</f>
        <v>0</v>
      </c>
      <c r="AN118" s="233">
        <f>G118*(1-0.84797066)</f>
        <v>0</v>
      </c>
      <c r="AO118" s="234" t="s">
        <v>157</v>
      </c>
      <c r="AT118" s="233">
        <f>AU118+AV118</f>
        <v>0</v>
      </c>
      <c r="AU118" s="233">
        <f>F118*AM118</f>
        <v>0</v>
      </c>
      <c r="AV118" s="233">
        <f>F118*AN118</f>
        <v>0</v>
      </c>
      <c r="AW118" s="234" t="s">
        <v>310</v>
      </c>
      <c r="AX118" s="234" t="s">
        <v>311</v>
      </c>
      <c r="AY118" s="230" t="s">
        <v>164</v>
      </c>
      <c r="BA118" s="233">
        <f>AU118+AV118</f>
        <v>0</v>
      </c>
      <c r="BB118" s="233">
        <f>G118/(100-BC118)*100</f>
        <v>0</v>
      </c>
      <c r="BC118" s="233">
        <v>0</v>
      </c>
      <c r="BD118" s="233">
        <f>L118</f>
        <v>207.72259199999999</v>
      </c>
      <c r="BF118" s="233">
        <f>F118*AM118</f>
        <v>0</v>
      </c>
      <c r="BG118" s="233">
        <f>F118*AN118</f>
        <v>0</v>
      </c>
      <c r="BH118" s="233">
        <f>F118*G118</f>
        <v>0</v>
      </c>
      <c r="BI118" s="233"/>
      <c r="BJ118" s="233">
        <v>56</v>
      </c>
      <c r="BU118" s="233" t="e">
        <f>#REF!</f>
        <v>#REF!</v>
      </c>
      <c r="BV118" s="225" t="s">
        <v>309</v>
      </c>
    </row>
    <row r="119" spans="1:74" ht="108" customHeight="1" x14ac:dyDescent="0.3">
      <c r="A119" s="241"/>
      <c r="B119" s="242" t="s">
        <v>165</v>
      </c>
      <c r="C119" s="530" t="s">
        <v>1427</v>
      </c>
      <c r="D119" s="531"/>
      <c r="E119" s="531"/>
      <c r="F119" s="531"/>
      <c r="G119" s="531"/>
      <c r="H119" s="531"/>
      <c r="I119" s="531"/>
      <c r="J119" s="531"/>
      <c r="K119" s="531"/>
      <c r="L119" s="531"/>
      <c r="M119" s="532"/>
    </row>
    <row r="120" spans="1:74" ht="14.4" x14ac:dyDescent="0.3">
      <c r="A120" s="239" t="s">
        <v>332</v>
      </c>
      <c r="B120" s="223" t="s">
        <v>313</v>
      </c>
      <c r="C120" s="521" t="s">
        <v>314</v>
      </c>
      <c r="D120" s="519"/>
      <c r="E120" s="223" t="s">
        <v>180</v>
      </c>
      <c r="F120" s="233">
        <v>552.20000000000005</v>
      </c>
      <c r="G120" s="311">
        <v>0</v>
      </c>
      <c r="H120" s="233">
        <f>F120*AM120</f>
        <v>0</v>
      </c>
      <c r="I120" s="233">
        <f>F120*AN120</f>
        <v>0</v>
      </c>
      <c r="J120" s="233">
        <f>F120*G120</f>
        <v>0</v>
      </c>
      <c r="K120" s="233">
        <v>0.60104000000000002</v>
      </c>
      <c r="L120" s="233">
        <f>F120*K120</f>
        <v>331.89428800000002</v>
      </c>
      <c r="M120" s="240" t="s">
        <v>472</v>
      </c>
      <c r="X120" s="233">
        <f>IF(AO120="5",BH120,0)</f>
        <v>0</v>
      </c>
      <c r="Z120" s="233">
        <f>IF(AO120="1",BF120,0)</f>
        <v>0</v>
      </c>
      <c r="AA120" s="233">
        <f>IF(AO120="1",BG120,0)</f>
        <v>0</v>
      </c>
      <c r="AB120" s="233">
        <f>IF(AO120="7",BF120,0)</f>
        <v>0</v>
      </c>
      <c r="AC120" s="233">
        <f>IF(AO120="7",BG120,0)</f>
        <v>0</v>
      </c>
      <c r="AD120" s="233">
        <f>IF(AO120="2",BF120,0)</f>
        <v>0</v>
      </c>
      <c r="AE120" s="233">
        <f>IF(AO120="2",BG120,0)</f>
        <v>0</v>
      </c>
      <c r="AF120" s="233">
        <f>IF(AO120="0",BH120,0)</f>
        <v>0</v>
      </c>
      <c r="AG120" s="230" t="s">
        <v>154</v>
      </c>
      <c r="AH120" s="233">
        <f>IF(AL120=0,J120,0)</f>
        <v>0</v>
      </c>
      <c r="AI120" s="233">
        <f>IF(AL120=15,J120,0)</f>
        <v>0</v>
      </c>
      <c r="AJ120" s="233">
        <f>IF(AL120=21,J120,0)</f>
        <v>0</v>
      </c>
      <c r="AL120" s="233">
        <v>21</v>
      </c>
      <c r="AM120" s="233">
        <f>G120*0.832421575</f>
        <v>0</v>
      </c>
      <c r="AN120" s="233">
        <f>G120*(1-0.832421575)</f>
        <v>0</v>
      </c>
      <c r="AO120" s="234" t="s">
        <v>157</v>
      </c>
      <c r="AT120" s="233">
        <f>AU120+AV120</f>
        <v>0</v>
      </c>
      <c r="AU120" s="233">
        <f>F120*AM120</f>
        <v>0</v>
      </c>
      <c r="AV120" s="233">
        <f>F120*AN120</f>
        <v>0</v>
      </c>
      <c r="AW120" s="234" t="s">
        <v>310</v>
      </c>
      <c r="AX120" s="234" t="s">
        <v>311</v>
      </c>
      <c r="AY120" s="230" t="s">
        <v>164</v>
      </c>
      <c r="BA120" s="233">
        <f>AU120+AV120</f>
        <v>0</v>
      </c>
      <c r="BB120" s="233">
        <f>G120/(100-BC120)*100</f>
        <v>0</v>
      </c>
      <c r="BC120" s="233">
        <v>0</v>
      </c>
      <c r="BD120" s="233">
        <f>L120</f>
        <v>331.89428800000002</v>
      </c>
      <c r="BF120" s="233">
        <f>F120*AM120</f>
        <v>0</v>
      </c>
      <c r="BG120" s="233">
        <f>F120*AN120</f>
        <v>0</v>
      </c>
      <c r="BH120" s="233">
        <f>F120*G120</f>
        <v>0</v>
      </c>
      <c r="BI120" s="233"/>
      <c r="BJ120" s="233">
        <v>56</v>
      </c>
      <c r="BU120" s="233" t="e">
        <f>#REF!</f>
        <v>#REF!</v>
      </c>
      <c r="BV120" s="225" t="s">
        <v>314</v>
      </c>
    </row>
    <row r="121" spans="1:74" ht="108" customHeight="1" x14ac:dyDescent="0.3">
      <c r="A121" s="241"/>
      <c r="B121" s="242" t="s">
        <v>165</v>
      </c>
      <c r="C121" s="530" t="s">
        <v>1428</v>
      </c>
      <c r="D121" s="531"/>
      <c r="E121" s="531"/>
      <c r="F121" s="531"/>
      <c r="G121" s="531"/>
      <c r="H121" s="531"/>
      <c r="I121" s="531"/>
      <c r="J121" s="531"/>
      <c r="K121" s="531"/>
      <c r="L121" s="531"/>
      <c r="M121" s="532"/>
    </row>
    <row r="122" spans="1:74" ht="14.4" x14ac:dyDescent="0.3">
      <c r="A122" s="239" t="s">
        <v>337</v>
      </c>
      <c r="B122" s="223" t="s">
        <v>316</v>
      </c>
      <c r="C122" s="521" t="s">
        <v>317</v>
      </c>
      <c r="D122" s="519"/>
      <c r="E122" s="223" t="s">
        <v>180</v>
      </c>
      <c r="F122" s="233">
        <v>552.20000000000005</v>
      </c>
      <c r="G122" s="311">
        <v>0</v>
      </c>
      <c r="H122" s="233">
        <f>F122*AM122</f>
        <v>0</v>
      </c>
      <c r="I122" s="233">
        <f>F122*AN122</f>
        <v>0</v>
      </c>
      <c r="J122" s="233">
        <f>F122*G122</f>
        <v>0</v>
      </c>
      <c r="K122" s="233">
        <v>0.48574000000000001</v>
      </c>
      <c r="L122" s="233">
        <f>F122*K122</f>
        <v>268.22562800000003</v>
      </c>
      <c r="M122" s="240" t="s">
        <v>472</v>
      </c>
      <c r="X122" s="233">
        <f>IF(AO122="5",BH122,0)</f>
        <v>0</v>
      </c>
      <c r="Z122" s="233">
        <f>IF(AO122="1",BF122,0)</f>
        <v>0</v>
      </c>
      <c r="AA122" s="233">
        <f>IF(AO122="1",BG122,0)</f>
        <v>0</v>
      </c>
      <c r="AB122" s="233">
        <f>IF(AO122="7",BF122,0)</f>
        <v>0</v>
      </c>
      <c r="AC122" s="233">
        <f>IF(AO122="7",BG122,0)</f>
        <v>0</v>
      </c>
      <c r="AD122" s="233">
        <f>IF(AO122="2",BF122,0)</f>
        <v>0</v>
      </c>
      <c r="AE122" s="233">
        <f>IF(AO122="2",BG122,0)</f>
        <v>0</v>
      </c>
      <c r="AF122" s="233">
        <f>IF(AO122="0",BH122,0)</f>
        <v>0</v>
      </c>
      <c r="AG122" s="230" t="s">
        <v>154</v>
      </c>
      <c r="AH122" s="233">
        <f>IF(AL122=0,J122,0)</f>
        <v>0</v>
      </c>
      <c r="AI122" s="233">
        <f>IF(AL122=15,J122,0)</f>
        <v>0</v>
      </c>
      <c r="AJ122" s="233">
        <f>IF(AL122=21,J122,0)</f>
        <v>0</v>
      </c>
      <c r="AL122" s="233">
        <v>21</v>
      </c>
      <c r="AM122" s="233">
        <f>G122*0.81287558</f>
        <v>0</v>
      </c>
      <c r="AN122" s="233">
        <f>G122*(1-0.81287558)</f>
        <v>0</v>
      </c>
      <c r="AO122" s="234" t="s">
        <v>157</v>
      </c>
      <c r="AT122" s="233">
        <f>AU122+AV122</f>
        <v>0</v>
      </c>
      <c r="AU122" s="233">
        <f>F122*AM122</f>
        <v>0</v>
      </c>
      <c r="AV122" s="233">
        <f>F122*AN122</f>
        <v>0</v>
      </c>
      <c r="AW122" s="234" t="s">
        <v>310</v>
      </c>
      <c r="AX122" s="234" t="s">
        <v>311</v>
      </c>
      <c r="AY122" s="230" t="s">
        <v>164</v>
      </c>
      <c r="BA122" s="233">
        <f>AU122+AV122</f>
        <v>0</v>
      </c>
      <c r="BB122" s="233">
        <f>G122/(100-BC122)*100</f>
        <v>0</v>
      </c>
      <c r="BC122" s="233">
        <v>0</v>
      </c>
      <c r="BD122" s="233">
        <f>L122</f>
        <v>268.22562800000003</v>
      </c>
      <c r="BF122" s="233">
        <f>F122*AM122</f>
        <v>0</v>
      </c>
      <c r="BG122" s="233">
        <f>F122*AN122</f>
        <v>0</v>
      </c>
      <c r="BH122" s="233">
        <f>F122*G122</f>
        <v>0</v>
      </c>
      <c r="BI122" s="233"/>
      <c r="BJ122" s="233">
        <v>56</v>
      </c>
      <c r="BU122" s="233" t="e">
        <f>#REF!</f>
        <v>#REF!</v>
      </c>
      <c r="BV122" s="225" t="s">
        <v>317</v>
      </c>
    </row>
    <row r="123" spans="1:74" ht="108" customHeight="1" x14ac:dyDescent="0.3">
      <c r="A123" s="241"/>
      <c r="B123" s="242" t="s">
        <v>165</v>
      </c>
      <c r="C123" s="530" t="s">
        <v>1429</v>
      </c>
      <c r="D123" s="531"/>
      <c r="E123" s="531"/>
      <c r="F123" s="531"/>
      <c r="G123" s="531"/>
      <c r="H123" s="531"/>
      <c r="I123" s="531"/>
      <c r="J123" s="531"/>
      <c r="K123" s="531"/>
      <c r="L123" s="531"/>
      <c r="M123" s="532"/>
    </row>
    <row r="124" spans="1:74" ht="14.4" x14ac:dyDescent="0.3">
      <c r="A124" s="239" t="s">
        <v>341</v>
      </c>
      <c r="B124" s="223" t="s">
        <v>316</v>
      </c>
      <c r="C124" s="521" t="s">
        <v>317</v>
      </c>
      <c r="D124" s="519"/>
      <c r="E124" s="223" t="s">
        <v>180</v>
      </c>
      <c r="F124" s="233">
        <v>552.20000000000005</v>
      </c>
      <c r="G124" s="311">
        <v>0</v>
      </c>
      <c r="H124" s="233">
        <f>F124*AM124</f>
        <v>0</v>
      </c>
      <c r="I124" s="233">
        <f>F124*AN124</f>
        <v>0</v>
      </c>
      <c r="J124" s="233">
        <f>F124*G124</f>
        <v>0</v>
      </c>
      <c r="K124" s="233">
        <v>0.48574000000000001</v>
      </c>
      <c r="L124" s="233">
        <f>F124*K124</f>
        <v>268.22562800000003</v>
      </c>
      <c r="M124" s="240" t="s">
        <v>472</v>
      </c>
      <c r="X124" s="233">
        <f>IF(AO124="5",BH124,0)</f>
        <v>0</v>
      </c>
      <c r="Z124" s="233">
        <f>IF(AO124="1",BF124,0)</f>
        <v>0</v>
      </c>
      <c r="AA124" s="233">
        <f>IF(AO124="1",BG124,0)</f>
        <v>0</v>
      </c>
      <c r="AB124" s="233">
        <f>IF(AO124="7",BF124,0)</f>
        <v>0</v>
      </c>
      <c r="AC124" s="233">
        <f>IF(AO124="7",BG124,0)</f>
        <v>0</v>
      </c>
      <c r="AD124" s="233">
        <f>IF(AO124="2",BF124,0)</f>
        <v>0</v>
      </c>
      <c r="AE124" s="233">
        <f>IF(AO124="2",BG124,0)</f>
        <v>0</v>
      </c>
      <c r="AF124" s="233">
        <f>IF(AO124="0",BH124,0)</f>
        <v>0</v>
      </c>
      <c r="AG124" s="230" t="s">
        <v>154</v>
      </c>
      <c r="AH124" s="233">
        <f>IF(AL124=0,J124,0)</f>
        <v>0</v>
      </c>
      <c r="AI124" s="233">
        <f>IF(AL124=15,J124,0)</f>
        <v>0</v>
      </c>
      <c r="AJ124" s="233">
        <f>IF(AL124=21,J124,0)</f>
        <v>0</v>
      </c>
      <c r="AL124" s="233">
        <v>21</v>
      </c>
      <c r="AM124" s="233">
        <f>G124*0.81287558</f>
        <v>0</v>
      </c>
      <c r="AN124" s="233">
        <f>G124*(1-0.81287558)</f>
        <v>0</v>
      </c>
      <c r="AO124" s="234" t="s">
        <v>157</v>
      </c>
      <c r="AT124" s="233">
        <f>AU124+AV124</f>
        <v>0</v>
      </c>
      <c r="AU124" s="233">
        <f>F124*AM124</f>
        <v>0</v>
      </c>
      <c r="AV124" s="233">
        <f>F124*AN124</f>
        <v>0</v>
      </c>
      <c r="AW124" s="234" t="s">
        <v>310</v>
      </c>
      <c r="AX124" s="234" t="s">
        <v>311</v>
      </c>
      <c r="AY124" s="230" t="s">
        <v>164</v>
      </c>
      <c r="BA124" s="233">
        <f>AU124+AV124</f>
        <v>0</v>
      </c>
      <c r="BB124" s="233">
        <f>G124/(100-BC124)*100</f>
        <v>0</v>
      </c>
      <c r="BC124" s="233">
        <v>0</v>
      </c>
      <c r="BD124" s="233">
        <f>L124</f>
        <v>268.22562800000003</v>
      </c>
      <c r="BF124" s="233">
        <f>F124*AM124</f>
        <v>0</v>
      </c>
      <c r="BG124" s="233">
        <f>F124*AN124</f>
        <v>0</v>
      </c>
      <c r="BH124" s="233">
        <f>F124*G124</f>
        <v>0</v>
      </c>
      <c r="BI124" s="233"/>
      <c r="BJ124" s="233">
        <v>56</v>
      </c>
      <c r="BU124" s="233" t="e">
        <f>#REF!</f>
        <v>#REF!</v>
      </c>
      <c r="BV124" s="225" t="s">
        <v>317</v>
      </c>
    </row>
    <row r="125" spans="1:74" ht="108" customHeight="1" x14ac:dyDescent="0.3">
      <c r="A125" s="241"/>
      <c r="B125" s="242" t="s">
        <v>165</v>
      </c>
      <c r="C125" s="530" t="s">
        <v>1429</v>
      </c>
      <c r="D125" s="531"/>
      <c r="E125" s="531"/>
      <c r="F125" s="531"/>
      <c r="G125" s="531"/>
      <c r="H125" s="531"/>
      <c r="I125" s="531"/>
      <c r="J125" s="531"/>
      <c r="K125" s="531"/>
      <c r="L125" s="531"/>
      <c r="M125" s="532"/>
    </row>
    <row r="126" spans="1:74" ht="14.4" x14ac:dyDescent="0.3">
      <c r="A126" s="239" t="s">
        <v>346</v>
      </c>
      <c r="B126" s="223" t="s">
        <v>320</v>
      </c>
      <c r="C126" s="521" t="s">
        <v>321</v>
      </c>
      <c r="D126" s="519"/>
      <c r="E126" s="223" t="s">
        <v>180</v>
      </c>
      <c r="F126" s="233">
        <v>549.61</v>
      </c>
      <c r="G126" s="311">
        <v>0</v>
      </c>
      <c r="H126" s="233">
        <f>F126*AM126</f>
        <v>0</v>
      </c>
      <c r="I126" s="233">
        <f>F126*AN126</f>
        <v>0</v>
      </c>
      <c r="J126" s="233">
        <f>F126*G126</f>
        <v>0</v>
      </c>
      <c r="K126" s="233">
        <v>0.4536</v>
      </c>
      <c r="L126" s="233">
        <f>F126*K126</f>
        <v>249.30309600000001</v>
      </c>
      <c r="M126" s="240" t="s">
        <v>472</v>
      </c>
      <c r="X126" s="233">
        <f>IF(AO126="5",BH126,0)</f>
        <v>0</v>
      </c>
      <c r="Z126" s="233">
        <f>IF(AO126="1",BF126,0)</f>
        <v>0</v>
      </c>
      <c r="AA126" s="233">
        <f>IF(AO126="1",BG126,0)</f>
        <v>0</v>
      </c>
      <c r="AB126" s="233">
        <f>IF(AO126="7",BF126,0)</f>
        <v>0</v>
      </c>
      <c r="AC126" s="233">
        <f>IF(AO126="7",BG126,0)</f>
        <v>0</v>
      </c>
      <c r="AD126" s="233">
        <f>IF(AO126="2",BF126,0)</f>
        <v>0</v>
      </c>
      <c r="AE126" s="233">
        <f>IF(AO126="2",BG126,0)</f>
        <v>0</v>
      </c>
      <c r="AF126" s="233">
        <f>IF(AO126="0",BH126,0)</f>
        <v>0</v>
      </c>
      <c r="AG126" s="230" t="s">
        <v>154</v>
      </c>
      <c r="AH126" s="233">
        <f>IF(AL126=0,J126,0)</f>
        <v>0</v>
      </c>
      <c r="AI126" s="233">
        <f>IF(AL126=15,J126,0)</f>
        <v>0</v>
      </c>
      <c r="AJ126" s="233">
        <f>IF(AL126=21,J126,0)</f>
        <v>0</v>
      </c>
      <c r="AL126" s="233">
        <v>21</v>
      </c>
      <c r="AM126" s="233">
        <f>G126*0.842955665</f>
        <v>0</v>
      </c>
      <c r="AN126" s="233">
        <f>G126*(1-0.842955665)</f>
        <v>0</v>
      </c>
      <c r="AO126" s="234" t="s">
        <v>157</v>
      </c>
      <c r="AT126" s="233">
        <f>AU126+AV126</f>
        <v>0</v>
      </c>
      <c r="AU126" s="233">
        <f>F126*AM126</f>
        <v>0</v>
      </c>
      <c r="AV126" s="233">
        <f>F126*AN126</f>
        <v>0</v>
      </c>
      <c r="AW126" s="234" t="s">
        <v>310</v>
      </c>
      <c r="AX126" s="234" t="s">
        <v>311</v>
      </c>
      <c r="AY126" s="230" t="s">
        <v>164</v>
      </c>
      <c r="BA126" s="233">
        <f>AU126+AV126</f>
        <v>0</v>
      </c>
      <c r="BB126" s="233">
        <f>G126/(100-BC126)*100</f>
        <v>0</v>
      </c>
      <c r="BC126" s="233">
        <v>0</v>
      </c>
      <c r="BD126" s="233">
        <f>L126</f>
        <v>249.30309600000001</v>
      </c>
      <c r="BF126" s="233">
        <f>F126*AM126</f>
        <v>0</v>
      </c>
      <c r="BG126" s="233">
        <f>F126*AN126</f>
        <v>0</v>
      </c>
      <c r="BH126" s="233">
        <f>F126*G126</f>
        <v>0</v>
      </c>
      <c r="BI126" s="233"/>
      <c r="BJ126" s="233">
        <v>56</v>
      </c>
      <c r="BU126" s="233" t="e">
        <f>#REF!</f>
        <v>#REF!</v>
      </c>
      <c r="BV126" s="225" t="s">
        <v>321</v>
      </c>
    </row>
    <row r="127" spans="1:74" ht="108" customHeight="1" x14ac:dyDescent="0.3">
      <c r="A127" s="241"/>
      <c r="B127" s="242" t="s">
        <v>165</v>
      </c>
      <c r="C127" s="530" t="s">
        <v>1430</v>
      </c>
      <c r="D127" s="531"/>
      <c r="E127" s="531"/>
      <c r="F127" s="531"/>
      <c r="G127" s="531"/>
      <c r="H127" s="531"/>
      <c r="I127" s="531"/>
      <c r="J127" s="531"/>
      <c r="K127" s="531"/>
      <c r="L127" s="531"/>
      <c r="M127" s="532"/>
    </row>
    <row r="128" spans="1:74" ht="14.4" x14ac:dyDescent="0.3">
      <c r="A128" s="239" t="s">
        <v>352</v>
      </c>
      <c r="B128" s="223" t="s">
        <v>323</v>
      </c>
      <c r="C128" s="521" t="s">
        <v>324</v>
      </c>
      <c r="D128" s="519"/>
      <c r="E128" s="223" t="s">
        <v>180</v>
      </c>
      <c r="F128" s="233">
        <v>549.61</v>
      </c>
      <c r="G128" s="311">
        <v>0</v>
      </c>
      <c r="H128" s="233">
        <f>F128*AM128</f>
        <v>0</v>
      </c>
      <c r="I128" s="233">
        <f>F128*AN128</f>
        <v>0</v>
      </c>
      <c r="J128" s="233">
        <f>F128*G128</f>
        <v>0</v>
      </c>
      <c r="K128" s="233">
        <v>0.21099999999999999</v>
      </c>
      <c r="L128" s="233">
        <f>F128*K128</f>
        <v>115.96771</v>
      </c>
      <c r="M128" s="240" t="s">
        <v>472</v>
      </c>
      <c r="X128" s="233">
        <f>IF(AO128="5",BH128,0)</f>
        <v>0</v>
      </c>
      <c r="Z128" s="233">
        <f>IF(AO128="1",BF128,0)</f>
        <v>0</v>
      </c>
      <c r="AA128" s="233">
        <f>IF(AO128="1",BG128,0)</f>
        <v>0</v>
      </c>
      <c r="AB128" s="233">
        <f>IF(AO128="7",BF128,0)</f>
        <v>0</v>
      </c>
      <c r="AC128" s="233">
        <f>IF(AO128="7",BG128,0)</f>
        <v>0</v>
      </c>
      <c r="AD128" s="233">
        <f>IF(AO128="2",BF128,0)</f>
        <v>0</v>
      </c>
      <c r="AE128" s="233">
        <f>IF(AO128="2",BG128,0)</f>
        <v>0</v>
      </c>
      <c r="AF128" s="233">
        <f>IF(AO128="0",BH128,0)</f>
        <v>0</v>
      </c>
      <c r="AG128" s="230" t="s">
        <v>154</v>
      </c>
      <c r="AH128" s="233">
        <f>IF(AL128=0,J128,0)</f>
        <v>0</v>
      </c>
      <c r="AI128" s="233">
        <f>IF(AL128=15,J128,0)</f>
        <v>0</v>
      </c>
      <c r="AJ128" s="233">
        <f>IF(AL128=21,J128,0)</f>
        <v>0</v>
      </c>
      <c r="AL128" s="233">
        <v>21</v>
      </c>
      <c r="AM128" s="233">
        <f>G128*0.593949483</f>
        <v>0</v>
      </c>
      <c r="AN128" s="233">
        <f>G128*(1-0.593949483)</f>
        <v>0</v>
      </c>
      <c r="AO128" s="234" t="s">
        <v>157</v>
      </c>
      <c r="AT128" s="233">
        <f>AU128+AV128</f>
        <v>0</v>
      </c>
      <c r="AU128" s="233">
        <f>F128*AM128</f>
        <v>0</v>
      </c>
      <c r="AV128" s="233">
        <f>F128*AN128</f>
        <v>0</v>
      </c>
      <c r="AW128" s="234" t="s">
        <v>310</v>
      </c>
      <c r="AX128" s="234" t="s">
        <v>311</v>
      </c>
      <c r="AY128" s="230" t="s">
        <v>164</v>
      </c>
      <c r="BA128" s="233">
        <f>AU128+AV128</f>
        <v>0</v>
      </c>
      <c r="BB128" s="233">
        <f>G128/(100-BC128)*100</f>
        <v>0</v>
      </c>
      <c r="BC128" s="233">
        <v>0</v>
      </c>
      <c r="BD128" s="233">
        <f>L128</f>
        <v>115.96771</v>
      </c>
      <c r="BF128" s="233">
        <f>F128*AM128</f>
        <v>0</v>
      </c>
      <c r="BG128" s="233">
        <f>F128*AN128</f>
        <v>0</v>
      </c>
      <c r="BH128" s="233">
        <f>F128*G128</f>
        <v>0</v>
      </c>
      <c r="BI128" s="233"/>
      <c r="BJ128" s="233">
        <v>56</v>
      </c>
      <c r="BU128" s="233" t="e">
        <f>#REF!</f>
        <v>#REF!</v>
      </c>
      <c r="BV128" s="225" t="s">
        <v>324</v>
      </c>
    </row>
    <row r="129" spans="1:74" ht="108" customHeight="1" x14ac:dyDescent="0.3">
      <c r="A129" s="241"/>
      <c r="B129" s="242" t="s">
        <v>165</v>
      </c>
      <c r="C129" s="530" t="s">
        <v>1431</v>
      </c>
      <c r="D129" s="531"/>
      <c r="E129" s="531"/>
      <c r="F129" s="531"/>
      <c r="G129" s="531"/>
      <c r="H129" s="531"/>
      <c r="I129" s="531"/>
      <c r="J129" s="531"/>
      <c r="K129" s="531"/>
      <c r="L129" s="531"/>
      <c r="M129" s="532"/>
    </row>
    <row r="130" spans="1:74" ht="14.4" x14ac:dyDescent="0.3">
      <c r="A130" s="239" t="s">
        <v>357</v>
      </c>
      <c r="B130" s="223" t="s">
        <v>325</v>
      </c>
      <c r="C130" s="521" t="s">
        <v>326</v>
      </c>
      <c r="D130" s="519"/>
      <c r="E130" s="223" t="s">
        <v>180</v>
      </c>
      <c r="F130" s="233">
        <v>24.89</v>
      </c>
      <c r="G130" s="311">
        <v>0</v>
      </c>
      <c r="H130" s="233">
        <f>F130*AM130</f>
        <v>0</v>
      </c>
      <c r="I130" s="233">
        <f>F130*AN130</f>
        <v>0</v>
      </c>
      <c r="J130" s="233">
        <f>F130*G130</f>
        <v>0</v>
      </c>
      <c r="K130" s="233">
        <v>0.55125000000000002</v>
      </c>
      <c r="L130" s="233">
        <f>F130*K130</f>
        <v>13.720612500000001</v>
      </c>
      <c r="M130" s="240" t="s">
        <v>472</v>
      </c>
      <c r="X130" s="233">
        <f>IF(AO130="5",BH130,0)</f>
        <v>0</v>
      </c>
      <c r="Z130" s="233">
        <f>IF(AO130="1",BF130,0)</f>
        <v>0</v>
      </c>
      <c r="AA130" s="233">
        <f>IF(AO130="1",BG130,0)</f>
        <v>0</v>
      </c>
      <c r="AB130" s="233">
        <f>IF(AO130="7",BF130,0)</f>
        <v>0</v>
      </c>
      <c r="AC130" s="233">
        <f>IF(AO130="7",BG130,0)</f>
        <v>0</v>
      </c>
      <c r="AD130" s="233">
        <f>IF(AO130="2",BF130,0)</f>
        <v>0</v>
      </c>
      <c r="AE130" s="233">
        <f>IF(AO130="2",BG130,0)</f>
        <v>0</v>
      </c>
      <c r="AF130" s="233">
        <f>IF(AO130="0",BH130,0)</f>
        <v>0</v>
      </c>
      <c r="AG130" s="230" t="s">
        <v>154</v>
      </c>
      <c r="AH130" s="233">
        <f>IF(AL130=0,J130,0)</f>
        <v>0</v>
      </c>
      <c r="AI130" s="233">
        <f>IF(AL130=15,J130,0)</f>
        <v>0</v>
      </c>
      <c r="AJ130" s="233">
        <f>IF(AL130=21,J130,0)</f>
        <v>0</v>
      </c>
      <c r="AL130" s="233">
        <v>21</v>
      </c>
      <c r="AM130" s="233">
        <f>G130*0.875292096</f>
        <v>0</v>
      </c>
      <c r="AN130" s="233">
        <f>G130*(1-0.875292096)</f>
        <v>0</v>
      </c>
      <c r="AO130" s="234" t="s">
        <v>157</v>
      </c>
      <c r="AT130" s="233">
        <f>AU130+AV130</f>
        <v>0</v>
      </c>
      <c r="AU130" s="233">
        <f>F130*AM130</f>
        <v>0</v>
      </c>
      <c r="AV130" s="233">
        <f>F130*AN130</f>
        <v>0</v>
      </c>
      <c r="AW130" s="234" t="s">
        <v>310</v>
      </c>
      <c r="AX130" s="234" t="s">
        <v>311</v>
      </c>
      <c r="AY130" s="230" t="s">
        <v>164</v>
      </c>
      <c r="BA130" s="233">
        <f>AU130+AV130</f>
        <v>0</v>
      </c>
      <c r="BB130" s="233">
        <f>G130/(100-BC130)*100</f>
        <v>0</v>
      </c>
      <c r="BC130" s="233">
        <v>0</v>
      </c>
      <c r="BD130" s="233">
        <f>L130</f>
        <v>13.720612500000001</v>
      </c>
      <c r="BF130" s="233">
        <f>F130*AM130</f>
        <v>0</v>
      </c>
      <c r="BG130" s="233">
        <f>F130*AN130</f>
        <v>0</v>
      </c>
      <c r="BH130" s="233">
        <f>F130*G130</f>
        <v>0</v>
      </c>
      <c r="BI130" s="233"/>
      <c r="BJ130" s="233">
        <v>56</v>
      </c>
      <c r="BU130" s="233" t="e">
        <f>#REF!</f>
        <v>#REF!</v>
      </c>
      <c r="BV130" s="225" t="s">
        <v>326</v>
      </c>
    </row>
    <row r="131" spans="1:74" ht="40.5" customHeight="1" x14ac:dyDescent="0.3">
      <c r="A131" s="244"/>
      <c r="B131" s="245" t="s">
        <v>165</v>
      </c>
      <c r="C131" s="540" t="s">
        <v>1432</v>
      </c>
      <c r="D131" s="541"/>
      <c r="E131" s="541"/>
      <c r="F131" s="541"/>
      <c r="G131" s="541"/>
      <c r="H131" s="541"/>
      <c r="I131" s="541"/>
      <c r="J131" s="541"/>
      <c r="K131" s="541"/>
      <c r="L131" s="541"/>
      <c r="M131" s="542"/>
    </row>
    <row r="132" spans="1:74" ht="14.4" x14ac:dyDescent="0.3">
      <c r="A132" s="237" t="s">
        <v>362</v>
      </c>
      <c r="B132" s="238" t="s">
        <v>316</v>
      </c>
      <c r="C132" s="543" t="s">
        <v>328</v>
      </c>
      <c r="D132" s="544"/>
      <c r="E132" s="238" t="s">
        <v>180</v>
      </c>
      <c r="F132" s="258">
        <v>24.89</v>
      </c>
      <c r="G132" s="311">
        <v>0</v>
      </c>
      <c r="H132" s="258">
        <f>F132*AM132</f>
        <v>0</v>
      </c>
      <c r="I132" s="258">
        <f>F132*AN132</f>
        <v>0</v>
      </c>
      <c r="J132" s="258">
        <f>F132*G132</f>
        <v>0</v>
      </c>
      <c r="K132" s="258">
        <v>0.48574000000000001</v>
      </c>
      <c r="L132" s="258">
        <f>F132*K132</f>
        <v>12.0900686</v>
      </c>
      <c r="M132" s="259" t="s">
        <v>472</v>
      </c>
      <c r="X132" s="233">
        <f>IF(AO132="5",BH132,0)</f>
        <v>0</v>
      </c>
      <c r="Z132" s="233">
        <f>IF(AO132="1",BF132,0)</f>
        <v>0</v>
      </c>
      <c r="AA132" s="233">
        <f>IF(AO132="1",BG132,0)</f>
        <v>0</v>
      </c>
      <c r="AB132" s="233">
        <f>IF(AO132="7",BF132,0)</f>
        <v>0</v>
      </c>
      <c r="AC132" s="233">
        <f>IF(AO132="7",BG132,0)</f>
        <v>0</v>
      </c>
      <c r="AD132" s="233">
        <f>IF(AO132="2",BF132,0)</f>
        <v>0</v>
      </c>
      <c r="AE132" s="233">
        <f>IF(AO132="2",BG132,0)</f>
        <v>0</v>
      </c>
      <c r="AF132" s="233">
        <f>IF(AO132="0",BH132,0)</f>
        <v>0</v>
      </c>
      <c r="AG132" s="230" t="s">
        <v>154</v>
      </c>
      <c r="AH132" s="233">
        <f>IF(AL132=0,J132,0)</f>
        <v>0</v>
      </c>
      <c r="AI132" s="233">
        <f>IF(AL132=15,J132,0)</f>
        <v>0</v>
      </c>
      <c r="AJ132" s="233">
        <f>IF(AL132=21,J132,0)</f>
        <v>0</v>
      </c>
      <c r="AL132" s="233">
        <v>21</v>
      </c>
      <c r="AM132" s="233">
        <f>G132*0.812875197</f>
        <v>0</v>
      </c>
      <c r="AN132" s="233">
        <f>G132*(1-0.812875197)</f>
        <v>0</v>
      </c>
      <c r="AO132" s="234" t="s">
        <v>157</v>
      </c>
      <c r="AT132" s="233">
        <f>AU132+AV132</f>
        <v>0</v>
      </c>
      <c r="AU132" s="233">
        <f>F132*AM132</f>
        <v>0</v>
      </c>
      <c r="AV132" s="233">
        <f>F132*AN132</f>
        <v>0</v>
      </c>
      <c r="AW132" s="234" t="s">
        <v>310</v>
      </c>
      <c r="AX132" s="234" t="s">
        <v>311</v>
      </c>
      <c r="AY132" s="230" t="s">
        <v>164</v>
      </c>
      <c r="BA132" s="233">
        <f>AU132+AV132</f>
        <v>0</v>
      </c>
      <c r="BB132" s="233">
        <f>G132/(100-BC132)*100</f>
        <v>0</v>
      </c>
      <c r="BC132" s="233">
        <v>0</v>
      </c>
      <c r="BD132" s="233">
        <f>L132</f>
        <v>12.0900686</v>
      </c>
      <c r="BF132" s="233">
        <f>F132*AM132</f>
        <v>0</v>
      </c>
      <c r="BG132" s="233">
        <f>F132*AN132</f>
        <v>0</v>
      </c>
      <c r="BH132" s="233">
        <f>F132*G132</f>
        <v>0</v>
      </c>
      <c r="BI132" s="233"/>
      <c r="BJ132" s="233">
        <v>56</v>
      </c>
      <c r="BU132" s="233" t="e">
        <f>#REF!</f>
        <v>#REF!</v>
      </c>
      <c r="BV132" s="225" t="s">
        <v>328</v>
      </c>
    </row>
    <row r="133" spans="1:74" ht="40.5" customHeight="1" x14ac:dyDescent="0.3">
      <c r="A133" s="241"/>
      <c r="B133" s="242" t="s">
        <v>165</v>
      </c>
      <c r="C133" s="530" t="s">
        <v>1433</v>
      </c>
      <c r="D133" s="531"/>
      <c r="E133" s="531"/>
      <c r="F133" s="531"/>
      <c r="G133" s="531"/>
      <c r="H133" s="531"/>
      <c r="I133" s="531"/>
      <c r="J133" s="531"/>
      <c r="K133" s="531"/>
      <c r="L133" s="531"/>
      <c r="M133" s="532"/>
    </row>
    <row r="134" spans="1:74" ht="14.4" x14ac:dyDescent="0.3">
      <c r="A134" s="239" t="s">
        <v>367</v>
      </c>
      <c r="B134" s="223" t="s">
        <v>330</v>
      </c>
      <c r="C134" s="521" t="s">
        <v>331</v>
      </c>
      <c r="D134" s="519"/>
      <c r="E134" s="223" t="s">
        <v>180</v>
      </c>
      <c r="F134" s="233">
        <v>24.57</v>
      </c>
      <c r="G134" s="311">
        <v>0</v>
      </c>
      <c r="H134" s="233">
        <f>F134*AM134</f>
        <v>0</v>
      </c>
      <c r="I134" s="233">
        <f>F134*AN134</f>
        <v>0</v>
      </c>
      <c r="J134" s="233">
        <f>F134*G134</f>
        <v>0</v>
      </c>
      <c r="K134" s="233">
        <v>0.378</v>
      </c>
      <c r="L134" s="233">
        <f>F134*K134</f>
        <v>9.2874599999999994</v>
      </c>
      <c r="M134" s="240" t="s">
        <v>472</v>
      </c>
      <c r="X134" s="233">
        <f>IF(AO134="5",BH134,0)</f>
        <v>0</v>
      </c>
      <c r="Z134" s="233">
        <f>IF(AO134="1",BF134,0)</f>
        <v>0</v>
      </c>
      <c r="AA134" s="233">
        <f>IF(AO134="1",BG134,0)</f>
        <v>0</v>
      </c>
      <c r="AB134" s="233">
        <f>IF(AO134="7",BF134,0)</f>
        <v>0</v>
      </c>
      <c r="AC134" s="233">
        <f>IF(AO134="7",BG134,0)</f>
        <v>0</v>
      </c>
      <c r="AD134" s="233">
        <f>IF(AO134="2",BF134,0)</f>
        <v>0</v>
      </c>
      <c r="AE134" s="233">
        <f>IF(AO134="2",BG134,0)</f>
        <v>0</v>
      </c>
      <c r="AF134" s="233">
        <f>IF(AO134="0",BH134,0)</f>
        <v>0</v>
      </c>
      <c r="AG134" s="230" t="s">
        <v>154</v>
      </c>
      <c r="AH134" s="233">
        <f>IF(AL134=0,J134,0)</f>
        <v>0</v>
      </c>
      <c r="AI134" s="233">
        <f>IF(AL134=15,J134,0)</f>
        <v>0</v>
      </c>
      <c r="AJ134" s="233">
        <f>IF(AL134=21,J134,0)</f>
        <v>0</v>
      </c>
      <c r="AL134" s="233">
        <v>21</v>
      </c>
      <c r="AM134" s="233">
        <f>G134*0.825274389</f>
        <v>0</v>
      </c>
      <c r="AN134" s="233">
        <f>G134*(1-0.825274389)</f>
        <v>0</v>
      </c>
      <c r="AO134" s="234" t="s">
        <v>157</v>
      </c>
      <c r="AT134" s="233">
        <f>AU134+AV134</f>
        <v>0</v>
      </c>
      <c r="AU134" s="233">
        <f>F134*AM134</f>
        <v>0</v>
      </c>
      <c r="AV134" s="233">
        <f>F134*AN134</f>
        <v>0</v>
      </c>
      <c r="AW134" s="234" t="s">
        <v>310</v>
      </c>
      <c r="AX134" s="234" t="s">
        <v>311</v>
      </c>
      <c r="AY134" s="230" t="s">
        <v>164</v>
      </c>
      <c r="BA134" s="233">
        <f>AU134+AV134</f>
        <v>0</v>
      </c>
      <c r="BB134" s="233">
        <f>G134/(100-BC134)*100</f>
        <v>0</v>
      </c>
      <c r="BC134" s="233">
        <v>0</v>
      </c>
      <c r="BD134" s="233">
        <f>L134</f>
        <v>9.2874599999999994</v>
      </c>
      <c r="BF134" s="233">
        <f>F134*AM134</f>
        <v>0</v>
      </c>
      <c r="BG134" s="233">
        <f>F134*AN134</f>
        <v>0</v>
      </c>
      <c r="BH134" s="233">
        <f>F134*G134</f>
        <v>0</v>
      </c>
      <c r="BI134" s="233"/>
      <c r="BJ134" s="233">
        <v>56</v>
      </c>
      <c r="BU134" s="233" t="e">
        <f>#REF!</f>
        <v>#REF!</v>
      </c>
      <c r="BV134" s="225" t="s">
        <v>331</v>
      </c>
    </row>
    <row r="135" spans="1:74" ht="40.5" customHeight="1" x14ac:dyDescent="0.3">
      <c r="A135" s="241"/>
      <c r="B135" s="242" t="s">
        <v>165</v>
      </c>
      <c r="C135" s="530" t="s">
        <v>1434</v>
      </c>
      <c r="D135" s="531"/>
      <c r="E135" s="531"/>
      <c r="F135" s="531"/>
      <c r="G135" s="531"/>
      <c r="H135" s="531"/>
      <c r="I135" s="531"/>
      <c r="J135" s="531"/>
      <c r="K135" s="531"/>
      <c r="L135" s="531"/>
      <c r="M135" s="532"/>
    </row>
    <row r="136" spans="1:74" ht="14.4" x14ac:dyDescent="0.3">
      <c r="A136" s="239" t="s">
        <v>305</v>
      </c>
      <c r="B136" s="223" t="s">
        <v>333</v>
      </c>
      <c r="C136" s="521" t="s">
        <v>334</v>
      </c>
      <c r="D136" s="519"/>
      <c r="E136" s="223" t="s">
        <v>180</v>
      </c>
      <c r="F136" s="233">
        <v>24.57</v>
      </c>
      <c r="G136" s="311">
        <v>0</v>
      </c>
      <c r="H136" s="233">
        <f>F136*AM136</f>
        <v>0</v>
      </c>
      <c r="I136" s="233">
        <f>F136*AN136</f>
        <v>0</v>
      </c>
      <c r="J136" s="233">
        <f>F136*G136</f>
        <v>0</v>
      </c>
      <c r="K136" s="233">
        <v>0.15826000000000001</v>
      </c>
      <c r="L136" s="233">
        <f>F136*K136</f>
        <v>3.8884482000000005</v>
      </c>
      <c r="M136" s="240" t="s">
        <v>472</v>
      </c>
      <c r="X136" s="233">
        <f>IF(AO136="5",BH136,0)</f>
        <v>0</v>
      </c>
      <c r="Z136" s="233">
        <f>IF(AO136="1",BF136,0)</f>
        <v>0</v>
      </c>
      <c r="AA136" s="233">
        <f>IF(AO136="1",BG136,0)</f>
        <v>0</v>
      </c>
      <c r="AB136" s="233">
        <f>IF(AO136="7",BF136,0)</f>
        <v>0</v>
      </c>
      <c r="AC136" s="233">
        <f>IF(AO136="7",BG136,0)</f>
        <v>0</v>
      </c>
      <c r="AD136" s="233">
        <f>IF(AO136="2",BF136,0)</f>
        <v>0</v>
      </c>
      <c r="AE136" s="233">
        <f>IF(AO136="2",BG136,0)</f>
        <v>0</v>
      </c>
      <c r="AF136" s="233">
        <f>IF(AO136="0",BH136,0)</f>
        <v>0</v>
      </c>
      <c r="AG136" s="230" t="s">
        <v>154</v>
      </c>
      <c r="AH136" s="233">
        <f>IF(AL136=0,J136,0)</f>
        <v>0</v>
      </c>
      <c r="AI136" s="233">
        <f>IF(AL136=15,J136,0)</f>
        <v>0</v>
      </c>
      <c r="AJ136" s="233">
        <f>IF(AL136=21,J136,0)</f>
        <v>0</v>
      </c>
      <c r="AL136" s="233">
        <v>21</v>
      </c>
      <c r="AM136" s="233">
        <f>G136*0.800346709</f>
        <v>0</v>
      </c>
      <c r="AN136" s="233">
        <f>G136*(1-0.800346709)</f>
        <v>0</v>
      </c>
      <c r="AO136" s="234" t="s">
        <v>157</v>
      </c>
      <c r="AT136" s="233">
        <f>AU136+AV136</f>
        <v>0</v>
      </c>
      <c r="AU136" s="233">
        <f>F136*AM136</f>
        <v>0</v>
      </c>
      <c r="AV136" s="233">
        <f>F136*AN136</f>
        <v>0</v>
      </c>
      <c r="AW136" s="234" t="s">
        <v>310</v>
      </c>
      <c r="AX136" s="234" t="s">
        <v>311</v>
      </c>
      <c r="AY136" s="230" t="s">
        <v>164</v>
      </c>
      <c r="BA136" s="233">
        <f>AU136+AV136</f>
        <v>0</v>
      </c>
      <c r="BB136" s="233">
        <f>G136/(100-BC136)*100</f>
        <v>0</v>
      </c>
      <c r="BC136" s="233">
        <v>0</v>
      </c>
      <c r="BD136" s="233">
        <f>L136</f>
        <v>3.8884482000000005</v>
      </c>
      <c r="BF136" s="233">
        <f>F136*AM136</f>
        <v>0</v>
      </c>
      <c r="BG136" s="233">
        <f>F136*AN136</f>
        <v>0</v>
      </c>
      <c r="BH136" s="233">
        <f>F136*G136</f>
        <v>0</v>
      </c>
      <c r="BI136" s="233"/>
      <c r="BJ136" s="233">
        <v>56</v>
      </c>
      <c r="BU136" s="233" t="e">
        <f>#REF!</f>
        <v>#REF!</v>
      </c>
      <c r="BV136" s="225" t="s">
        <v>334</v>
      </c>
    </row>
    <row r="137" spans="1:74" ht="40.5" customHeight="1" x14ac:dyDescent="0.3">
      <c r="A137" s="241"/>
      <c r="B137" s="242" t="s">
        <v>165</v>
      </c>
      <c r="C137" s="530" t="s">
        <v>1435</v>
      </c>
      <c r="D137" s="531"/>
      <c r="E137" s="531"/>
      <c r="F137" s="531"/>
      <c r="G137" s="531"/>
      <c r="H137" s="531"/>
      <c r="I137" s="531"/>
      <c r="J137" s="531"/>
      <c r="K137" s="531"/>
      <c r="L137" s="531"/>
      <c r="M137" s="532"/>
    </row>
    <row r="138" spans="1:74" ht="14.4" x14ac:dyDescent="0.3">
      <c r="A138" s="239" t="s">
        <v>335</v>
      </c>
      <c r="B138" s="223" t="s">
        <v>1436</v>
      </c>
      <c r="C138" s="521" t="s">
        <v>1437</v>
      </c>
      <c r="D138" s="519"/>
      <c r="E138" s="223" t="s">
        <v>180</v>
      </c>
      <c r="F138" s="233">
        <v>552.20000000000005</v>
      </c>
      <c r="G138" s="311">
        <v>0</v>
      </c>
      <c r="H138" s="233">
        <f>F138*AM138</f>
        <v>0</v>
      </c>
      <c r="I138" s="233">
        <f>F138*AN138</f>
        <v>0</v>
      </c>
      <c r="J138" s="233">
        <f>F138*G138</f>
        <v>0</v>
      </c>
      <c r="K138" s="233">
        <v>0</v>
      </c>
      <c r="L138" s="233">
        <f>F138*K138</f>
        <v>0</v>
      </c>
      <c r="M138" s="240" t="s">
        <v>472</v>
      </c>
      <c r="X138" s="233">
        <f>IF(AO138="5",BH138,0)</f>
        <v>0</v>
      </c>
      <c r="Z138" s="233">
        <f>IF(AO138="1",BF138,0)</f>
        <v>0</v>
      </c>
      <c r="AA138" s="233">
        <f>IF(AO138="1",BG138,0)</f>
        <v>0</v>
      </c>
      <c r="AB138" s="233">
        <f>IF(AO138="7",BF138,0)</f>
        <v>0</v>
      </c>
      <c r="AC138" s="233">
        <f>IF(AO138="7",BG138,0)</f>
        <v>0</v>
      </c>
      <c r="AD138" s="233">
        <f>IF(AO138="2",BF138,0)</f>
        <v>0</v>
      </c>
      <c r="AE138" s="233">
        <f>IF(AO138="2",BG138,0)</f>
        <v>0</v>
      </c>
      <c r="AF138" s="233">
        <f>IF(AO138="0",BH138,0)</f>
        <v>0</v>
      </c>
      <c r="AG138" s="230" t="s">
        <v>154</v>
      </c>
      <c r="AH138" s="233">
        <f>IF(AL138=0,J138,0)</f>
        <v>0</v>
      </c>
      <c r="AI138" s="233">
        <f>IF(AL138=15,J138,0)</f>
        <v>0</v>
      </c>
      <c r="AJ138" s="233">
        <f>IF(AL138=21,J138,0)</f>
        <v>0</v>
      </c>
      <c r="AL138" s="233">
        <v>21</v>
      </c>
      <c r="AM138" s="233">
        <f>G138*0.898972603</f>
        <v>0</v>
      </c>
      <c r="AN138" s="233">
        <f>G138*(1-0.898972603)</f>
        <v>0</v>
      </c>
      <c r="AO138" s="234" t="s">
        <v>157</v>
      </c>
      <c r="AT138" s="233">
        <f>AU138+AV138</f>
        <v>0</v>
      </c>
      <c r="AU138" s="233">
        <f>F138*AM138</f>
        <v>0</v>
      </c>
      <c r="AV138" s="233">
        <f>F138*AN138</f>
        <v>0</v>
      </c>
      <c r="AW138" s="234" t="s">
        <v>310</v>
      </c>
      <c r="AX138" s="234" t="s">
        <v>311</v>
      </c>
      <c r="AY138" s="230" t="s">
        <v>164</v>
      </c>
      <c r="BA138" s="233">
        <f>AU138+AV138</f>
        <v>0</v>
      </c>
      <c r="BB138" s="233">
        <f>G138/(100-BC138)*100</f>
        <v>0</v>
      </c>
      <c r="BC138" s="233">
        <v>0</v>
      </c>
      <c r="BD138" s="233">
        <f>L138</f>
        <v>0</v>
      </c>
      <c r="BF138" s="233">
        <f>F138*AM138</f>
        <v>0</v>
      </c>
      <c r="BG138" s="233">
        <f>F138*AN138</f>
        <v>0</v>
      </c>
      <c r="BH138" s="233">
        <f>F138*G138</f>
        <v>0</v>
      </c>
      <c r="BI138" s="233"/>
      <c r="BJ138" s="233">
        <v>56</v>
      </c>
      <c r="BU138" s="233" t="e">
        <f>#REF!</f>
        <v>#REF!</v>
      </c>
      <c r="BV138" s="225" t="s">
        <v>1437</v>
      </c>
    </row>
    <row r="139" spans="1:74" ht="108" customHeight="1" x14ac:dyDescent="0.3">
      <c r="A139" s="241"/>
      <c r="B139" s="242" t="s">
        <v>165</v>
      </c>
      <c r="C139" s="530" t="s">
        <v>1438</v>
      </c>
      <c r="D139" s="531"/>
      <c r="E139" s="531"/>
      <c r="F139" s="531"/>
      <c r="G139" s="531"/>
      <c r="H139" s="531"/>
      <c r="I139" s="531"/>
      <c r="J139" s="531"/>
      <c r="K139" s="531"/>
      <c r="L139" s="531"/>
      <c r="M139" s="532"/>
    </row>
    <row r="140" spans="1:74" ht="14.4" x14ac:dyDescent="0.3">
      <c r="A140" s="239" t="s">
        <v>154</v>
      </c>
      <c r="B140" s="224" t="s">
        <v>335</v>
      </c>
      <c r="C140" s="526" t="s">
        <v>336</v>
      </c>
      <c r="D140" s="527"/>
      <c r="E140" s="223" t="s">
        <v>114</v>
      </c>
      <c r="F140" s="223" t="s">
        <v>114</v>
      </c>
      <c r="G140" s="223" t="s">
        <v>114</v>
      </c>
      <c r="H140" s="235">
        <f>SUM(H141:H143)</f>
        <v>0</v>
      </c>
      <c r="I140" s="235">
        <f>SUM(I141:I143)</f>
        <v>0</v>
      </c>
      <c r="J140" s="235">
        <f>SUM(J141:J143)</f>
        <v>0</v>
      </c>
      <c r="K140" s="230" t="s">
        <v>154</v>
      </c>
      <c r="L140" s="235">
        <f>SUM(L141:L143)</f>
        <v>0.40192600000000001</v>
      </c>
      <c r="M140" s="243" t="s">
        <v>154</v>
      </c>
      <c r="AG140" s="230" t="s">
        <v>154</v>
      </c>
      <c r="AQ140" s="235">
        <f>SUM(AH141:AH143)</f>
        <v>0</v>
      </c>
      <c r="AR140" s="235">
        <f>SUM(AI141:AI143)</f>
        <v>0</v>
      </c>
      <c r="AS140" s="235">
        <f>SUM(AJ141:AJ143)</f>
        <v>0</v>
      </c>
    </row>
    <row r="141" spans="1:74" ht="14.4" x14ac:dyDescent="0.3">
      <c r="A141" s="239" t="s">
        <v>384</v>
      </c>
      <c r="B141" s="223" t="s">
        <v>342</v>
      </c>
      <c r="C141" s="521" t="s">
        <v>427</v>
      </c>
      <c r="D141" s="519"/>
      <c r="E141" s="223" t="s">
        <v>180</v>
      </c>
      <c r="F141" s="233">
        <v>549.61</v>
      </c>
      <c r="G141" s="311">
        <v>0</v>
      </c>
      <c r="H141" s="233">
        <f>F141*AM141</f>
        <v>0</v>
      </c>
      <c r="I141" s="233">
        <f>F141*AN141</f>
        <v>0</v>
      </c>
      <c r="J141" s="233">
        <f>F141*G141</f>
        <v>0</v>
      </c>
      <c r="K141" s="233">
        <v>6.9999999999999999E-4</v>
      </c>
      <c r="L141" s="233">
        <f>F141*K141</f>
        <v>0.38472699999999999</v>
      </c>
      <c r="M141" s="240" t="s">
        <v>472</v>
      </c>
      <c r="X141" s="233">
        <f>IF(AO141="5",BH141,0)</f>
        <v>0</v>
      </c>
      <c r="Z141" s="233">
        <f>IF(AO141="1",BF141,0)</f>
        <v>0</v>
      </c>
      <c r="AA141" s="233">
        <f>IF(AO141="1",BG141,0)</f>
        <v>0</v>
      </c>
      <c r="AB141" s="233">
        <f>IF(AO141="7",BF141,0)</f>
        <v>0</v>
      </c>
      <c r="AC141" s="233">
        <f>IF(AO141="7",BG141,0)</f>
        <v>0</v>
      </c>
      <c r="AD141" s="233">
        <f>IF(AO141="2",BF141,0)</f>
        <v>0</v>
      </c>
      <c r="AE141" s="233">
        <f>IF(AO141="2",BG141,0)</f>
        <v>0</v>
      </c>
      <c r="AF141" s="233">
        <f>IF(AO141="0",BH141,0)</f>
        <v>0</v>
      </c>
      <c r="AG141" s="230" t="s">
        <v>154</v>
      </c>
      <c r="AH141" s="233">
        <f>IF(AL141=0,J141,0)</f>
        <v>0</v>
      </c>
      <c r="AI141" s="233">
        <f>IF(AL141=15,J141,0)</f>
        <v>0</v>
      </c>
      <c r="AJ141" s="233">
        <f>IF(AL141=21,J141,0)</f>
        <v>0</v>
      </c>
      <c r="AL141" s="233">
        <v>21</v>
      </c>
      <c r="AM141" s="233">
        <f>G141*0.931527344</f>
        <v>0</v>
      </c>
      <c r="AN141" s="233">
        <f>G141*(1-0.931527344)</f>
        <v>0</v>
      </c>
      <c r="AO141" s="234" t="s">
        <v>157</v>
      </c>
      <c r="AT141" s="233">
        <f>AU141+AV141</f>
        <v>0</v>
      </c>
      <c r="AU141" s="233">
        <f>F141*AM141</f>
        <v>0</v>
      </c>
      <c r="AV141" s="233">
        <f>F141*AN141</f>
        <v>0</v>
      </c>
      <c r="AW141" s="234" t="s">
        <v>340</v>
      </c>
      <c r="AX141" s="234" t="s">
        <v>311</v>
      </c>
      <c r="AY141" s="230" t="s">
        <v>164</v>
      </c>
      <c r="BA141" s="233">
        <f>AU141+AV141</f>
        <v>0</v>
      </c>
      <c r="BB141" s="233">
        <f>G141/(100-BC141)*100</f>
        <v>0</v>
      </c>
      <c r="BC141" s="233">
        <v>0</v>
      </c>
      <c r="BD141" s="233">
        <f>L141</f>
        <v>0.38472699999999999</v>
      </c>
      <c r="BF141" s="233">
        <f>F141*AM141</f>
        <v>0</v>
      </c>
      <c r="BG141" s="233">
        <f>F141*AN141</f>
        <v>0</v>
      </c>
      <c r="BH141" s="233">
        <f>F141*G141</f>
        <v>0</v>
      </c>
      <c r="BI141" s="233"/>
      <c r="BJ141" s="233">
        <v>57</v>
      </c>
      <c r="BU141" s="233" t="e">
        <f>#REF!</f>
        <v>#REF!</v>
      </c>
      <c r="BV141" s="225" t="s">
        <v>427</v>
      </c>
    </row>
    <row r="142" spans="1:74" ht="108" customHeight="1" x14ac:dyDescent="0.3">
      <c r="A142" s="241"/>
      <c r="B142" s="242" t="s">
        <v>165</v>
      </c>
      <c r="C142" s="530" t="s">
        <v>1439</v>
      </c>
      <c r="D142" s="531"/>
      <c r="E142" s="531"/>
      <c r="F142" s="531"/>
      <c r="G142" s="531"/>
      <c r="H142" s="531"/>
      <c r="I142" s="531"/>
      <c r="J142" s="531"/>
      <c r="K142" s="531"/>
      <c r="L142" s="531"/>
      <c r="M142" s="532"/>
    </row>
    <row r="143" spans="1:74" ht="14.4" x14ac:dyDescent="0.3">
      <c r="A143" s="239" t="s">
        <v>344</v>
      </c>
      <c r="B143" s="223" t="s">
        <v>342</v>
      </c>
      <c r="C143" s="521" t="s">
        <v>343</v>
      </c>
      <c r="D143" s="519"/>
      <c r="E143" s="223" t="s">
        <v>180</v>
      </c>
      <c r="F143" s="233">
        <v>24.57</v>
      </c>
      <c r="G143" s="311">
        <v>0</v>
      </c>
      <c r="H143" s="233">
        <f>F143*AM143</f>
        <v>0</v>
      </c>
      <c r="I143" s="233">
        <f>F143*AN143</f>
        <v>0</v>
      </c>
      <c r="J143" s="233">
        <f>F143*G143</f>
        <v>0</v>
      </c>
      <c r="K143" s="233">
        <v>6.9999999999999999E-4</v>
      </c>
      <c r="L143" s="233">
        <f>F143*K143</f>
        <v>1.7198999999999999E-2</v>
      </c>
      <c r="M143" s="240" t="s">
        <v>472</v>
      </c>
      <c r="X143" s="233">
        <f>IF(AO143="5",BH143,0)</f>
        <v>0</v>
      </c>
      <c r="Z143" s="233">
        <f>IF(AO143="1",BF143,0)</f>
        <v>0</v>
      </c>
      <c r="AA143" s="233">
        <f>IF(AO143="1",BG143,0)</f>
        <v>0</v>
      </c>
      <c r="AB143" s="233">
        <f>IF(AO143="7",BF143,0)</f>
        <v>0</v>
      </c>
      <c r="AC143" s="233">
        <f>IF(AO143="7",BG143,0)</f>
        <v>0</v>
      </c>
      <c r="AD143" s="233">
        <f>IF(AO143="2",BF143,0)</f>
        <v>0</v>
      </c>
      <c r="AE143" s="233">
        <f>IF(AO143="2",BG143,0)</f>
        <v>0</v>
      </c>
      <c r="AF143" s="233">
        <f>IF(AO143="0",BH143,0)</f>
        <v>0</v>
      </c>
      <c r="AG143" s="230" t="s">
        <v>154</v>
      </c>
      <c r="AH143" s="233">
        <f>IF(AL143=0,J143,0)</f>
        <v>0</v>
      </c>
      <c r="AI143" s="233">
        <f>IF(AL143=15,J143,0)</f>
        <v>0</v>
      </c>
      <c r="AJ143" s="233">
        <f>IF(AL143=21,J143,0)</f>
        <v>0</v>
      </c>
      <c r="AL143" s="233">
        <v>21</v>
      </c>
      <c r="AM143" s="233">
        <f>G143*0.931528961</f>
        <v>0</v>
      </c>
      <c r="AN143" s="233">
        <f>G143*(1-0.931528961)</f>
        <v>0</v>
      </c>
      <c r="AO143" s="234" t="s">
        <v>157</v>
      </c>
      <c r="AT143" s="233">
        <f>AU143+AV143</f>
        <v>0</v>
      </c>
      <c r="AU143" s="233">
        <f>F143*AM143</f>
        <v>0</v>
      </c>
      <c r="AV143" s="233">
        <f>F143*AN143</f>
        <v>0</v>
      </c>
      <c r="AW143" s="234" t="s">
        <v>340</v>
      </c>
      <c r="AX143" s="234" t="s">
        <v>311</v>
      </c>
      <c r="AY143" s="230" t="s">
        <v>164</v>
      </c>
      <c r="BA143" s="233">
        <f>AU143+AV143</f>
        <v>0</v>
      </c>
      <c r="BB143" s="233">
        <f>G143/(100-BC143)*100</f>
        <v>0</v>
      </c>
      <c r="BC143" s="233">
        <v>0</v>
      </c>
      <c r="BD143" s="233">
        <f>L143</f>
        <v>1.7198999999999999E-2</v>
      </c>
      <c r="BF143" s="233">
        <f>F143*AM143</f>
        <v>0</v>
      </c>
      <c r="BG143" s="233">
        <f>F143*AN143</f>
        <v>0</v>
      </c>
      <c r="BH143" s="233">
        <f>F143*G143</f>
        <v>0</v>
      </c>
      <c r="BI143" s="233"/>
      <c r="BJ143" s="233">
        <v>57</v>
      </c>
      <c r="BU143" s="233" t="e">
        <f>#REF!</f>
        <v>#REF!</v>
      </c>
      <c r="BV143" s="225" t="s">
        <v>343</v>
      </c>
    </row>
    <row r="144" spans="1:74" ht="40.5" customHeight="1" x14ac:dyDescent="0.3">
      <c r="A144" s="241"/>
      <c r="B144" s="242" t="s">
        <v>165</v>
      </c>
      <c r="C144" s="530" t="s">
        <v>1440</v>
      </c>
      <c r="D144" s="531"/>
      <c r="E144" s="531"/>
      <c r="F144" s="531"/>
      <c r="G144" s="531"/>
      <c r="H144" s="531"/>
      <c r="I144" s="531"/>
      <c r="J144" s="531"/>
      <c r="K144" s="531"/>
      <c r="L144" s="531"/>
      <c r="M144" s="532"/>
    </row>
    <row r="145" spans="1:74" ht="14.4" x14ac:dyDescent="0.3">
      <c r="A145" s="239" t="s">
        <v>154</v>
      </c>
      <c r="B145" s="224" t="s">
        <v>428</v>
      </c>
      <c r="C145" s="526" t="s">
        <v>429</v>
      </c>
      <c r="D145" s="527"/>
      <c r="E145" s="223" t="s">
        <v>114</v>
      </c>
      <c r="F145" s="223" t="s">
        <v>114</v>
      </c>
      <c r="G145" s="223" t="s">
        <v>114</v>
      </c>
      <c r="H145" s="235">
        <f>SUM(H146:H146)</f>
        <v>0</v>
      </c>
      <c r="I145" s="235">
        <f>SUM(I146:I146)</f>
        <v>0</v>
      </c>
      <c r="J145" s="235">
        <f>SUM(J146:J146)</f>
        <v>0</v>
      </c>
      <c r="K145" s="230" t="s">
        <v>154</v>
      </c>
      <c r="L145" s="235">
        <f>SUM(L146:L146)</f>
        <v>0</v>
      </c>
      <c r="M145" s="243" t="s">
        <v>154</v>
      </c>
      <c r="AG145" s="230" t="s">
        <v>154</v>
      </c>
      <c r="AQ145" s="235">
        <f>SUM(AH146:AH146)</f>
        <v>0</v>
      </c>
      <c r="AR145" s="235">
        <f>SUM(AI146:AI146)</f>
        <v>0</v>
      </c>
      <c r="AS145" s="235">
        <f>SUM(AJ146:AJ146)</f>
        <v>0</v>
      </c>
    </row>
    <row r="146" spans="1:74" ht="14.4" x14ac:dyDescent="0.3">
      <c r="A146" s="239" t="s">
        <v>390</v>
      </c>
      <c r="B146" s="223" t="s">
        <v>514</v>
      </c>
      <c r="C146" s="521" t="s">
        <v>515</v>
      </c>
      <c r="D146" s="519"/>
      <c r="E146" s="223" t="s">
        <v>365</v>
      </c>
      <c r="F146" s="233">
        <v>1</v>
      </c>
      <c r="G146" s="311">
        <v>0</v>
      </c>
      <c r="H146" s="233">
        <f>F146*AM146</f>
        <v>0</v>
      </c>
      <c r="I146" s="233">
        <f>F146*AN146</f>
        <v>0</v>
      </c>
      <c r="J146" s="233">
        <f>F146*G146</f>
        <v>0</v>
      </c>
      <c r="K146" s="233">
        <v>0</v>
      </c>
      <c r="L146" s="233">
        <f>F146*K146</f>
        <v>0</v>
      </c>
      <c r="M146" s="240" t="s">
        <v>472</v>
      </c>
      <c r="X146" s="233">
        <f>IF(AO146="5",BH146,0)</f>
        <v>0</v>
      </c>
      <c r="Z146" s="233">
        <f>IF(AO146="1",BF146,0)</f>
        <v>0</v>
      </c>
      <c r="AA146" s="233">
        <f>IF(AO146="1",BG146,0)</f>
        <v>0</v>
      </c>
      <c r="AB146" s="233">
        <f>IF(AO146="7",BF146,0)</f>
        <v>0</v>
      </c>
      <c r="AC146" s="233">
        <f>IF(AO146="7",BG146,0)</f>
        <v>0</v>
      </c>
      <c r="AD146" s="233">
        <f>IF(AO146="2",BF146,0)</f>
        <v>0</v>
      </c>
      <c r="AE146" s="233">
        <f>IF(AO146="2",BG146,0)</f>
        <v>0</v>
      </c>
      <c r="AF146" s="233">
        <f>IF(AO146="0",BH146,0)</f>
        <v>0</v>
      </c>
      <c r="AG146" s="230" t="s">
        <v>154</v>
      </c>
      <c r="AH146" s="233">
        <f>IF(AL146=0,J146,0)</f>
        <v>0</v>
      </c>
      <c r="AI146" s="233">
        <f>IF(AL146=15,J146,0)</f>
        <v>0</v>
      </c>
      <c r="AJ146" s="233">
        <f>IF(AL146=21,J146,0)</f>
        <v>0</v>
      </c>
      <c r="AL146" s="233">
        <v>21</v>
      </c>
      <c r="AM146" s="233">
        <f>G146*0.067000385</f>
        <v>0</v>
      </c>
      <c r="AN146" s="233">
        <f>G146*(1-0.067000385)</f>
        <v>0</v>
      </c>
      <c r="AO146" s="234" t="s">
        <v>184</v>
      </c>
      <c r="AT146" s="233">
        <f>AU146+AV146</f>
        <v>0</v>
      </c>
      <c r="AU146" s="233">
        <f>F146*AM146</f>
        <v>0</v>
      </c>
      <c r="AV146" s="233">
        <f>F146*AN146</f>
        <v>0</v>
      </c>
      <c r="AW146" s="234" t="s">
        <v>432</v>
      </c>
      <c r="AX146" s="234" t="s">
        <v>433</v>
      </c>
      <c r="AY146" s="230" t="s">
        <v>164</v>
      </c>
      <c r="BA146" s="233">
        <f>AU146+AV146</f>
        <v>0</v>
      </c>
      <c r="BB146" s="233">
        <f>G146/(100-BC146)*100</f>
        <v>0</v>
      </c>
      <c r="BC146" s="233">
        <v>0</v>
      </c>
      <c r="BD146" s="233">
        <f>L146</f>
        <v>0</v>
      </c>
      <c r="BF146" s="233">
        <f>F146*AM146</f>
        <v>0</v>
      </c>
      <c r="BG146" s="233">
        <f>F146*AN146</f>
        <v>0</v>
      </c>
      <c r="BH146" s="233">
        <f>F146*G146</f>
        <v>0</v>
      </c>
      <c r="BI146" s="233"/>
      <c r="BJ146" s="233">
        <v>722</v>
      </c>
      <c r="BU146" s="233" t="e">
        <f>#REF!</f>
        <v>#REF!</v>
      </c>
      <c r="BV146" s="225" t="s">
        <v>515</v>
      </c>
    </row>
    <row r="147" spans="1:74" ht="40.5" customHeight="1" x14ac:dyDescent="0.3">
      <c r="A147" s="241"/>
      <c r="B147" s="242" t="s">
        <v>165</v>
      </c>
      <c r="C147" s="530" t="s">
        <v>1441</v>
      </c>
      <c r="D147" s="531"/>
      <c r="E147" s="531"/>
      <c r="F147" s="531"/>
      <c r="G147" s="531"/>
      <c r="H147" s="531"/>
      <c r="I147" s="531"/>
      <c r="J147" s="531"/>
      <c r="K147" s="531"/>
      <c r="L147" s="531"/>
      <c r="M147" s="532"/>
    </row>
    <row r="148" spans="1:74" ht="14.4" x14ac:dyDescent="0.3">
      <c r="A148" s="239" t="s">
        <v>154</v>
      </c>
      <c r="B148" s="224" t="s">
        <v>517</v>
      </c>
      <c r="C148" s="526" t="s">
        <v>518</v>
      </c>
      <c r="D148" s="527"/>
      <c r="E148" s="223" t="s">
        <v>114</v>
      </c>
      <c r="F148" s="223" t="s">
        <v>114</v>
      </c>
      <c r="G148" s="223" t="s">
        <v>114</v>
      </c>
      <c r="H148" s="235">
        <f>SUM(H149:H153)</f>
        <v>0</v>
      </c>
      <c r="I148" s="235">
        <f>SUM(I149:I153)</f>
        <v>0</v>
      </c>
      <c r="J148" s="235">
        <f>SUM(J149:J153)</f>
        <v>0</v>
      </c>
      <c r="K148" s="230" t="s">
        <v>154</v>
      </c>
      <c r="L148" s="235">
        <f>SUM(L149:L153)</f>
        <v>1.1200000000000001E-3</v>
      </c>
      <c r="M148" s="243" t="s">
        <v>154</v>
      </c>
      <c r="AG148" s="230" t="s">
        <v>154</v>
      </c>
      <c r="AQ148" s="235">
        <f>SUM(AH149:AH153)</f>
        <v>0</v>
      </c>
      <c r="AR148" s="235">
        <f>SUM(AI149:AI153)</f>
        <v>0</v>
      </c>
      <c r="AS148" s="235">
        <f>SUM(AJ149:AJ153)</f>
        <v>0</v>
      </c>
    </row>
    <row r="149" spans="1:74" ht="14.4" x14ac:dyDescent="0.3">
      <c r="A149" s="239" t="s">
        <v>393</v>
      </c>
      <c r="B149" s="223" t="s">
        <v>519</v>
      </c>
      <c r="C149" s="521" t="s">
        <v>520</v>
      </c>
      <c r="D149" s="519"/>
      <c r="E149" s="223" t="s">
        <v>365</v>
      </c>
      <c r="F149" s="233">
        <v>12</v>
      </c>
      <c r="G149" s="311">
        <v>0</v>
      </c>
      <c r="H149" s="233">
        <f>F149*AM149</f>
        <v>0</v>
      </c>
      <c r="I149" s="233">
        <f>F149*AN149</f>
        <v>0</v>
      </c>
      <c r="J149" s="233">
        <f>F149*G149</f>
        <v>0</v>
      </c>
      <c r="K149" s="233">
        <v>8.0000000000000007E-5</v>
      </c>
      <c r="L149" s="233">
        <f>F149*K149</f>
        <v>9.6000000000000013E-4</v>
      </c>
      <c r="M149" s="240" t="s">
        <v>472</v>
      </c>
      <c r="X149" s="233">
        <f>IF(AO149="5",BH149,0)</f>
        <v>0</v>
      </c>
      <c r="Z149" s="233">
        <f>IF(AO149="1",BF149,0)</f>
        <v>0</v>
      </c>
      <c r="AA149" s="233">
        <f>IF(AO149="1",BG149,0)</f>
        <v>0</v>
      </c>
      <c r="AB149" s="233">
        <f>IF(AO149="7",BF149,0)</f>
        <v>0</v>
      </c>
      <c r="AC149" s="233">
        <f>IF(AO149="7",BG149,0)</f>
        <v>0</v>
      </c>
      <c r="AD149" s="233">
        <f>IF(AO149="2",BF149,0)</f>
        <v>0</v>
      </c>
      <c r="AE149" s="233">
        <f>IF(AO149="2",BG149,0)</f>
        <v>0</v>
      </c>
      <c r="AF149" s="233">
        <f>IF(AO149="0",BH149,0)</f>
        <v>0</v>
      </c>
      <c r="AG149" s="230" t="s">
        <v>154</v>
      </c>
      <c r="AH149" s="233">
        <f>IF(AL149=0,J149,0)</f>
        <v>0</v>
      </c>
      <c r="AI149" s="233">
        <f>IF(AL149=15,J149,0)</f>
        <v>0</v>
      </c>
      <c r="AJ149" s="233">
        <f>IF(AL149=21,J149,0)</f>
        <v>0</v>
      </c>
      <c r="AL149" s="233">
        <v>21</v>
      </c>
      <c r="AM149" s="233">
        <f>G149*0.004936975</f>
        <v>0</v>
      </c>
      <c r="AN149" s="233">
        <f>G149*(1-0.004936975)</f>
        <v>0</v>
      </c>
      <c r="AO149" s="234" t="s">
        <v>184</v>
      </c>
      <c r="AT149" s="233">
        <f>AU149+AV149</f>
        <v>0</v>
      </c>
      <c r="AU149" s="233">
        <f>F149*AM149</f>
        <v>0</v>
      </c>
      <c r="AV149" s="233">
        <f>F149*AN149</f>
        <v>0</v>
      </c>
      <c r="AW149" s="234" t="s">
        <v>521</v>
      </c>
      <c r="AX149" s="234" t="s">
        <v>522</v>
      </c>
      <c r="AY149" s="230" t="s">
        <v>164</v>
      </c>
      <c r="BA149" s="233">
        <f>AU149+AV149</f>
        <v>0</v>
      </c>
      <c r="BB149" s="233">
        <f>G149/(100-BC149)*100</f>
        <v>0</v>
      </c>
      <c r="BC149" s="233">
        <v>0</v>
      </c>
      <c r="BD149" s="233">
        <f>L149</f>
        <v>9.6000000000000013E-4</v>
      </c>
      <c r="BF149" s="233">
        <f>F149*AM149</f>
        <v>0</v>
      </c>
      <c r="BG149" s="233">
        <f>F149*AN149</f>
        <v>0</v>
      </c>
      <c r="BH149" s="233">
        <f>F149*G149</f>
        <v>0</v>
      </c>
      <c r="BI149" s="233"/>
      <c r="BJ149" s="233">
        <v>733</v>
      </c>
      <c r="BU149" s="233" t="e">
        <f>#REF!</f>
        <v>#REF!</v>
      </c>
      <c r="BV149" s="225" t="s">
        <v>520</v>
      </c>
    </row>
    <row r="150" spans="1:74" ht="40.5" customHeight="1" x14ac:dyDescent="0.3">
      <c r="A150" s="241"/>
      <c r="B150" s="242" t="s">
        <v>165</v>
      </c>
      <c r="C150" s="530" t="s">
        <v>1442</v>
      </c>
      <c r="D150" s="531"/>
      <c r="E150" s="531"/>
      <c r="F150" s="531"/>
      <c r="G150" s="531"/>
      <c r="H150" s="531"/>
      <c r="I150" s="531"/>
      <c r="J150" s="531"/>
      <c r="K150" s="531"/>
      <c r="L150" s="531"/>
      <c r="M150" s="532"/>
    </row>
    <row r="151" spans="1:74" ht="14.4" x14ac:dyDescent="0.3">
      <c r="A151" s="239" t="s">
        <v>396</v>
      </c>
      <c r="B151" s="223" t="s">
        <v>524</v>
      </c>
      <c r="C151" s="521" t="s">
        <v>525</v>
      </c>
      <c r="D151" s="519"/>
      <c r="E151" s="223" t="s">
        <v>365</v>
      </c>
      <c r="F151" s="233">
        <v>1</v>
      </c>
      <c r="G151" s="311">
        <v>0</v>
      </c>
      <c r="H151" s="233">
        <f>F151*AM151</f>
        <v>0</v>
      </c>
      <c r="I151" s="233">
        <f>F151*AN151</f>
        <v>0</v>
      </c>
      <c r="J151" s="233">
        <f>F151*G151</f>
        <v>0</v>
      </c>
      <c r="K151" s="233">
        <v>8.0000000000000007E-5</v>
      </c>
      <c r="L151" s="233">
        <f>F151*K151</f>
        <v>8.0000000000000007E-5</v>
      </c>
      <c r="M151" s="240" t="s">
        <v>472</v>
      </c>
      <c r="X151" s="233">
        <f>IF(AO151="5",BH151,0)</f>
        <v>0</v>
      </c>
      <c r="Z151" s="233">
        <f>IF(AO151="1",BF151,0)</f>
        <v>0</v>
      </c>
      <c r="AA151" s="233">
        <f>IF(AO151="1",BG151,0)</f>
        <v>0</v>
      </c>
      <c r="AB151" s="233">
        <f>IF(AO151="7",BF151,0)</f>
        <v>0</v>
      </c>
      <c r="AC151" s="233">
        <f>IF(AO151="7",BG151,0)</f>
        <v>0</v>
      </c>
      <c r="AD151" s="233">
        <f>IF(AO151="2",BF151,0)</f>
        <v>0</v>
      </c>
      <c r="AE151" s="233">
        <f>IF(AO151="2",BG151,0)</f>
        <v>0</v>
      </c>
      <c r="AF151" s="233">
        <f>IF(AO151="0",BH151,0)</f>
        <v>0</v>
      </c>
      <c r="AG151" s="230" t="s">
        <v>154</v>
      </c>
      <c r="AH151" s="233">
        <f>IF(AL151=0,J151,0)</f>
        <v>0</v>
      </c>
      <c r="AI151" s="233">
        <f>IF(AL151=15,J151,0)</f>
        <v>0</v>
      </c>
      <c r="AJ151" s="233">
        <f>IF(AL151=21,J151,0)</f>
        <v>0</v>
      </c>
      <c r="AL151" s="233">
        <v>21</v>
      </c>
      <c r="AM151" s="233">
        <f>G151*0.004065744</f>
        <v>0</v>
      </c>
      <c r="AN151" s="233">
        <f>G151*(1-0.004065744)</f>
        <v>0</v>
      </c>
      <c r="AO151" s="234" t="s">
        <v>184</v>
      </c>
      <c r="AT151" s="233">
        <f>AU151+AV151</f>
        <v>0</v>
      </c>
      <c r="AU151" s="233">
        <f>F151*AM151</f>
        <v>0</v>
      </c>
      <c r="AV151" s="233">
        <f>F151*AN151</f>
        <v>0</v>
      </c>
      <c r="AW151" s="234" t="s">
        <v>521</v>
      </c>
      <c r="AX151" s="234" t="s">
        <v>522</v>
      </c>
      <c r="AY151" s="230" t="s">
        <v>164</v>
      </c>
      <c r="BA151" s="233">
        <f>AU151+AV151</f>
        <v>0</v>
      </c>
      <c r="BB151" s="233">
        <f>G151/(100-BC151)*100</f>
        <v>0</v>
      </c>
      <c r="BC151" s="233">
        <v>0</v>
      </c>
      <c r="BD151" s="233">
        <f>L151</f>
        <v>8.0000000000000007E-5</v>
      </c>
      <c r="BF151" s="233">
        <f>F151*AM151</f>
        <v>0</v>
      </c>
      <c r="BG151" s="233">
        <f>F151*AN151</f>
        <v>0</v>
      </c>
      <c r="BH151" s="233">
        <f>F151*G151</f>
        <v>0</v>
      </c>
      <c r="BI151" s="233"/>
      <c r="BJ151" s="233">
        <v>733</v>
      </c>
      <c r="BU151" s="233" t="e">
        <f>#REF!</f>
        <v>#REF!</v>
      </c>
      <c r="BV151" s="225" t="s">
        <v>525</v>
      </c>
    </row>
    <row r="152" spans="1:74" ht="40.5" customHeight="1" x14ac:dyDescent="0.3">
      <c r="A152" s="241"/>
      <c r="B152" s="242" t="s">
        <v>165</v>
      </c>
      <c r="C152" s="530" t="s">
        <v>1443</v>
      </c>
      <c r="D152" s="531"/>
      <c r="E152" s="531"/>
      <c r="F152" s="531"/>
      <c r="G152" s="531"/>
      <c r="H152" s="531"/>
      <c r="I152" s="531"/>
      <c r="J152" s="531"/>
      <c r="K152" s="531"/>
      <c r="L152" s="531"/>
      <c r="M152" s="532"/>
    </row>
    <row r="153" spans="1:74" ht="14.4" x14ac:dyDescent="0.3">
      <c r="A153" s="239" t="s">
        <v>401</v>
      </c>
      <c r="B153" s="223" t="s">
        <v>526</v>
      </c>
      <c r="C153" s="521" t="s">
        <v>527</v>
      </c>
      <c r="D153" s="519"/>
      <c r="E153" s="223" t="s">
        <v>365</v>
      </c>
      <c r="F153" s="233">
        <v>1</v>
      </c>
      <c r="G153" s="311">
        <v>0</v>
      </c>
      <c r="H153" s="233">
        <f>F153*AM153</f>
        <v>0</v>
      </c>
      <c r="I153" s="233">
        <f>F153*AN153</f>
        <v>0</v>
      </c>
      <c r="J153" s="233">
        <f>F153*G153</f>
        <v>0</v>
      </c>
      <c r="K153" s="233">
        <v>8.0000000000000007E-5</v>
      </c>
      <c r="L153" s="233">
        <f>F153*K153</f>
        <v>8.0000000000000007E-5</v>
      </c>
      <c r="M153" s="240" t="s">
        <v>472</v>
      </c>
      <c r="X153" s="233">
        <f>IF(AO153="5",BH153,0)</f>
        <v>0</v>
      </c>
      <c r="Z153" s="233">
        <f>IF(AO153="1",BF153,0)</f>
        <v>0</v>
      </c>
      <c r="AA153" s="233">
        <f>IF(AO153="1",BG153,0)</f>
        <v>0</v>
      </c>
      <c r="AB153" s="233">
        <f>IF(AO153="7",BF153,0)</f>
        <v>0</v>
      </c>
      <c r="AC153" s="233">
        <f>IF(AO153="7",BG153,0)</f>
        <v>0</v>
      </c>
      <c r="AD153" s="233">
        <f>IF(AO153="2",BF153,0)</f>
        <v>0</v>
      </c>
      <c r="AE153" s="233">
        <f>IF(AO153="2",BG153,0)</f>
        <v>0</v>
      </c>
      <c r="AF153" s="233">
        <f>IF(AO153="0",BH153,0)</f>
        <v>0</v>
      </c>
      <c r="AG153" s="230" t="s">
        <v>154</v>
      </c>
      <c r="AH153" s="233">
        <f>IF(AL153=0,J153,0)</f>
        <v>0</v>
      </c>
      <c r="AI153" s="233">
        <f>IF(AL153=15,J153,0)</f>
        <v>0</v>
      </c>
      <c r="AJ153" s="233">
        <f>IF(AL153=21,J153,0)</f>
        <v>0</v>
      </c>
      <c r="AL153" s="233">
        <v>21</v>
      </c>
      <c r="AM153" s="233">
        <f>G153*0.005860349</f>
        <v>0</v>
      </c>
      <c r="AN153" s="233">
        <f>G153*(1-0.005860349)</f>
        <v>0</v>
      </c>
      <c r="AO153" s="234" t="s">
        <v>184</v>
      </c>
      <c r="AT153" s="233">
        <f>AU153+AV153</f>
        <v>0</v>
      </c>
      <c r="AU153" s="233">
        <f>F153*AM153</f>
        <v>0</v>
      </c>
      <c r="AV153" s="233">
        <f>F153*AN153</f>
        <v>0</v>
      </c>
      <c r="AW153" s="234" t="s">
        <v>521</v>
      </c>
      <c r="AX153" s="234" t="s">
        <v>522</v>
      </c>
      <c r="AY153" s="230" t="s">
        <v>164</v>
      </c>
      <c r="BA153" s="233">
        <f>AU153+AV153</f>
        <v>0</v>
      </c>
      <c r="BB153" s="233">
        <f>G153/(100-BC153)*100</f>
        <v>0</v>
      </c>
      <c r="BC153" s="233">
        <v>0</v>
      </c>
      <c r="BD153" s="233">
        <f>L153</f>
        <v>8.0000000000000007E-5</v>
      </c>
      <c r="BF153" s="233">
        <f>F153*AM153</f>
        <v>0</v>
      </c>
      <c r="BG153" s="233">
        <f>F153*AN153</f>
        <v>0</v>
      </c>
      <c r="BH153" s="233">
        <f>F153*G153</f>
        <v>0</v>
      </c>
      <c r="BI153" s="233"/>
      <c r="BJ153" s="233">
        <v>733</v>
      </c>
      <c r="BU153" s="233" t="e">
        <f>#REF!</f>
        <v>#REF!</v>
      </c>
      <c r="BV153" s="225" t="s">
        <v>527</v>
      </c>
    </row>
    <row r="154" spans="1:74" ht="27" customHeight="1" x14ac:dyDescent="0.3">
      <c r="A154" s="241"/>
      <c r="B154" s="242" t="s">
        <v>165</v>
      </c>
      <c r="C154" s="530" t="s">
        <v>1444</v>
      </c>
      <c r="D154" s="531"/>
      <c r="E154" s="531"/>
      <c r="F154" s="531"/>
      <c r="G154" s="531"/>
      <c r="H154" s="531"/>
      <c r="I154" s="531"/>
      <c r="J154" s="531"/>
      <c r="K154" s="531"/>
      <c r="L154" s="531"/>
      <c r="M154" s="532"/>
    </row>
    <row r="155" spans="1:74" ht="14.4" x14ac:dyDescent="0.3">
      <c r="A155" s="239" t="s">
        <v>154</v>
      </c>
      <c r="B155" s="224" t="s">
        <v>529</v>
      </c>
      <c r="C155" s="526" t="s">
        <v>530</v>
      </c>
      <c r="D155" s="527"/>
      <c r="E155" s="223" t="s">
        <v>114</v>
      </c>
      <c r="F155" s="223" t="s">
        <v>114</v>
      </c>
      <c r="G155" s="223" t="s">
        <v>114</v>
      </c>
      <c r="H155" s="235">
        <f>SUM(H156:H160)</f>
        <v>0</v>
      </c>
      <c r="I155" s="235">
        <f>SUM(I156:I160)</f>
        <v>0</v>
      </c>
      <c r="J155" s="235">
        <f>SUM(J156:J160)</f>
        <v>0</v>
      </c>
      <c r="K155" s="230" t="s">
        <v>154</v>
      </c>
      <c r="L155" s="235">
        <f>SUM(L156:L160)</f>
        <v>3.79E-3</v>
      </c>
      <c r="M155" s="243" t="s">
        <v>154</v>
      </c>
      <c r="AG155" s="230" t="s">
        <v>154</v>
      </c>
      <c r="AQ155" s="235">
        <f>SUM(AH156:AH160)</f>
        <v>0</v>
      </c>
      <c r="AR155" s="235">
        <f>SUM(AI156:AI160)</f>
        <v>0</v>
      </c>
      <c r="AS155" s="235">
        <f>SUM(AJ156:AJ160)</f>
        <v>0</v>
      </c>
    </row>
    <row r="156" spans="1:74" ht="14.4" x14ac:dyDescent="0.3">
      <c r="A156" s="239" t="s">
        <v>405</v>
      </c>
      <c r="B156" s="223" t="s">
        <v>531</v>
      </c>
      <c r="C156" s="521" t="s">
        <v>532</v>
      </c>
      <c r="D156" s="519"/>
      <c r="E156" s="223" t="s">
        <v>365</v>
      </c>
      <c r="F156" s="233">
        <v>2</v>
      </c>
      <c r="G156" s="311">
        <v>0</v>
      </c>
      <c r="H156" s="233">
        <f>F156*AM156</f>
        <v>0</v>
      </c>
      <c r="I156" s="233">
        <f>F156*AN156</f>
        <v>0</v>
      </c>
      <c r="J156" s="233">
        <f>F156*G156</f>
        <v>0</v>
      </c>
      <c r="K156" s="233">
        <v>6.2E-4</v>
      </c>
      <c r="L156" s="233">
        <f>F156*K156</f>
        <v>1.24E-3</v>
      </c>
      <c r="M156" s="240" t="s">
        <v>472</v>
      </c>
      <c r="X156" s="233">
        <f>IF(AO156="5",BH156,0)</f>
        <v>0</v>
      </c>
      <c r="Z156" s="233">
        <f>IF(AO156="1",BF156,0)</f>
        <v>0</v>
      </c>
      <c r="AA156" s="233">
        <f>IF(AO156="1",BG156,0)</f>
        <v>0</v>
      </c>
      <c r="AB156" s="233">
        <f>IF(AO156="7",BF156,0)</f>
        <v>0</v>
      </c>
      <c r="AC156" s="233">
        <f>IF(AO156="7",BG156,0)</f>
        <v>0</v>
      </c>
      <c r="AD156" s="233">
        <f>IF(AO156="2",BF156,0)</f>
        <v>0</v>
      </c>
      <c r="AE156" s="233">
        <f>IF(AO156="2",BG156,0)</f>
        <v>0</v>
      </c>
      <c r="AF156" s="233">
        <f>IF(AO156="0",BH156,0)</f>
        <v>0</v>
      </c>
      <c r="AG156" s="230" t="s">
        <v>154</v>
      </c>
      <c r="AH156" s="233">
        <f>IF(AL156=0,J156,0)</f>
        <v>0</v>
      </c>
      <c r="AI156" s="233">
        <f>IF(AL156=15,J156,0)</f>
        <v>0</v>
      </c>
      <c r="AJ156" s="233">
        <f>IF(AL156=21,J156,0)</f>
        <v>0</v>
      </c>
      <c r="AL156" s="233">
        <v>21</v>
      </c>
      <c r="AM156" s="233">
        <f>G156*0.310925368</f>
        <v>0</v>
      </c>
      <c r="AN156" s="233">
        <f>G156*(1-0.310925368)</f>
        <v>0</v>
      </c>
      <c r="AO156" s="234" t="s">
        <v>157</v>
      </c>
      <c r="AT156" s="233">
        <f>AU156+AV156</f>
        <v>0</v>
      </c>
      <c r="AU156" s="233">
        <f>F156*AM156</f>
        <v>0</v>
      </c>
      <c r="AV156" s="233">
        <f>F156*AN156</f>
        <v>0</v>
      </c>
      <c r="AW156" s="234" t="s">
        <v>533</v>
      </c>
      <c r="AX156" s="234" t="s">
        <v>356</v>
      </c>
      <c r="AY156" s="230" t="s">
        <v>164</v>
      </c>
      <c r="BA156" s="233">
        <f>AU156+AV156</f>
        <v>0</v>
      </c>
      <c r="BB156" s="233">
        <f>G156/(100-BC156)*100</f>
        <v>0</v>
      </c>
      <c r="BC156" s="233">
        <v>0</v>
      </c>
      <c r="BD156" s="233">
        <f>L156</f>
        <v>1.24E-3</v>
      </c>
      <c r="BF156" s="233">
        <f>F156*AM156</f>
        <v>0</v>
      </c>
      <c r="BG156" s="233">
        <f>F156*AN156</f>
        <v>0</v>
      </c>
      <c r="BH156" s="233">
        <f>F156*G156</f>
        <v>0</v>
      </c>
      <c r="BI156" s="233"/>
      <c r="BJ156" s="233">
        <v>85</v>
      </c>
      <c r="BU156" s="233" t="e">
        <f>#REF!</f>
        <v>#REF!</v>
      </c>
      <c r="BV156" s="225" t="s">
        <v>532</v>
      </c>
    </row>
    <row r="157" spans="1:74" ht="54" customHeight="1" x14ac:dyDescent="0.3">
      <c r="A157" s="244"/>
      <c r="B157" s="245" t="s">
        <v>165</v>
      </c>
      <c r="C157" s="540" t="s">
        <v>1445</v>
      </c>
      <c r="D157" s="541"/>
      <c r="E157" s="541"/>
      <c r="F157" s="541"/>
      <c r="G157" s="541"/>
      <c r="H157" s="541"/>
      <c r="I157" s="541"/>
      <c r="J157" s="541"/>
      <c r="K157" s="541"/>
      <c r="L157" s="541"/>
      <c r="M157" s="542"/>
    </row>
    <row r="158" spans="1:74" ht="14.4" x14ac:dyDescent="0.3">
      <c r="A158" s="237" t="s">
        <v>408</v>
      </c>
      <c r="B158" s="238" t="s">
        <v>534</v>
      </c>
      <c r="C158" s="543" t="s">
        <v>535</v>
      </c>
      <c r="D158" s="544"/>
      <c r="E158" s="238" t="s">
        <v>365</v>
      </c>
      <c r="F158" s="258">
        <v>3</v>
      </c>
      <c r="G158" s="311">
        <v>0</v>
      </c>
      <c r="H158" s="258">
        <f>F158*AM158</f>
        <v>0</v>
      </c>
      <c r="I158" s="258">
        <f>F158*AN158</f>
        <v>0</v>
      </c>
      <c r="J158" s="258">
        <f>F158*G158</f>
        <v>0</v>
      </c>
      <c r="K158" s="258">
        <v>4.0999999999999999E-4</v>
      </c>
      <c r="L158" s="258">
        <f>F158*K158</f>
        <v>1.23E-3</v>
      </c>
      <c r="M158" s="259" t="s">
        <v>472</v>
      </c>
      <c r="X158" s="233">
        <f>IF(AO158="5",BH158,0)</f>
        <v>0</v>
      </c>
      <c r="Z158" s="233">
        <f>IF(AO158="1",BF158,0)</f>
        <v>0</v>
      </c>
      <c r="AA158" s="233">
        <f>IF(AO158="1",BG158,0)</f>
        <v>0</v>
      </c>
      <c r="AB158" s="233">
        <f>IF(AO158="7",BF158,0)</f>
        <v>0</v>
      </c>
      <c r="AC158" s="233">
        <f>IF(AO158="7",BG158,0)</f>
        <v>0</v>
      </c>
      <c r="AD158" s="233">
        <f>IF(AO158="2",BF158,0)</f>
        <v>0</v>
      </c>
      <c r="AE158" s="233">
        <f>IF(AO158="2",BG158,0)</f>
        <v>0</v>
      </c>
      <c r="AF158" s="233">
        <f>IF(AO158="0",BH158,0)</f>
        <v>0</v>
      </c>
      <c r="AG158" s="230" t="s">
        <v>154</v>
      </c>
      <c r="AH158" s="233">
        <f>IF(AL158=0,J158,0)</f>
        <v>0</v>
      </c>
      <c r="AI158" s="233">
        <f>IF(AL158=15,J158,0)</f>
        <v>0</v>
      </c>
      <c r="AJ158" s="233">
        <f>IF(AL158=21,J158,0)</f>
        <v>0</v>
      </c>
      <c r="AL158" s="233">
        <v>21</v>
      </c>
      <c r="AM158" s="233">
        <f>G158*0.302760252</f>
        <v>0</v>
      </c>
      <c r="AN158" s="233">
        <f>G158*(1-0.302760252)</f>
        <v>0</v>
      </c>
      <c r="AO158" s="234" t="s">
        <v>157</v>
      </c>
      <c r="AT158" s="233">
        <f>AU158+AV158</f>
        <v>0</v>
      </c>
      <c r="AU158" s="233">
        <f>F158*AM158</f>
        <v>0</v>
      </c>
      <c r="AV158" s="233">
        <f>F158*AN158</f>
        <v>0</v>
      </c>
      <c r="AW158" s="234" t="s">
        <v>533</v>
      </c>
      <c r="AX158" s="234" t="s">
        <v>356</v>
      </c>
      <c r="AY158" s="230" t="s">
        <v>164</v>
      </c>
      <c r="BA158" s="233">
        <f>AU158+AV158</f>
        <v>0</v>
      </c>
      <c r="BB158" s="233">
        <f>G158/(100-BC158)*100</f>
        <v>0</v>
      </c>
      <c r="BC158" s="233">
        <v>0</v>
      </c>
      <c r="BD158" s="233">
        <f>L158</f>
        <v>1.23E-3</v>
      </c>
      <c r="BF158" s="233">
        <f>F158*AM158</f>
        <v>0</v>
      </c>
      <c r="BG158" s="233">
        <f>F158*AN158</f>
        <v>0</v>
      </c>
      <c r="BH158" s="233">
        <f>F158*G158</f>
        <v>0</v>
      </c>
      <c r="BI158" s="233"/>
      <c r="BJ158" s="233">
        <v>85</v>
      </c>
      <c r="BU158" s="233" t="e">
        <f>#REF!</f>
        <v>#REF!</v>
      </c>
      <c r="BV158" s="225" t="s">
        <v>535</v>
      </c>
    </row>
    <row r="159" spans="1:74" ht="40.5" customHeight="1" x14ac:dyDescent="0.3">
      <c r="A159" s="241"/>
      <c r="B159" s="242" t="s">
        <v>165</v>
      </c>
      <c r="C159" s="530" t="s">
        <v>1446</v>
      </c>
      <c r="D159" s="531"/>
      <c r="E159" s="531"/>
      <c r="F159" s="531"/>
      <c r="G159" s="531"/>
      <c r="H159" s="531"/>
      <c r="I159" s="531"/>
      <c r="J159" s="531"/>
      <c r="K159" s="531"/>
      <c r="L159" s="531"/>
      <c r="M159" s="532"/>
    </row>
    <row r="160" spans="1:74" ht="14.4" x14ac:dyDescent="0.3">
      <c r="A160" s="239" t="s">
        <v>413</v>
      </c>
      <c r="B160" s="223" t="s">
        <v>537</v>
      </c>
      <c r="C160" s="521" t="s">
        <v>538</v>
      </c>
      <c r="D160" s="519"/>
      <c r="E160" s="223" t="s">
        <v>365</v>
      </c>
      <c r="F160" s="233">
        <v>6</v>
      </c>
      <c r="G160" s="311">
        <v>0</v>
      </c>
      <c r="H160" s="233">
        <f>F160*AM160</f>
        <v>0</v>
      </c>
      <c r="I160" s="233">
        <f>F160*AN160</f>
        <v>0</v>
      </c>
      <c r="J160" s="233">
        <f>F160*G160</f>
        <v>0</v>
      </c>
      <c r="K160" s="233">
        <v>2.2000000000000001E-4</v>
      </c>
      <c r="L160" s="233">
        <f>F160*K160</f>
        <v>1.32E-3</v>
      </c>
      <c r="M160" s="240" t="s">
        <v>472</v>
      </c>
      <c r="X160" s="233">
        <f>IF(AO160="5",BH160,0)</f>
        <v>0</v>
      </c>
      <c r="Z160" s="233">
        <f>IF(AO160="1",BF160,0)</f>
        <v>0</v>
      </c>
      <c r="AA160" s="233">
        <f>IF(AO160="1",BG160,0)</f>
        <v>0</v>
      </c>
      <c r="AB160" s="233">
        <f>IF(AO160="7",BF160,0)</f>
        <v>0</v>
      </c>
      <c r="AC160" s="233">
        <f>IF(AO160="7",BG160,0)</f>
        <v>0</v>
      </c>
      <c r="AD160" s="233">
        <f>IF(AO160="2",BF160,0)</f>
        <v>0</v>
      </c>
      <c r="AE160" s="233">
        <f>IF(AO160="2",BG160,0)</f>
        <v>0</v>
      </c>
      <c r="AF160" s="233">
        <f>IF(AO160="0",BH160,0)</f>
        <v>0</v>
      </c>
      <c r="AG160" s="230" t="s">
        <v>154</v>
      </c>
      <c r="AH160" s="233">
        <f>IF(AL160=0,J160,0)</f>
        <v>0</v>
      </c>
      <c r="AI160" s="233">
        <f>IF(AL160=15,J160,0)</f>
        <v>0</v>
      </c>
      <c r="AJ160" s="233">
        <f>IF(AL160=21,J160,0)</f>
        <v>0</v>
      </c>
      <c r="AL160" s="233">
        <v>21</v>
      </c>
      <c r="AM160" s="233">
        <f>G160*0.21</f>
        <v>0</v>
      </c>
      <c r="AN160" s="233">
        <f>G160*(1-0.21)</f>
        <v>0</v>
      </c>
      <c r="AO160" s="234" t="s">
        <v>157</v>
      </c>
      <c r="AT160" s="233">
        <f>AU160+AV160</f>
        <v>0</v>
      </c>
      <c r="AU160" s="233">
        <f>F160*AM160</f>
        <v>0</v>
      </c>
      <c r="AV160" s="233">
        <f>F160*AN160</f>
        <v>0</v>
      </c>
      <c r="AW160" s="234" t="s">
        <v>533</v>
      </c>
      <c r="AX160" s="234" t="s">
        <v>356</v>
      </c>
      <c r="AY160" s="230" t="s">
        <v>164</v>
      </c>
      <c r="BA160" s="233">
        <f>AU160+AV160</f>
        <v>0</v>
      </c>
      <c r="BB160" s="233">
        <f>G160/(100-BC160)*100</f>
        <v>0</v>
      </c>
      <c r="BC160" s="233">
        <v>0</v>
      </c>
      <c r="BD160" s="233">
        <f>L160</f>
        <v>1.32E-3</v>
      </c>
      <c r="BF160" s="233">
        <f>F160*AM160</f>
        <v>0</v>
      </c>
      <c r="BG160" s="233">
        <f>F160*AN160</f>
        <v>0</v>
      </c>
      <c r="BH160" s="233">
        <f>F160*G160</f>
        <v>0</v>
      </c>
      <c r="BI160" s="233"/>
      <c r="BJ160" s="233">
        <v>85</v>
      </c>
      <c r="BU160" s="233" t="e">
        <f>#REF!</f>
        <v>#REF!</v>
      </c>
      <c r="BV160" s="225" t="s">
        <v>538</v>
      </c>
    </row>
    <row r="161" spans="1:74" ht="40.5" customHeight="1" x14ac:dyDescent="0.3">
      <c r="A161" s="241"/>
      <c r="B161" s="242" t="s">
        <v>165</v>
      </c>
      <c r="C161" s="530" t="s">
        <v>1446</v>
      </c>
      <c r="D161" s="531"/>
      <c r="E161" s="531"/>
      <c r="F161" s="531"/>
      <c r="G161" s="531"/>
      <c r="H161" s="531"/>
      <c r="I161" s="531"/>
      <c r="J161" s="531"/>
      <c r="K161" s="531"/>
      <c r="L161" s="531"/>
      <c r="M161" s="532"/>
    </row>
    <row r="162" spans="1:74" ht="14.4" x14ac:dyDescent="0.3">
      <c r="A162" s="239" t="s">
        <v>154</v>
      </c>
      <c r="B162" s="224" t="s">
        <v>539</v>
      </c>
      <c r="C162" s="526" t="s">
        <v>540</v>
      </c>
      <c r="D162" s="527"/>
      <c r="E162" s="223" t="s">
        <v>114</v>
      </c>
      <c r="F162" s="223" t="s">
        <v>114</v>
      </c>
      <c r="G162" s="223" t="s">
        <v>114</v>
      </c>
      <c r="H162" s="235">
        <f>SUM(H163:H173)</f>
        <v>0</v>
      </c>
      <c r="I162" s="235">
        <f>SUM(I163:I173)</f>
        <v>0</v>
      </c>
      <c r="J162" s="235">
        <f>SUM(J163:J173)</f>
        <v>0</v>
      </c>
      <c r="K162" s="230" t="s">
        <v>154</v>
      </c>
      <c r="L162" s="235">
        <f>SUM(L163:L173)</f>
        <v>0</v>
      </c>
      <c r="M162" s="243" t="s">
        <v>154</v>
      </c>
      <c r="AG162" s="230" t="s">
        <v>154</v>
      </c>
      <c r="AQ162" s="235">
        <f>SUM(AH163:AH173)</f>
        <v>0</v>
      </c>
      <c r="AR162" s="235">
        <f>SUM(AI163:AI173)</f>
        <v>0</v>
      </c>
      <c r="AS162" s="235">
        <f>SUM(AJ163:AJ173)</f>
        <v>0</v>
      </c>
    </row>
    <row r="163" spans="1:74" ht="14.4" x14ac:dyDescent="0.3">
      <c r="A163" s="239" t="s">
        <v>419</v>
      </c>
      <c r="B163" s="223" t="s">
        <v>541</v>
      </c>
      <c r="C163" s="521" t="s">
        <v>542</v>
      </c>
      <c r="D163" s="519"/>
      <c r="E163" s="223" t="s">
        <v>160</v>
      </c>
      <c r="F163" s="233">
        <v>12</v>
      </c>
      <c r="G163" s="311">
        <v>0</v>
      </c>
      <c r="H163" s="233">
        <f>F163*AM163</f>
        <v>0</v>
      </c>
      <c r="I163" s="233">
        <f>F163*AN163</f>
        <v>0</v>
      </c>
      <c r="J163" s="233">
        <f>F163*G163</f>
        <v>0</v>
      </c>
      <c r="K163" s="233">
        <v>0</v>
      </c>
      <c r="L163" s="233">
        <f>F163*K163</f>
        <v>0</v>
      </c>
      <c r="M163" s="240" t="s">
        <v>472</v>
      </c>
      <c r="X163" s="233">
        <f>IF(AO163="5",BH163,0)</f>
        <v>0</v>
      </c>
      <c r="Z163" s="233">
        <f>IF(AO163="1",BF163,0)</f>
        <v>0</v>
      </c>
      <c r="AA163" s="233">
        <f>IF(AO163="1",BG163,0)</f>
        <v>0</v>
      </c>
      <c r="AB163" s="233">
        <f>IF(AO163="7",BF163,0)</f>
        <v>0</v>
      </c>
      <c r="AC163" s="233">
        <f>IF(AO163="7",BG163,0)</f>
        <v>0</v>
      </c>
      <c r="AD163" s="233">
        <f>IF(AO163="2",BF163,0)</f>
        <v>0</v>
      </c>
      <c r="AE163" s="233">
        <f>IF(AO163="2",BG163,0)</f>
        <v>0</v>
      </c>
      <c r="AF163" s="233">
        <f>IF(AO163="0",BH163,0)</f>
        <v>0</v>
      </c>
      <c r="AG163" s="230" t="s">
        <v>154</v>
      </c>
      <c r="AH163" s="233">
        <f>IF(AL163=0,J163,0)</f>
        <v>0</v>
      </c>
      <c r="AI163" s="233">
        <f>IF(AL163=15,J163,0)</f>
        <v>0</v>
      </c>
      <c r="AJ163" s="233">
        <f>IF(AL163=21,J163,0)</f>
        <v>0</v>
      </c>
      <c r="AL163" s="233">
        <v>21</v>
      </c>
      <c r="AM163" s="233">
        <f>G163*0</f>
        <v>0</v>
      </c>
      <c r="AN163" s="233">
        <f>G163*(1-0)</f>
        <v>0</v>
      </c>
      <c r="AO163" s="234" t="s">
        <v>157</v>
      </c>
      <c r="AT163" s="233">
        <f>AU163+AV163</f>
        <v>0</v>
      </c>
      <c r="AU163" s="233">
        <f>F163*AM163</f>
        <v>0</v>
      </c>
      <c r="AV163" s="233">
        <f>F163*AN163</f>
        <v>0</v>
      </c>
      <c r="AW163" s="234" t="s">
        <v>543</v>
      </c>
      <c r="AX163" s="234" t="s">
        <v>356</v>
      </c>
      <c r="AY163" s="230" t="s">
        <v>164</v>
      </c>
      <c r="BA163" s="233">
        <f>AU163+AV163</f>
        <v>0</v>
      </c>
      <c r="BB163" s="233">
        <f>G163/(100-BC163)*100</f>
        <v>0</v>
      </c>
      <c r="BC163" s="233">
        <v>0</v>
      </c>
      <c r="BD163" s="233">
        <f>L163</f>
        <v>0</v>
      </c>
      <c r="BF163" s="233">
        <f>F163*AM163</f>
        <v>0</v>
      </c>
      <c r="BG163" s="233">
        <f>F163*AN163</f>
        <v>0</v>
      </c>
      <c r="BH163" s="233">
        <f>F163*G163</f>
        <v>0</v>
      </c>
      <c r="BI163" s="233"/>
      <c r="BJ163" s="233">
        <v>87</v>
      </c>
      <c r="BU163" s="233" t="e">
        <f>#REF!</f>
        <v>#REF!</v>
      </c>
      <c r="BV163" s="225" t="s">
        <v>542</v>
      </c>
    </row>
    <row r="164" spans="1:74" ht="54" customHeight="1" x14ac:dyDescent="0.3">
      <c r="A164" s="241"/>
      <c r="B164" s="242" t="s">
        <v>165</v>
      </c>
      <c r="C164" s="530" t="s">
        <v>1447</v>
      </c>
      <c r="D164" s="531"/>
      <c r="E164" s="531"/>
      <c r="F164" s="531"/>
      <c r="G164" s="531"/>
      <c r="H164" s="531"/>
      <c r="I164" s="531"/>
      <c r="J164" s="531"/>
      <c r="K164" s="531"/>
      <c r="L164" s="531"/>
      <c r="M164" s="532"/>
    </row>
    <row r="165" spans="1:74" ht="14.4" x14ac:dyDescent="0.3">
      <c r="A165" s="239" t="s">
        <v>548</v>
      </c>
      <c r="B165" s="223" t="s">
        <v>545</v>
      </c>
      <c r="C165" s="521" t="s">
        <v>546</v>
      </c>
      <c r="D165" s="519"/>
      <c r="E165" s="223" t="s">
        <v>160</v>
      </c>
      <c r="F165" s="233">
        <v>5</v>
      </c>
      <c r="G165" s="311">
        <v>0</v>
      </c>
      <c r="H165" s="233">
        <f>F165*AM165</f>
        <v>0</v>
      </c>
      <c r="I165" s="233">
        <f>F165*AN165</f>
        <v>0</v>
      </c>
      <c r="J165" s="233">
        <f>F165*G165</f>
        <v>0</v>
      </c>
      <c r="K165" s="233">
        <v>0</v>
      </c>
      <c r="L165" s="233">
        <f>F165*K165</f>
        <v>0</v>
      </c>
      <c r="M165" s="240" t="s">
        <v>472</v>
      </c>
      <c r="X165" s="233">
        <f>IF(AO165="5",BH165,0)</f>
        <v>0</v>
      </c>
      <c r="Z165" s="233">
        <f>IF(AO165="1",BF165,0)</f>
        <v>0</v>
      </c>
      <c r="AA165" s="233">
        <f>IF(AO165="1",BG165,0)</f>
        <v>0</v>
      </c>
      <c r="AB165" s="233">
        <f>IF(AO165="7",BF165,0)</f>
        <v>0</v>
      </c>
      <c r="AC165" s="233">
        <f>IF(AO165="7",BG165,0)</f>
        <v>0</v>
      </c>
      <c r="AD165" s="233">
        <f>IF(AO165="2",BF165,0)</f>
        <v>0</v>
      </c>
      <c r="AE165" s="233">
        <f>IF(AO165="2",BG165,0)</f>
        <v>0</v>
      </c>
      <c r="AF165" s="233">
        <f>IF(AO165="0",BH165,0)</f>
        <v>0</v>
      </c>
      <c r="AG165" s="230" t="s">
        <v>154</v>
      </c>
      <c r="AH165" s="233">
        <f>IF(AL165=0,J165,0)</f>
        <v>0</v>
      </c>
      <c r="AI165" s="233">
        <f>IF(AL165=15,J165,0)</f>
        <v>0</v>
      </c>
      <c r="AJ165" s="233">
        <f>IF(AL165=21,J165,0)</f>
        <v>0</v>
      </c>
      <c r="AL165" s="233">
        <v>21</v>
      </c>
      <c r="AM165" s="233">
        <f>G165*0</f>
        <v>0</v>
      </c>
      <c r="AN165" s="233">
        <f>G165*(1-0)</f>
        <v>0</v>
      </c>
      <c r="AO165" s="234" t="s">
        <v>157</v>
      </c>
      <c r="AT165" s="233">
        <f>AU165+AV165</f>
        <v>0</v>
      </c>
      <c r="AU165" s="233">
        <f>F165*AM165</f>
        <v>0</v>
      </c>
      <c r="AV165" s="233">
        <f>F165*AN165</f>
        <v>0</v>
      </c>
      <c r="AW165" s="234" t="s">
        <v>543</v>
      </c>
      <c r="AX165" s="234" t="s">
        <v>356</v>
      </c>
      <c r="AY165" s="230" t="s">
        <v>164</v>
      </c>
      <c r="BA165" s="233">
        <f>AU165+AV165</f>
        <v>0</v>
      </c>
      <c r="BB165" s="233">
        <f>G165/(100-BC165)*100</f>
        <v>0</v>
      </c>
      <c r="BC165" s="233">
        <v>0</v>
      </c>
      <c r="BD165" s="233">
        <f>L165</f>
        <v>0</v>
      </c>
      <c r="BF165" s="233">
        <f>F165*AM165</f>
        <v>0</v>
      </c>
      <c r="BG165" s="233">
        <f>F165*AN165</f>
        <v>0</v>
      </c>
      <c r="BH165" s="233">
        <f>F165*G165</f>
        <v>0</v>
      </c>
      <c r="BI165" s="233"/>
      <c r="BJ165" s="233">
        <v>87</v>
      </c>
      <c r="BU165" s="233" t="e">
        <f>#REF!</f>
        <v>#REF!</v>
      </c>
      <c r="BV165" s="225" t="s">
        <v>546</v>
      </c>
    </row>
    <row r="166" spans="1:74" ht="54" customHeight="1" x14ac:dyDescent="0.3">
      <c r="A166" s="241"/>
      <c r="B166" s="242" t="s">
        <v>165</v>
      </c>
      <c r="C166" s="530" t="s">
        <v>1448</v>
      </c>
      <c r="D166" s="531"/>
      <c r="E166" s="531"/>
      <c r="F166" s="531"/>
      <c r="G166" s="531"/>
      <c r="H166" s="531"/>
      <c r="I166" s="531"/>
      <c r="J166" s="531"/>
      <c r="K166" s="531"/>
      <c r="L166" s="531"/>
      <c r="M166" s="532"/>
    </row>
    <row r="167" spans="1:74" ht="14.4" x14ac:dyDescent="0.3">
      <c r="A167" s="239" t="s">
        <v>551</v>
      </c>
      <c r="B167" s="223" t="s">
        <v>549</v>
      </c>
      <c r="C167" s="521" t="s">
        <v>550</v>
      </c>
      <c r="D167" s="519"/>
      <c r="E167" s="223" t="s">
        <v>160</v>
      </c>
      <c r="F167" s="233">
        <v>441</v>
      </c>
      <c r="G167" s="311">
        <v>0</v>
      </c>
      <c r="H167" s="233">
        <f>F167*AM167</f>
        <v>0</v>
      </c>
      <c r="I167" s="233">
        <f>F167*AN167</f>
        <v>0</v>
      </c>
      <c r="J167" s="233">
        <f>F167*G167</f>
        <v>0</v>
      </c>
      <c r="K167" s="233">
        <v>0</v>
      </c>
      <c r="L167" s="233">
        <f>F167*K167</f>
        <v>0</v>
      </c>
      <c r="M167" s="240" t="s">
        <v>472</v>
      </c>
      <c r="X167" s="233">
        <f>IF(AO167="5",BH167,0)</f>
        <v>0</v>
      </c>
      <c r="Z167" s="233">
        <f>IF(AO167="1",BF167,0)</f>
        <v>0</v>
      </c>
      <c r="AA167" s="233">
        <f>IF(AO167="1",BG167,0)</f>
        <v>0</v>
      </c>
      <c r="AB167" s="233">
        <f>IF(AO167="7",BF167,0)</f>
        <v>0</v>
      </c>
      <c r="AC167" s="233">
        <f>IF(AO167="7",BG167,0)</f>
        <v>0</v>
      </c>
      <c r="AD167" s="233">
        <f>IF(AO167="2",BF167,0)</f>
        <v>0</v>
      </c>
      <c r="AE167" s="233">
        <f>IF(AO167="2",BG167,0)</f>
        <v>0</v>
      </c>
      <c r="AF167" s="233">
        <f>IF(AO167="0",BH167,0)</f>
        <v>0</v>
      </c>
      <c r="AG167" s="230" t="s">
        <v>154</v>
      </c>
      <c r="AH167" s="233">
        <f>IF(AL167=0,J167,0)</f>
        <v>0</v>
      </c>
      <c r="AI167" s="233">
        <f>IF(AL167=15,J167,0)</f>
        <v>0</v>
      </c>
      <c r="AJ167" s="233">
        <f>IF(AL167=21,J167,0)</f>
        <v>0</v>
      </c>
      <c r="AL167" s="233">
        <v>21</v>
      </c>
      <c r="AM167" s="233">
        <f>G167*0</f>
        <v>0</v>
      </c>
      <c r="AN167" s="233">
        <f>G167*(1-0)</f>
        <v>0</v>
      </c>
      <c r="AO167" s="234" t="s">
        <v>157</v>
      </c>
      <c r="AT167" s="233">
        <f>AU167+AV167</f>
        <v>0</v>
      </c>
      <c r="AU167" s="233">
        <f>F167*AM167</f>
        <v>0</v>
      </c>
      <c r="AV167" s="233">
        <f>F167*AN167</f>
        <v>0</v>
      </c>
      <c r="AW167" s="234" t="s">
        <v>543</v>
      </c>
      <c r="AX167" s="234" t="s">
        <v>356</v>
      </c>
      <c r="AY167" s="230" t="s">
        <v>164</v>
      </c>
      <c r="BA167" s="233">
        <f>AU167+AV167</f>
        <v>0</v>
      </c>
      <c r="BB167" s="233">
        <f>G167/(100-BC167)*100</f>
        <v>0</v>
      </c>
      <c r="BC167" s="233">
        <v>0</v>
      </c>
      <c r="BD167" s="233">
        <f>L167</f>
        <v>0</v>
      </c>
      <c r="BF167" s="233">
        <f>F167*AM167</f>
        <v>0</v>
      </c>
      <c r="BG167" s="233">
        <f>F167*AN167</f>
        <v>0</v>
      </c>
      <c r="BH167" s="233">
        <f>F167*G167</f>
        <v>0</v>
      </c>
      <c r="BI167" s="233"/>
      <c r="BJ167" s="233">
        <v>87</v>
      </c>
      <c r="BU167" s="233" t="e">
        <f>#REF!</f>
        <v>#REF!</v>
      </c>
      <c r="BV167" s="225" t="s">
        <v>550</v>
      </c>
    </row>
    <row r="168" spans="1:74" ht="54" customHeight="1" x14ac:dyDescent="0.3">
      <c r="A168" s="241"/>
      <c r="B168" s="242" t="s">
        <v>165</v>
      </c>
      <c r="C168" s="530" t="s">
        <v>1449</v>
      </c>
      <c r="D168" s="531"/>
      <c r="E168" s="531"/>
      <c r="F168" s="531"/>
      <c r="G168" s="531"/>
      <c r="H168" s="531"/>
      <c r="I168" s="531"/>
      <c r="J168" s="531"/>
      <c r="K168" s="531"/>
      <c r="L168" s="531"/>
      <c r="M168" s="532"/>
    </row>
    <row r="169" spans="1:74" ht="14.4" x14ac:dyDescent="0.3">
      <c r="A169" s="239" t="s">
        <v>555</v>
      </c>
      <c r="B169" s="223" t="s">
        <v>552</v>
      </c>
      <c r="C169" s="521" t="s">
        <v>553</v>
      </c>
      <c r="D169" s="519"/>
      <c r="E169" s="223" t="s">
        <v>160</v>
      </c>
      <c r="F169" s="233">
        <v>4</v>
      </c>
      <c r="G169" s="311">
        <v>0</v>
      </c>
      <c r="H169" s="233">
        <f>F169*AM169</f>
        <v>0</v>
      </c>
      <c r="I169" s="233">
        <f>F169*AN169</f>
        <v>0</v>
      </c>
      <c r="J169" s="233">
        <f>F169*G169</f>
        <v>0</v>
      </c>
      <c r="K169" s="233">
        <v>0</v>
      </c>
      <c r="L169" s="233">
        <f>F169*K169</f>
        <v>0</v>
      </c>
      <c r="M169" s="240" t="s">
        <v>472</v>
      </c>
      <c r="X169" s="233">
        <f>IF(AO169="5",BH169,0)</f>
        <v>0</v>
      </c>
      <c r="Z169" s="233">
        <f>IF(AO169="1",BF169,0)</f>
        <v>0</v>
      </c>
      <c r="AA169" s="233">
        <f>IF(AO169="1",BG169,0)</f>
        <v>0</v>
      </c>
      <c r="AB169" s="233">
        <f>IF(AO169="7",BF169,0)</f>
        <v>0</v>
      </c>
      <c r="AC169" s="233">
        <f>IF(AO169="7",BG169,0)</f>
        <v>0</v>
      </c>
      <c r="AD169" s="233">
        <f>IF(AO169="2",BF169,0)</f>
        <v>0</v>
      </c>
      <c r="AE169" s="233">
        <f>IF(AO169="2",BG169,0)</f>
        <v>0</v>
      </c>
      <c r="AF169" s="233">
        <f>IF(AO169="0",BH169,0)</f>
        <v>0</v>
      </c>
      <c r="AG169" s="230" t="s">
        <v>154</v>
      </c>
      <c r="AH169" s="233">
        <f>IF(AL169=0,J169,0)</f>
        <v>0</v>
      </c>
      <c r="AI169" s="233">
        <f>IF(AL169=15,J169,0)</f>
        <v>0</v>
      </c>
      <c r="AJ169" s="233">
        <f>IF(AL169=21,J169,0)</f>
        <v>0</v>
      </c>
      <c r="AL169" s="233">
        <v>21</v>
      </c>
      <c r="AM169" s="233">
        <f>G169*0</f>
        <v>0</v>
      </c>
      <c r="AN169" s="233">
        <f>G169*(1-0)</f>
        <v>0</v>
      </c>
      <c r="AO169" s="234" t="s">
        <v>157</v>
      </c>
      <c r="AT169" s="233">
        <f>AU169+AV169</f>
        <v>0</v>
      </c>
      <c r="AU169" s="233">
        <f>F169*AM169</f>
        <v>0</v>
      </c>
      <c r="AV169" s="233">
        <f>F169*AN169</f>
        <v>0</v>
      </c>
      <c r="AW169" s="234" t="s">
        <v>543</v>
      </c>
      <c r="AX169" s="234" t="s">
        <v>356</v>
      </c>
      <c r="AY169" s="230" t="s">
        <v>164</v>
      </c>
      <c r="BA169" s="233">
        <f>AU169+AV169</f>
        <v>0</v>
      </c>
      <c r="BB169" s="233">
        <f>G169/(100-BC169)*100</f>
        <v>0</v>
      </c>
      <c r="BC169" s="233">
        <v>0</v>
      </c>
      <c r="BD169" s="233">
        <f>L169</f>
        <v>0</v>
      </c>
      <c r="BF169" s="233">
        <f>F169*AM169</f>
        <v>0</v>
      </c>
      <c r="BG169" s="233">
        <f>F169*AN169</f>
        <v>0</v>
      </c>
      <c r="BH169" s="233">
        <f>F169*G169</f>
        <v>0</v>
      </c>
      <c r="BI169" s="233"/>
      <c r="BJ169" s="233">
        <v>87</v>
      </c>
      <c r="BU169" s="233" t="e">
        <f>#REF!</f>
        <v>#REF!</v>
      </c>
      <c r="BV169" s="225" t="s">
        <v>553</v>
      </c>
    </row>
    <row r="170" spans="1:74" ht="54" customHeight="1" x14ac:dyDescent="0.3">
      <c r="A170" s="241"/>
      <c r="B170" s="242" t="s">
        <v>165</v>
      </c>
      <c r="C170" s="530" t="s">
        <v>1450</v>
      </c>
      <c r="D170" s="531"/>
      <c r="E170" s="531"/>
      <c r="F170" s="531"/>
      <c r="G170" s="531"/>
      <c r="H170" s="531"/>
      <c r="I170" s="531"/>
      <c r="J170" s="531"/>
      <c r="K170" s="531"/>
      <c r="L170" s="531"/>
      <c r="M170" s="532"/>
    </row>
    <row r="171" spans="1:74" ht="14.4" x14ac:dyDescent="0.3">
      <c r="A171" s="239" t="s">
        <v>559</v>
      </c>
      <c r="B171" s="223" t="s">
        <v>556</v>
      </c>
      <c r="C171" s="521" t="s">
        <v>557</v>
      </c>
      <c r="D171" s="519"/>
      <c r="E171" s="223" t="s">
        <v>365</v>
      </c>
      <c r="F171" s="233">
        <v>49</v>
      </c>
      <c r="G171" s="311">
        <v>0</v>
      </c>
      <c r="H171" s="233">
        <f>F171*AM171</f>
        <v>0</v>
      </c>
      <c r="I171" s="233">
        <f>F171*AN171</f>
        <v>0</v>
      </c>
      <c r="J171" s="233">
        <f>F171*G171</f>
        <v>0</v>
      </c>
      <c r="K171" s="233">
        <v>0</v>
      </c>
      <c r="L171" s="233">
        <f>F171*K171</f>
        <v>0</v>
      </c>
      <c r="M171" s="240" t="s">
        <v>472</v>
      </c>
      <c r="X171" s="233">
        <f>IF(AO171="5",BH171,0)</f>
        <v>0</v>
      </c>
      <c r="Z171" s="233">
        <f>IF(AO171="1",BF171,0)</f>
        <v>0</v>
      </c>
      <c r="AA171" s="233">
        <f>IF(AO171="1",BG171,0)</f>
        <v>0</v>
      </c>
      <c r="AB171" s="233">
        <f>IF(AO171="7",BF171,0)</f>
        <v>0</v>
      </c>
      <c r="AC171" s="233">
        <f>IF(AO171="7",BG171,0)</f>
        <v>0</v>
      </c>
      <c r="AD171" s="233">
        <f>IF(AO171="2",BF171,0)</f>
        <v>0</v>
      </c>
      <c r="AE171" s="233">
        <f>IF(AO171="2",BG171,0)</f>
        <v>0</v>
      </c>
      <c r="AF171" s="233">
        <f>IF(AO171="0",BH171,0)</f>
        <v>0</v>
      </c>
      <c r="AG171" s="230" t="s">
        <v>154</v>
      </c>
      <c r="AH171" s="233">
        <f>IF(AL171=0,J171,0)</f>
        <v>0</v>
      </c>
      <c r="AI171" s="233">
        <f>IF(AL171=15,J171,0)</f>
        <v>0</v>
      </c>
      <c r="AJ171" s="233">
        <f>IF(AL171=21,J171,0)</f>
        <v>0</v>
      </c>
      <c r="AL171" s="233">
        <v>21</v>
      </c>
      <c r="AM171" s="233">
        <f>G171*0</f>
        <v>0</v>
      </c>
      <c r="AN171" s="233">
        <f>G171*(1-0)</f>
        <v>0</v>
      </c>
      <c r="AO171" s="234" t="s">
        <v>157</v>
      </c>
      <c r="AT171" s="233">
        <f>AU171+AV171</f>
        <v>0</v>
      </c>
      <c r="AU171" s="233">
        <f>F171*AM171</f>
        <v>0</v>
      </c>
      <c r="AV171" s="233">
        <f>F171*AN171</f>
        <v>0</v>
      </c>
      <c r="AW171" s="234" t="s">
        <v>543</v>
      </c>
      <c r="AX171" s="234" t="s">
        <v>356</v>
      </c>
      <c r="AY171" s="230" t="s">
        <v>164</v>
      </c>
      <c r="BA171" s="233">
        <f>AU171+AV171</f>
        <v>0</v>
      </c>
      <c r="BB171" s="233">
        <f>G171/(100-BC171)*100</f>
        <v>0</v>
      </c>
      <c r="BC171" s="233">
        <v>0</v>
      </c>
      <c r="BD171" s="233">
        <f>L171</f>
        <v>0</v>
      </c>
      <c r="BF171" s="233">
        <f>F171*AM171</f>
        <v>0</v>
      </c>
      <c r="BG171" s="233">
        <f>F171*AN171</f>
        <v>0</v>
      </c>
      <c r="BH171" s="233">
        <f>F171*G171</f>
        <v>0</v>
      </c>
      <c r="BI171" s="233"/>
      <c r="BJ171" s="233">
        <v>87</v>
      </c>
      <c r="BU171" s="233" t="e">
        <f>#REF!</f>
        <v>#REF!</v>
      </c>
      <c r="BV171" s="225" t="s">
        <v>557</v>
      </c>
    </row>
    <row r="172" spans="1:74" ht="27" customHeight="1" x14ac:dyDescent="0.3">
      <c r="A172" s="241"/>
      <c r="B172" s="242" t="s">
        <v>165</v>
      </c>
      <c r="C172" s="530" t="s">
        <v>1451</v>
      </c>
      <c r="D172" s="531"/>
      <c r="E172" s="531"/>
      <c r="F172" s="531"/>
      <c r="G172" s="531"/>
      <c r="H172" s="531"/>
      <c r="I172" s="531"/>
      <c r="J172" s="531"/>
      <c r="K172" s="531"/>
      <c r="L172" s="531"/>
      <c r="M172" s="532"/>
    </row>
    <row r="173" spans="1:74" ht="14.4" x14ac:dyDescent="0.3">
      <c r="A173" s="239" t="s">
        <v>562</v>
      </c>
      <c r="B173" s="223" t="s">
        <v>560</v>
      </c>
      <c r="C173" s="521" t="s">
        <v>561</v>
      </c>
      <c r="D173" s="519"/>
      <c r="E173" s="223" t="s">
        <v>365</v>
      </c>
      <c r="F173" s="233">
        <v>5</v>
      </c>
      <c r="G173" s="311">
        <v>0</v>
      </c>
      <c r="H173" s="233">
        <f>F173*AM173</f>
        <v>0</v>
      </c>
      <c r="I173" s="233">
        <f>F173*AN173</f>
        <v>0</v>
      </c>
      <c r="J173" s="233">
        <f>F173*G173</f>
        <v>0</v>
      </c>
      <c r="K173" s="233">
        <v>0</v>
      </c>
      <c r="L173" s="233">
        <f>F173*K173</f>
        <v>0</v>
      </c>
      <c r="M173" s="240" t="s">
        <v>472</v>
      </c>
      <c r="X173" s="233">
        <f>IF(AO173="5",BH173,0)</f>
        <v>0</v>
      </c>
      <c r="Z173" s="233">
        <f>IF(AO173="1",BF173,0)</f>
        <v>0</v>
      </c>
      <c r="AA173" s="233">
        <f>IF(AO173="1",BG173,0)</f>
        <v>0</v>
      </c>
      <c r="AB173" s="233">
        <f>IF(AO173="7",BF173,0)</f>
        <v>0</v>
      </c>
      <c r="AC173" s="233">
        <f>IF(AO173="7",BG173,0)</f>
        <v>0</v>
      </c>
      <c r="AD173" s="233">
        <f>IF(AO173="2",BF173,0)</f>
        <v>0</v>
      </c>
      <c r="AE173" s="233">
        <f>IF(AO173="2",BG173,0)</f>
        <v>0</v>
      </c>
      <c r="AF173" s="233">
        <f>IF(AO173="0",BH173,0)</f>
        <v>0</v>
      </c>
      <c r="AG173" s="230" t="s">
        <v>154</v>
      </c>
      <c r="AH173" s="233">
        <f>IF(AL173=0,J173,0)</f>
        <v>0</v>
      </c>
      <c r="AI173" s="233">
        <f>IF(AL173=15,J173,0)</f>
        <v>0</v>
      </c>
      <c r="AJ173" s="233">
        <f>IF(AL173=21,J173,0)</f>
        <v>0</v>
      </c>
      <c r="AL173" s="233">
        <v>21</v>
      </c>
      <c r="AM173" s="233">
        <f>G173*0</f>
        <v>0</v>
      </c>
      <c r="AN173" s="233">
        <f>G173*(1-0)</f>
        <v>0</v>
      </c>
      <c r="AO173" s="234" t="s">
        <v>157</v>
      </c>
      <c r="AT173" s="233">
        <f>AU173+AV173</f>
        <v>0</v>
      </c>
      <c r="AU173" s="233">
        <f>F173*AM173</f>
        <v>0</v>
      </c>
      <c r="AV173" s="233">
        <f>F173*AN173</f>
        <v>0</v>
      </c>
      <c r="AW173" s="234" t="s">
        <v>543</v>
      </c>
      <c r="AX173" s="234" t="s">
        <v>356</v>
      </c>
      <c r="AY173" s="230" t="s">
        <v>164</v>
      </c>
      <c r="BA173" s="233">
        <f>AU173+AV173</f>
        <v>0</v>
      </c>
      <c r="BB173" s="233">
        <f>G173/(100-BC173)*100</f>
        <v>0</v>
      </c>
      <c r="BC173" s="233">
        <v>0</v>
      </c>
      <c r="BD173" s="233">
        <f>L173</f>
        <v>0</v>
      </c>
      <c r="BF173" s="233">
        <f>F173*AM173</f>
        <v>0</v>
      </c>
      <c r="BG173" s="233">
        <f>F173*AN173</f>
        <v>0</v>
      </c>
      <c r="BH173" s="233">
        <f>F173*G173</f>
        <v>0</v>
      </c>
      <c r="BI173" s="233"/>
      <c r="BJ173" s="233">
        <v>87</v>
      </c>
      <c r="BU173" s="233" t="e">
        <f>#REF!</f>
        <v>#REF!</v>
      </c>
      <c r="BV173" s="225" t="s">
        <v>561</v>
      </c>
    </row>
    <row r="174" spans="1:74" ht="27" customHeight="1" x14ac:dyDescent="0.3">
      <c r="A174" s="241"/>
      <c r="B174" s="242" t="s">
        <v>165</v>
      </c>
      <c r="C174" s="530" t="s">
        <v>1451</v>
      </c>
      <c r="D174" s="531"/>
      <c r="E174" s="531"/>
      <c r="F174" s="531"/>
      <c r="G174" s="531"/>
      <c r="H174" s="531"/>
      <c r="I174" s="531"/>
      <c r="J174" s="531"/>
      <c r="K174" s="531"/>
      <c r="L174" s="531"/>
      <c r="M174" s="532"/>
    </row>
    <row r="175" spans="1:74" ht="14.4" x14ac:dyDescent="0.3">
      <c r="A175" s="239" t="s">
        <v>154</v>
      </c>
      <c r="B175" s="224" t="s">
        <v>360</v>
      </c>
      <c r="C175" s="526" t="s">
        <v>361</v>
      </c>
      <c r="D175" s="527"/>
      <c r="E175" s="223" t="s">
        <v>114</v>
      </c>
      <c r="F175" s="223" t="s">
        <v>114</v>
      </c>
      <c r="G175" s="223" t="s">
        <v>114</v>
      </c>
      <c r="H175" s="235">
        <f>SUM(H176:H208)</f>
        <v>0</v>
      </c>
      <c r="I175" s="235">
        <f>SUM(I176:I208)</f>
        <v>0</v>
      </c>
      <c r="J175" s="235">
        <f>SUM(J176:J208)</f>
        <v>0</v>
      </c>
      <c r="K175" s="230" t="s">
        <v>154</v>
      </c>
      <c r="L175" s="235">
        <f>SUM(L176:L208)</f>
        <v>4.2122200000000003</v>
      </c>
      <c r="M175" s="243" t="s">
        <v>154</v>
      </c>
      <c r="AG175" s="230" t="s">
        <v>154</v>
      </c>
      <c r="AQ175" s="235">
        <f>SUM(AH176:AH208)</f>
        <v>0</v>
      </c>
      <c r="AR175" s="235">
        <f>SUM(AI176:AI208)</f>
        <v>0</v>
      </c>
      <c r="AS175" s="235">
        <f>SUM(AJ176:AJ208)</f>
        <v>0</v>
      </c>
    </row>
    <row r="176" spans="1:74" ht="14.4" x14ac:dyDescent="0.3">
      <c r="A176" s="239" t="s">
        <v>566</v>
      </c>
      <c r="B176" s="223" t="s">
        <v>563</v>
      </c>
      <c r="C176" s="521" t="s">
        <v>564</v>
      </c>
      <c r="D176" s="519"/>
      <c r="E176" s="223" t="s">
        <v>365</v>
      </c>
      <c r="F176" s="233">
        <v>1</v>
      </c>
      <c r="G176" s="311">
        <v>0</v>
      </c>
      <c r="H176" s="233">
        <f>F176*AM176</f>
        <v>0</v>
      </c>
      <c r="I176" s="233">
        <f>F176*AN176</f>
        <v>0</v>
      </c>
      <c r="J176" s="233">
        <f>F176*G176</f>
        <v>0</v>
      </c>
      <c r="K176" s="233">
        <v>0</v>
      </c>
      <c r="L176" s="233">
        <f>F176*K176</f>
        <v>0</v>
      </c>
      <c r="M176" s="240" t="s">
        <v>472</v>
      </c>
      <c r="X176" s="233">
        <f>IF(AO176="5",BH176,0)</f>
        <v>0</v>
      </c>
      <c r="Z176" s="233">
        <f>IF(AO176="1",BF176,0)</f>
        <v>0</v>
      </c>
      <c r="AA176" s="233">
        <f>IF(AO176="1",BG176,0)</f>
        <v>0</v>
      </c>
      <c r="AB176" s="233">
        <f>IF(AO176="7",BF176,0)</f>
        <v>0</v>
      </c>
      <c r="AC176" s="233">
        <f>IF(AO176="7",BG176,0)</f>
        <v>0</v>
      </c>
      <c r="AD176" s="233">
        <f>IF(AO176="2",BF176,0)</f>
        <v>0</v>
      </c>
      <c r="AE176" s="233">
        <f>IF(AO176="2",BG176,0)</f>
        <v>0</v>
      </c>
      <c r="AF176" s="233">
        <f>IF(AO176="0",BH176,0)</f>
        <v>0</v>
      </c>
      <c r="AG176" s="230" t="s">
        <v>154</v>
      </c>
      <c r="AH176" s="233">
        <f>IF(AL176=0,J176,0)</f>
        <v>0</v>
      </c>
      <c r="AI176" s="233">
        <f>IF(AL176=15,J176,0)</f>
        <v>0</v>
      </c>
      <c r="AJ176" s="233">
        <f>IF(AL176=21,J176,0)</f>
        <v>0</v>
      </c>
      <c r="AL176" s="233">
        <v>21</v>
      </c>
      <c r="AM176" s="233">
        <f>G176*0</f>
        <v>0</v>
      </c>
      <c r="AN176" s="233">
        <f>G176*(1-0)</f>
        <v>0</v>
      </c>
      <c r="AO176" s="234" t="s">
        <v>157</v>
      </c>
      <c r="AT176" s="233">
        <f>AU176+AV176</f>
        <v>0</v>
      </c>
      <c r="AU176" s="233">
        <f>F176*AM176</f>
        <v>0</v>
      </c>
      <c r="AV176" s="233">
        <f>F176*AN176</f>
        <v>0</v>
      </c>
      <c r="AW176" s="234" t="s">
        <v>366</v>
      </c>
      <c r="AX176" s="234" t="s">
        <v>356</v>
      </c>
      <c r="AY176" s="230" t="s">
        <v>164</v>
      </c>
      <c r="BA176" s="233">
        <f>AU176+AV176</f>
        <v>0</v>
      </c>
      <c r="BB176" s="233">
        <f>G176/(100-BC176)*100</f>
        <v>0</v>
      </c>
      <c r="BC176" s="233">
        <v>0</v>
      </c>
      <c r="BD176" s="233">
        <f>L176</f>
        <v>0</v>
      </c>
      <c r="BF176" s="233">
        <f>F176*AM176</f>
        <v>0</v>
      </c>
      <c r="BG176" s="233">
        <f>F176*AN176</f>
        <v>0</v>
      </c>
      <c r="BH176" s="233">
        <f>F176*G176</f>
        <v>0</v>
      </c>
      <c r="BI176" s="233"/>
      <c r="BJ176" s="233">
        <v>89</v>
      </c>
      <c r="BU176" s="233" t="e">
        <f>#REF!</f>
        <v>#REF!</v>
      </c>
      <c r="BV176" s="225" t="s">
        <v>564</v>
      </c>
    </row>
    <row r="177" spans="1:74" ht="67.5" customHeight="1" x14ac:dyDescent="0.3">
      <c r="A177" s="241"/>
      <c r="B177" s="242" t="s">
        <v>165</v>
      </c>
      <c r="C177" s="530" t="s">
        <v>1452</v>
      </c>
      <c r="D177" s="531"/>
      <c r="E177" s="531"/>
      <c r="F177" s="531"/>
      <c r="G177" s="531"/>
      <c r="H177" s="531"/>
      <c r="I177" s="531"/>
      <c r="J177" s="531"/>
      <c r="K177" s="531"/>
      <c r="L177" s="531"/>
      <c r="M177" s="532"/>
    </row>
    <row r="178" spans="1:74" ht="14.4" x14ac:dyDescent="0.3">
      <c r="A178" s="239" t="s">
        <v>570</v>
      </c>
      <c r="B178" s="223" t="s">
        <v>567</v>
      </c>
      <c r="C178" s="521" t="s">
        <v>568</v>
      </c>
      <c r="D178" s="519"/>
      <c r="E178" s="223" t="s">
        <v>365</v>
      </c>
      <c r="F178" s="233">
        <v>1</v>
      </c>
      <c r="G178" s="311">
        <v>0</v>
      </c>
      <c r="H178" s="233">
        <f>F178*AM178</f>
        <v>0</v>
      </c>
      <c r="I178" s="233">
        <f>F178*AN178</f>
        <v>0</v>
      </c>
      <c r="J178" s="233">
        <f>F178*G178</f>
        <v>0</v>
      </c>
      <c r="K178" s="233">
        <v>0.12303</v>
      </c>
      <c r="L178" s="233">
        <f>F178*K178</f>
        <v>0.12303</v>
      </c>
      <c r="M178" s="240" t="s">
        <v>472</v>
      </c>
      <c r="X178" s="233">
        <f>IF(AO178="5",BH178,0)</f>
        <v>0</v>
      </c>
      <c r="Z178" s="233">
        <f>IF(AO178="1",BF178,0)</f>
        <v>0</v>
      </c>
      <c r="AA178" s="233">
        <f>IF(AO178="1",BG178,0)</f>
        <v>0</v>
      </c>
      <c r="AB178" s="233">
        <f>IF(AO178="7",BF178,0)</f>
        <v>0</v>
      </c>
      <c r="AC178" s="233">
        <f>IF(AO178="7",BG178,0)</f>
        <v>0</v>
      </c>
      <c r="AD178" s="233">
        <f>IF(AO178="2",BF178,0)</f>
        <v>0</v>
      </c>
      <c r="AE178" s="233">
        <f>IF(AO178="2",BG178,0)</f>
        <v>0</v>
      </c>
      <c r="AF178" s="233">
        <f>IF(AO178="0",BH178,0)</f>
        <v>0</v>
      </c>
      <c r="AG178" s="230" t="s">
        <v>154</v>
      </c>
      <c r="AH178" s="233">
        <f>IF(AL178=0,J178,0)</f>
        <v>0</v>
      </c>
      <c r="AI178" s="233">
        <f>IF(AL178=15,J178,0)</f>
        <v>0</v>
      </c>
      <c r="AJ178" s="233">
        <f>IF(AL178=21,J178,0)</f>
        <v>0</v>
      </c>
      <c r="AL178" s="233">
        <v>21</v>
      </c>
      <c r="AM178" s="233">
        <f>G178*0.428929987</f>
        <v>0</v>
      </c>
      <c r="AN178" s="233">
        <f>G178*(1-0.428929987)</f>
        <v>0</v>
      </c>
      <c r="AO178" s="234" t="s">
        <v>157</v>
      </c>
      <c r="AT178" s="233">
        <f>AU178+AV178</f>
        <v>0</v>
      </c>
      <c r="AU178" s="233">
        <f>F178*AM178</f>
        <v>0</v>
      </c>
      <c r="AV178" s="233">
        <f>F178*AN178</f>
        <v>0</v>
      </c>
      <c r="AW178" s="234" t="s">
        <v>366</v>
      </c>
      <c r="AX178" s="234" t="s">
        <v>356</v>
      </c>
      <c r="AY178" s="230" t="s">
        <v>164</v>
      </c>
      <c r="BA178" s="233">
        <f>AU178+AV178</f>
        <v>0</v>
      </c>
      <c r="BB178" s="233">
        <f>G178/(100-BC178)*100</f>
        <v>0</v>
      </c>
      <c r="BC178" s="233">
        <v>0</v>
      </c>
      <c r="BD178" s="233">
        <f>L178</f>
        <v>0.12303</v>
      </c>
      <c r="BF178" s="233">
        <f>F178*AM178</f>
        <v>0</v>
      </c>
      <c r="BG178" s="233">
        <f>F178*AN178</f>
        <v>0</v>
      </c>
      <c r="BH178" s="233">
        <f>F178*G178</f>
        <v>0</v>
      </c>
      <c r="BI178" s="233"/>
      <c r="BJ178" s="233">
        <v>89</v>
      </c>
      <c r="BU178" s="233" t="e">
        <f>#REF!</f>
        <v>#REF!</v>
      </c>
      <c r="BV178" s="225" t="s">
        <v>568</v>
      </c>
    </row>
    <row r="179" spans="1:74" ht="40.5" customHeight="1" x14ac:dyDescent="0.3">
      <c r="A179" s="241"/>
      <c r="B179" s="242" t="s">
        <v>165</v>
      </c>
      <c r="C179" s="530" t="s">
        <v>1453</v>
      </c>
      <c r="D179" s="531"/>
      <c r="E179" s="531"/>
      <c r="F179" s="531"/>
      <c r="G179" s="531"/>
      <c r="H179" s="531"/>
      <c r="I179" s="531"/>
      <c r="J179" s="531"/>
      <c r="K179" s="531"/>
      <c r="L179" s="531"/>
      <c r="M179" s="532"/>
    </row>
    <row r="180" spans="1:74" ht="14.4" x14ac:dyDescent="0.3">
      <c r="A180" s="239" t="s">
        <v>573</v>
      </c>
      <c r="B180" s="223" t="s">
        <v>571</v>
      </c>
      <c r="C180" s="521" t="s">
        <v>572</v>
      </c>
      <c r="D180" s="519"/>
      <c r="E180" s="223" t="s">
        <v>160</v>
      </c>
      <c r="F180" s="233">
        <v>441</v>
      </c>
      <c r="G180" s="311">
        <v>0</v>
      </c>
      <c r="H180" s="233">
        <f>F180*AM180</f>
        <v>0</v>
      </c>
      <c r="I180" s="233">
        <f>F180*AN180</f>
        <v>0</v>
      </c>
      <c r="J180" s="233">
        <f>F180*G180</f>
        <v>0</v>
      </c>
      <c r="K180" s="233">
        <v>0</v>
      </c>
      <c r="L180" s="233">
        <f>F180*K180</f>
        <v>0</v>
      </c>
      <c r="M180" s="240" t="s">
        <v>472</v>
      </c>
      <c r="X180" s="233">
        <f>IF(AO180="5",BH180,0)</f>
        <v>0</v>
      </c>
      <c r="Z180" s="233">
        <f>IF(AO180="1",BF180,0)</f>
        <v>0</v>
      </c>
      <c r="AA180" s="233">
        <f>IF(AO180="1",BG180,0)</f>
        <v>0</v>
      </c>
      <c r="AB180" s="233">
        <f>IF(AO180="7",BF180,0)</f>
        <v>0</v>
      </c>
      <c r="AC180" s="233">
        <f>IF(AO180="7",BG180,0)</f>
        <v>0</v>
      </c>
      <c r="AD180" s="233">
        <f>IF(AO180="2",BF180,0)</f>
        <v>0</v>
      </c>
      <c r="AE180" s="233">
        <f>IF(AO180="2",BG180,0)</f>
        <v>0</v>
      </c>
      <c r="AF180" s="233">
        <f>IF(AO180="0",BH180,0)</f>
        <v>0</v>
      </c>
      <c r="AG180" s="230" t="s">
        <v>154</v>
      </c>
      <c r="AH180" s="233">
        <f>IF(AL180=0,J180,0)</f>
        <v>0</v>
      </c>
      <c r="AI180" s="233">
        <f>IF(AL180=15,J180,0)</f>
        <v>0</v>
      </c>
      <c r="AJ180" s="233">
        <f>IF(AL180=21,J180,0)</f>
        <v>0</v>
      </c>
      <c r="AL180" s="233">
        <v>21</v>
      </c>
      <c r="AM180" s="233">
        <f>G180*0.030871434</f>
        <v>0</v>
      </c>
      <c r="AN180" s="233">
        <f>G180*(1-0.030871434)</f>
        <v>0</v>
      </c>
      <c r="AO180" s="234" t="s">
        <v>157</v>
      </c>
      <c r="AT180" s="233">
        <f>AU180+AV180</f>
        <v>0</v>
      </c>
      <c r="AU180" s="233">
        <f>F180*AM180</f>
        <v>0</v>
      </c>
      <c r="AV180" s="233">
        <f>F180*AN180</f>
        <v>0</v>
      </c>
      <c r="AW180" s="234" t="s">
        <v>366</v>
      </c>
      <c r="AX180" s="234" t="s">
        <v>356</v>
      </c>
      <c r="AY180" s="230" t="s">
        <v>164</v>
      </c>
      <c r="BA180" s="233">
        <f>AU180+AV180</f>
        <v>0</v>
      </c>
      <c r="BB180" s="233">
        <f>G180/(100-BC180)*100</f>
        <v>0</v>
      </c>
      <c r="BC180" s="233">
        <v>0</v>
      </c>
      <c r="BD180" s="233">
        <f>L180</f>
        <v>0</v>
      </c>
      <c r="BF180" s="233">
        <f>F180*AM180</f>
        <v>0</v>
      </c>
      <c r="BG180" s="233">
        <f>F180*AN180</f>
        <v>0</v>
      </c>
      <c r="BH180" s="233">
        <f>F180*G180</f>
        <v>0</v>
      </c>
      <c r="BI180" s="233"/>
      <c r="BJ180" s="233">
        <v>89</v>
      </c>
      <c r="BU180" s="233" t="e">
        <f>#REF!</f>
        <v>#REF!</v>
      </c>
      <c r="BV180" s="225" t="s">
        <v>572</v>
      </c>
    </row>
    <row r="181" spans="1:74" ht="40.5" customHeight="1" x14ac:dyDescent="0.3">
      <c r="A181" s="241"/>
      <c r="B181" s="242" t="s">
        <v>165</v>
      </c>
      <c r="C181" s="530" t="s">
        <v>1454</v>
      </c>
      <c r="D181" s="531"/>
      <c r="E181" s="531"/>
      <c r="F181" s="531"/>
      <c r="G181" s="531"/>
      <c r="H181" s="531"/>
      <c r="I181" s="531"/>
      <c r="J181" s="531"/>
      <c r="K181" s="531"/>
      <c r="L181" s="531"/>
      <c r="M181" s="532"/>
    </row>
    <row r="182" spans="1:74" ht="14.4" x14ac:dyDescent="0.3">
      <c r="A182" s="239" t="s">
        <v>576</v>
      </c>
      <c r="B182" s="223" t="s">
        <v>574</v>
      </c>
      <c r="C182" s="521" t="s">
        <v>575</v>
      </c>
      <c r="D182" s="519"/>
      <c r="E182" s="223" t="s">
        <v>160</v>
      </c>
      <c r="F182" s="233">
        <v>441</v>
      </c>
      <c r="G182" s="311">
        <v>0</v>
      </c>
      <c r="H182" s="233">
        <f>F182*AM182</f>
        <v>0</v>
      </c>
      <c r="I182" s="233">
        <f>F182*AN182</f>
        <v>0</v>
      </c>
      <c r="J182" s="233">
        <f>F182*G182</f>
        <v>0</v>
      </c>
      <c r="K182" s="233">
        <v>0</v>
      </c>
      <c r="L182" s="233">
        <f>F182*K182</f>
        <v>0</v>
      </c>
      <c r="M182" s="240" t="s">
        <v>472</v>
      </c>
      <c r="X182" s="233">
        <f>IF(AO182="5",BH182,0)</f>
        <v>0</v>
      </c>
      <c r="Z182" s="233">
        <f>IF(AO182="1",BF182,0)</f>
        <v>0</v>
      </c>
      <c r="AA182" s="233">
        <f>IF(AO182="1",BG182,0)</f>
        <v>0</v>
      </c>
      <c r="AB182" s="233">
        <f>IF(AO182="7",BF182,0)</f>
        <v>0</v>
      </c>
      <c r="AC182" s="233">
        <f>IF(AO182="7",BG182,0)</f>
        <v>0</v>
      </c>
      <c r="AD182" s="233">
        <f>IF(AO182="2",BF182,0)</f>
        <v>0</v>
      </c>
      <c r="AE182" s="233">
        <f>IF(AO182="2",BG182,0)</f>
        <v>0</v>
      </c>
      <c r="AF182" s="233">
        <f>IF(AO182="0",BH182,0)</f>
        <v>0</v>
      </c>
      <c r="AG182" s="230" t="s">
        <v>154</v>
      </c>
      <c r="AH182" s="233">
        <f>IF(AL182=0,J182,0)</f>
        <v>0</v>
      </c>
      <c r="AI182" s="233">
        <f>IF(AL182=15,J182,0)</f>
        <v>0</v>
      </c>
      <c r="AJ182" s="233">
        <f>IF(AL182=21,J182,0)</f>
        <v>0</v>
      </c>
      <c r="AL182" s="233">
        <v>21</v>
      </c>
      <c r="AM182" s="233">
        <f>G182*0.025632653</f>
        <v>0</v>
      </c>
      <c r="AN182" s="233">
        <f>G182*(1-0.025632653)</f>
        <v>0</v>
      </c>
      <c r="AO182" s="234" t="s">
        <v>157</v>
      </c>
      <c r="AT182" s="233">
        <f>AU182+AV182</f>
        <v>0</v>
      </c>
      <c r="AU182" s="233">
        <f>F182*AM182</f>
        <v>0</v>
      </c>
      <c r="AV182" s="233">
        <f>F182*AN182</f>
        <v>0</v>
      </c>
      <c r="AW182" s="234" t="s">
        <v>366</v>
      </c>
      <c r="AX182" s="234" t="s">
        <v>356</v>
      </c>
      <c r="AY182" s="230" t="s">
        <v>164</v>
      </c>
      <c r="BA182" s="233">
        <f>AU182+AV182</f>
        <v>0</v>
      </c>
      <c r="BB182" s="233">
        <f>G182/(100-BC182)*100</f>
        <v>0</v>
      </c>
      <c r="BC182" s="233">
        <v>0</v>
      </c>
      <c r="BD182" s="233">
        <f>L182</f>
        <v>0</v>
      </c>
      <c r="BF182" s="233">
        <f>F182*AM182</f>
        <v>0</v>
      </c>
      <c r="BG182" s="233">
        <f>F182*AN182</f>
        <v>0</v>
      </c>
      <c r="BH182" s="233">
        <f>F182*G182</f>
        <v>0</v>
      </c>
      <c r="BI182" s="233"/>
      <c r="BJ182" s="233">
        <v>89</v>
      </c>
      <c r="BU182" s="233" t="e">
        <f>#REF!</f>
        <v>#REF!</v>
      </c>
      <c r="BV182" s="225" t="s">
        <v>575</v>
      </c>
    </row>
    <row r="183" spans="1:74" ht="40.5" customHeight="1" x14ac:dyDescent="0.3">
      <c r="A183" s="241"/>
      <c r="B183" s="242" t="s">
        <v>165</v>
      </c>
      <c r="C183" s="530" t="s">
        <v>1455</v>
      </c>
      <c r="D183" s="531"/>
      <c r="E183" s="531"/>
      <c r="F183" s="531"/>
      <c r="G183" s="531"/>
      <c r="H183" s="531"/>
      <c r="I183" s="531"/>
      <c r="J183" s="531"/>
      <c r="K183" s="531"/>
      <c r="L183" s="531"/>
      <c r="M183" s="532"/>
    </row>
    <row r="184" spans="1:74" ht="14.4" x14ac:dyDescent="0.3">
      <c r="A184" s="239" t="s">
        <v>580</v>
      </c>
      <c r="B184" s="223" t="s">
        <v>577</v>
      </c>
      <c r="C184" s="521" t="s">
        <v>578</v>
      </c>
      <c r="D184" s="519"/>
      <c r="E184" s="223" t="s">
        <v>160</v>
      </c>
      <c r="F184" s="233">
        <v>4</v>
      </c>
      <c r="G184" s="311">
        <v>0</v>
      </c>
      <c r="H184" s="233">
        <f>F184*AM184</f>
        <v>0</v>
      </c>
      <c r="I184" s="233">
        <f>F184*AN184</f>
        <v>0</v>
      </c>
      <c r="J184" s="233">
        <f>F184*G184</f>
        <v>0</v>
      </c>
      <c r="K184" s="233">
        <v>0</v>
      </c>
      <c r="L184" s="233">
        <f>F184*K184</f>
        <v>0</v>
      </c>
      <c r="M184" s="240" t="s">
        <v>472</v>
      </c>
      <c r="X184" s="233">
        <f>IF(AO184="5",BH184,0)</f>
        <v>0</v>
      </c>
      <c r="Z184" s="233">
        <f>IF(AO184="1",BF184,0)</f>
        <v>0</v>
      </c>
      <c r="AA184" s="233">
        <f>IF(AO184="1",BG184,0)</f>
        <v>0</v>
      </c>
      <c r="AB184" s="233">
        <f>IF(AO184="7",BF184,0)</f>
        <v>0</v>
      </c>
      <c r="AC184" s="233">
        <f>IF(AO184="7",BG184,0)</f>
        <v>0</v>
      </c>
      <c r="AD184" s="233">
        <f>IF(AO184="2",BF184,0)</f>
        <v>0</v>
      </c>
      <c r="AE184" s="233">
        <f>IF(AO184="2",BG184,0)</f>
        <v>0</v>
      </c>
      <c r="AF184" s="233">
        <f>IF(AO184="0",BH184,0)</f>
        <v>0</v>
      </c>
      <c r="AG184" s="230" t="s">
        <v>154</v>
      </c>
      <c r="AH184" s="233">
        <f>IF(AL184=0,J184,0)</f>
        <v>0</v>
      </c>
      <c r="AI184" s="233">
        <f>IF(AL184=15,J184,0)</f>
        <v>0</v>
      </c>
      <c r="AJ184" s="233">
        <f>IF(AL184=21,J184,0)</f>
        <v>0</v>
      </c>
      <c r="AL184" s="233">
        <v>21</v>
      </c>
      <c r="AM184" s="233">
        <f>G184*0.025107885</f>
        <v>0</v>
      </c>
      <c r="AN184" s="233">
        <f>G184*(1-0.025107885)</f>
        <v>0</v>
      </c>
      <c r="AO184" s="234" t="s">
        <v>157</v>
      </c>
      <c r="AT184" s="233">
        <f>AU184+AV184</f>
        <v>0</v>
      </c>
      <c r="AU184" s="233">
        <f>F184*AM184</f>
        <v>0</v>
      </c>
      <c r="AV184" s="233">
        <f>F184*AN184</f>
        <v>0</v>
      </c>
      <c r="AW184" s="234" t="s">
        <v>366</v>
      </c>
      <c r="AX184" s="234" t="s">
        <v>356</v>
      </c>
      <c r="AY184" s="230" t="s">
        <v>164</v>
      </c>
      <c r="BA184" s="233">
        <f>AU184+AV184</f>
        <v>0</v>
      </c>
      <c r="BB184" s="233">
        <f>G184/(100-BC184)*100</f>
        <v>0</v>
      </c>
      <c r="BC184" s="233">
        <v>0</v>
      </c>
      <c r="BD184" s="233">
        <f>L184</f>
        <v>0</v>
      </c>
      <c r="BF184" s="233">
        <f>F184*AM184</f>
        <v>0</v>
      </c>
      <c r="BG184" s="233">
        <f>F184*AN184</f>
        <v>0</v>
      </c>
      <c r="BH184" s="233">
        <f>F184*G184</f>
        <v>0</v>
      </c>
      <c r="BI184" s="233"/>
      <c r="BJ184" s="233">
        <v>89</v>
      </c>
      <c r="BU184" s="233" t="e">
        <f>#REF!</f>
        <v>#REF!</v>
      </c>
      <c r="BV184" s="225" t="s">
        <v>578</v>
      </c>
    </row>
    <row r="185" spans="1:74" ht="40.5" customHeight="1" x14ac:dyDescent="0.3">
      <c r="A185" s="244"/>
      <c r="B185" s="245" t="s">
        <v>165</v>
      </c>
      <c r="C185" s="540" t="s">
        <v>1456</v>
      </c>
      <c r="D185" s="541"/>
      <c r="E185" s="541"/>
      <c r="F185" s="541"/>
      <c r="G185" s="541"/>
      <c r="H185" s="541"/>
      <c r="I185" s="541"/>
      <c r="J185" s="541"/>
      <c r="K185" s="541"/>
      <c r="L185" s="541"/>
      <c r="M185" s="542"/>
    </row>
    <row r="186" spans="1:74" ht="14.4" x14ac:dyDescent="0.3">
      <c r="A186" s="237" t="s">
        <v>584</v>
      </c>
      <c r="B186" s="238" t="s">
        <v>581</v>
      </c>
      <c r="C186" s="543" t="s">
        <v>582</v>
      </c>
      <c r="D186" s="544"/>
      <c r="E186" s="238" t="s">
        <v>160</v>
      </c>
      <c r="F186" s="258">
        <v>4</v>
      </c>
      <c r="G186" s="311">
        <v>0</v>
      </c>
      <c r="H186" s="258">
        <f>F186*AM186</f>
        <v>0</v>
      </c>
      <c r="I186" s="258">
        <f>F186*AN186</f>
        <v>0</v>
      </c>
      <c r="J186" s="258">
        <f>F186*G186</f>
        <v>0</v>
      </c>
      <c r="K186" s="258">
        <v>0</v>
      </c>
      <c r="L186" s="258">
        <f>F186*K186</f>
        <v>0</v>
      </c>
      <c r="M186" s="259" t="s">
        <v>472</v>
      </c>
      <c r="X186" s="233">
        <f>IF(AO186="5",BH186,0)</f>
        <v>0</v>
      </c>
      <c r="Z186" s="233">
        <f>IF(AO186="1",BF186,0)</f>
        <v>0</v>
      </c>
      <c r="AA186" s="233">
        <f>IF(AO186="1",BG186,0)</f>
        <v>0</v>
      </c>
      <c r="AB186" s="233">
        <f>IF(AO186="7",BF186,0)</f>
        <v>0</v>
      </c>
      <c r="AC186" s="233">
        <f>IF(AO186="7",BG186,0)</f>
        <v>0</v>
      </c>
      <c r="AD186" s="233">
        <f>IF(AO186="2",BF186,0)</f>
        <v>0</v>
      </c>
      <c r="AE186" s="233">
        <f>IF(AO186="2",BG186,0)</f>
        <v>0</v>
      </c>
      <c r="AF186" s="233">
        <f>IF(AO186="0",BH186,0)</f>
        <v>0</v>
      </c>
      <c r="AG186" s="230" t="s">
        <v>154</v>
      </c>
      <c r="AH186" s="233">
        <f>IF(AL186=0,J186,0)</f>
        <v>0</v>
      </c>
      <c r="AI186" s="233">
        <f>IF(AL186=15,J186,0)</f>
        <v>0</v>
      </c>
      <c r="AJ186" s="233">
        <f>IF(AL186=21,J186,0)</f>
        <v>0</v>
      </c>
      <c r="AL186" s="233">
        <v>21</v>
      </c>
      <c r="AM186" s="233">
        <f>G186*0.005820722</f>
        <v>0</v>
      </c>
      <c r="AN186" s="233">
        <f>G186*(1-0.005820722)</f>
        <v>0</v>
      </c>
      <c r="AO186" s="234" t="s">
        <v>157</v>
      </c>
      <c r="AT186" s="233">
        <f>AU186+AV186</f>
        <v>0</v>
      </c>
      <c r="AU186" s="233">
        <f>F186*AM186</f>
        <v>0</v>
      </c>
      <c r="AV186" s="233">
        <f>F186*AN186</f>
        <v>0</v>
      </c>
      <c r="AW186" s="234" t="s">
        <v>366</v>
      </c>
      <c r="AX186" s="234" t="s">
        <v>356</v>
      </c>
      <c r="AY186" s="230" t="s">
        <v>164</v>
      </c>
      <c r="BA186" s="233">
        <f>AU186+AV186</f>
        <v>0</v>
      </c>
      <c r="BB186" s="233">
        <f>G186/(100-BC186)*100</f>
        <v>0</v>
      </c>
      <c r="BC186" s="233">
        <v>0</v>
      </c>
      <c r="BD186" s="233">
        <f>L186</f>
        <v>0</v>
      </c>
      <c r="BF186" s="233">
        <f>F186*AM186</f>
        <v>0</v>
      </c>
      <c r="BG186" s="233">
        <f>F186*AN186</f>
        <v>0</v>
      </c>
      <c r="BH186" s="233">
        <f>F186*G186</f>
        <v>0</v>
      </c>
      <c r="BI186" s="233"/>
      <c r="BJ186" s="233">
        <v>89</v>
      </c>
      <c r="BU186" s="233" t="e">
        <f>#REF!</f>
        <v>#REF!</v>
      </c>
      <c r="BV186" s="225" t="s">
        <v>582</v>
      </c>
    </row>
    <row r="187" spans="1:74" ht="40.5" customHeight="1" x14ac:dyDescent="0.3">
      <c r="A187" s="241"/>
      <c r="B187" s="242" t="s">
        <v>165</v>
      </c>
      <c r="C187" s="530" t="s">
        <v>1457</v>
      </c>
      <c r="D187" s="531"/>
      <c r="E187" s="531"/>
      <c r="F187" s="531"/>
      <c r="G187" s="531"/>
      <c r="H187" s="531"/>
      <c r="I187" s="531"/>
      <c r="J187" s="531"/>
      <c r="K187" s="531"/>
      <c r="L187" s="531"/>
      <c r="M187" s="532"/>
    </row>
    <row r="188" spans="1:74" ht="14.4" x14ac:dyDescent="0.3">
      <c r="A188" s="239" t="s">
        <v>585</v>
      </c>
      <c r="B188" s="223" t="s">
        <v>438</v>
      </c>
      <c r="C188" s="521" t="s">
        <v>439</v>
      </c>
      <c r="D188" s="519"/>
      <c r="E188" s="223" t="s">
        <v>160</v>
      </c>
      <c r="F188" s="233">
        <v>489.5</v>
      </c>
      <c r="G188" s="311">
        <v>0</v>
      </c>
      <c r="H188" s="233">
        <f>F188*AM188</f>
        <v>0</v>
      </c>
      <c r="I188" s="233">
        <f>F188*AN188</f>
        <v>0</v>
      </c>
      <c r="J188" s="233">
        <f>F188*G188</f>
        <v>0</v>
      </c>
      <c r="K188" s="233">
        <v>0</v>
      </c>
      <c r="L188" s="233">
        <f>F188*K188</f>
        <v>0</v>
      </c>
      <c r="M188" s="240" t="s">
        <v>472</v>
      </c>
      <c r="X188" s="233">
        <f>IF(AO188="5",BH188,0)</f>
        <v>0</v>
      </c>
      <c r="Z188" s="233">
        <f>IF(AO188="1",BF188,0)</f>
        <v>0</v>
      </c>
      <c r="AA188" s="233">
        <f>IF(AO188="1",BG188,0)</f>
        <v>0</v>
      </c>
      <c r="AB188" s="233">
        <f>IF(AO188="7",BF188,0)</f>
        <v>0</v>
      </c>
      <c r="AC188" s="233">
        <f>IF(AO188="7",BG188,0)</f>
        <v>0</v>
      </c>
      <c r="AD188" s="233">
        <f>IF(AO188="2",BF188,0)</f>
        <v>0</v>
      </c>
      <c r="AE188" s="233">
        <f>IF(AO188="2",BG188,0)</f>
        <v>0</v>
      </c>
      <c r="AF188" s="233">
        <f>IF(AO188="0",BH188,0)</f>
        <v>0</v>
      </c>
      <c r="AG188" s="230" t="s">
        <v>154</v>
      </c>
      <c r="AH188" s="233">
        <f>IF(AL188=0,J188,0)</f>
        <v>0</v>
      </c>
      <c r="AI188" s="233">
        <f>IF(AL188=15,J188,0)</f>
        <v>0</v>
      </c>
      <c r="AJ188" s="233">
        <f>IF(AL188=21,J188,0)</f>
        <v>0</v>
      </c>
      <c r="AL188" s="233">
        <v>21</v>
      </c>
      <c r="AM188" s="233">
        <f>G188*0.353991981</f>
        <v>0</v>
      </c>
      <c r="AN188" s="233">
        <f>G188*(1-0.353991981)</f>
        <v>0</v>
      </c>
      <c r="AO188" s="234" t="s">
        <v>157</v>
      </c>
      <c r="AT188" s="233">
        <f>AU188+AV188</f>
        <v>0</v>
      </c>
      <c r="AU188" s="233">
        <f>F188*AM188</f>
        <v>0</v>
      </c>
      <c r="AV188" s="233">
        <f>F188*AN188</f>
        <v>0</v>
      </c>
      <c r="AW188" s="234" t="s">
        <v>366</v>
      </c>
      <c r="AX188" s="234" t="s">
        <v>356</v>
      </c>
      <c r="AY188" s="230" t="s">
        <v>164</v>
      </c>
      <c r="BA188" s="233">
        <f>AU188+AV188</f>
        <v>0</v>
      </c>
      <c r="BB188" s="233">
        <f>G188/(100-BC188)*100</f>
        <v>0</v>
      </c>
      <c r="BC188" s="233">
        <v>0</v>
      </c>
      <c r="BD188" s="233">
        <f>L188</f>
        <v>0</v>
      </c>
      <c r="BF188" s="233">
        <f>F188*AM188</f>
        <v>0</v>
      </c>
      <c r="BG188" s="233">
        <f>F188*AN188</f>
        <v>0</v>
      </c>
      <c r="BH188" s="233">
        <f>F188*G188</f>
        <v>0</v>
      </c>
      <c r="BI188" s="233"/>
      <c r="BJ188" s="233">
        <v>89</v>
      </c>
      <c r="BU188" s="233" t="e">
        <f>#REF!</f>
        <v>#REF!</v>
      </c>
      <c r="BV188" s="225" t="s">
        <v>439</v>
      </c>
    </row>
    <row r="189" spans="1:74" ht="54" customHeight="1" x14ac:dyDescent="0.3">
      <c r="A189" s="241"/>
      <c r="B189" s="242" t="s">
        <v>165</v>
      </c>
      <c r="C189" s="530" t="s">
        <v>1458</v>
      </c>
      <c r="D189" s="531"/>
      <c r="E189" s="531"/>
      <c r="F189" s="531"/>
      <c r="G189" s="531"/>
      <c r="H189" s="531"/>
      <c r="I189" s="531"/>
      <c r="J189" s="531"/>
      <c r="K189" s="531"/>
      <c r="L189" s="531"/>
      <c r="M189" s="532"/>
    </row>
    <row r="190" spans="1:74" ht="14.4" x14ac:dyDescent="0.3">
      <c r="A190" s="239" t="s">
        <v>589</v>
      </c>
      <c r="B190" s="223" t="s">
        <v>586</v>
      </c>
      <c r="C190" s="521" t="s">
        <v>587</v>
      </c>
      <c r="D190" s="519"/>
      <c r="E190" s="223" t="s">
        <v>365</v>
      </c>
      <c r="F190" s="233">
        <v>1</v>
      </c>
      <c r="G190" s="311">
        <v>0</v>
      </c>
      <c r="H190" s="233">
        <f>F190*AM190</f>
        <v>0</v>
      </c>
      <c r="I190" s="233">
        <f>F190*AN190</f>
        <v>0</v>
      </c>
      <c r="J190" s="233">
        <f>F190*G190</f>
        <v>0</v>
      </c>
      <c r="K190" s="233">
        <v>2.1000000000000001E-4</v>
      </c>
      <c r="L190" s="233">
        <f>F190*K190</f>
        <v>2.1000000000000001E-4</v>
      </c>
      <c r="M190" s="240" t="s">
        <v>472</v>
      </c>
      <c r="X190" s="233">
        <f>IF(AO190="5",BH190,0)</f>
        <v>0</v>
      </c>
      <c r="Z190" s="233">
        <f>IF(AO190="1",BF190,0)</f>
        <v>0</v>
      </c>
      <c r="AA190" s="233">
        <f>IF(AO190="1",BG190,0)</f>
        <v>0</v>
      </c>
      <c r="AB190" s="233">
        <f>IF(AO190="7",BF190,0)</f>
        <v>0</v>
      </c>
      <c r="AC190" s="233">
        <f>IF(AO190="7",BG190,0)</f>
        <v>0</v>
      </c>
      <c r="AD190" s="233">
        <f>IF(AO190="2",BF190,0)</f>
        <v>0</v>
      </c>
      <c r="AE190" s="233">
        <f>IF(AO190="2",BG190,0)</f>
        <v>0</v>
      </c>
      <c r="AF190" s="233">
        <f>IF(AO190="0",BH190,0)</f>
        <v>0</v>
      </c>
      <c r="AG190" s="230" t="s">
        <v>154</v>
      </c>
      <c r="AH190" s="233">
        <f>IF(AL190=0,J190,0)</f>
        <v>0</v>
      </c>
      <c r="AI190" s="233">
        <f>IF(AL190=15,J190,0)</f>
        <v>0</v>
      </c>
      <c r="AJ190" s="233">
        <f>IF(AL190=21,J190,0)</f>
        <v>0</v>
      </c>
      <c r="AL190" s="233">
        <v>21</v>
      </c>
      <c r="AM190" s="233">
        <f>G190*0.340900901</f>
        <v>0</v>
      </c>
      <c r="AN190" s="233">
        <f>G190*(1-0.340900901)</f>
        <v>0</v>
      </c>
      <c r="AO190" s="234" t="s">
        <v>157</v>
      </c>
      <c r="AT190" s="233">
        <f>AU190+AV190</f>
        <v>0</v>
      </c>
      <c r="AU190" s="233">
        <f>F190*AM190</f>
        <v>0</v>
      </c>
      <c r="AV190" s="233">
        <f>F190*AN190</f>
        <v>0</v>
      </c>
      <c r="AW190" s="234" t="s">
        <v>366</v>
      </c>
      <c r="AX190" s="234" t="s">
        <v>356</v>
      </c>
      <c r="AY190" s="230" t="s">
        <v>164</v>
      </c>
      <c r="BA190" s="233">
        <f>AU190+AV190</f>
        <v>0</v>
      </c>
      <c r="BB190" s="233">
        <f>G190/(100-BC190)*100</f>
        <v>0</v>
      </c>
      <c r="BC190" s="233">
        <v>0</v>
      </c>
      <c r="BD190" s="233">
        <f>L190</f>
        <v>2.1000000000000001E-4</v>
      </c>
      <c r="BF190" s="233">
        <f>F190*AM190</f>
        <v>0</v>
      </c>
      <c r="BG190" s="233">
        <f>F190*AN190</f>
        <v>0</v>
      </c>
      <c r="BH190" s="233">
        <f>F190*G190</f>
        <v>0</v>
      </c>
      <c r="BI190" s="233"/>
      <c r="BJ190" s="233">
        <v>89</v>
      </c>
      <c r="BU190" s="233" t="e">
        <f>#REF!</f>
        <v>#REF!</v>
      </c>
      <c r="BV190" s="225" t="s">
        <v>587</v>
      </c>
    </row>
    <row r="191" spans="1:74" ht="27" customHeight="1" x14ac:dyDescent="0.3">
      <c r="A191" s="241"/>
      <c r="B191" s="242" t="s">
        <v>165</v>
      </c>
      <c r="C191" s="530" t="s">
        <v>1459</v>
      </c>
      <c r="D191" s="531"/>
      <c r="E191" s="531"/>
      <c r="F191" s="531"/>
      <c r="G191" s="531"/>
      <c r="H191" s="531"/>
      <c r="I191" s="531"/>
      <c r="J191" s="531"/>
      <c r="K191" s="531"/>
      <c r="L191" s="531"/>
      <c r="M191" s="532"/>
    </row>
    <row r="192" spans="1:74" ht="14.4" x14ac:dyDescent="0.3">
      <c r="A192" s="239" t="s">
        <v>593</v>
      </c>
      <c r="B192" s="223" t="s">
        <v>590</v>
      </c>
      <c r="C192" s="521" t="s">
        <v>591</v>
      </c>
      <c r="D192" s="519"/>
      <c r="E192" s="223" t="s">
        <v>365</v>
      </c>
      <c r="F192" s="233">
        <v>2</v>
      </c>
      <c r="G192" s="311">
        <v>0</v>
      </c>
      <c r="H192" s="233">
        <f>F192*AM192</f>
        <v>0</v>
      </c>
      <c r="I192" s="233">
        <f>F192*AN192</f>
        <v>0</v>
      </c>
      <c r="J192" s="233">
        <f>F192*G192</f>
        <v>0</v>
      </c>
      <c r="K192" s="233">
        <v>2.4000000000000001E-4</v>
      </c>
      <c r="L192" s="233">
        <f>F192*K192</f>
        <v>4.8000000000000001E-4</v>
      </c>
      <c r="M192" s="240" t="s">
        <v>472</v>
      </c>
      <c r="X192" s="233">
        <f>IF(AO192="5",BH192,0)</f>
        <v>0</v>
      </c>
      <c r="Z192" s="233">
        <f>IF(AO192="1",BF192,0)</f>
        <v>0</v>
      </c>
      <c r="AA192" s="233">
        <f>IF(AO192="1",BG192,0)</f>
        <v>0</v>
      </c>
      <c r="AB192" s="233">
        <f>IF(AO192="7",BF192,0)</f>
        <v>0</v>
      </c>
      <c r="AC192" s="233">
        <f>IF(AO192="7",BG192,0)</f>
        <v>0</v>
      </c>
      <c r="AD192" s="233">
        <f>IF(AO192="2",BF192,0)</f>
        <v>0</v>
      </c>
      <c r="AE192" s="233">
        <f>IF(AO192="2",BG192,0)</f>
        <v>0</v>
      </c>
      <c r="AF192" s="233">
        <f>IF(AO192="0",BH192,0)</f>
        <v>0</v>
      </c>
      <c r="AG192" s="230" t="s">
        <v>154</v>
      </c>
      <c r="AH192" s="233">
        <f>IF(AL192=0,J192,0)</f>
        <v>0</v>
      </c>
      <c r="AI192" s="233">
        <f>IF(AL192=15,J192,0)</f>
        <v>0</v>
      </c>
      <c r="AJ192" s="233">
        <f>IF(AL192=21,J192,0)</f>
        <v>0</v>
      </c>
      <c r="AL192" s="233">
        <v>21</v>
      </c>
      <c r="AM192" s="233">
        <f>G192*0.344185351</f>
        <v>0</v>
      </c>
      <c r="AN192" s="233">
        <f>G192*(1-0.344185351)</f>
        <v>0</v>
      </c>
      <c r="AO192" s="234" t="s">
        <v>157</v>
      </c>
      <c r="AT192" s="233">
        <f>AU192+AV192</f>
        <v>0</v>
      </c>
      <c r="AU192" s="233">
        <f>F192*AM192</f>
        <v>0</v>
      </c>
      <c r="AV192" s="233">
        <f>F192*AN192</f>
        <v>0</v>
      </c>
      <c r="AW192" s="234" t="s">
        <v>366</v>
      </c>
      <c r="AX192" s="234" t="s">
        <v>356</v>
      </c>
      <c r="AY192" s="230" t="s">
        <v>164</v>
      </c>
      <c r="BA192" s="233">
        <f>AU192+AV192</f>
        <v>0</v>
      </c>
      <c r="BB192" s="233">
        <f>G192/(100-BC192)*100</f>
        <v>0</v>
      </c>
      <c r="BC192" s="233">
        <v>0</v>
      </c>
      <c r="BD192" s="233">
        <f>L192</f>
        <v>4.8000000000000001E-4</v>
      </c>
      <c r="BF192" s="233">
        <f>F192*AM192</f>
        <v>0</v>
      </c>
      <c r="BG192" s="233">
        <f>F192*AN192</f>
        <v>0</v>
      </c>
      <c r="BH192" s="233">
        <f>F192*G192</f>
        <v>0</v>
      </c>
      <c r="BI192" s="233"/>
      <c r="BJ192" s="233">
        <v>89</v>
      </c>
      <c r="BU192" s="233" t="e">
        <f>#REF!</f>
        <v>#REF!</v>
      </c>
      <c r="BV192" s="225" t="s">
        <v>591</v>
      </c>
    </row>
    <row r="193" spans="1:74" ht="27" customHeight="1" x14ac:dyDescent="0.3">
      <c r="A193" s="241"/>
      <c r="B193" s="242" t="s">
        <v>165</v>
      </c>
      <c r="C193" s="530" t="s">
        <v>1460</v>
      </c>
      <c r="D193" s="531"/>
      <c r="E193" s="531"/>
      <c r="F193" s="531"/>
      <c r="G193" s="531"/>
      <c r="H193" s="531"/>
      <c r="I193" s="531"/>
      <c r="J193" s="531"/>
      <c r="K193" s="531"/>
      <c r="L193" s="531"/>
      <c r="M193" s="532"/>
    </row>
    <row r="194" spans="1:74" ht="14.4" x14ac:dyDescent="0.3">
      <c r="A194" s="239" t="s">
        <v>597</v>
      </c>
      <c r="B194" s="223" t="s">
        <v>594</v>
      </c>
      <c r="C194" s="521" t="s">
        <v>595</v>
      </c>
      <c r="D194" s="519"/>
      <c r="E194" s="223" t="s">
        <v>365</v>
      </c>
      <c r="F194" s="233">
        <v>6</v>
      </c>
      <c r="G194" s="311">
        <v>0</v>
      </c>
      <c r="H194" s="233">
        <f>F194*AM194</f>
        <v>0</v>
      </c>
      <c r="I194" s="233">
        <f>F194*AN194</f>
        <v>0</v>
      </c>
      <c r="J194" s="233">
        <f>F194*G194</f>
        <v>0</v>
      </c>
      <c r="K194" s="233">
        <v>4.0999999999999999E-4</v>
      </c>
      <c r="L194" s="233">
        <f>F194*K194</f>
        <v>2.4599999999999999E-3</v>
      </c>
      <c r="M194" s="240" t="s">
        <v>472</v>
      </c>
      <c r="X194" s="233">
        <f>IF(AO194="5",BH194,0)</f>
        <v>0</v>
      </c>
      <c r="Z194" s="233">
        <f>IF(AO194="1",BF194,0)</f>
        <v>0</v>
      </c>
      <c r="AA194" s="233">
        <f>IF(AO194="1",BG194,0)</f>
        <v>0</v>
      </c>
      <c r="AB194" s="233">
        <f>IF(AO194="7",BF194,0)</f>
        <v>0</v>
      </c>
      <c r="AC194" s="233">
        <f>IF(AO194="7",BG194,0)</f>
        <v>0</v>
      </c>
      <c r="AD194" s="233">
        <f>IF(AO194="2",BF194,0)</f>
        <v>0</v>
      </c>
      <c r="AE194" s="233">
        <f>IF(AO194="2",BG194,0)</f>
        <v>0</v>
      </c>
      <c r="AF194" s="233">
        <f>IF(AO194="0",BH194,0)</f>
        <v>0</v>
      </c>
      <c r="AG194" s="230" t="s">
        <v>154</v>
      </c>
      <c r="AH194" s="233">
        <f>IF(AL194=0,J194,0)</f>
        <v>0</v>
      </c>
      <c r="AI194" s="233">
        <f>IF(AL194=15,J194,0)</f>
        <v>0</v>
      </c>
      <c r="AJ194" s="233">
        <f>IF(AL194=21,J194,0)</f>
        <v>0</v>
      </c>
      <c r="AL194" s="233">
        <v>21</v>
      </c>
      <c r="AM194" s="233">
        <f>G194*0.158899007</f>
        <v>0</v>
      </c>
      <c r="AN194" s="233">
        <f>G194*(1-0.158899007)</f>
        <v>0</v>
      </c>
      <c r="AO194" s="234" t="s">
        <v>157</v>
      </c>
      <c r="AT194" s="233">
        <f>AU194+AV194</f>
        <v>0</v>
      </c>
      <c r="AU194" s="233">
        <f>F194*AM194</f>
        <v>0</v>
      </c>
      <c r="AV194" s="233">
        <f>F194*AN194</f>
        <v>0</v>
      </c>
      <c r="AW194" s="234" t="s">
        <v>366</v>
      </c>
      <c r="AX194" s="234" t="s">
        <v>356</v>
      </c>
      <c r="AY194" s="230" t="s">
        <v>164</v>
      </c>
      <c r="BA194" s="233">
        <f>AU194+AV194</f>
        <v>0</v>
      </c>
      <c r="BB194" s="233">
        <f>G194/(100-BC194)*100</f>
        <v>0</v>
      </c>
      <c r="BC194" s="233">
        <v>0</v>
      </c>
      <c r="BD194" s="233">
        <f>L194</f>
        <v>2.4599999999999999E-3</v>
      </c>
      <c r="BF194" s="233">
        <f>F194*AM194</f>
        <v>0</v>
      </c>
      <c r="BG194" s="233">
        <f>F194*AN194</f>
        <v>0</v>
      </c>
      <c r="BH194" s="233">
        <f>F194*G194</f>
        <v>0</v>
      </c>
      <c r="BI194" s="233"/>
      <c r="BJ194" s="233">
        <v>89</v>
      </c>
      <c r="BU194" s="233" t="e">
        <f>#REF!</f>
        <v>#REF!</v>
      </c>
      <c r="BV194" s="225" t="s">
        <v>595</v>
      </c>
    </row>
    <row r="195" spans="1:74" ht="13.5" customHeight="1" x14ac:dyDescent="0.3">
      <c r="A195" s="241"/>
      <c r="B195" s="242" t="s">
        <v>165</v>
      </c>
      <c r="C195" s="530" t="s">
        <v>596</v>
      </c>
      <c r="D195" s="531"/>
      <c r="E195" s="531"/>
      <c r="F195" s="531"/>
      <c r="G195" s="531"/>
      <c r="H195" s="531"/>
      <c r="I195" s="531"/>
      <c r="J195" s="531"/>
      <c r="K195" s="531"/>
      <c r="L195" s="531"/>
      <c r="M195" s="532"/>
    </row>
    <row r="196" spans="1:74" ht="14.4" x14ac:dyDescent="0.3">
      <c r="A196" s="239" t="s">
        <v>350</v>
      </c>
      <c r="B196" s="223" t="s">
        <v>598</v>
      </c>
      <c r="C196" s="521" t="s">
        <v>599</v>
      </c>
      <c r="D196" s="519"/>
      <c r="E196" s="223" t="s">
        <v>365</v>
      </c>
      <c r="F196" s="233">
        <v>3</v>
      </c>
      <c r="G196" s="311">
        <v>0</v>
      </c>
      <c r="H196" s="233">
        <f>F196*AM196</f>
        <v>0</v>
      </c>
      <c r="I196" s="233">
        <f>F196*AN196</f>
        <v>0</v>
      </c>
      <c r="J196" s="233">
        <f>F196*G196</f>
        <v>0</v>
      </c>
      <c r="K196" s="233">
        <v>2.2000000000000001E-4</v>
      </c>
      <c r="L196" s="233">
        <f>F196*K196</f>
        <v>6.6E-4</v>
      </c>
      <c r="M196" s="240" t="s">
        <v>472</v>
      </c>
      <c r="X196" s="233">
        <f>IF(AO196="5",BH196,0)</f>
        <v>0</v>
      </c>
      <c r="Z196" s="233">
        <f>IF(AO196="1",BF196,0)</f>
        <v>0</v>
      </c>
      <c r="AA196" s="233">
        <f>IF(AO196="1",BG196,0)</f>
        <v>0</v>
      </c>
      <c r="AB196" s="233">
        <f>IF(AO196="7",BF196,0)</f>
        <v>0</v>
      </c>
      <c r="AC196" s="233">
        <f>IF(AO196="7",BG196,0)</f>
        <v>0</v>
      </c>
      <c r="AD196" s="233">
        <f>IF(AO196="2",BF196,0)</f>
        <v>0</v>
      </c>
      <c r="AE196" s="233">
        <f>IF(AO196="2",BG196,0)</f>
        <v>0</v>
      </c>
      <c r="AF196" s="233">
        <f>IF(AO196="0",BH196,0)</f>
        <v>0</v>
      </c>
      <c r="AG196" s="230" t="s">
        <v>154</v>
      </c>
      <c r="AH196" s="233">
        <f>IF(AL196=0,J196,0)</f>
        <v>0</v>
      </c>
      <c r="AI196" s="233">
        <f>IF(AL196=15,J196,0)</f>
        <v>0</v>
      </c>
      <c r="AJ196" s="233">
        <f>IF(AL196=21,J196,0)</f>
        <v>0</v>
      </c>
      <c r="AL196" s="233">
        <v>21</v>
      </c>
      <c r="AM196" s="233">
        <f>G196*0.108757895</f>
        <v>0</v>
      </c>
      <c r="AN196" s="233">
        <f>G196*(1-0.108757895)</f>
        <v>0</v>
      </c>
      <c r="AO196" s="234" t="s">
        <v>157</v>
      </c>
      <c r="AT196" s="233">
        <f>AU196+AV196</f>
        <v>0</v>
      </c>
      <c r="AU196" s="233">
        <f>F196*AM196</f>
        <v>0</v>
      </c>
      <c r="AV196" s="233">
        <f>F196*AN196</f>
        <v>0</v>
      </c>
      <c r="AW196" s="234" t="s">
        <v>366</v>
      </c>
      <c r="AX196" s="234" t="s">
        <v>356</v>
      </c>
      <c r="AY196" s="230" t="s">
        <v>164</v>
      </c>
      <c r="BA196" s="233">
        <f>AU196+AV196</f>
        <v>0</v>
      </c>
      <c r="BB196" s="233">
        <f>G196/(100-BC196)*100</f>
        <v>0</v>
      </c>
      <c r="BC196" s="233">
        <v>0</v>
      </c>
      <c r="BD196" s="233">
        <f>L196</f>
        <v>6.6E-4</v>
      </c>
      <c r="BF196" s="233">
        <f>F196*AM196</f>
        <v>0</v>
      </c>
      <c r="BG196" s="233">
        <f>F196*AN196</f>
        <v>0</v>
      </c>
      <c r="BH196" s="233">
        <f>F196*G196</f>
        <v>0</v>
      </c>
      <c r="BI196" s="233"/>
      <c r="BJ196" s="233">
        <v>89</v>
      </c>
      <c r="BU196" s="233" t="e">
        <f>#REF!</f>
        <v>#REF!</v>
      </c>
      <c r="BV196" s="225" t="s">
        <v>599</v>
      </c>
    </row>
    <row r="197" spans="1:74" ht="13.5" customHeight="1" x14ac:dyDescent="0.3">
      <c r="A197" s="241"/>
      <c r="B197" s="242" t="s">
        <v>165</v>
      </c>
      <c r="C197" s="530" t="s">
        <v>596</v>
      </c>
      <c r="D197" s="531"/>
      <c r="E197" s="531"/>
      <c r="F197" s="531"/>
      <c r="G197" s="531"/>
      <c r="H197" s="531"/>
      <c r="I197" s="531"/>
      <c r="J197" s="531"/>
      <c r="K197" s="531"/>
      <c r="L197" s="531"/>
      <c r="M197" s="532"/>
    </row>
    <row r="198" spans="1:74" ht="14.4" x14ac:dyDescent="0.3">
      <c r="A198" s="239" t="s">
        <v>601</v>
      </c>
      <c r="B198" s="223" t="s">
        <v>567</v>
      </c>
      <c r="C198" s="521" t="s">
        <v>568</v>
      </c>
      <c r="D198" s="519"/>
      <c r="E198" s="223" t="s">
        <v>365</v>
      </c>
      <c r="F198" s="233">
        <v>9</v>
      </c>
      <c r="G198" s="311">
        <v>0</v>
      </c>
      <c r="H198" s="233">
        <f>F198*AM198</f>
        <v>0</v>
      </c>
      <c r="I198" s="233">
        <f>F198*AN198</f>
        <v>0</v>
      </c>
      <c r="J198" s="233">
        <f>F198*G198</f>
        <v>0</v>
      </c>
      <c r="K198" s="233">
        <v>0.11178</v>
      </c>
      <c r="L198" s="233">
        <f>F198*K198</f>
        <v>1.0060200000000001</v>
      </c>
      <c r="M198" s="240" t="s">
        <v>472</v>
      </c>
      <c r="X198" s="233">
        <f>IF(AO198="5",BH198,0)</f>
        <v>0</v>
      </c>
      <c r="Z198" s="233">
        <f>IF(AO198="1",BF198,0)</f>
        <v>0</v>
      </c>
      <c r="AA198" s="233">
        <f>IF(AO198="1",BG198,0)</f>
        <v>0</v>
      </c>
      <c r="AB198" s="233">
        <f>IF(AO198="7",BF198,0)</f>
        <v>0</v>
      </c>
      <c r="AC198" s="233">
        <f>IF(AO198="7",BG198,0)</f>
        <v>0</v>
      </c>
      <c r="AD198" s="233">
        <f>IF(AO198="2",BF198,0)</f>
        <v>0</v>
      </c>
      <c r="AE198" s="233">
        <f>IF(AO198="2",BG198,0)</f>
        <v>0</v>
      </c>
      <c r="AF198" s="233">
        <f>IF(AO198="0",BH198,0)</f>
        <v>0</v>
      </c>
      <c r="AG198" s="230" t="s">
        <v>154</v>
      </c>
      <c r="AH198" s="233">
        <f>IF(AL198=0,J198,0)</f>
        <v>0</v>
      </c>
      <c r="AI198" s="233">
        <f>IF(AL198=15,J198,0)</f>
        <v>0</v>
      </c>
      <c r="AJ198" s="233">
        <f>IF(AL198=21,J198,0)</f>
        <v>0</v>
      </c>
      <c r="AL198" s="233">
        <v>21</v>
      </c>
      <c r="AM198" s="233">
        <f>G198*0.428929987</f>
        <v>0</v>
      </c>
      <c r="AN198" s="233">
        <f>G198*(1-0.428929987)</f>
        <v>0</v>
      </c>
      <c r="AO198" s="234" t="s">
        <v>157</v>
      </c>
      <c r="AT198" s="233">
        <f>AU198+AV198</f>
        <v>0</v>
      </c>
      <c r="AU198" s="233">
        <f>F198*AM198</f>
        <v>0</v>
      </c>
      <c r="AV198" s="233">
        <f>F198*AN198</f>
        <v>0</v>
      </c>
      <c r="AW198" s="234" t="s">
        <v>366</v>
      </c>
      <c r="AX198" s="234" t="s">
        <v>356</v>
      </c>
      <c r="AY198" s="230" t="s">
        <v>164</v>
      </c>
      <c r="BA198" s="233">
        <f>AU198+AV198</f>
        <v>0</v>
      </c>
      <c r="BB198" s="233">
        <f>G198/(100-BC198)*100</f>
        <v>0</v>
      </c>
      <c r="BC198" s="233">
        <v>0</v>
      </c>
      <c r="BD198" s="233">
        <f>L198</f>
        <v>1.0060200000000001</v>
      </c>
      <c r="BF198" s="233">
        <f>F198*AM198</f>
        <v>0</v>
      </c>
      <c r="BG198" s="233">
        <f>F198*AN198</f>
        <v>0</v>
      </c>
      <c r="BH198" s="233">
        <f>F198*G198</f>
        <v>0</v>
      </c>
      <c r="BI198" s="233"/>
      <c r="BJ198" s="233">
        <v>89</v>
      </c>
      <c r="BU198" s="233" t="e">
        <f>#REF!</f>
        <v>#REF!</v>
      </c>
      <c r="BV198" s="225" t="s">
        <v>568</v>
      </c>
    </row>
    <row r="199" spans="1:74" ht="13.5" customHeight="1" x14ac:dyDescent="0.3">
      <c r="A199" s="241"/>
      <c r="B199" s="242" t="s">
        <v>165</v>
      </c>
      <c r="C199" s="530" t="s">
        <v>600</v>
      </c>
      <c r="D199" s="531"/>
      <c r="E199" s="531"/>
      <c r="F199" s="531"/>
      <c r="G199" s="531"/>
      <c r="H199" s="531"/>
      <c r="I199" s="531"/>
      <c r="J199" s="531"/>
      <c r="K199" s="531"/>
      <c r="L199" s="531"/>
      <c r="M199" s="532"/>
    </row>
    <row r="200" spans="1:74" ht="14.4" x14ac:dyDescent="0.3">
      <c r="A200" s="239" t="s">
        <v>529</v>
      </c>
      <c r="B200" s="223" t="s">
        <v>602</v>
      </c>
      <c r="C200" s="521" t="s">
        <v>603</v>
      </c>
      <c r="D200" s="519"/>
      <c r="E200" s="223" t="s">
        <v>365</v>
      </c>
      <c r="F200" s="233">
        <v>3</v>
      </c>
      <c r="G200" s="311">
        <v>0</v>
      </c>
      <c r="H200" s="233">
        <f>F200*AM200</f>
        <v>0</v>
      </c>
      <c r="I200" s="233">
        <f>F200*AN200</f>
        <v>0</v>
      </c>
      <c r="J200" s="233">
        <f>F200*G200</f>
        <v>0</v>
      </c>
      <c r="K200" s="233">
        <v>0.32906000000000002</v>
      </c>
      <c r="L200" s="233">
        <f>F200*K200</f>
        <v>0.98718000000000006</v>
      </c>
      <c r="M200" s="240" t="s">
        <v>472</v>
      </c>
      <c r="X200" s="233">
        <f>IF(AO200="5",BH200,0)</f>
        <v>0</v>
      </c>
      <c r="Z200" s="233">
        <f>IF(AO200="1",BF200,0)</f>
        <v>0</v>
      </c>
      <c r="AA200" s="233">
        <f>IF(AO200="1",BG200,0)</f>
        <v>0</v>
      </c>
      <c r="AB200" s="233">
        <f>IF(AO200="7",BF200,0)</f>
        <v>0</v>
      </c>
      <c r="AC200" s="233">
        <f>IF(AO200="7",BG200,0)</f>
        <v>0</v>
      </c>
      <c r="AD200" s="233">
        <f>IF(AO200="2",BF200,0)</f>
        <v>0</v>
      </c>
      <c r="AE200" s="233">
        <f>IF(AO200="2",BG200,0)</f>
        <v>0</v>
      </c>
      <c r="AF200" s="233">
        <f>IF(AO200="0",BH200,0)</f>
        <v>0</v>
      </c>
      <c r="AG200" s="230" t="s">
        <v>154</v>
      </c>
      <c r="AH200" s="233">
        <f>IF(AL200=0,J200,0)</f>
        <v>0</v>
      </c>
      <c r="AI200" s="233">
        <f>IF(AL200=15,J200,0)</f>
        <v>0</v>
      </c>
      <c r="AJ200" s="233">
        <f>IF(AL200=21,J200,0)</f>
        <v>0</v>
      </c>
      <c r="AL200" s="233">
        <v>21</v>
      </c>
      <c r="AM200" s="233">
        <f>G200*0.593457375</f>
        <v>0</v>
      </c>
      <c r="AN200" s="233">
        <f>G200*(1-0.593457375)</f>
        <v>0</v>
      </c>
      <c r="AO200" s="234" t="s">
        <v>157</v>
      </c>
      <c r="AT200" s="233">
        <f>AU200+AV200</f>
        <v>0</v>
      </c>
      <c r="AU200" s="233">
        <f>F200*AM200</f>
        <v>0</v>
      </c>
      <c r="AV200" s="233">
        <f>F200*AN200</f>
        <v>0</v>
      </c>
      <c r="AW200" s="234" t="s">
        <v>366</v>
      </c>
      <c r="AX200" s="234" t="s">
        <v>356</v>
      </c>
      <c r="AY200" s="230" t="s">
        <v>164</v>
      </c>
      <c r="BA200" s="233">
        <f>AU200+AV200</f>
        <v>0</v>
      </c>
      <c r="BB200" s="233">
        <f>G200/(100-BC200)*100</f>
        <v>0</v>
      </c>
      <c r="BC200" s="233">
        <v>0</v>
      </c>
      <c r="BD200" s="233">
        <f>L200</f>
        <v>0.98718000000000006</v>
      </c>
      <c r="BF200" s="233">
        <f>F200*AM200</f>
        <v>0</v>
      </c>
      <c r="BG200" s="233">
        <f>F200*AN200</f>
        <v>0</v>
      </c>
      <c r="BH200" s="233">
        <f>F200*G200</f>
        <v>0</v>
      </c>
      <c r="BI200" s="233"/>
      <c r="BJ200" s="233">
        <v>89</v>
      </c>
      <c r="BU200" s="233" t="e">
        <f>#REF!</f>
        <v>#REF!</v>
      </c>
      <c r="BV200" s="225" t="s">
        <v>603</v>
      </c>
    </row>
    <row r="201" spans="1:74" ht="13.5" customHeight="1" x14ac:dyDescent="0.3">
      <c r="A201" s="241"/>
      <c r="B201" s="242" t="s">
        <v>165</v>
      </c>
      <c r="C201" s="530" t="s">
        <v>600</v>
      </c>
      <c r="D201" s="531"/>
      <c r="E201" s="531"/>
      <c r="F201" s="531"/>
      <c r="G201" s="531"/>
      <c r="H201" s="531"/>
      <c r="I201" s="531"/>
      <c r="J201" s="531"/>
      <c r="K201" s="531"/>
      <c r="L201" s="531"/>
      <c r="M201" s="532"/>
    </row>
    <row r="202" spans="1:74" ht="14.4" x14ac:dyDescent="0.3">
      <c r="A202" s="239" t="s">
        <v>607</v>
      </c>
      <c r="B202" s="223" t="s">
        <v>604</v>
      </c>
      <c r="C202" s="521" t="s">
        <v>605</v>
      </c>
      <c r="D202" s="519"/>
      <c r="E202" s="223" t="s">
        <v>365</v>
      </c>
      <c r="F202" s="233">
        <v>3</v>
      </c>
      <c r="G202" s="311">
        <v>0</v>
      </c>
      <c r="H202" s="233">
        <f>F202*AM202</f>
        <v>0</v>
      </c>
      <c r="I202" s="233">
        <f>F202*AN202</f>
        <v>0</v>
      </c>
      <c r="J202" s="233">
        <f>F202*G202</f>
        <v>0</v>
      </c>
      <c r="K202" s="233">
        <v>1.1E-4</v>
      </c>
      <c r="L202" s="233">
        <f>F202*K202</f>
        <v>3.3E-4</v>
      </c>
      <c r="M202" s="240" t="s">
        <v>472</v>
      </c>
      <c r="X202" s="233">
        <f>IF(AO202="5",BH202,0)</f>
        <v>0</v>
      </c>
      <c r="Z202" s="233">
        <f>IF(AO202="1",BF202,0)</f>
        <v>0</v>
      </c>
      <c r="AA202" s="233">
        <f>IF(AO202="1",BG202,0)</f>
        <v>0</v>
      </c>
      <c r="AB202" s="233">
        <f>IF(AO202="7",BF202,0)</f>
        <v>0</v>
      </c>
      <c r="AC202" s="233">
        <f>IF(AO202="7",BG202,0)</f>
        <v>0</v>
      </c>
      <c r="AD202" s="233">
        <f>IF(AO202="2",BF202,0)</f>
        <v>0</v>
      </c>
      <c r="AE202" s="233">
        <f>IF(AO202="2",BG202,0)</f>
        <v>0</v>
      </c>
      <c r="AF202" s="233">
        <f>IF(AO202="0",BH202,0)</f>
        <v>0</v>
      </c>
      <c r="AG202" s="230" t="s">
        <v>154</v>
      </c>
      <c r="AH202" s="233">
        <f>IF(AL202=0,J202,0)</f>
        <v>0</v>
      </c>
      <c r="AI202" s="233">
        <f>IF(AL202=15,J202,0)</f>
        <v>0</v>
      </c>
      <c r="AJ202" s="233">
        <f>IF(AL202=21,J202,0)</f>
        <v>0</v>
      </c>
      <c r="AL202" s="233">
        <v>21</v>
      </c>
      <c r="AM202" s="233">
        <f>G202*0.097918129</f>
        <v>0</v>
      </c>
      <c r="AN202" s="233">
        <f>G202*(1-0.097918129)</f>
        <v>0</v>
      </c>
      <c r="AO202" s="234" t="s">
        <v>157</v>
      </c>
      <c r="AT202" s="233">
        <f>AU202+AV202</f>
        <v>0</v>
      </c>
      <c r="AU202" s="233">
        <f>F202*AM202</f>
        <v>0</v>
      </c>
      <c r="AV202" s="233">
        <f>F202*AN202</f>
        <v>0</v>
      </c>
      <c r="AW202" s="234" t="s">
        <v>366</v>
      </c>
      <c r="AX202" s="234" t="s">
        <v>356</v>
      </c>
      <c r="AY202" s="230" t="s">
        <v>164</v>
      </c>
      <c r="BA202" s="233">
        <f>AU202+AV202</f>
        <v>0</v>
      </c>
      <c r="BB202" s="233">
        <f>G202/(100-BC202)*100</f>
        <v>0</v>
      </c>
      <c r="BC202" s="233">
        <v>0</v>
      </c>
      <c r="BD202" s="233">
        <f>L202</f>
        <v>3.3E-4</v>
      </c>
      <c r="BF202" s="233">
        <f>F202*AM202</f>
        <v>0</v>
      </c>
      <c r="BG202" s="233">
        <f>F202*AN202</f>
        <v>0</v>
      </c>
      <c r="BH202" s="233">
        <f>F202*G202</f>
        <v>0</v>
      </c>
      <c r="BI202" s="233"/>
      <c r="BJ202" s="233">
        <v>89</v>
      </c>
      <c r="BU202" s="233" t="e">
        <f>#REF!</f>
        <v>#REF!</v>
      </c>
      <c r="BV202" s="225" t="s">
        <v>605</v>
      </c>
    </row>
    <row r="203" spans="1:74" ht="13.5" customHeight="1" x14ac:dyDescent="0.3">
      <c r="A203" s="241"/>
      <c r="B203" s="242" t="s">
        <v>165</v>
      </c>
      <c r="C203" s="530" t="s">
        <v>606</v>
      </c>
      <c r="D203" s="531"/>
      <c r="E203" s="531"/>
      <c r="F203" s="531"/>
      <c r="G203" s="531"/>
      <c r="H203" s="531"/>
      <c r="I203" s="531"/>
      <c r="J203" s="531"/>
      <c r="K203" s="531"/>
      <c r="L203" s="531"/>
      <c r="M203" s="532"/>
    </row>
    <row r="204" spans="1:74" ht="14.4" x14ac:dyDescent="0.3">
      <c r="A204" s="239" t="s">
        <v>539</v>
      </c>
      <c r="B204" s="223" t="s">
        <v>608</v>
      </c>
      <c r="C204" s="521" t="s">
        <v>609</v>
      </c>
      <c r="D204" s="519"/>
      <c r="E204" s="223" t="s">
        <v>365</v>
      </c>
      <c r="F204" s="233">
        <v>17</v>
      </c>
      <c r="G204" s="311">
        <v>0</v>
      </c>
      <c r="H204" s="233">
        <f>F204*AM204</f>
        <v>0</v>
      </c>
      <c r="I204" s="233">
        <f>F204*AN204</f>
        <v>0</v>
      </c>
      <c r="J204" s="233">
        <f>F204*G204</f>
        <v>0</v>
      </c>
      <c r="K204" s="233">
        <v>0</v>
      </c>
      <c r="L204" s="233">
        <f>F204*K204</f>
        <v>0</v>
      </c>
      <c r="M204" s="240" t="s">
        <v>472</v>
      </c>
      <c r="X204" s="233">
        <f>IF(AO204="5",BH204,0)</f>
        <v>0</v>
      </c>
      <c r="Z204" s="233">
        <f>IF(AO204="1",BF204,0)</f>
        <v>0</v>
      </c>
      <c r="AA204" s="233">
        <f>IF(AO204="1",BG204,0)</f>
        <v>0</v>
      </c>
      <c r="AB204" s="233">
        <f>IF(AO204="7",BF204,0)</f>
        <v>0</v>
      </c>
      <c r="AC204" s="233">
        <f>IF(AO204="7",BG204,0)</f>
        <v>0</v>
      </c>
      <c r="AD204" s="233">
        <f>IF(AO204="2",BF204,0)</f>
        <v>0</v>
      </c>
      <c r="AE204" s="233">
        <f>IF(AO204="2",BG204,0)</f>
        <v>0</v>
      </c>
      <c r="AF204" s="233">
        <f>IF(AO204="0",BH204,0)</f>
        <v>0</v>
      </c>
      <c r="AG204" s="230" t="s">
        <v>154</v>
      </c>
      <c r="AH204" s="233">
        <f>IF(AL204=0,J204,0)</f>
        <v>0</v>
      </c>
      <c r="AI204" s="233">
        <f>IF(AL204=15,J204,0)</f>
        <v>0</v>
      </c>
      <c r="AJ204" s="233">
        <f>IF(AL204=21,J204,0)</f>
        <v>0</v>
      </c>
      <c r="AL204" s="233">
        <v>21</v>
      </c>
      <c r="AM204" s="233">
        <f>G204*0</f>
        <v>0</v>
      </c>
      <c r="AN204" s="233">
        <f>G204*(1-0)</f>
        <v>0</v>
      </c>
      <c r="AO204" s="234" t="s">
        <v>157</v>
      </c>
      <c r="AT204" s="233">
        <f>AU204+AV204</f>
        <v>0</v>
      </c>
      <c r="AU204" s="233">
        <f>F204*AM204</f>
        <v>0</v>
      </c>
      <c r="AV204" s="233">
        <f>F204*AN204</f>
        <v>0</v>
      </c>
      <c r="AW204" s="234" t="s">
        <v>366</v>
      </c>
      <c r="AX204" s="234" t="s">
        <v>356</v>
      </c>
      <c r="AY204" s="230" t="s">
        <v>164</v>
      </c>
      <c r="BA204" s="233">
        <f>AU204+AV204</f>
        <v>0</v>
      </c>
      <c r="BB204" s="233">
        <f>G204/(100-BC204)*100</f>
        <v>0</v>
      </c>
      <c r="BC204" s="233">
        <v>0</v>
      </c>
      <c r="BD204" s="233">
        <f>L204</f>
        <v>0</v>
      </c>
      <c r="BF204" s="233">
        <f>F204*AM204</f>
        <v>0</v>
      </c>
      <c r="BG204" s="233">
        <f>F204*AN204</f>
        <v>0</v>
      </c>
      <c r="BH204" s="233">
        <f>F204*G204</f>
        <v>0</v>
      </c>
      <c r="BI204" s="233"/>
      <c r="BJ204" s="233">
        <v>89</v>
      </c>
      <c r="BU204" s="233" t="e">
        <f>#REF!</f>
        <v>#REF!</v>
      </c>
      <c r="BV204" s="225" t="s">
        <v>609</v>
      </c>
    </row>
    <row r="205" spans="1:74" ht="13.5" customHeight="1" x14ac:dyDescent="0.3">
      <c r="A205" s="241"/>
      <c r="B205" s="242" t="s">
        <v>165</v>
      </c>
      <c r="C205" s="530" t="s">
        <v>610</v>
      </c>
      <c r="D205" s="531"/>
      <c r="E205" s="531"/>
      <c r="F205" s="531"/>
      <c r="G205" s="531"/>
      <c r="H205" s="531"/>
      <c r="I205" s="531"/>
      <c r="J205" s="531"/>
      <c r="K205" s="531"/>
      <c r="L205" s="531"/>
      <c r="M205" s="532"/>
    </row>
    <row r="206" spans="1:74" ht="14.4" x14ac:dyDescent="0.3">
      <c r="A206" s="239" t="s">
        <v>613</v>
      </c>
      <c r="B206" s="223" t="s">
        <v>611</v>
      </c>
      <c r="C206" s="521" t="s">
        <v>612</v>
      </c>
      <c r="D206" s="519"/>
      <c r="E206" s="223" t="s">
        <v>365</v>
      </c>
      <c r="F206" s="233">
        <v>17</v>
      </c>
      <c r="G206" s="311">
        <v>0</v>
      </c>
      <c r="H206" s="233">
        <f>F206*AM206</f>
        <v>0</v>
      </c>
      <c r="I206" s="233">
        <f>F206*AN206</f>
        <v>0</v>
      </c>
      <c r="J206" s="233">
        <f>F206*G206</f>
        <v>0</v>
      </c>
      <c r="K206" s="233">
        <v>2.0000000000000002E-5</v>
      </c>
      <c r="L206" s="233">
        <f>F206*K206</f>
        <v>3.4000000000000002E-4</v>
      </c>
      <c r="M206" s="240" t="s">
        <v>472</v>
      </c>
      <c r="X206" s="233">
        <f>IF(AO206="5",BH206,0)</f>
        <v>0</v>
      </c>
      <c r="Z206" s="233">
        <f>IF(AO206="1",BF206,0)</f>
        <v>0</v>
      </c>
      <c r="AA206" s="233">
        <f>IF(AO206="1",BG206,0)</f>
        <v>0</v>
      </c>
      <c r="AB206" s="233">
        <f>IF(AO206="7",BF206,0)</f>
        <v>0</v>
      </c>
      <c r="AC206" s="233">
        <f>IF(AO206="7",BG206,0)</f>
        <v>0</v>
      </c>
      <c r="AD206" s="233">
        <f>IF(AO206="2",BF206,0)</f>
        <v>0</v>
      </c>
      <c r="AE206" s="233">
        <f>IF(AO206="2",BG206,0)</f>
        <v>0</v>
      </c>
      <c r="AF206" s="233">
        <f>IF(AO206="0",BH206,0)</f>
        <v>0</v>
      </c>
      <c r="AG206" s="230" t="s">
        <v>154</v>
      </c>
      <c r="AH206" s="233">
        <f>IF(AL206=0,J206,0)</f>
        <v>0</v>
      </c>
      <c r="AI206" s="233">
        <f>IF(AL206=15,J206,0)</f>
        <v>0</v>
      </c>
      <c r="AJ206" s="233">
        <f>IF(AL206=21,J206,0)</f>
        <v>0</v>
      </c>
      <c r="AL206" s="233">
        <v>21</v>
      </c>
      <c r="AM206" s="233">
        <f>G206*0.019909502</f>
        <v>0</v>
      </c>
      <c r="AN206" s="233">
        <f>G206*(1-0.019909502)</f>
        <v>0</v>
      </c>
      <c r="AO206" s="234" t="s">
        <v>157</v>
      </c>
      <c r="AT206" s="233">
        <f>AU206+AV206</f>
        <v>0</v>
      </c>
      <c r="AU206" s="233">
        <f>F206*AM206</f>
        <v>0</v>
      </c>
      <c r="AV206" s="233">
        <f>F206*AN206</f>
        <v>0</v>
      </c>
      <c r="AW206" s="234" t="s">
        <v>366</v>
      </c>
      <c r="AX206" s="234" t="s">
        <v>356</v>
      </c>
      <c r="AY206" s="230" t="s">
        <v>164</v>
      </c>
      <c r="BA206" s="233">
        <f>AU206+AV206</f>
        <v>0</v>
      </c>
      <c r="BB206" s="233">
        <f>G206/(100-BC206)*100</f>
        <v>0</v>
      </c>
      <c r="BC206" s="233">
        <v>0</v>
      </c>
      <c r="BD206" s="233">
        <f>L206</f>
        <v>3.4000000000000002E-4</v>
      </c>
      <c r="BF206" s="233">
        <f>F206*AM206</f>
        <v>0</v>
      </c>
      <c r="BG206" s="233">
        <f>F206*AN206</f>
        <v>0</v>
      </c>
      <c r="BH206" s="233">
        <f>F206*G206</f>
        <v>0</v>
      </c>
      <c r="BI206" s="233"/>
      <c r="BJ206" s="233">
        <v>89</v>
      </c>
      <c r="BU206" s="233" t="e">
        <f>#REF!</f>
        <v>#REF!</v>
      </c>
      <c r="BV206" s="225" t="s">
        <v>612</v>
      </c>
    </row>
    <row r="207" spans="1:74" ht="13.5" customHeight="1" x14ac:dyDescent="0.3">
      <c r="A207" s="241"/>
      <c r="B207" s="242" t="s">
        <v>165</v>
      </c>
      <c r="C207" s="530" t="s">
        <v>596</v>
      </c>
      <c r="D207" s="531"/>
      <c r="E207" s="531"/>
      <c r="F207" s="531"/>
      <c r="G207" s="531"/>
      <c r="H207" s="531"/>
      <c r="I207" s="531"/>
      <c r="J207" s="531"/>
      <c r="K207" s="531"/>
      <c r="L207" s="531"/>
      <c r="M207" s="532"/>
    </row>
    <row r="208" spans="1:74" ht="14.4" x14ac:dyDescent="0.3">
      <c r="A208" s="239" t="s">
        <v>360</v>
      </c>
      <c r="B208" s="223" t="s">
        <v>567</v>
      </c>
      <c r="C208" s="521" t="s">
        <v>568</v>
      </c>
      <c r="D208" s="519"/>
      <c r="E208" s="223" t="s">
        <v>365</v>
      </c>
      <c r="F208" s="233">
        <v>17</v>
      </c>
      <c r="G208" s="311">
        <v>0</v>
      </c>
      <c r="H208" s="233">
        <f>F208*AM208</f>
        <v>0</v>
      </c>
      <c r="I208" s="233">
        <f>F208*AN208</f>
        <v>0</v>
      </c>
      <c r="J208" s="233">
        <f>F208*G208</f>
        <v>0</v>
      </c>
      <c r="K208" s="233">
        <v>0.12303</v>
      </c>
      <c r="L208" s="233">
        <f>F208*K208</f>
        <v>2.09151</v>
      </c>
      <c r="M208" s="240" t="s">
        <v>472</v>
      </c>
      <c r="X208" s="233">
        <f>IF(AO208="5",BH208,0)</f>
        <v>0</v>
      </c>
      <c r="Z208" s="233">
        <f>IF(AO208="1",BF208,0)</f>
        <v>0</v>
      </c>
      <c r="AA208" s="233">
        <f>IF(AO208="1",BG208,0)</f>
        <v>0</v>
      </c>
      <c r="AB208" s="233">
        <f>IF(AO208="7",BF208,0)</f>
        <v>0</v>
      </c>
      <c r="AC208" s="233">
        <f>IF(AO208="7",BG208,0)</f>
        <v>0</v>
      </c>
      <c r="AD208" s="233">
        <f>IF(AO208="2",BF208,0)</f>
        <v>0</v>
      </c>
      <c r="AE208" s="233">
        <f>IF(AO208="2",BG208,0)</f>
        <v>0</v>
      </c>
      <c r="AF208" s="233">
        <f>IF(AO208="0",BH208,0)</f>
        <v>0</v>
      </c>
      <c r="AG208" s="230" t="s">
        <v>154</v>
      </c>
      <c r="AH208" s="233">
        <f>IF(AL208=0,J208,0)</f>
        <v>0</v>
      </c>
      <c r="AI208" s="233">
        <f>IF(AL208=15,J208,0)</f>
        <v>0</v>
      </c>
      <c r="AJ208" s="233">
        <f>IF(AL208=21,J208,0)</f>
        <v>0</v>
      </c>
      <c r="AL208" s="233">
        <v>21</v>
      </c>
      <c r="AM208" s="233">
        <f>G208*0.428929987</f>
        <v>0</v>
      </c>
      <c r="AN208" s="233">
        <f>G208*(1-0.428929987)</f>
        <v>0</v>
      </c>
      <c r="AO208" s="234" t="s">
        <v>157</v>
      </c>
      <c r="AT208" s="233">
        <f>AU208+AV208</f>
        <v>0</v>
      </c>
      <c r="AU208" s="233">
        <f>F208*AM208</f>
        <v>0</v>
      </c>
      <c r="AV208" s="233">
        <f>F208*AN208</f>
        <v>0</v>
      </c>
      <c r="AW208" s="234" t="s">
        <v>366</v>
      </c>
      <c r="AX208" s="234" t="s">
        <v>356</v>
      </c>
      <c r="AY208" s="230" t="s">
        <v>164</v>
      </c>
      <c r="BA208" s="233">
        <f>AU208+AV208</f>
        <v>0</v>
      </c>
      <c r="BB208" s="233">
        <f>G208/(100-BC208)*100</f>
        <v>0</v>
      </c>
      <c r="BC208" s="233">
        <v>0</v>
      </c>
      <c r="BD208" s="233">
        <f>L208</f>
        <v>2.09151</v>
      </c>
      <c r="BF208" s="233">
        <f>F208*AM208</f>
        <v>0</v>
      </c>
      <c r="BG208" s="233">
        <f>F208*AN208</f>
        <v>0</v>
      </c>
      <c r="BH208" s="233">
        <f>F208*G208</f>
        <v>0</v>
      </c>
      <c r="BI208" s="233"/>
      <c r="BJ208" s="233">
        <v>89</v>
      </c>
      <c r="BU208" s="233" t="e">
        <f>#REF!</f>
        <v>#REF!</v>
      </c>
      <c r="BV208" s="225" t="s">
        <v>568</v>
      </c>
    </row>
    <row r="209" spans="1:74" ht="13.5" customHeight="1" x14ac:dyDescent="0.3">
      <c r="A209" s="241"/>
      <c r="B209" s="242" t="s">
        <v>165</v>
      </c>
      <c r="C209" s="530" t="s">
        <v>614</v>
      </c>
      <c r="D209" s="531"/>
      <c r="E209" s="531"/>
      <c r="F209" s="531"/>
      <c r="G209" s="531"/>
      <c r="H209" s="531"/>
      <c r="I209" s="531"/>
      <c r="J209" s="531"/>
      <c r="K209" s="531"/>
      <c r="L209" s="531"/>
      <c r="M209" s="532"/>
    </row>
    <row r="210" spans="1:74" ht="14.4" x14ac:dyDescent="0.3">
      <c r="A210" s="239" t="s">
        <v>154</v>
      </c>
      <c r="B210" s="224" t="s">
        <v>376</v>
      </c>
      <c r="C210" s="526" t="s">
        <v>377</v>
      </c>
      <c r="D210" s="527"/>
      <c r="E210" s="223" t="s">
        <v>114</v>
      </c>
      <c r="F210" s="223" t="s">
        <v>114</v>
      </c>
      <c r="G210" s="223" t="s">
        <v>114</v>
      </c>
      <c r="H210" s="235">
        <f>SUM(H211:H211)</f>
        <v>0</v>
      </c>
      <c r="I210" s="235">
        <f>SUM(I211:I211)</f>
        <v>0</v>
      </c>
      <c r="J210" s="235">
        <f>SUM(J211:J211)</f>
        <v>0</v>
      </c>
      <c r="K210" s="230" t="s">
        <v>154</v>
      </c>
      <c r="L210" s="235">
        <f>SUM(L211:L211)</f>
        <v>0</v>
      </c>
      <c r="M210" s="243" t="s">
        <v>154</v>
      </c>
      <c r="AG210" s="230" t="s">
        <v>154</v>
      </c>
      <c r="AQ210" s="235">
        <f>SUM(AH211:AH211)</f>
        <v>0</v>
      </c>
      <c r="AR210" s="235">
        <f>SUM(AI211:AI211)</f>
        <v>0</v>
      </c>
      <c r="AS210" s="235">
        <f>SUM(AJ211:AJ211)</f>
        <v>0</v>
      </c>
    </row>
    <row r="211" spans="1:74" ht="14.4" x14ac:dyDescent="0.3">
      <c r="A211" s="239" t="s">
        <v>615</v>
      </c>
      <c r="B211" s="223" t="s">
        <v>378</v>
      </c>
      <c r="C211" s="521" t="s">
        <v>379</v>
      </c>
      <c r="D211" s="519"/>
      <c r="E211" s="223" t="s">
        <v>380</v>
      </c>
      <c r="F211" s="233">
        <v>577.85</v>
      </c>
      <c r="G211" s="311">
        <v>0</v>
      </c>
      <c r="H211" s="233">
        <f>F211*AM211</f>
        <v>0</v>
      </c>
      <c r="I211" s="233">
        <f>F211*AN211</f>
        <v>0</v>
      </c>
      <c r="J211" s="233">
        <f>F211*G211</f>
        <v>0</v>
      </c>
      <c r="K211" s="233">
        <v>0</v>
      </c>
      <c r="L211" s="233">
        <f>F211*K211</f>
        <v>0</v>
      </c>
      <c r="M211" s="240" t="s">
        <v>472</v>
      </c>
      <c r="X211" s="233">
        <f>IF(AO211="5",BH211,0)</f>
        <v>0</v>
      </c>
      <c r="Z211" s="233">
        <f>IF(AO211="1",BF211,0)</f>
        <v>0</v>
      </c>
      <c r="AA211" s="233">
        <f>IF(AO211="1",BG211,0)</f>
        <v>0</v>
      </c>
      <c r="AB211" s="233">
        <f>IF(AO211="7",BF211,0)</f>
        <v>0</v>
      </c>
      <c r="AC211" s="233">
        <f>IF(AO211="7",BG211,0)</f>
        <v>0</v>
      </c>
      <c r="AD211" s="233">
        <f>IF(AO211="2",BF211,0)</f>
        <v>0</v>
      </c>
      <c r="AE211" s="233">
        <f>IF(AO211="2",BG211,0)</f>
        <v>0</v>
      </c>
      <c r="AF211" s="233">
        <f>IF(AO211="0",BH211,0)</f>
        <v>0</v>
      </c>
      <c r="AG211" s="230" t="s">
        <v>154</v>
      </c>
      <c r="AH211" s="233">
        <f>IF(AL211=0,J211,0)</f>
        <v>0</v>
      </c>
      <c r="AI211" s="233">
        <f>IF(AL211=15,J211,0)</f>
        <v>0</v>
      </c>
      <c r="AJ211" s="233">
        <f>IF(AL211=21,J211,0)</f>
        <v>0</v>
      </c>
      <c r="AL211" s="233">
        <v>21</v>
      </c>
      <c r="AM211" s="233">
        <f>G211*0</f>
        <v>0</v>
      </c>
      <c r="AN211" s="233">
        <f>G211*(1-0)</f>
        <v>0</v>
      </c>
      <c r="AO211" s="234" t="s">
        <v>157</v>
      </c>
      <c r="AT211" s="233">
        <f>AU211+AV211</f>
        <v>0</v>
      </c>
      <c r="AU211" s="233">
        <f>F211*AM211</f>
        <v>0</v>
      </c>
      <c r="AV211" s="233">
        <f>F211*AN211</f>
        <v>0</v>
      </c>
      <c r="AW211" s="234" t="s">
        <v>381</v>
      </c>
      <c r="AX211" s="234" t="s">
        <v>375</v>
      </c>
      <c r="AY211" s="230" t="s">
        <v>164</v>
      </c>
      <c r="BA211" s="233">
        <f>AU211+AV211</f>
        <v>0</v>
      </c>
      <c r="BB211" s="233">
        <f>G211/(100-BC211)*100</f>
        <v>0</v>
      </c>
      <c r="BC211" s="233">
        <v>0</v>
      </c>
      <c r="BD211" s="233">
        <f>L211</f>
        <v>0</v>
      </c>
      <c r="BF211" s="233">
        <f>F211*AM211</f>
        <v>0</v>
      </c>
      <c r="BG211" s="233">
        <f>F211*AN211</f>
        <v>0</v>
      </c>
      <c r="BH211" s="233">
        <f>F211*G211</f>
        <v>0</v>
      </c>
      <c r="BI211" s="233"/>
      <c r="BJ211" s="233">
        <v>97</v>
      </c>
      <c r="BU211" s="233" t="e">
        <f>#REF!</f>
        <v>#REF!</v>
      </c>
      <c r="BV211" s="225" t="s">
        <v>379</v>
      </c>
    </row>
    <row r="212" spans="1:74" ht="27" customHeight="1" x14ac:dyDescent="0.3">
      <c r="A212" s="241"/>
      <c r="B212" s="242" t="s">
        <v>165</v>
      </c>
      <c r="C212" s="530" t="s">
        <v>1461</v>
      </c>
      <c r="D212" s="531"/>
      <c r="E212" s="531"/>
      <c r="F212" s="531"/>
      <c r="G212" s="531"/>
      <c r="H212" s="531"/>
      <c r="I212" s="531"/>
      <c r="J212" s="531"/>
      <c r="K212" s="531"/>
      <c r="L212" s="531"/>
      <c r="M212" s="532"/>
    </row>
    <row r="213" spans="1:74" ht="14.4" x14ac:dyDescent="0.3">
      <c r="A213" s="239" t="s">
        <v>154</v>
      </c>
      <c r="B213" s="224" t="s">
        <v>382</v>
      </c>
      <c r="C213" s="526" t="s">
        <v>383</v>
      </c>
      <c r="D213" s="527"/>
      <c r="E213" s="223" t="s">
        <v>114</v>
      </c>
      <c r="F213" s="223" t="s">
        <v>114</v>
      </c>
      <c r="G213" s="223" t="s">
        <v>114</v>
      </c>
      <c r="H213" s="235">
        <f>SUM(H214:H219)</f>
        <v>0</v>
      </c>
      <c r="I213" s="235">
        <f>SUM(I214:I219)</f>
        <v>0</v>
      </c>
      <c r="J213" s="235">
        <f>SUM(J214:J219)</f>
        <v>0</v>
      </c>
      <c r="K213" s="230" t="s">
        <v>154</v>
      </c>
      <c r="L213" s="235">
        <f>SUM(L214:L219)</f>
        <v>0</v>
      </c>
      <c r="M213" s="243" t="s">
        <v>154</v>
      </c>
      <c r="AG213" s="230" t="s">
        <v>154</v>
      </c>
      <c r="AQ213" s="235">
        <f>SUM(AH214:AH219)</f>
        <v>0</v>
      </c>
      <c r="AR213" s="235">
        <f>SUM(AI214:AI219)</f>
        <v>0</v>
      </c>
      <c r="AS213" s="235">
        <f>SUM(AJ214:AJ219)</f>
        <v>0</v>
      </c>
    </row>
    <row r="214" spans="1:74" ht="14.4" x14ac:dyDescent="0.3">
      <c r="A214" s="239" t="s">
        <v>616</v>
      </c>
      <c r="B214" s="223" t="s">
        <v>385</v>
      </c>
      <c r="C214" s="521" t="s">
        <v>386</v>
      </c>
      <c r="D214" s="519"/>
      <c r="E214" s="223" t="s">
        <v>380</v>
      </c>
      <c r="F214" s="233">
        <v>770.46</v>
      </c>
      <c r="G214" s="311">
        <v>0</v>
      </c>
      <c r="H214" s="233">
        <f>F214*AM214</f>
        <v>0</v>
      </c>
      <c r="I214" s="233">
        <f>F214*AN214</f>
        <v>0</v>
      </c>
      <c r="J214" s="233">
        <f>F214*G214</f>
        <v>0</v>
      </c>
      <c r="K214" s="233">
        <v>0</v>
      </c>
      <c r="L214" s="233">
        <f>F214*K214</f>
        <v>0</v>
      </c>
      <c r="M214" s="240" t="s">
        <v>472</v>
      </c>
      <c r="X214" s="233">
        <f>IF(AO214="5",BH214,0)</f>
        <v>0</v>
      </c>
      <c r="Z214" s="233">
        <f>IF(AO214="1",BF214,0)</f>
        <v>0</v>
      </c>
      <c r="AA214" s="233">
        <f>IF(AO214="1",BG214,0)</f>
        <v>0</v>
      </c>
      <c r="AB214" s="233">
        <f>IF(AO214="7",BF214,0)</f>
        <v>0</v>
      </c>
      <c r="AC214" s="233">
        <f>IF(AO214="7",BG214,0)</f>
        <v>0</v>
      </c>
      <c r="AD214" s="233">
        <f>IF(AO214="2",BF214,0)</f>
        <v>0</v>
      </c>
      <c r="AE214" s="233">
        <f>IF(AO214="2",BG214,0)</f>
        <v>0</v>
      </c>
      <c r="AF214" s="233">
        <f>IF(AO214="0",BH214,0)</f>
        <v>0</v>
      </c>
      <c r="AG214" s="230" t="s">
        <v>154</v>
      </c>
      <c r="AH214" s="233">
        <f>IF(AL214=0,J214,0)</f>
        <v>0</v>
      </c>
      <c r="AI214" s="233">
        <f>IF(AL214=15,J214,0)</f>
        <v>0</v>
      </c>
      <c r="AJ214" s="233">
        <f>IF(AL214=21,J214,0)</f>
        <v>0</v>
      </c>
      <c r="AL214" s="233">
        <v>21</v>
      </c>
      <c r="AM214" s="233">
        <f>G214*0</f>
        <v>0</v>
      </c>
      <c r="AN214" s="233">
        <f>G214*(1-0)</f>
        <v>0</v>
      </c>
      <c r="AO214" s="234" t="s">
        <v>177</v>
      </c>
      <c r="AT214" s="233">
        <f>AU214+AV214</f>
        <v>0</v>
      </c>
      <c r="AU214" s="233">
        <f>F214*AM214</f>
        <v>0</v>
      </c>
      <c r="AV214" s="233">
        <f>F214*AN214</f>
        <v>0</v>
      </c>
      <c r="AW214" s="234" t="s">
        <v>387</v>
      </c>
      <c r="AX214" s="234" t="s">
        <v>375</v>
      </c>
      <c r="AY214" s="230" t="s">
        <v>164</v>
      </c>
      <c r="BA214" s="233">
        <f>AU214+AV214</f>
        <v>0</v>
      </c>
      <c r="BB214" s="233">
        <f>G214/(100-BC214)*100</f>
        <v>0</v>
      </c>
      <c r="BC214" s="233">
        <v>0</v>
      </c>
      <c r="BD214" s="233">
        <f>L214</f>
        <v>0</v>
      </c>
      <c r="BF214" s="233">
        <f>F214*AM214</f>
        <v>0</v>
      </c>
      <c r="BG214" s="233">
        <f>F214*AN214</f>
        <v>0</v>
      </c>
      <c r="BH214" s="233">
        <f>F214*G214</f>
        <v>0</v>
      </c>
      <c r="BI214" s="233"/>
      <c r="BJ214" s="233"/>
      <c r="BU214" s="233" t="e">
        <f>#REF!</f>
        <v>#REF!</v>
      </c>
      <c r="BV214" s="225" t="s">
        <v>386</v>
      </c>
    </row>
    <row r="215" spans="1:74" ht="14.4" x14ac:dyDescent="0.3">
      <c r="A215" s="239" t="s">
        <v>617</v>
      </c>
      <c r="B215" s="223" t="s">
        <v>388</v>
      </c>
      <c r="C215" s="521" t="s">
        <v>389</v>
      </c>
      <c r="D215" s="519"/>
      <c r="E215" s="223" t="s">
        <v>380</v>
      </c>
      <c r="F215" s="233">
        <v>13290.43</v>
      </c>
      <c r="G215" s="311">
        <v>0</v>
      </c>
      <c r="H215" s="233">
        <f>F215*AM215</f>
        <v>0</v>
      </c>
      <c r="I215" s="233">
        <f>F215*AN215</f>
        <v>0</v>
      </c>
      <c r="J215" s="233">
        <f>F215*G215</f>
        <v>0</v>
      </c>
      <c r="K215" s="233">
        <v>0</v>
      </c>
      <c r="L215" s="233">
        <f>F215*K215</f>
        <v>0</v>
      </c>
      <c r="M215" s="240" t="s">
        <v>472</v>
      </c>
      <c r="X215" s="233">
        <f>IF(AO215="5",BH215,0)</f>
        <v>0</v>
      </c>
      <c r="Z215" s="233">
        <f>IF(AO215="1",BF215,0)</f>
        <v>0</v>
      </c>
      <c r="AA215" s="233">
        <f>IF(AO215="1",BG215,0)</f>
        <v>0</v>
      </c>
      <c r="AB215" s="233">
        <f>IF(AO215="7",BF215,0)</f>
        <v>0</v>
      </c>
      <c r="AC215" s="233">
        <f>IF(AO215="7",BG215,0)</f>
        <v>0</v>
      </c>
      <c r="AD215" s="233">
        <f>IF(AO215="2",BF215,0)</f>
        <v>0</v>
      </c>
      <c r="AE215" s="233">
        <f>IF(AO215="2",BG215,0)</f>
        <v>0</v>
      </c>
      <c r="AF215" s="233">
        <f>IF(AO215="0",BH215,0)</f>
        <v>0</v>
      </c>
      <c r="AG215" s="230" t="s">
        <v>154</v>
      </c>
      <c r="AH215" s="233">
        <f>IF(AL215=0,J215,0)</f>
        <v>0</v>
      </c>
      <c r="AI215" s="233">
        <f>IF(AL215=15,J215,0)</f>
        <v>0</v>
      </c>
      <c r="AJ215" s="233">
        <f>IF(AL215=21,J215,0)</f>
        <v>0</v>
      </c>
      <c r="AL215" s="233">
        <v>21</v>
      </c>
      <c r="AM215" s="233">
        <f>G215*0</f>
        <v>0</v>
      </c>
      <c r="AN215" s="233">
        <f>G215*(1-0)</f>
        <v>0</v>
      </c>
      <c r="AO215" s="234" t="s">
        <v>177</v>
      </c>
      <c r="AT215" s="233">
        <f>AU215+AV215</f>
        <v>0</v>
      </c>
      <c r="AU215" s="233">
        <f>F215*AM215</f>
        <v>0</v>
      </c>
      <c r="AV215" s="233">
        <f>F215*AN215</f>
        <v>0</v>
      </c>
      <c r="AW215" s="234" t="s">
        <v>387</v>
      </c>
      <c r="AX215" s="234" t="s">
        <v>375</v>
      </c>
      <c r="AY215" s="230" t="s">
        <v>164</v>
      </c>
      <c r="BA215" s="233">
        <f>AU215+AV215</f>
        <v>0</v>
      </c>
      <c r="BB215" s="233">
        <f>G215/(100-BC215)*100</f>
        <v>0</v>
      </c>
      <c r="BC215" s="233">
        <v>0</v>
      </c>
      <c r="BD215" s="233">
        <f>L215</f>
        <v>0</v>
      </c>
      <c r="BF215" s="233">
        <f>F215*AM215</f>
        <v>0</v>
      </c>
      <c r="BG215" s="233">
        <f>F215*AN215</f>
        <v>0</v>
      </c>
      <c r="BH215" s="233">
        <f>F215*G215</f>
        <v>0</v>
      </c>
      <c r="BI215" s="233"/>
      <c r="BJ215" s="233"/>
      <c r="BU215" s="233" t="e">
        <f>#REF!</f>
        <v>#REF!</v>
      </c>
      <c r="BV215" s="225" t="s">
        <v>389</v>
      </c>
    </row>
    <row r="216" spans="1:74" ht="40.5" customHeight="1" x14ac:dyDescent="0.3">
      <c r="A216" s="241"/>
      <c r="B216" s="242" t="s">
        <v>165</v>
      </c>
      <c r="C216" s="530" t="s">
        <v>1462</v>
      </c>
      <c r="D216" s="531"/>
      <c r="E216" s="531"/>
      <c r="F216" s="531"/>
      <c r="G216" s="531"/>
      <c r="H216" s="531"/>
      <c r="I216" s="531"/>
      <c r="J216" s="531"/>
      <c r="K216" s="531"/>
      <c r="L216" s="531"/>
      <c r="M216" s="532"/>
    </row>
    <row r="217" spans="1:74" ht="14.4" x14ac:dyDescent="0.3">
      <c r="A217" s="239" t="s">
        <v>370</v>
      </c>
      <c r="B217" s="223" t="s">
        <v>391</v>
      </c>
      <c r="C217" s="521" t="s">
        <v>392</v>
      </c>
      <c r="D217" s="519"/>
      <c r="E217" s="223" t="s">
        <v>380</v>
      </c>
      <c r="F217" s="233">
        <v>192.62</v>
      </c>
      <c r="G217" s="311">
        <v>0</v>
      </c>
      <c r="H217" s="233">
        <f>F217*AM217</f>
        <v>0</v>
      </c>
      <c r="I217" s="233">
        <f>F217*AN217</f>
        <v>0</v>
      </c>
      <c r="J217" s="233">
        <f>F217*G217</f>
        <v>0</v>
      </c>
      <c r="K217" s="233">
        <v>0</v>
      </c>
      <c r="L217" s="233">
        <f>F217*K217</f>
        <v>0</v>
      </c>
      <c r="M217" s="240" t="s">
        <v>472</v>
      </c>
      <c r="X217" s="233">
        <f>IF(AO217="5",BH217,0)</f>
        <v>0</v>
      </c>
      <c r="Z217" s="233">
        <f>IF(AO217="1",BF217,0)</f>
        <v>0</v>
      </c>
      <c r="AA217" s="233">
        <f>IF(AO217="1",BG217,0)</f>
        <v>0</v>
      </c>
      <c r="AB217" s="233">
        <f>IF(AO217="7",BF217,0)</f>
        <v>0</v>
      </c>
      <c r="AC217" s="233">
        <f>IF(AO217="7",BG217,0)</f>
        <v>0</v>
      </c>
      <c r="AD217" s="233">
        <f>IF(AO217="2",BF217,0)</f>
        <v>0</v>
      </c>
      <c r="AE217" s="233">
        <f>IF(AO217="2",BG217,0)</f>
        <v>0</v>
      </c>
      <c r="AF217" s="233">
        <f>IF(AO217="0",BH217,0)</f>
        <v>0</v>
      </c>
      <c r="AG217" s="230" t="s">
        <v>154</v>
      </c>
      <c r="AH217" s="233">
        <f>IF(AL217=0,J217,0)</f>
        <v>0</v>
      </c>
      <c r="AI217" s="233">
        <f>IF(AL217=15,J217,0)</f>
        <v>0</v>
      </c>
      <c r="AJ217" s="233">
        <f>IF(AL217=21,J217,0)</f>
        <v>0</v>
      </c>
      <c r="AL217" s="233">
        <v>21</v>
      </c>
      <c r="AM217" s="233">
        <f>G217*0</f>
        <v>0</v>
      </c>
      <c r="AN217" s="233">
        <f>G217*(1-0)</f>
        <v>0</v>
      </c>
      <c r="AO217" s="234" t="s">
        <v>177</v>
      </c>
      <c r="AT217" s="233">
        <f>AU217+AV217</f>
        <v>0</v>
      </c>
      <c r="AU217" s="233">
        <f>F217*AM217</f>
        <v>0</v>
      </c>
      <c r="AV217" s="233">
        <f>F217*AN217</f>
        <v>0</v>
      </c>
      <c r="AW217" s="234" t="s">
        <v>387</v>
      </c>
      <c r="AX217" s="234" t="s">
        <v>375</v>
      </c>
      <c r="AY217" s="230" t="s">
        <v>164</v>
      </c>
      <c r="BA217" s="233">
        <f>AU217+AV217</f>
        <v>0</v>
      </c>
      <c r="BB217" s="233">
        <f>G217/(100-BC217)*100</f>
        <v>0</v>
      </c>
      <c r="BC217" s="233">
        <v>0</v>
      </c>
      <c r="BD217" s="233">
        <f>L217</f>
        <v>0</v>
      </c>
      <c r="BF217" s="233">
        <f>F217*AM217</f>
        <v>0</v>
      </c>
      <c r="BG217" s="233">
        <f>F217*AN217</f>
        <v>0</v>
      </c>
      <c r="BH217" s="233">
        <f>F217*G217</f>
        <v>0</v>
      </c>
      <c r="BI217" s="233"/>
      <c r="BJ217" s="233"/>
      <c r="BU217" s="233" t="e">
        <f>#REF!</f>
        <v>#REF!</v>
      </c>
      <c r="BV217" s="225" t="s">
        <v>392</v>
      </c>
    </row>
    <row r="218" spans="1:74" ht="40.5" customHeight="1" x14ac:dyDescent="0.3">
      <c r="A218" s="241"/>
      <c r="B218" s="242" t="s">
        <v>165</v>
      </c>
      <c r="C218" s="530" t="s">
        <v>1463</v>
      </c>
      <c r="D218" s="531"/>
      <c r="E218" s="531"/>
      <c r="F218" s="531"/>
      <c r="G218" s="531"/>
      <c r="H218" s="531"/>
      <c r="I218" s="531"/>
      <c r="J218" s="531"/>
      <c r="K218" s="531"/>
      <c r="L218" s="531"/>
      <c r="M218" s="532"/>
    </row>
    <row r="219" spans="1:74" ht="26.4" x14ac:dyDescent="0.3">
      <c r="A219" s="239" t="s">
        <v>618</v>
      </c>
      <c r="B219" s="223" t="s">
        <v>385</v>
      </c>
      <c r="C219" s="521" t="s">
        <v>443</v>
      </c>
      <c r="D219" s="519"/>
      <c r="E219" s="223" t="s">
        <v>380</v>
      </c>
      <c r="F219" s="233">
        <v>1480.73</v>
      </c>
      <c r="G219" s="311">
        <v>0</v>
      </c>
      <c r="H219" s="233">
        <f>F219*AM219</f>
        <v>0</v>
      </c>
      <c r="I219" s="233">
        <f>F219*AN219</f>
        <v>0</v>
      </c>
      <c r="J219" s="233">
        <f>F219*G219</f>
        <v>0</v>
      </c>
      <c r="K219" s="233">
        <v>0</v>
      </c>
      <c r="L219" s="233">
        <f>F219*K219</f>
        <v>0</v>
      </c>
      <c r="M219" s="240" t="s">
        <v>472</v>
      </c>
      <c r="X219" s="233">
        <f>IF(AO219="5",BH219,0)</f>
        <v>0</v>
      </c>
      <c r="Z219" s="233">
        <f>IF(AO219="1",BF219,0)</f>
        <v>0</v>
      </c>
      <c r="AA219" s="233">
        <f>IF(AO219="1",BG219,0)</f>
        <v>0</v>
      </c>
      <c r="AB219" s="233">
        <f>IF(AO219="7",BF219,0)</f>
        <v>0</v>
      </c>
      <c r="AC219" s="233">
        <f>IF(AO219="7",BG219,0)</f>
        <v>0</v>
      </c>
      <c r="AD219" s="233">
        <f>IF(AO219="2",BF219,0)</f>
        <v>0</v>
      </c>
      <c r="AE219" s="233">
        <f>IF(AO219="2",BG219,0)</f>
        <v>0</v>
      </c>
      <c r="AF219" s="233">
        <f>IF(AO219="0",BH219,0)</f>
        <v>0</v>
      </c>
      <c r="AG219" s="230" t="s">
        <v>154</v>
      </c>
      <c r="AH219" s="233">
        <f>IF(AL219=0,J219,0)</f>
        <v>0</v>
      </c>
      <c r="AI219" s="233">
        <f>IF(AL219=15,J219,0)</f>
        <v>0</v>
      </c>
      <c r="AJ219" s="233">
        <f>IF(AL219=21,J219,0)</f>
        <v>0</v>
      </c>
      <c r="AL219" s="233">
        <v>21</v>
      </c>
      <c r="AM219" s="233">
        <f>G219*0</f>
        <v>0</v>
      </c>
      <c r="AN219" s="233">
        <f>G219*(1-0)</f>
        <v>0</v>
      </c>
      <c r="AO219" s="234" t="s">
        <v>177</v>
      </c>
      <c r="AT219" s="233">
        <f>AU219+AV219</f>
        <v>0</v>
      </c>
      <c r="AU219" s="233">
        <f>F219*AM219</f>
        <v>0</v>
      </c>
      <c r="AV219" s="233">
        <f>F219*AN219</f>
        <v>0</v>
      </c>
      <c r="AW219" s="234" t="s">
        <v>387</v>
      </c>
      <c r="AX219" s="234" t="s">
        <v>375</v>
      </c>
      <c r="AY219" s="230" t="s">
        <v>164</v>
      </c>
      <c r="BA219" s="233">
        <f>AU219+AV219</f>
        <v>0</v>
      </c>
      <c r="BB219" s="233">
        <f>G219/(100-BC219)*100</f>
        <v>0</v>
      </c>
      <c r="BC219" s="233">
        <v>0</v>
      </c>
      <c r="BD219" s="233">
        <f>L219</f>
        <v>0</v>
      </c>
      <c r="BF219" s="233">
        <f>F219*AM219</f>
        <v>0</v>
      </c>
      <c r="BG219" s="233">
        <f>F219*AN219</f>
        <v>0</v>
      </c>
      <c r="BH219" s="233">
        <f>F219*G219</f>
        <v>0</v>
      </c>
      <c r="BI219" s="233"/>
      <c r="BJ219" s="233"/>
      <c r="BU219" s="233" t="e">
        <f>#REF!</f>
        <v>#REF!</v>
      </c>
      <c r="BV219" s="225" t="s">
        <v>443</v>
      </c>
    </row>
    <row r="220" spans="1:74" ht="14.4" x14ac:dyDescent="0.3">
      <c r="A220" s="239" t="s">
        <v>154</v>
      </c>
      <c r="B220" s="224" t="s">
        <v>399</v>
      </c>
      <c r="C220" s="526" t="s">
        <v>400</v>
      </c>
      <c r="D220" s="527"/>
      <c r="E220" s="223" t="s">
        <v>114</v>
      </c>
      <c r="F220" s="223" t="s">
        <v>114</v>
      </c>
      <c r="G220" s="223" t="s">
        <v>114</v>
      </c>
      <c r="H220" s="235">
        <f>SUM(H221:H222)</f>
        <v>0</v>
      </c>
      <c r="I220" s="235">
        <f>SUM(I221:I222)</f>
        <v>0</v>
      </c>
      <c r="J220" s="235">
        <f>SUM(J221:J222)</f>
        <v>0</v>
      </c>
      <c r="K220" s="230" t="s">
        <v>154</v>
      </c>
      <c r="L220" s="235">
        <f>SUM(L221:L222)</f>
        <v>0</v>
      </c>
      <c r="M220" s="243" t="s">
        <v>154</v>
      </c>
      <c r="AG220" s="230" t="s">
        <v>154</v>
      </c>
      <c r="AQ220" s="235">
        <f>SUM(AH221:AH222)</f>
        <v>0</v>
      </c>
      <c r="AR220" s="235">
        <f>SUM(AI221:AI222)</f>
        <v>0</v>
      </c>
      <c r="AS220" s="235">
        <f>SUM(AJ221:AJ222)</f>
        <v>0</v>
      </c>
    </row>
    <row r="221" spans="1:74" ht="14.4" x14ac:dyDescent="0.3">
      <c r="A221" s="239" t="s">
        <v>619</v>
      </c>
      <c r="B221" s="223" t="s">
        <v>402</v>
      </c>
      <c r="C221" s="521" t="s">
        <v>403</v>
      </c>
      <c r="D221" s="519"/>
      <c r="E221" s="223" t="s">
        <v>380</v>
      </c>
      <c r="F221" s="233">
        <v>2.2000000000000002</v>
      </c>
      <c r="G221" s="311">
        <v>0</v>
      </c>
      <c r="H221" s="233">
        <f>F221*AM221</f>
        <v>0</v>
      </c>
      <c r="I221" s="233">
        <f>F221*AN221</f>
        <v>0</v>
      </c>
      <c r="J221" s="233">
        <f>F221*G221</f>
        <v>0</v>
      </c>
      <c r="K221" s="233">
        <v>0</v>
      </c>
      <c r="L221" s="233">
        <f>F221*K221</f>
        <v>0</v>
      </c>
      <c r="M221" s="240" t="s">
        <v>472</v>
      </c>
      <c r="X221" s="233">
        <f>IF(AO221="5",BH221,0)</f>
        <v>0</v>
      </c>
      <c r="Z221" s="233">
        <f>IF(AO221="1",BF221,0)</f>
        <v>0</v>
      </c>
      <c r="AA221" s="233">
        <f>IF(AO221="1",BG221,0)</f>
        <v>0</v>
      </c>
      <c r="AB221" s="233">
        <f>IF(AO221="7",BF221,0)</f>
        <v>0</v>
      </c>
      <c r="AC221" s="233">
        <f>IF(AO221="7",BG221,0)</f>
        <v>0</v>
      </c>
      <c r="AD221" s="233">
        <f>IF(AO221="2",BF221,0)</f>
        <v>0</v>
      </c>
      <c r="AE221" s="233">
        <f>IF(AO221="2",BG221,0)</f>
        <v>0</v>
      </c>
      <c r="AF221" s="233">
        <f>IF(AO221="0",BH221,0)</f>
        <v>0</v>
      </c>
      <c r="AG221" s="230" t="s">
        <v>154</v>
      </c>
      <c r="AH221" s="233">
        <f>IF(AL221=0,J221,0)</f>
        <v>0</v>
      </c>
      <c r="AI221" s="233">
        <f>IF(AL221=15,J221,0)</f>
        <v>0</v>
      </c>
      <c r="AJ221" s="233">
        <f>IF(AL221=21,J221,0)</f>
        <v>0</v>
      </c>
      <c r="AL221" s="233">
        <v>21</v>
      </c>
      <c r="AM221" s="233">
        <f>G221*0</f>
        <v>0</v>
      </c>
      <c r="AN221" s="233">
        <f>G221*(1-0)</f>
        <v>0</v>
      </c>
      <c r="AO221" s="234" t="s">
        <v>177</v>
      </c>
      <c r="AT221" s="233">
        <f>AU221+AV221</f>
        <v>0</v>
      </c>
      <c r="AU221" s="233">
        <f>F221*AM221</f>
        <v>0</v>
      </c>
      <c r="AV221" s="233">
        <f>F221*AN221</f>
        <v>0</v>
      </c>
      <c r="AW221" s="234" t="s">
        <v>404</v>
      </c>
      <c r="AX221" s="234" t="s">
        <v>375</v>
      </c>
      <c r="AY221" s="230" t="s">
        <v>164</v>
      </c>
      <c r="BA221" s="233">
        <f>AU221+AV221</f>
        <v>0</v>
      </c>
      <c r="BB221" s="233">
        <f>G221/(100-BC221)*100</f>
        <v>0</v>
      </c>
      <c r="BC221" s="233">
        <v>0</v>
      </c>
      <c r="BD221" s="233">
        <f>L221</f>
        <v>0</v>
      </c>
      <c r="BF221" s="233">
        <f>F221*AM221</f>
        <v>0</v>
      </c>
      <c r="BG221" s="233">
        <f>F221*AN221</f>
        <v>0</v>
      </c>
      <c r="BH221" s="233">
        <f>F221*G221</f>
        <v>0</v>
      </c>
      <c r="BI221" s="233"/>
      <c r="BJ221" s="233"/>
      <c r="BU221" s="233" t="e">
        <f>#REF!</f>
        <v>#REF!</v>
      </c>
      <c r="BV221" s="225" t="s">
        <v>403</v>
      </c>
    </row>
    <row r="222" spans="1:74" ht="14.4" x14ac:dyDescent="0.3">
      <c r="A222" s="239" t="s">
        <v>620</v>
      </c>
      <c r="B222" s="223" t="s">
        <v>406</v>
      </c>
      <c r="C222" s="521" t="s">
        <v>407</v>
      </c>
      <c r="D222" s="519"/>
      <c r="E222" s="223" t="s">
        <v>380</v>
      </c>
      <c r="F222" s="233">
        <v>458.5</v>
      </c>
      <c r="G222" s="311">
        <v>0</v>
      </c>
      <c r="H222" s="233">
        <f>F222*AM222</f>
        <v>0</v>
      </c>
      <c r="I222" s="233">
        <f>F222*AN222</f>
        <v>0</v>
      </c>
      <c r="J222" s="233">
        <f>F222*G222</f>
        <v>0</v>
      </c>
      <c r="K222" s="233">
        <v>0</v>
      </c>
      <c r="L222" s="233">
        <f>F222*K222</f>
        <v>0</v>
      </c>
      <c r="M222" s="240" t="s">
        <v>472</v>
      </c>
      <c r="X222" s="233">
        <f>IF(AO222="5",BH222,0)</f>
        <v>0</v>
      </c>
      <c r="Z222" s="233">
        <f>IF(AO222="1",BF222,0)</f>
        <v>0</v>
      </c>
      <c r="AA222" s="233">
        <f>IF(AO222="1",BG222,0)</f>
        <v>0</v>
      </c>
      <c r="AB222" s="233">
        <f>IF(AO222="7",BF222,0)</f>
        <v>0</v>
      </c>
      <c r="AC222" s="233">
        <f>IF(AO222="7",BG222,0)</f>
        <v>0</v>
      </c>
      <c r="AD222" s="233">
        <f>IF(AO222="2",BF222,0)</f>
        <v>0</v>
      </c>
      <c r="AE222" s="233">
        <f>IF(AO222="2",BG222,0)</f>
        <v>0</v>
      </c>
      <c r="AF222" s="233">
        <f>IF(AO222="0",BH222,0)</f>
        <v>0</v>
      </c>
      <c r="AG222" s="230" t="s">
        <v>154</v>
      </c>
      <c r="AH222" s="233">
        <f>IF(AL222=0,J222,0)</f>
        <v>0</v>
      </c>
      <c r="AI222" s="233">
        <f>IF(AL222=15,J222,0)</f>
        <v>0</v>
      </c>
      <c r="AJ222" s="233">
        <f>IF(AL222=21,J222,0)</f>
        <v>0</v>
      </c>
      <c r="AL222" s="233">
        <v>21</v>
      </c>
      <c r="AM222" s="233">
        <f>G222*0</f>
        <v>0</v>
      </c>
      <c r="AN222" s="233">
        <f>G222*(1-0)</f>
        <v>0</v>
      </c>
      <c r="AO222" s="234" t="s">
        <v>177</v>
      </c>
      <c r="AT222" s="233">
        <f>AU222+AV222</f>
        <v>0</v>
      </c>
      <c r="AU222" s="233">
        <f>F222*AM222</f>
        <v>0</v>
      </c>
      <c r="AV222" s="233">
        <f>F222*AN222</f>
        <v>0</v>
      </c>
      <c r="AW222" s="234" t="s">
        <v>404</v>
      </c>
      <c r="AX222" s="234" t="s">
        <v>375</v>
      </c>
      <c r="AY222" s="230" t="s">
        <v>164</v>
      </c>
      <c r="BA222" s="233">
        <f>AU222+AV222</f>
        <v>0</v>
      </c>
      <c r="BB222" s="233">
        <f>G222/(100-BC222)*100</f>
        <v>0</v>
      </c>
      <c r="BC222" s="233">
        <v>0</v>
      </c>
      <c r="BD222" s="233">
        <f>L222</f>
        <v>0</v>
      </c>
      <c r="BF222" s="233">
        <f>F222*AM222</f>
        <v>0</v>
      </c>
      <c r="BG222" s="233">
        <f>F222*AN222</f>
        <v>0</v>
      </c>
      <c r="BH222" s="233">
        <f>F222*G222</f>
        <v>0</v>
      </c>
      <c r="BI222" s="233"/>
      <c r="BJ222" s="233"/>
      <c r="BU222" s="233" t="e">
        <f>#REF!</f>
        <v>#REF!</v>
      </c>
      <c r="BV222" s="225" t="s">
        <v>407</v>
      </c>
    </row>
    <row r="223" spans="1:74" ht="14.4" x14ac:dyDescent="0.3">
      <c r="A223" s="239" t="s">
        <v>154</v>
      </c>
      <c r="B223" s="224" t="s">
        <v>444</v>
      </c>
      <c r="C223" s="526" t="s">
        <v>445</v>
      </c>
      <c r="D223" s="527"/>
      <c r="E223" s="223" t="s">
        <v>114</v>
      </c>
      <c r="F223" s="223" t="s">
        <v>114</v>
      </c>
      <c r="G223" s="223" t="s">
        <v>114</v>
      </c>
      <c r="H223" s="235">
        <f>SUM(H224:H224)</f>
        <v>0</v>
      </c>
      <c r="I223" s="235">
        <f>SUM(I224:I224)</f>
        <v>0</v>
      </c>
      <c r="J223" s="235">
        <f>SUM(J224:J224)</f>
        <v>0</v>
      </c>
      <c r="K223" s="230" t="s">
        <v>154</v>
      </c>
      <c r="L223" s="235">
        <f>SUM(L224:L224)</f>
        <v>0</v>
      </c>
      <c r="M223" s="243" t="s">
        <v>154</v>
      </c>
      <c r="AG223" s="230" t="s">
        <v>154</v>
      </c>
      <c r="AQ223" s="235">
        <f>SUM(AH224:AH224)</f>
        <v>0</v>
      </c>
      <c r="AR223" s="235">
        <f>SUM(AI224:AI224)</f>
        <v>0</v>
      </c>
      <c r="AS223" s="235">
        <f>SUM(AJ224:AJ224)</f>
        <v>0</v>
      </c>
    </row>
    <row r="224" spans="1:74" ht="14.4" x14ac:dyDescent="0.3">
      <c r="A224" s="239" t="s">
        <v>376</v>
      </c>
      <c r="B224" s="223" t="s">
        <v>446</v>
      </c>
      <c r="C224" s="521" t="s">
        <v>447</v>
      </c>
      <c r="D224" s="519"/>
      <c r="E224" s="223" t="s">
        <v>380</v>
      </c>
      <c r="F224" s="233">
        <v>0.04</v>
      </c>
      <c r="G224" s="311">
        <v>0</v>
      </c>
      <c r="H224" s="233">
        <f>F224*AM224</f>
        <v>0</v>
      </c>
      <c r="I224" s="233">
        <f>F224*AN224</f>
        <v>0</v>
      </c>
      <c r="J224" s="233">
        <f>F224*G224</f>
        <v>0</v>
      </c>
      <c r="K224" s="233">
        <v>0</v>
      </c>
      <c r="L224" s="233">
        <f>F224*K224</f>
        <v>0</v>
      </c>
      <c r="M224" s="240" t="s">
        <v>472</v>
      </c>
      <c r="X224" s="233">
        <f>IF(AO224="5",BH224,0)</f>
        <v>0</v>
      </c>
      <c r="Z224" s="233">
        <f>IF(AO224="1",BF224,0)</f>
        <v>0</v>
      </c>
      <c r="AA224" s="233">
        <f>IF(AO224="1",BG224,0)</f>
        <v>0</v>
      </c>
      <c r="AB224" s="233">
        <f>IF(AO224="7",BF224,0)</f>
        <v>0</v>
      </c>
      <c r="AC224" s="233">
        <f>IF(AO224="7",BG224,0)</f>
        <v>0</v>
      </c>
      <c r="AD224" s="233">
        <f>IF(AO224="2",BF224,0)</f>
        <v>0</v>
      </c>
      <c r="AE224" s="233">
        <f>IF(AO224="2",BG224,0)</f>
        <v>0</v>
      </c>
      <c r="AF224" s="233">
        <f>IF(AO224="0",BH224,0)</f>
        <v>0</v>
      </c>
      <c r="AG224" s="230" t="s">
        <v>154</v>
      </c>
      <c r="AH224" s="233">
        <f>IF(AL224=0,J224,0)</f>
        <v>0</v>
      </c>
      <c r="AI224" s="233">
        <f>IF(AL224=15,J224,0)</f>
        <v>0</v>
      </c>
      <c r="AJ224" s="233">
        <f>IF(AL224=21,J224,0)</f>
        <v>0</v>
      </c>
      <c r="AL224" s="233">
        <v>21</v>
      </c>
      <c r="AM224" s="233">
        <f>G224*0</f>
        <v>0</v>
      </c>
      <c r="AN224" s="233">
        <f>G224*(1-0)</f>
        <v>0</v>
      </c>
      <c r="AO224" s="234" t="s">
        <v>177</v>
      </c>
      <c r="AT224" s="233">
        <f>AU224+AV224</f>
        <v>0</v>
      </c>
      <c r="AU224" s="233">
        <f>F224*AM224</f>
        <v>0</v>
      </c>
      <c r="AV224" s="233">
        <f>F224*AN224</f>
        <v>0</v>
      </c>
      <c r="AW224" s="234" t="s">
        <v>448</v>
      </c>
      <c r="AX224" s="234" t="s">
        <v>375</v>
      </c>
      <c r="AY224" s="230" t="s">
        <v>164</v>
      </c>
      <c r="BA224" s="233">
        <f>AU224+AV224</f>
        <v>0</v>
      </c>
      <c r="BB224" s="233">
        <f>G224/(100-BC224)*100</f>
        <v>0</v>
      </c>
      <c r="BC224" s="233">
        <v>0</v>
      </c>
      <c r="BD224" s="233">
        <f>L224</f>
        <v>0</v>
      </c>
      <c r="BF224" s="233">
        <f>F224*AM224</f>
        <v>0</v>
      </c>
      <c r="BG224" s="233">
        <f>F224*AN224</f>
        <v>0</v>
      </c>
      <c r="BH224" s="233">
        <f>F224*G224</f>
        <v>0</v>
      </c>
      <c r="BI224" s="233"/>
      <c r="BJ224" s="233"/>
      <c r="BU224" s="233" t="e">
        <f>#REF!</f>
        <v>#REF!</v>
      </c>
      <c r="BV224" s="225" t="s">
        <v>447</v>
      </c>
    </row>
    <row r="225" spans="1:74" ht="14.4" x14ac:dyDescent="0.3">
      <c r="A225" s="239" t="s">
        <v>154</v>
      </c>
      <c r="B225" s="224" t="s">
        <v>411</v>
      </c>
      <c r="C225" s="526" t="s">
        <v>412</v>
      </c>
      <c r="D225" s="527"/>
      <c r="E225" s="223" t="s">
        <v>114</v>
      </c>
      <c r="F225" s="223" t="s">
        <v>114</v>
      </c>
      <c r="G225" s="223" t="s">
        <v>114</v>
      </c>
      <c r="H225" s="235">
        <f>SUM(H226:H226)</f>
        <v>0</v>
      </c>
      <c r="I225" s="235">
        <f>SUM(I226:I226)</f>
        <v>0</v>
      </c>
      <c r="J225" s="235">
        <f>SUM(J226:J226)</f>
        <v>0</v>
      </c>
      <c r="K225" s="230" t="s">
        <v>154</v>
      </c>
      <c r="L225" s="235">
        <f>SUM(L226:L226)</f>
        <v>0</v>
      </c>
      <c r="M225" s="243" t="s">
        <v>154</v>
      </c>
      <c r="AG225" s="230" t="s">
        <v>154</v>
      </c>
      <c r="AQ225" s="235">
        <f>SUM(AH226:AH226)</f>
        <v>0</v>
      </c>
      <c r="AR225" s="235">
        <f>SUM(AI226:AI226)</f>
        <v>0</v>
      </c>
      <c r="AS225" s="235">
        <f>SUM(AJ226:AJ226)</f>
        <v>0</v>
      </c>
    </row>
    <row r="226" spans="1:74" ht="14.4" x14ac:dyDescent="0.3">
      <c r="A226" s="264" t="s">
        <v>623</v>
      </c>
      <c r="B226" s="265" t="s">
        <v>414</v>
      </c>
      <c r="C226" s="547" t="s">
        <v>415</v>
      </c>
      <c r="D226" s="548"/>
      <c r="E226" s="265" t="s">
        <v>380</v>
      </c>
      <c r="F226" s="266">
        <v>4.3600000000000003</v>
      </c>
      <c r="G226" s="311">
        <v>0</v>
      </c>
      <c r="H226" s="266">
        <f>F226*AM226</f>
        <v>0</v>
      </c>
      <c r="I226" s="266">
        <f>F226*AN226</f>
        <v>0</v>
      </c>
      <c r="J226" s="266">
        <f>F226*G226</f>
        <v>0</v>
      </c>
      <c r="K226" s="266">
        <v>0</v>
      </c>
      <c r="L226" s="266">
        <f>F226*K226</f>
        <v>0</v>
      </c>
      <c r="M226" s="267" t="s">
        <v>472</v>
      </c>
      <c r="X226" s="233">
        <f>IF(AO226="5",BH226,0)</f>
        <v>0</v>
      </c>
      <c r="Z226" s="233">
        <f>IF(AO226="1",BF226,0)</f>
        <v>0</v>
      </c>
      <c r="AA226" s="233">
        <f>IF(AO226="1",BG226,0)</f>
        <v>0</v>
      </c>
      <c r="AB226" s="233">
        <f>IF(AO226="7",BF226,0)</f>
        <v>0</v>
      </c>
      <c r="AC226" s="233">
        <f>IF(AO226="7",BG226,0)</f>
        <v>0</v>
      </c>
      <c r="AD226" s="233">
        <f>IF(AO226="2",BF226,0)</f>
        <v>0</v>
      </c>
      <c r="AE226" s="233">
        <f>IF(AO226="2",BG226,0)</f>
        <v>0</v>
      </c>
      <c r="AF226" s="233">
        <f>IF(AO226="0",BH226,0)</f>
        <v>0</v>
      </c>
      <c r="AG226" s="230" t="s">
        <v>154</v>
      </c>
      <c r="AH226" s="233">
        <f>IF(AL226=0,J226,0)</f>
        <v>0</v>
      </c>
      <c r="AI226" s="233">
        <f>IF(AL226=15,J226,0)</f>
        <v>0</v>
      </c>
      <c r="AJ226" s="233">
        <f>IF(AL226=21,J226,0)</f>
        <v>0</v>
      </c>
      <c r="AL226" s="233">
        <v>21</v>
      </c>
      <c r="AM226" s="233">
        <f>G226*0</f>
        <v>0</v>
      </c>
      <c r="AN226" s="233">
        <f>G226*(1-0)</f>
        <v>0</v>
      </c>
      <c r="AO226" s="234" t="s">
        <v>177</v>
      </c>
      <c r="AT226" s="233">
        <f>AU226+AV226</f>
        <v>0</v>
      </c>
      <c r="AU226" s="233">
        <f>F226*AM226</f>
        <v>0</v>
      </c>
      <c r="AV226" s="233">
        <f>F226*AN226</f>
        <v>0</v>
      </c>
      <c r="AW226" s="234" t="s">
        <v>416</v>
      </c>
      <c r="AX226" s="234" t="s">
        <v>375</v>
      </c>
      <c r="AY226" s="230" t="s">
        <v>164</v>
      </c>
      <c r="BA226" s="233">
        <f>AU226+AV226</f>
        <v>0</v>
      </c>
      <c r="BB226" s="233">
        <f>G226/(100-BC226)*100</f>
        <v>0</v>
      </c>
      <c r="BC226" s="233">
        <v>0</v>
      </c>
      <c r="BD226" s="233">
        <f>L226</f>
        <v>0</v>
      </c>
      <c r="BF226" s="233">
        <f>F226*AM226</f>
        <v>0</v>
      </c>
      <c r="BG226" s="233">
        <f>F226*AN226</f>
        <v>0</v>
      </c>
      <c r="BH226" s="233">
        <f>F226*G226</f>
        <v>0</v>
      </c>
      <c r="BI226" s="233"/>
      <c r="BJ226" s="233"/>
      <c r="BU226" s="233" t="e">
        <f>#REF!</f>
        <v>#REF!</v>
      </c>
      <c r="BV226" s="225" t="s">
        <v>415</v>
      </c>
    </row>
    <row r="227" spans="1:74" ht="14.4" x14ac:dyDescent="0.3">
      <c r="A227" s="237" t="s">
        <v>154</v>
      </c>
      <c r="B227" s="260" t="s">
        <v>621</v>
      </c>
      <c r="C227" s="545" t="s">
        <v>622</v>
      </c>
      <c r="D227" s="546"/>
      <c r="E227" s="238" t="s">
        <v>114</v>
      </c>
      <c r="F227" s="238" t="s">
        <v>114</v>
      </c>
      <c r="G227" s="238" t="s">
        <v>114</v>
      </c>
      <c r="H227" s="261">
        <f>SUM(H228:H228)</f>
        <v>0</v>
      </c>
      <c r="I227" s="261">
        <f>SUM(I228:I228)</f>
        <v>0</v>
      </c>
      <c r="J227" s="261">
        <f>SUM(J228:J228)</f>
        <v>0</v>
      </c>
      <c r="K227" s="262" t="s">
        <v>154</v>
      </c>
      <c r="L227" s="261">
        <f>SUM(L228:L228)</f>
        <v>0</v>
      </c>
      <c r="M227" s="263" t="s">
        <v>154</v>
      </c>
      <c r="AG227" s="230" t="s">
        <v>154</v>
      </c>
      <c r="AQ227" s="235">
        <f>SUM(AH228:AH228)</f>
        <v>0</v>
      </c>
      <c r="AR227" s="235">
        <f>SUM(AI228:AI228)</f>
        <v>0</v>
      </c>
      <c r="AS227" s="235">
        <f>SUM(AJ228:AJ228)</f>
        <v>0</v>
      </c>
    </row>
    <row r="228" spans="1:74" ht="14.4" x14ac:dyDescent="0.3">
      <c r="A228" s="239" t="s">
        <v>629</v>
      </c>
      <c r="B228" s="223" t="s">
        <v>624</v>
      </c>
      <c r="C228" s="521" t="s">
        <v>625</v>
      </c>
      <c r="D228" s="519"/>
      <c r="E228" s="223" t="s">
        <v>160</v>
      </c>
      <c r="F228" s="233">
        <v>445</v>
      </c>
      <c r="G228" s="311">
        <v>0</v>
      </c>
      <c r="H228" s="233">
        <f>F228*AM228</f>
        <v>0</v>
      </c>
      <c r="I228" s="233">
        <f>F228*AN228</f>
        <v>0</v>
      </c>
      <c r="J228" s="233">
        <f>F228*G228</f>
        <v>0</v>
      </c>
      <c r="K228" s="233">
        <v>0</v>
      </c>
      <c r="L228" s="233">
        <f>F228*K228</f>
        <v>0</v>
      </c>
      <c r="M228" s="240" t="s">
        <v>472</v>
      </c>
      <c r="X228" s="233">
        <f>IF(AO228="5",BH228,0)</f>
        <v>0</v>
      </c>
      <c r="Z228" s="233">
        <f>IF(AO228="1",BF228,0)</f>
        <v>0</v>
      </c>
      <c r="AA228" s="233">
        <f>IF(AO228="1",BG228,0)</f>
        <v>0</v>
      </c>
      <c r="AB228" s="233">
        <f>IF(AO228="7",BF228,0)</f>
        <v>0</v>
      </c>
      <c r="AC228" s="233">
        <f>IF(AO228="7",BG228,0)</f>
        <v>0</v>
      </c>
      <c r="AD228" s="233">
        <f>IF(AO228="2",BF228,0)</f>
        <v>0</v>
      </c>
      <c r="AE228" s="233">
        <f>IF(AO228="2",BG228,0)</f>
        <v>0</v>
      </c>
      <c r="AF228" s="233">
        <f>IF(AO228="0",BH228,0)</f>
        <v>0</v>
      </c>
      <c r="AG228" s="230" t="s">
        <v>154</v>
      </c>
      <c r="AH228" s="233">
        <f>IF(AL228=0,J228,0)</f>
        <v>0</v>
      </c>
      <c r="AI228" s="233">
        <f>IF(AL228=15,J228,0)</f>
        <v>0</v>
      </c>
      <c r="AJ228" s="233">
        <f>IF(AL228=21,J228,0)</f>
        <v>0</v>
      </c>
      <c r="AL228" s="233">
        <v>21</v>
      </c>
      <c r="AM228" s="233">
        <f>G228*0</f>
        <v>0</v>
      </c>
      <c r="AN228" s="233">
        <f>G228*(1-0)</f>
        <v>0</v>
      </c>
      <c r="AO228" s="234" t="s">
        <v>166</v>
      </c>
      <c r="AT228" s="233">
        <f>AU228+AV228</f>
        <v>0</v>
      </c>
      <c r="AU228" s="233">
        <f>F228*AM228</f>
        <v>0</v>
      </c>
      <c r="AV228" s="233">
        <f>F228*AN228</f>
        <v>0</v>
      </c>
      <c r="AW228" s="234" t="s">
        <v>626</v>
      </c>
      <c r="AX228" s="234" t="s">
        <v>375</v>
      </c>
      <c r="AY228" s="230" t="s">
        <v>164</v>
      </c>
      <c r="BA228" s="233">
        <f>AU228+AV228</f>
        <v>0</v>
      </c>
      <c r="BB228" s="233">
        <f>G228/(100-BC228)*100</f>
        <v>0</v>
      </c>
      <c r="BC228" s="233">
        <v>0</v>
      </c>
      <c r="BD228" s="233">
        <f>L228</f>
        <v>0</v>
      </c>
      <c r="BF228" s="233">
        <f>F228*AM228</f>
        <v>0</v>
      </c>
      <c r="BG228" s="233">
        <f>F228*AN228</f>
        <v>0</v>
      </c>
      <c r="BH228" s="233">
        <f>F228*G228</f>
        <v>0</v>
      </c>
      <c r="BI228" s="233"/>
      <c r="BJ228" s="233"/>
      <c r="BU228" s="233" t="e">
        <f>#REF!</f>
        <v>#REF!</v>
      </c>
      <c r="BV228" s="225" t="s">
        <v>625</v>
      </c>
    </row>
    <row r="229" spans="1:74" ht="27" customHeight="1" x14ac:dyDescent="0.3">
      <c r="A229" s="241"/>
      <c r="B229" s="242" t="s">
        <v>165</v>
      </c>
      <c r="C229" s="530" t="s">
        <v>1464</v>
      </c>
      <c r="D229" s="531"/>
      <c r="E229" s="531"/>
      <c r="F229" s="531"/>
      <c r="G229" s="531"/>
      <c r="H229" s="531"/>
      <c r="I229" s="531"/>
      <c r="J229" s="531"/>
      <c r="K229" s="531"/>
      <c r="L229" s="531"/>
      <c r="M229" s="532"/>
    </row>
    <row r="230" spans="1:74" ht="14.4" x14ac:dyDescent="0.3">
      <c r="A230" s="239" t="s">
        <v>154</v>
      </c>
      <c r="B230" s="224" t="s">
        <v>627</v>
      </c>
      <c r="C230" s="526" t="s">
        <v>628</v>
      </c>
      <c r="D230" s="527"/>
      <c r="E230" s="223" t="s">
        <v>114</v>
      </c>
      <c r="F230" s="223" t="s">
        <v>114</v>
      </c>
      <c r="G230" s="223" t="s">
        <v>114</v>
      </c>
      <c r="H230" s="235">
        <f>SUM(H231:H239)</f>
        <v>0</v>
      </c>
      <c r="I230" s="235">
        <f>SUM(I231:I239)</f>
        <v>0</v>
      </c>
      <c r="J230" s="235">
        <f>SUM(J231:J239)</f>
        <v>0</v>
      </c>
      <c r="K230" s="230" t="s">
        <v>154</v>
      </c>
      <c r="L230" s="235">
        <f>SUM(L231:L239)</f>
        <v>0.32543999999999995</v>
      </c>
      <c r="M230" s="243" t="s">
        <v>154</v>
      </c>
      <c r="AG230" s="230" t="s">
        <v>154</v>
      </c>
      <c r="AQ230" s="235">
        <f>SUM(AH231:AH239)</f>
        <v>0</v>
      </c>
      <c r="AR230" s="235">
        <f>SUM(AI231:AI239)</f>
        <v>0</v>
      </c>
      <c r="AS230" s="235">
        <f>SUM(AJ231:AJ239)</f>
        <v>0</v>
      </c>
    </row>
    <row r="231" spans="1:74" ht="14.4" x14ac:dyDescent="0.3">
      <c r="A231" s="239" t="s">
        <v>634</v>
      </c>
      <c r="B231" s="223" t="s">
        <v>630</v>
      </c>
      <c r="C231" s="521" t="s">
        <v>631</v>
      </c>
      <c r="D231" s="519"/>
      <c r="E231" s="223" t="s">
        <v>160</v>
      </c>
      <c r="F231" s="233">
        <v>12</v>
      </c>
      <c r="G231" s="311">
        <v>0</v>
      </c>
      <c r="H231" s="233">
        <f>F231*AM231</f>
        <v>0</v>
      </c>
      <c r="I231" s="233">
        <f>F231*AN231</f>
        <v>0</v>
      </c>
      <c r="J231" s="233">
        <f>F231*G231</f>
        <v>0</v>
      </c>
      <c r="K231" s="233">
        <v>2.7119999999999998E-2</v>
      </c>
      <c r="L231" s="233">
        <f>F231*K231</f>
        <v>0.32543999999999995</v>
      </c>
      <c r="M231" s="240" t="s">
        <v>472</v>
      </c>
      <c r="X231" s="233">
        <f>IF(AO231="5",BH231,0)</f>
        <v>0</v>
      </c>
      <c r="Z231" s="233">
        <f>IF(AO231="1",BF231,0)</f>
        <v>0</v>
      </c>
      <c r="AA231" s="233">
        <f>IF(AO231="1",BG231,0)</f>
        <v>0</v>
      </c>
      <c r="AB231" s="233">
        <f>IF(AO231="7",BF231,0)</f>
        <v>0</v>
      </c>
      <c r="AC231" s="233">
        <f>IF(AO231="7",BG231,0)</f>
        <v>0</v>
      </c>
      <c r="AD231" s="233">
        <f>IF(AO231="2",BF231,0)</f>
        <v>0</v>
      </c>
      <c r="AE231" s="233">
        <f>IF(AO231="2",BG231,0)</f>
        <v>0</v>
      </c>
      <c r="AF231" s="233">
        <f>IF(AO231="0",BH231,0)</f>
        <v>0</v>
      </c>
      <c r="AG231" s="230" t="s">
        <v>154</v>
      </c>
      <c r="AH231" s="233">
        <f>IF(AL231=0,J231,0)</f>
        <v>0</v>
      </c>
      <c r="AI231" s="233">
        <f>IF(AL231=15,J231,0)</f>
        <v>0</v>
      </c>
      <c r="AJ231" s="233">
        <f>IF(AL231=21,J231,0)</f>
        <v>0</v>
      </c>
      <c r="AL231" s="233">
        <v>21</v>
      </c>
      <c r="AM231" s="233">
        <f>G231*0.309135484</f>
        <v>0</v>
      </c>
      <c r="AN231" s="233">
        <f>G231*(1-0.309135484)</f>
        <v>0</v>
      </c>
      <c r="AO231" s="234" t="s">
        <v>166</v>
      </c>
      <c r="AT231" s="233">
        <f>AU231+AV231</f>
        <v>0</v>
      </c>
      <c r="AU231" s="233">
        <f>F231*AM231</f>
        <v>0</v>
      </c>
      <c r="AV231" s="233">
        <f>F231*AN231</f>
        <v>0</v>
      </c>
      <c r="AW231" s="234" t="s">
        <v>632</v>
      </c>
      <c r="AX231" s="234" t="s">
        <v>375</v>
      </c>
      <c r="AY231" s="230" t="s">
        <v>164</v>
      </c>
      <c r="BA231" s="233">
        <f>AU231+AV231</f>
        <v>0</v>
      </c>
      <c r="BB231" s="233">
        <f>G231/(100-BC231)*100</f>
        <v>0</v>
      </c>
      <c r="BC231" s="233">
        <v>0</v>
      </c>
      <c r="BD231" s="233">
        <f>L231</f>
        <v>0.32543999999999995</v>
      </c>
      <c r="BF231" s="233">
        <f>F231*AM231</f>
        <v>0</v>
      </c>
      <c r="BG231" s="233">
        <f>F231*AN231</f>
        <v>0</v>
      </c>
      <c r="BH231" s="233">
        <f>F231*G231</f>
        <v>0</v>
      </c>
      <c r="BI231" s="233"/>
      <c r="BJ231" s="233"/>
      <c r="BU231" s="233" t="e">
        <f>#REF!</f>
        <v>#REF!</v>
      </c>
      <c r="BV231" s="225" t="s">
        <v>631</v>
      </c>
    </row>
    <row r="232" spans="1:74" ht="40.5" customHeight="1" x14ac:dyDescent="0.3">
      <c r="A232" s="241"/>
      <c r="B232" s="242" t="s">
        <v>165</v>
      </c>
      <c r="C232" s="530" t="s">
        <v>1465</v>
      </c>
      <c r="D232" s="531"/>
      <c r="E232" s="531"/>
      <c r="F232" s="531"/>
      <c r="G232" s="531"/>
      <c r="H232" s="531"/>
      <c r="I232" s="531"/>
      <c r="J232" s="531"/>
      <c r="K232" s="531"/>
      <c r="L232" s="531"/>
      <c r="M232" s="532"/>
    </row>
    <row r="233" spans="1:74" ht="14.4" x14ac:dyDescent="0.3">
      <c r="A233" s="239" t="s">
        <v>638</v>
      </c>
      <c r="B233" s="223" t="s">
        <v>635</v>
      </c>
      <c r="C233" s="521" t="s">
        <v>636</v>
      </c>
      <c r="D233" s="519"/>
      <c r="E233" s="223" t="s">
        <v>365</v>
      </c>
      <c r="F233" s="233">
        <v>8</v>
      </c>
      <c r="G233" s="311">
        <v>0</v>
      </c>
      <c r="H233" s="233">
        <f>F233*AM233</f>
        <v>0</v>
      </c>
      <c r="I233" s="233">
        <f>F233*AN233</f>
        <v>0</v>
      </c>
      <c r="J233" s="233">
        <f>F233*G233</f>
        <v>0</v>
      </c>
      <c r="K233" s="233">
        <v>0</v>
      </c>
      <c r="L233" s="233">
        <f>F233*K233</f>
        <v>0</v>
      </c>
      <c r="M233" s="240" t="s">
        <v>472</v>
      </c>
      <c r="X233" s="233">
        <f>IF(AO233="5",BH233,0)</f>
        <v>0</v>
      </c>
      <c r="Z233" s="233">
        <f>IF(AO233="1",BF233,0)</f>
        <v>0</v>
      </c>
      <c r="AA233" s="233">
        <f>IF(AO233="1",BG233,0)</f>
        <v>0</v>
      </c>
      <c r="AB233" s="233">
        <f>IF(AO233="7",BF233,0)</f>
        <v>0</v>
      </c>
      <c r="AC233" s="233">
        <f>IF(AO233="7",BG233,0)</f>
        <v>0</v>
      </c>
      <c r="AD233" s="233">
        <f>IF(AO233="2",BF233,0)</f>
        <v>0</v>
      </c>
      <c r="AE233" s="233">
        <f>IF(AO233="2",BG233,0)</f>
        <v>0</v>
      </c>
      <c r="AF233" s="233">
        <f>IF(AO233="0",BH233,0)</f>
        <v>0</v>
      </c>
      <c r="AG233" s="230" t="s">
        <v>154</v>
      </c>
      <c r="AH233" s="233">
        <f>IF(AL233=0,J233,0)</f>
        <v>0</v>
      </c>
      <c r="AI233" s="233">
        <f>IF(AL233=15,J233,0)</f>
        <v>0</v>
      </c>
      <c r="AJ233" s="233">
        <f>IF(AL233=21,J233,0)</f>
        <v>0</v>
      </c>
      <c r="AL233" s="233">
        <v>21</v>
      </c>
      <c r="AM233" s="233">
        <f>G233*0</f>
        <v>0</v>
      </c>
      <c r="AN233" s="233">
        <f>G233*(1-0)</f>
        <v>0</v>
      </c>
      <c r="AO233" s="234" t="s">
        <v>166</v>
      </c>
      <c r="AT233" s="233">
        <f>AU233+AV233</f>
        <v>0</v>
      </c>
      <c r="AU233" s="233">
        <f>F233*AM233</f>
        <v>0</v>
      </c>
      <c r="AV233" s="233">
        <f>F233*AN233</f>
        <v>0</v>
      </c>
      <c r="AW233" s="234" t="s">
        <v>632</v>
      </c>
      <c r="AX233" s="234" t="s">
        <v>375</v>
      </c>
      <c r="AY233" s="230" t="s">
        <v>164</v>
      </c>
      <c r="BA233" s="233">
        <f>AU233+AV233</f>
        <v>0</v>
      </c>
      <c r="BB233" s="233">
        <f>G233/(100-BC233)*100</f>
        <v>0</v>
      </c>
      <c r="BC233" s="233">
        <v>0</v>
      </c>
      <c r="BD233" s="233">
        <f>L233</f>
        <v>0</v>
      </c>
      <c r="BF233" s="233">
        <f>F233*AM233</f>
        <v>0</v>
      </c>
      <c r="BG233" s="233">
        <f>F233*AN233</f>
        <v>0</v>
      </c>
      <c r="BH233" s="233">
        <f>F233*G233</f>
        <v>0</v>
      </c>
      <c r="BI233" s="233"/>
      <c r="BJ233" s="233"/>
      <c r="BU233" s="233" t="e">
        <f>#REF!</f>
        <v>#REF!</v>
      </c>
      <c r="BV233" s="225" t="s">
        <v>636</v>
      </c>
    </row>
    <row r="234" spans="1:74" ht="40.5" customHeight="1" x14ac:dyDescent="0.3">
      <c r="A234" s="241"/>
      <c r="B234" s="242" t="s">
        <v>165</v>
      </c>
      <c r="C234" s="530" t="s">
        <v>1466</v>
      </c>
      <c r="D234" s="531"/>
      <c r="E234" s="531"/>
      <c r="F234" s="531"/>
      <c r="G234" s="531"/>
      <c r="H234" s="531"/>
      <c r="I234" s="531"/>
      <c r="J234" s="531"/>
      <c r="K234" s="531"/>
      <c r="L234" s="531"/>
      <c r="M234" s="532"/>
    </row>
    <row r="235" spans="1:74" ht="14.4" x14ac:dyDescent="0.3">
      <c r="A235" s="239" t="s">
        <v>642</v>
      </c>
      <c r="B235" s="223" t="s">
        <v>639</v>
      </c>
      <c r="C235" s="521" t="s">
        <v>640</v>
      </c>
      <c r="D235" s="519"/>
      <c r="E235" s="223" t="s">
        <v>365</v>
      </c>
      <c r="F235" s="233">
        <v>2</v>
      </c>
      <c r="G235" s="311">
        <v>0</v>
      </c>
      <c r="H235" s="233">
        <f>F235*AM235</f>
        <v>0</v>
      </c>
      <c r="I235" s="233">
        <f>F235*AN235</f>
        <v>0</v>
      </c>
      <c r="J235" s="233">
        <f>F235*G235</f>
        <v>0</v>
      </c>
      <c r="K235" s="233">
        <v>0</v>
      </c>
      <c r="L235" s="233">
        <f>F235*K235</f>
        <v>0</v>
      </c>
      <c r="M235" s="240" t="s">
        <v>472</v>
      </c>
      <c r="X235" s="233">
        <f>IF(AO235="5",BH235,0)</f>
        <v>0</v>
      </c>
      <c r="Z235" s="233">
        <f>IF(AO235="1",BF235,0)</f>
        <v>0</v>
      </c>
      <c r="AA235" s="233">
        <f>IF(AO235="1",BG235,0)</f>
        <v>0</v>
      </c>
      <c r="AB235" s="233">
        <f>IF(AO235="7",BF235,0)</f>
        <v>0</v>
      </c>
      <c r="AC235" s="233">
        <f>IF(AO235="7",BG235,0)</f>
        <v>0</v>
      </c>
      <c r="AD235" s="233">
        <f>IF(AO235="2",BF235,0)</f>
        <v>0</v>
      </c>
      <c r="AE235" s="233">
        <f>IF(AO235="2",BG235,0)</f>
        <v>0</v>
      </c>
      <c r="AF235" s="233">
        <f>IF(AO235="0",BH235,0)</f>
        <v>0</v>
      </c>
      <c r="AG235" s="230" t="s">
        <v>154</v>
      </c>
      <c r="AH235" s="233">
        <f>IF(AL235=0,J235,0)</f>
        <v>0</v>
      </c>
      <c r="AI235" s="233">
        <f>IF(AL235=15,J235,0)</f>
        <v>0</v>
      </c>
      <c r="AJ235" s="233">
        <f>IF(AL235=21,J235,0)</f>
        <v>0</v>
      </c>
      <c r="AL235" s="233">
        <v>21</v>
      </c>
      <c r="AM235" s="233">
        <f>G235*0</f>
        <v>0</v>
      </c>
      <c r="AN235" s="233">
        <f>G235*(1-0)</f>
        <v>0</v>
      </c>
      <c r="AO235" s="234" t="s">
        <v>166</v>
      </c>
      <c r="AT235" s="233">
        <f>AU235+AV235</f>
        <v>0</v>
      </c>
      <c r="AU235" s="233">
        <f>F235*AM235</f>
        <v>0</v>
      </c>
      <c r="AV235" s="233">
        <f>F235*AN235</f>
        <v>0</v>
      </c>
      <c r="AW235" s="234" t="s">
        <v>632</v>
      </c>
      <c r="AX235" s="234" t="s">
        <v>375</v>
      </c>
      <c r="AY235" s="230" t="s">
        <v>164</v>
      </c>
      <c r="BA235" s="233">
        <f>AU235+AV235</f>
        <v>0</v>
      </c>
      <c r="BB235" s="233">
        <f>G235/(100-BC235)*100</f>
        <v>0</v>
      </c>
      <c r="BC235" s="233">
        <v>0</v>
      </c>
      <c r="BD235" s="233">
        <f>L235</f>
        <v>0</v>
      </c>
      <c r="BF235" s="233">
        <f>F235*AM235</f>
        <v>0</v>
      </c>
      <c r="BG235" s="233">
        <f>F235*AN235</f>
        <v>0</v>
      </c>
      <c r="BH235" s="233">
        <f>F235*G235</f>
        <v>0</v>
      </c>
      <c r="BI235" s="233"/>
      <c r="BJ235" s="233"/>
      <c r="BU235" s="233" t="e">
        <f>#REF!</f>
        <v>#REF!</v>
      </c>
      <c r="BV235" s="225" t="s">
        <v>640</v>
      </c>
    </row>
    <row r="236" spans="1:74" ht="40.5" customHeight="1" x14ac:dyDescent="0.3">
      <c r="A236" s="241"/>
      <c r="B236" s="242" t="s">
        <v>165</v>
      </c>
      <c r="C236" s="530" t="s">
        <v>1467</v>
      </c>
      <c r="D236" s="531"/>
      <c r="E236" s="531"/>
      <c r="F236" s="531"/>
      <c r="G236" s="531"/>
      <c r="H236" s="531"/>
      <c r="I236" s="531"/>
      <c r="J236" s="531"/>
      <c r="K236" s="531"/>
      <c r="L236" s="531"/>
      <c r="M236" s="532"/>
    </row>
    <row r="237" spans="1:74" ht="14.4" x14ac:dyDescent="0.3">
      <c r="A237" s="239" t="s">
        <v>646</v>
      </c>
      <c r="B237" s="223" t="s">
        <v>643</v>
      </c>
      <c r="C237" s="521" t="s">
        <v>644</v>
      </c>
      <c r="D237" s="519"/>
      <c r="E237" s="223" t="s">
        <v>365</v>
      </c>
      <c r="F237" s="233">
        <v>16</v>
      </c>
      <c r="G237" s="311">
        <v>0</v>
      </c>
      <c r="H237" s="233">
        <f>F237*AM237</f>
        <v>0</v>
      </c>
      <c r="I237" s="233">
        <f>F237*AN237</f>
        <v>0</v>
      </c>
      <c r="J237" s="233">
        <f>F237*G237</f>
        <v>0</v>
      </c>
      <c r="K237" s="233">
        <v>0</v>
      </c>
      <c r="L237" s="233">
        <f>F237*K237</f>
        <v>0</v>
      </c>
      <c r="M237" s="240" t="s">
        <v>472</v>
      </c>
      <c r="X237" s="233">
        <f>IF(AO237="5",BH237,0)</f>
        <v>0</v>
      </c>
      <c r="Z237" s="233">
        <f>IF(AO237="1",BF237,0)</f>
        <v>0</v>
      </c>
      <c r="AA237" s="233">
        <f>IF(AO237="1",BG237,0)</f>
        <v>0</v>
      </c>
      <c r="AB237" s="233">
        <f>IF(AO237="7",BF237,0)</f>
        <v>0</v>
      </c>
      <c r="AC237" s="233">
        <f>IF(AO237="7",BG237,0)</f>
        <v>0</v>
      </c>
      <c r="AD237" s="233">
        <f>IF(AO237="2",BF237,0)</f>
        <v>0</v>
      </c>
      <c r="AE237" s="233">
        <f>IF(AO237="2",BG237,0)</f>
        <v>0</v>
      </c>
      <c r="AF237" s="233">
        <f>IF(AO237="0",BH237,0)</f>
        <v>0</v>
      </c>
      <c r="AG237" s="230" t="s">
        <v>154</v>
      </c>
      <c r="AH237" s="233">
        <f>IF(AL237=0,J237,0)</f>
        <v>0</v>
      </c>
      <c r="AI237" s="233">
        <f>IF(AL237=15,J237,0)</f>
        <v>0</v>
      </c>
      <c r="AJ237" s="233">
        <f>IF(AL237=21,J237,0)</f>
        <v>0</v>
      </c>
      <c r="AL237" s="233">
        <v>21</v>
      </c>
      <c r="AM237" s="233">
        <f>G237*0</f>
        <v>0</v>
      </c>
      <c r="AN237" s="233">
        <f>G237*(1-0)</f>
        <v>0</v>
      </c>
      <c r="AO237" s="234" t="s">
        <v>166</v>
      </c>
      <c r="AT237" s="233">
        <f>AU237+AV237</f>
        <v>0</v>
      </c>
      <c r="AU237" s="233">
        <f>F237*AM237</f>
        <v>0</v>
      </c>
      <c r="AV237" s="233">
        <f>F237*AN237</f>
        <v>0</v>
      </c>
      <c r="AW237" s="234" t="s">
        <v>632</v>
      </c>
      <c r="AX237" s="234" t="s">
        <v>375</v>
      </c>
      <c r="AY237" s="230" t="s">
        <v>164</v>
      </c>
      <c r="BA237" s="233">
        <f>AU237+AV237</f>
        <v>0</v>
      </c>
      <c r="BB237" s="233">
        <f>G237/(100-BC237)*100</f>
        <v>0</v>
      </c>
      <c r="BC237" s="233">
        <v>0</v>
      </c>
      <c r="BD237" s="233">
        <f>L237</f>
        <v>0</v>
      </c>
      <c r="BF237" s="233">
        <f>F237*AM237</f>
        <v>0</v>
      </c>
      <c r="BG237" s="233">
        <f>F237*AN237</f>
        <v>0</v>
      </c>
      <c r="BH237" s="233">
        <f>F237*G237</f>
        <v>0</v>
      </c>
      <c r="BI237" s="233"/>
      <c r="BJ237" s="233"/>
      <c r="BU237" s="233" t="e">
        <f>#REF!</f>
        <v>#REF!</v>
      </c>
      <c r="BV237" s="225" t="s">
        <v>644</v>
      </c>
    </row>
    <row r="238" spans="1:74" ht="27" customHeight="1" x14ac:dyDescent="0.3">
      <c r="A238" s="241"/>
      <c r="B238" s="242" t="s">
        <v>165</v>
      </c>
      <c r="C238" s="530" t="s">
        <v>1468</v>
      </c>
      <c r="D238" s="531"/>
      <c r="E238" s="531"/>
      <c r="F238" s="531"/>
      <c r="G238" s="531"/>
      <c r="H238" s="531"/>
      <c r="I238" s="531"/>
      <c r="J238" s="531"/>
      <c r="K238" s="531"/>
      <c r="L238" s="531"/>
      <c r="M238" s="532"/>
    </row>
    <row r="239" spans="1:74" ht="14.4" x14ac:dyDescent="0.3">
      <c r="A239" s="239" t="s">
        <v>649</v>
      </c>
      <c r="B239" s="223" t="s">
        <v>647</v>
      </c>
      <c r="C239" s="521" t="s">
        <v>648</v>
      </c>
      <c r="D239" s="519"/>
      <c r="E239" s="223" t="s">
        <v>365</v>
      </c>
      <c r="F239" s="233">
        <v>10</v>
      </c>
      <c r="G239" s="311">
        <v>0</v>
      </c>
      <c r="H239" s="233">
        <f>F239*AM239</f>
        <v>0</v>
      </c>
      <c r="I239" s="233">
        <f>F239*AN239</f>
        <v>0</v>
      </c>
      <c r="J239" s="233">
        <f>F239*G239</f>
        <v>0</v>
      </c>
      <c r="K239" s="233">
        <v>0</v>
      </c>
      <c r="L239" s="233">
        <f>F239*K239</f>
        <v>0</v>
      </c>
      <c r="M239" s="240" t="s">
        <v>472</v>
      </c>
      <c r="X239" s="233">
        <f>IF(AO239="5",BH239,0)</f>
        <v>0</v>
      </c>
      <c r="Z239" s="233">
        <f>IF(AO239="1",BF239,0)</f>
        <v>0</v>
      </c>
      <c r="AA239" s="233">
        <f>IF(AO239="1",BG239,0)</f>
        <v>0</v>
      </c>
      <c r="AB239" s="233">
        <f>IF(AO239="7",BF239,0)</f>
        <v>0</v>
      </c>
      <c r="AC239" s="233">
        <f>IF(AO239="7",BG239,0)</f>
        <v>0</v>
      </c>
      <c r="AD239" s="233">
        <f>IF(AO239="2",BF239,0)</f>
        <v>0</v>
      </c>
      <c r="AE239" s="233">
        <f>IF(AO239="2",BG239,0)</f>
        <v>0</v>
      </c>
      <c r="AF239" s="233">
        <f>IF(AO239="0",BH239,0)</f>
        <v>0</v>
      </c>
      <c r="AG239" s="230" t="s">
        <v>154</v>
      </c>
      <c r="AH239" s="233">
        <f>IF(AL239=0,J239,0)</f>
        <v>0</v>
      </c>
      <c r="AI239" s="233">
        <f>IF(AL239=15,J239,0)</f>
        <v>0</v>
      </c>
      <c r="AJ239" s="233">
        <f>IF(AL239=21,J239,0)</f>
        <v>0</v>
      </c>
      <c r="AL239" s="233">
        <v>21</v>
      </c>
      <c r="AM239" s="233">
        <f>G239*0</f>
        <v>0</v>
      </c>
      <c r="AN239" s="233">
        <f>G239*(1-0)</f>
        <v>0</v>
      </c>
      <c r="AO239" s="234" t="s">
        <v>166</v>
      </c>
      <c r="AT239" s="233">
        <f>AU239+AV239</f>
        <v>0</v>
      </c>
      <c r="AU239" s="233">
        <f>F239*AM239</f>
        <v>0</v>
      </c>
      <c r="AV239" s="233">
        <f>F239*AN239</f>
        <v>0</v>
      </c>
      <c r="AW239" s="234" t="s">
        <v>632</v>
      </c>
      <c r="AX239" s="234" t="s">
        <v>375</v>
      </c>
      <c r="AY239" s="230" t="s">
        <v>164</v>
      </c>
      <c r="BA239" s="233">
        <f>AU239+AV239</f>
        <v>0</v>
      </c>
      <c r="BB239" s="233">
        <f>G239/(100-BC239)*100</f>
        <v>0</v>
      </c>
      <c r="BC239" s="233">
        <v>0</v>
      </c>
      <c r="BD239" s="233">
        <f>L239</f>
        <v>0</v>
      </c>
      <c r="BF239" s="233">
        <f>F239*AM239</f>
        <v>0</v>
      </c>
      <c r="BG239" s="233">
        <f>F239*AN239</f>
        <v>0</v>
      </c>
      <c r="BH239" s="233">
        <f>F239*G239</f>
        <v>0</v>
      </c>
      <c r="BI239" s="233"/>
      <c r="BJ239" s="233"/>
      <c r="BU239" s="233" t="e">
        <f>#REF!</f>
        <v>#REF!</v>
      </c>
      <c r="BV239" s="225" t="s">
        <v>648</v>
      </c>
    </row>
    <row r="240" spans="1:74" ht="27" customHeight="1" x14ac:dyDescent="0.3">
      <c r="A240" s="241"/>
      <c r="B240" s="242" t="s">
        <v>165</v>
      </c>
      <c r="C240" s="530" t="s">
        <v>1468</v>
      </c>
      <c r="D240" s="531"/>
      <c r="E240" s="531"/>
      <c r="F240" s="531"/>
      <c r="G240" s="531"/>
      <c r="H240" s="531"/>
      <c r="I240" s="531"/>
      <c r="J240" s="531"/>
      <c r="K240" s="531"/>
      <c r="L240" s="531"/>
      <c r="M240" s="532"/>
    </row>
    <row r="241" spans="1:74" ht="14.4" x14ac:dyDescent="0.3">
      <c r="A241" s="239" t="s">
        <v>154</v>
      </c>
      <c r="B241" s="224" t="s">
        <v>1383</v>
      </c>
      <c r="C241" s="526" t="s">
        <v>449</v>
      </c>
      <c r="D241" s="527"/>
      <c r="E241" s="223" t="s">
        <v>114</v>
      </c>
      <c r="F241" s="223" t="s">
        <v>114</v>
      </c>
      <c r="G241" s="223" t="s">
        <v>114</v>
      </c>
      <c r="H241" s="235">
        <f>SUM(H242:H302)</f>
        <v>0</v>
      </c>
      <c r="I241" s="235">
        <f>SUM(I242:I302)</f>
        <v>0</v>
      </c>
      <c r="J241" s="235">
        <f>SUM(J242:J302)</f>
        <v>0</v>
      </c>
      <c r="K241" s="230" t="s">
        <v>154</v>
      </c>
      <c r="L241" s="235">
        <f>SUM(L242:L302)</f>
        <v>4.1625570000000005</v>
      </c>
      <c r="M241" s="243" t="s">
        <v>154</v>
      </c>
      <c r="AG241" s="230" t="s">
        <v>154</v>
      </c>
      <c r="AQ241" s="235">
        <f>SUM(AH242:AH302)</f>
        <v>0</v>
      </c>
      <c r="AR241" s="235">
        <f>SUM(AI242:AI302)</f>
        <v>0</v>
      </c>
      <c r="AS241" s="235">
        <f>SUM(AJ242:AJ302)</f>
        <v>0</v>
      </c>
    </row>
    <row r="242" spans="1:74" ht="14.4" x14ac:dyDescent="0.3">
      <c r="A242" s="239" t="s">
        <v>653</v>
      </c>
      <c r="B242" s="223" t="s">
        <v>650</v>
      </c>
      <c r="C242" s="521" t="s">
        <v>651</v>
      </c>
      <c r="D242" s="519"/>
      <c r="E242" s="223" t="s">
        <v>160</v>
      </c>
      <c r="F242" s="233">
        <v>13.2</v>
      </c>
      <c r="G242" s="311">
        <v>0</v>
      </c>
      <c r="H242" s="233">
        <f>F242*AM242</f>
        <v>0</v>
      </c>
      <c r="I242" s="233">
        <f>F242*AN242</f>
        <v>0</v>
      </c>
      <c r="J242" s="233">
        <f>F242*G242</f>
        <v>0</v>
      </c>
      <c r="K242" s="233">
        <v>1.12E-2</v>
      </c>
      <c r="L242" s="233">
        <f>F242*K242</f>
        <v>0.14784</v>
      </c>
      <c r="M242" s="240" t="s">
        <v>472</v>
      </c>
      <c r="X242" s="233">
        <f>IF(AO242="5",BH242,0)</f>
        <v>0</v>
      </c>
      <c r="Z242" s="233">
        <f>IF(AO242="1",BF242,0)</f>
        <v>0</v>
      </c>
      <c r="AA242" s="233">
        <f>IF(AO242="1",BG242,0)</f>
        <v>0</v>
      </c>
      <c r="AB242" s="233">
        <f>IF(AO242="7",BF242,0)</f>
        <v>0</v>
      </c>
      <c r="AC242" s="233">
        <f>IF(AO242="7",BG242,0)</f>
        <v>0</v>
      </c>
      <c r="AD242" s="233">
        <f>IF(AO242="2",BF242,0)</f>
        <v>0</v>
      </c>
      <c r="AE242" s="233">
        <f>IF(AO242="2",BG242,0)</f>
        <v>0</v>
      </c>
      <c r="AF242" s="233">
        <f>IF(AO242="0",BH242,0)</f>
        <v>0</v>
      </c>
      <c r="AG242" s="230" t="s">
        <v>154</v>
      </c>
      <c r="AH242" s="233">
        <f>IF(AL242=0,J242,0)</f>
        <v>0</v>
      </c>
      <c r="AI242" s="233">
        <f>IF(AL242=15,J242,0)</f>
        <v>0</v>
      </c>
      <c r="AJ242" s="233">
        <f>IF(AL242=21,J242,0)</f>
        <v>0</v>
      </c>
      <c r="AL242" s="233">
        <v>21</v>
      </c>
      <c r="AM242" s="233">
        <f>G242*1</f>
        <v>0</v>
      </c>
      <c r="AN242" s="233">
        <f>G242*(1-1)</f>
        <v>0</v>
      </c>
      <c r="AO242" s="234" t="s">
        <v>453</v>
      </c>
      <c r="AT242" s="233">
        <f>AU242+AV242</f>
        <v>0</v>
      </c>
      <c r="AU242" s="233">
        <f>F242*AM242</f>
        <v>0</v>
      </c>
      <c r="AV242" s="233">
        <f>F242*AN242</f>
        <v>0</v>
      </c>
      <c r="AW242" s="234" t="s">
        <v>454</v>
      </c>
      <c r="AX242" s="234" t="s">
        <v>455</v>
      </c>
      <c r="AY242" s="230" t="s">
        <v>164</v>
      </c>
      <c r="BA242" s="233">
        <f>AU242+AV242</f>
        <v>0</v>
      </c>
      <c r="BB242" s="233">
        <f>G242/(100-BC242)*100</f>
        <v>0</v>
      </c>
      <c r="BC242" s="233">
        <v>0</v>
      </c>
      <c r="BD242" s="233">
        <f>L242</f>
        <v>0.14784</v>
      </c>
      <c r="BF242" s="233">
        <f>F242*AM242</f>
        <v>0</v>
      </c>
      <c r="BG242" s="233">
        <f>F242*AN242</f>
        <v>0</v>
      </c>
      <c r="BH242" s="233">
        <f>F242*G242</f>
        <v>0</v>
      </c>
      <c r="BI242" s="233"/>
      <c r="BJ242" s="233"/>
      <c r="BU242" s="233" t="e">
        <f>#REF!</f>
        <v>#REF!</v>
      </c>
      <c r="BV242" s="225" t="s">
        <v>651</v>
      </c>
    </row>
    <row r="243" spans="1:74" ht="54" customHeight="1" x14ac:dyDescent="0.3">
      <c r="A243" s="241"/>
      <c r="B243" s="242" t="s">
        <v>165</v>
      </c>
      <c r="C243" s="530" t="s">
        <v>1469</v>
      </c>
      <c r="D243" s="531"/>
      <c r="E243" s="531"/>
      <c r="F243" s="531"/>
      <c r="G243" s="531"/>
      <c r="H243" s="531"/>
      <c r="I243" s="531"/>
      <c r="J243" s="531"/>
      <c r="K243" s="531"/>
      <c r="L243" s="531"/>
      <c r="M243" s="532"/>
    </row>
    <row r="244" spans="1:74" ht="14.4" x14ac:dyDescent="0.3">
      <c r="A244" s="239" t="s">
        <v>657</v>
      </c>
      <c r="B244" s="223" t="s">
        <v>654</v>
      </c>
      <c r="C244" s="521" t="s">
        <v>655</v>
      </c>
      <c r="D244" s="519"/>
      <c r="E244" s="223" t="s">
        <v>365</v>
      </c>
      <c r="F244" s="233">
        <v>8</v>
      </c>
      <c r="G244" s="311">
        <v>0</v>
      </c>
      <c r="H244" s="233">
        <f>F244*AM244</f>
        <v>0</v>
      </c>
      <c r="I244" s="233">
        <f>F244*AN244</f>
        <v>0</v>
      </c>
      <c r="J244" s="233">
        <f>F244*G244</f>
        <v>0</v>
      </c>
      <c r="K244" s="233">
        <v>4.0000000000000003E-5</v>
      </c>
      <c r="L244" s="233">
        <f>F244*K244</f>
        <v>3.2000000000000003E-4</v>
      </c>
      <c r="M244" s="240" t="s">
        <v>472</v>
      </c>
      <c r="X244" s="233">
        <f>IF(AO244="5",BH244,0)</f>
        <v>0</v>
      </c>
      <c r="Z244" s="233">
        <f>IF(AO244="1",BF244,0)</f>
        <v>0</v>
      </c>
      <c r="AA244" s="233">
        <f>IF(AO244="1",BG244,0)</f>
        <v>0</v>
      </c>
      <c r="AB244" s="233">
        <f>IF(AO244="7",BF244,0)</f>
        <v>0</v>
      </c>
      <c r="AC244" s="233">
        <f>IF(AO244="7",BG244,0)</f>
        <v>0</v>
      </c>
      <c r="AD244" s="233">
        <f>IF(AO244="2",BF244,0)</f>
        <v>0</v>
      </c>
      <c r="AE244" s="233">
        <f>IF(AO244="2",BG244,0)</f>
        <v>0</v>
      </c>
      <c r="AF244" s="233">
        <f>IF(AO244="0",BH244,0)</f>
        <v>0</v>
      </c>
      <c r="AG244" s="230" t="s">
        <v>154</v>
      </c>
      <c r="AH244" s="233">
        <f>IF(AL244=0,J244,0)</f>
        <v>0</v>
      </c>
      <c r="AI244" s="233">
        <f>IF(AL244=15,J244,0)</f>
        <v>0</v>
      </c>
      <c r="AJ244" s="233">
        <f>IF(AL244=21,J244,0)</f>
        <v>0</v>
      </c>
      <c r="AL244" s="233">
        <v>21</v>
      </c>
      <c r="AM244" s="233">
        <f>G244*1</f>
        <v>0</v>
      </c>
      <c r="AN244" s="233">
        <f>G244*(1-1)</f>
        <v>0</v>
      </c>
      <c r="AO244" s="234" t="s">
        <v>453</v>
      </c>
      <c r="AT244" s="233">
        <f>AU244+AV244</f>
        <v>0</v>
      </c>
      <c r="AU244" s="233">
        <f>F244*AM244</f>
        <v>0</v>
      </c>
      <c r="AV244" s="233">
        <f>F244*AN244</f>
        <v>0</v>
      </c>
      <c r="AW244" s="234" t="s">
        <v>454</v>
      </c>
      <c r="AX244" s="234" t="s">
        <v>455</v>
      </c>
      <c r="AY244" s="230" t="s">
        <v>164</v>
      </c>
      <c r="BA244" s="233">
        <f>AU244+AV244</f>
        <v>0</v>
      </c>
      <c r="BB244" s="233">
        <f>G244/(100-BC244)*100</f>
        <v>0</v>
      </c>
      <c r="BC244" s="233">
        <v>0</v>
      </c>
      <c r="BD244" s="233">
        <f>L244</f>
        <v>3.2000000000000003E-4</v>
      </c>
      <c r="BF244" s="233">
        <f>F244*AM244</f>
        <v>0</v>
      </c>
      <c r="BG244" s="233">
        <f>F244*AN244</f>
        <v>0</v>
      </c>
      <c r="BH244" s="233">
        <f>F244*G244</f>
        <v>0</v>
      </c>
      <c r="BI244" s="233"/>
      <c r="BJ244" s="233"/>
      <c r="BU244" s="233" t="e">
        <f>#REF!</f>
        <v>#REF!</v>
      </c>
      <c r="BV244" s="225" t="s">
        <v>655</v>
      </c>
    </row>
    <row r="245" spans="1:74" ht="121.5" customHeight="1" x14ac:dyDescent="0.3">
      <c r="A245" s="241"/>
      <c r="B245" s="242" t="s">
        <v>165</v>
      </c>
      <c r="C245" s="530" t="s">
        <v>1470</v>
      </c>
      <c r="D245" s="531"/>
      <c r="E245" s="531"/>
      <c r="F245" s="531"/>
      <c r="G245" s="531"/>
      <c r="H245" s="531"/>
      <c r="I245" s="531"/>
      <c r="J245" s="531"/>
      <c r="K245" s="531"/>
      <c r="L245" s="531"/>
      <c r="M245" s="532"/>
    </row>
    <row r="246" spans="1:74" ht="14.4" x14ac:dyDescent="0.3">
      <c r="A246" s="239" t="s">
        <v>661</v>
      </c>
      <c r="B246" s="223" t="s">
        <v>658</v>
      </c>
      <c r="C246" s="521" t="s">
        <v>659</v>
      </c>
      <c r="D246" s="519"/>
      <c r="E246" s="223" t="s">
        <v>365</v>
      </c>
      <c r="F246" s="233">
        <v>2</v>
      </c>
      <c r="G246" s="311">
        <v>0</v>
      </c>
      <c r="H246" s="233">
        <f>F246*AM246</f>
        <v>0</v>
      </c>
      <c r="I246" s="233">
        <f>F246*AN246</f>
        <v>0</v>
      </c>
      <c r="J246" s="233">
        <f>F246*G246</f>
        <v>0</v>
      </c>
      <c r="K246" s="233">
        <v>1E-3</v>
      </c>
      <c r="L246" s="233">
        <f>F246*K246</f>
        <v>2E-3</v>
      </c>
      <c r="M246" s="240" t="s">
        <v>472</v>
      </c>
      <c r="X246" s="233">
        <f>IF(AO246="5",BH246,0)</f>
        <v>0</v>
      </c>
      <c r="Z246" s="233">
        <f>IF(AO246="1",BF246,0)</f>
        <v>0</v>
      </c>
      <c r="AA246" s="233">
        <f>IF(AO246="1",BG246,0)</f>
        <v>0</v>
      </c>
      <c r="AB246" s="233">
        <f>IF(AO246="7",BF246,0)</f>
        <v>0</v>
      </c>
      <c r="AC246" s="233">
        <f>IF(AO246="7",BG246,0)</f>
        <v>0</v>
      </c>
      <c r="AD246" s="233">
        <f>IF(AO246="2",BF246,0)</f>
        <v>0</v>
      </c>
      <c r="AE246" s="233">
        <f>IF(AO246="2",BG246,0)</f>
        <v>0</v>
      </c>
      <c r="AF246" s="233">
        <f>IF(AO246="0",BH246,0)</f>
        <v>0</v>
      </c>
      <c r="AG246" s="230" t="s">
        <v>154</v>
      </c>
      <c r="AH246" s="233">
        <f>IF(AL246=0,J246,0)</f>
        <v>0</v>
      </c>
      <c r="AI246" s="233">
        <f>IF(AL246=15,J246,0)</f>
        <v>0</v>
      </c>
      <c r="AJ246" s="233">
        <f>IF(AL246=21,J246,0)</f>
        <v>0</v>
      </c>
      <c r="AL246" s="233">
        <v>21</v>
      </c>
      <c r="AM246" s="233">
        <f>G246*1</f>
        <v>0</v>
      </c>
      <c r="AN246" s="233">
        <f>G246*(1-1)</f>
        <v>0</v>
      </c>
      <c r="AO246" s="234" t="s">
        <v>453</v>
      </c>
      <c r="AT246" s="233">
        <f>AU246+AV246</f>
        <v>0</v>
      </c>
      <c r="AU246" s="233">
        <f>F246*AM246</f>
        <v>0</v>
      </c>
      <c r="AV246" s="233">
        <f>F246*AN246</f>
        <v>0</v>
      </c>
      <c r="AW246" s="234" t="s">
        <v>454</v>
      </c>
      <c r="AX246" s="234" t="s">
        <v>455</v>
      </c>
      <c r="AY246" s="230" t="s">
        <v>164</v>
      </c>
      <c r="BA246" s="233">
        <f>AU246+AV246</f>
        <v>0</v>
      </c>
      <c r="BB246" s="233">
        <f>G246/(100-BC246)*100</f>
        <v>0</v>
      </c>
      <c r="BC246" s="233">
        <v>0</v>
      </c>
      <c r="BD246" s="233">
        <f>L246</f>
        <v>2E-3</v>
      </c>
      <c r="BF246" s="233">
        <f>F246*AM246</f>
        <v>0</v>
      </c>
      <c r="BG246" s="233">
        <f>F246*AN246</f>
        <v>0</v>
      </c>
      <c r="BH246" s="233">
        <f>F246*G246</f>
        <v>0</v>
      </c>
      <c r="BI246" s="233"/>
      <c r="BJ246" s="233"/>
      <c r="BU246" s="233" t="e">
        <f>#REF!</f>
        <v>#REF!</v>
      </c>
      <c r="BV246" s="225" t="s">
        <v>659</v>
      </c>
    </row>
    <row r="247" spans="1:74" ht="67.5" customHeight="1" x14ac:dyDescent="0.3">
      <c r="A247" s="241"/>
      <c r="B247" s="242" t="s">
        <v>165</v>
      </c>
      <c r="C247" s="530" t="s">
        <v>1471</v>
      </c>
      <c r="D247" s="531"/>
      <c r="E247" s="531"/>
      <c r="F247" s="531"/>
      <c r="G247" s="531"/>
      <c r="H247" s="531"/>
      <c r="I247" s="531"/>
      <c r="J247" s="531"/>
      <c r="K247" s="531"/>
      <c r="L247" s="531"/>
      <c r="M247" s="532"/>
    </row>
    <row r="248" spans="1:74" ht="14.4" x14ac:dyDescent="0.3">
      <c r="A248" s="239" t="s">
        <v>665</v>
      </c>
      <c r="B248" s="223" t="s">
        <v>662</v>
      </c>
      <c r="C248" s="521" t="s">
        <v>663</v>
      </c>
      <c r="D248" s="519"/>
      <c r="E248" s="223" t="s">
        <v>471</v>
      </c>
      <c r="F248" s="233">
        <v>1</v>
      </c>
      <c r="G248" s="311">
        <v>0</v>
      </c>
      <c r="H248" s="233">
        <f>F248*AM248</f>
        <v>0</v>
      </c>
      <c r="I248" s="233">
        <f>F248*AN248</f>
        <v>0</v>
      </c>
      <c r="J248" s="233">
        <f>F248*G248</f>
        <v>0</v>
      </c>
      <c r="K248" s="233">
        <v>0</v>
      </c>
      <c r="L248" s="233">
        <f>F248*K248</f>
        <v>0</v>
      </c>
      <c r="M248" s="240" t="s">
        <v>472</v>
      </c>
      <c r="X248" s="233">
        <f>IF(AO248="5",BH248,0)</f>
        <v>0</v>
      </c>
      <c r="Z248" s="233">
        <f>IF(AO248="1",BF248,0)</f>
        <v>0</v>
      </c>
      <c r="AA248" s="233">
        <f>IF(AO248="1",BG248,0)</f>
        <v>0</v>
      </c>
      <c r="AB248" s="233">
        <f>IF(AO248="7",BF248,0)</f>
        <v>0</v>
      </c>
      <c r="AC248" s="233">
        <f>IF(AO248="7",BG248,0)</f>
        <v>0</v>
      </c>
      <c r="AD248" s="233">
        <f>IF(AO248="2",BF248,0)</f>
        <v>0</v>
      </c>
      <c r="AE248" s="233">
        <f>IF(AO248="2",BG248,0)</f>
        <v>0</v>
      </c>
      <c r="AF248" s="233">
        <f>IF(AO248="0",BH248,0)</f>
        <v>0</v>
      </c>
      <c r="AG248" s="230" t="s">
        <v>154</v>
      </c>
      <c r="AH248" s="233">
        <f>IF(AL248=0,J248,0)</f>
        <v>0</v>
      </c>
      <c r="AI248" s="233">
        <f>IF(AL248=15,J248,0)</f>
        <v>0</v>
      </c>
      <c r="AJ248" s="233">
        <f>IF(AL248=21,J248,0)</f>
        <v>0</v>
      </c>
      <c r="AL248" s="233">
        <v>21</v>
      </c>
      <c r="AM248" s="233">
        <f>G248*1</f>
        <v>0</v>
      </c>
      <c r="AN248" s="233">
        <f>G248*(1-1)</f>
        <v>0</v>
      </c>
      <c r="AO248" s="234" t="s">
        <v>453</v>
      </c>
      <c r="AT248" s="233">
        <f>AU248+AV248</f>
        <v>0</v>
      </c>
      <c r="AU248" s="233">
        <f>F248*AM248</f>
        <v>0</v>
      </c>
      <c r="AV248" s="233">
        <f>F248*AN248</f>
        <v>0</v>
      </c>
      <c r="AW248" s="234" t="s">
        <v>454</v>
      </c>
      <c r="AX248" s="234" t="s">
        <v>455</v>
      </c>
      <c r="AY248" s="230" t="s">
        <v>164</v>
      </c>
      <c r="BA248" s="233">
        <f>AU248+AV248</f>
        <v>0</v>
      </c>
      <c r="BB248" s="233">
        <f>G248/(100-BC248)*100</f>
        <v>0</v>
      </c>
      <c r="BC248" s="233">
        <v>0</v>
      </c>
      <c r="BD248" s="233">
        <f>L248</f>
        <v>0</v>
      </c>
      <c r="BF248" s="233">
        <f>F248*AM248</f>
        <v>0</v>
      </c>
      <c r="BG248" s="233">
        <f>F248*AN248</f>
        <v>0</v>
      </c>
      <c r="BH248" s="233">
        <f>F248*G248</f>
        <v>0</v>
      </c>
      <c r="BI248" s="233"/>
      <c r="BJ248" s="233"/>
      <c r="BU248" s="233" t="e">
        <f>#REF!</f>
        <v>#REF!</v>
      </c>
      <c r="BV248" s="225" t="s">
        <v>663</v>
      </c>
    </row>
    <row r="249" spans="1:74" ht="40.5" customHeight="1" x14ac:dyDescent="0.3">
      <c r="A249" s="241"/>
      <c r="B249" s="242" t="s">
        <v>165</v>
      </c>
      <c r="C249" s="530" t="s">
        <v>1472</v>
      </c>
      <c r="D249" s="531"/>
      <c r="E249" s="531"/>
      <c r="F249" s="531"/>
      <c r="G249" s="531"/>
      <c r="H249" s="531"/>
      <c r="I249" s="531"/>
      <c r="J249" s="531"/>
      <c r="K249" s="531"/>
      <c r="L249" s="531"/>
      <c r="M249" s="532"/>
    </row>
    <row r="250" spans="1:74" ht="14.4" x14ac:dyDescent="0.3">
      <c r="A250" s="239" t="s">
        <v>669</v>
      </c>
      <c r="B250" s="223" t="s">
        <v>666</v>
      </c>
      <c r="C250" s="521" t="s">
        <v>667</v>
      </c>
      <c r="D250" s="519"/>
      <c r="E250" s="223" t="s">
        <v>365</v>
      </c>
      <c r="F250" s="233">
        <v>1</v>
      </c>
      <c r="G250" s="311">
        <v>0</v>
      </c>
      <c r="H250" s="233">
        <f>F250*AM250</f>
        <v>0</v>
      </c>
      <c r="I250" s="233">
        <f>F250*AN250</f>
        <v>0</v>
      </c>
      <c r="J250" s="233">
        <f>F250*G250</f>
        <v>0</v>
      </c>
      <c r="K250" s="233">
        <v>0</v>
      </c>
      <c r="L250" s="233">
        <f>F250*K250</f>
        <v>0</v>
      </c>
      <c r="M250" s="240" t="s">
        <v>472</v>
      </c>
      <c r="X250" s="233">
        <f>IF(AO250="5",BH250,0)</f>
        <v>0</v>
      </c>
      <c r="Z250" s="233">
        <f>IF(AO250="1",BF250,0)</f>
        <v>0</v>
      </c>
      <c r="AA250" s="233">
        <f>IF(AO250="1",BG250,0)</f>
        <v>0</v>
      </c>
      <c r="AB250" s="233">
        <f>IF(AO250="7",BF250,0)</f>
        <v>0</v>
      </c>
      <c r="AC250" s="233">
        <f>IF(AO250="7",BG250,0)</f>
        <v>0</v>
      </c>
      <c r="AD250" s="233">
        <f>IF(AO250="2",BF250,0)</f>
        <v>0</v>
      </c>
      <c r="AE250" s="233">
        <f>IF(AO250="2",BG250,0)</f>
        <v>0</v>
      </c>
      <c r="AF250" s="233">
        <f>IF(AO250="0",BH250,0)</f>
        <v>0</v>
      </c>
      <c r="AG250" s="230" t="s">
        <v>154</v>
      </c>
      <c r="AH250" s="233">
        <f>IF(AL250=0,J250,0)</f>
        <v>0</v>
      </c>
      <c r="AI250" s="233">
        <f>IF(AL250=15,J250,0)</f>
        <v>0</v>
      </c>
      <c r="AJ250" s="233">
        <f>IF(AL250=21,J250,0)</f>
        <v>0</v>
      </c>
      <c r="AL250" s="233">
        <v>21</v>
      </c>
      <c r="AM250" s="233">
        <f>G250*1</f>
        <v>0</v>
      </c>
      <c r="AN250" s="233">
        <f>G250*(1-1)</f>
        <v>0</v>
      </c>
      <c r="AO250" s="234" t="s">
        <v>453</v>
      </c>
      <c r="AT250" s="233">
        <f>AU250+AV250</f>
        <v>0</v>
      </c>
      <c r="AU250" s="233">
        <f>F250*AM250</f>
        <v>0</v>
      </c>
      <c r="AV250" s="233">
        <f>F250*AN250</f>
        <v>0</v>
      </c>
      <c r="AW250" s="234" t="s">
        <v>454</v>
      </c>
      <c r="AX250" s="234" t="s">
        <v>455</v>
      </c>
      <c r="AY250" s="230" t="s">
        <v>164</v>
      </c>
      <c r="BA250" s="233">
        <f>AU250+AV250</f>
        <v>0</v>
      </c>
      <c r="BB250" s="233">
        <f>G250/(100-BC250)*100</f>
        <v>0</v>
      </c>
      <c r="BC250" s="233">
        <v>0</v>
      </c>
      <c r="BD250" s="233">
        <f>L250</f>
        <v>0</v>
      </c>
      <c r="BF250" s="233">
        <f>F250*AM250</f>
        <v>0</v>
      </c>
      <c r="BG250" s="233">
        <f>F250*AN250</f>
        <v>0</v>
      </c>
      <c r="BH250" s="233">
        <f>F250*G250</f>
        <v>0</v>
      </c>
      <c r="BI250" s="233"/>
      <c r="BJ250" s="233"/>
      <c r="BU250" s="233" t="e">
        <f>#REF!</f>
        <v>#REF!</v>
      </c>
      <c r="BV250" s="225" t="s">
        <v>667</v>
      </c>
    </row>
    <row r="251" spans="1:74" ht="40.5" customHeight="1" x14ac:dyDescent="0.3">
      <c r="A251" s="241"/>
      <c r="B251" s="242" t="s">
        <v>165</v>
      </c>
      <c r="C251" s="530" t="s">
        <v>1473</v>
      </c>
      <c r="D251" s="531"/>
      <c r="E251" s="531"/>
      <c r="F251" s="531"/>
      <c r="G251" s="531"/>
      <c r="H251" s="531"/>
      <c r="I251" s="531"/>
      <c r="J251" s="531"/>
      <c r="K251" s="531"/>
      <c r="L251" s="531"/>
      <c r="M251" s="532"/>
    </row>
    <row r="252" spans="1:74" ht="14.4" x14ac:dyDescent="0.3">
      <c r="A252" s="239" t="s">
        <v>673</v>
      </c>
      <c r="B252" s="223" t="s">
        <v>670</v>
      </c>
      <c r="C252" s="521" t="s">
        <v>671</v>
      </c>
      <c r="D252" s="519"/>
      <c r="E252" s="223" t="s">
        <v>471</v>
      </c>
      <c r="F252" s="233">
        <v>1</v>
      </c>
      <c r="G252" s="311">
        <v>0</v>
      </c>
      <c r="H252" s="233">
        <f>F252*AM252</f>
        <v>0</v>
      </c>
      <c r="I252" s="233">
        <f>F252*AN252</f>
        <v>0</v>
      </c>
      <c r="J252" s="233">
        <f>F252*G252</f>
        <v>0</v>
      </c>
      <c r="K252" s="233">
        <v>0</v>
      </c>
      <c r="L252" s="233">
        <f>F252*K252</f>
        <v>0</v>
      </c>
      <c r="M252" s="240" t="s">
        <v>154</v>
      </c>
      <c r="X252" s="233">
        <f>IF(AO252="5",BH252,0)</f>
        <v>0</v>
      </c>
      <c r="Z252" s="233">
        <f>IF(AO252="1",BF252,0)</f>
        <v>0</v>
      </c>
      <c r="AA252" s="233">
        <f>IF(AO252="1",BG252,0)</f>
        <v>0</v>
      </c>
      <c r="AB252" s="233">
        <f>IF(AO252="7",BF252,0)</f>
        <v>0</v>
      </c>
      <c r="AC252" s="233">
        <f>IF(AO252="7",BG252,0)</f>
        <v>0</v>
      </c>
      <c r="AD252" s="233">
        <f>IF(AO252="2",BF252,0)</f>
        <v>0</v>
      </c>
      <c r="AE252" s="233">
        <f>IF(AO252="2",BG252,0)</f>
        <v>0</v>
      </c>
      <c r="AF252" s="233">
        <f>IF(AO252="0",BH252,0)</f>
        <v>0</v>
      </c>
      <c r="AG252" s="230" t="s">
        <v>154</v>
      </c>
      <c r="AH252" s="233">
        <f>IF(AL252=0,J252,0)</f>
        <v>0</v>
      </c>
      <c r="AI252" s="233">
        <f>IF(AL252=15,J252,0)</f>
        <v>0</v>
      </c>
      <c r="AJ252" s="233">
        <f>IF(AL252=21,J252,0)</f>
        <v>0</v>
      </c>
      <c r="AL252" s="233">
        <v>21</v>
      </c>
      <c r="AM252" s="233">
        <f>G252*1</f>
        <v>0</v>
      </c>
      <c r="AN252" s="233">
        <f>G252*(1-1)</f>
        <v>0</v>
      </c>
      <c r="AO252" s="234" t="s">
        <v>453</v>
      </c>
      <c r="AT252" s="233">
        <f>AU252+AV252</f>
        <v>0</v>
      </c>
      <c r="AU252" s="233">
        <f>F252*AM252</f>
        <v>0</v>
      </c>
      <c r="AV252" s="233">
        <f>F252*AN252</f>
        <v>0</v>
      </c>
      <c r="AW252" s="234" t="s">
        <v>454</v>
      </c>
      <c r="AX252" s="234" t="s">
        <v>455</v>
      </c>
      <c r="AY252" s="230" t="s">
        <v>164</v>
      </c>
      <c r="BA252" s="233">
        <f>AU252+AV252</f>
        <v>0</v>
      </c>
      <c r="BB252" s="233">
        <f>G252/(100-BC252)*100</f>
        <v>0</v>
      </c>
      <c r="BC252" s="233">
        <v>0</v>
      </c>
      <c r="BD252" s="233">
        <f>L252</f>
        <v>0</v>
      </c>
      <c r="BF252" s="233">
        <f>F252*AM252</f>
        <v>0</v>
      </c>
      <c r="BG252" s="233">
        <f>F252*AN252</f>
        <v>0</v>
      </c>
      <c r="BH252" s="233">
        <f>F252*G252</f>
        <v>0</v>
      </c>
      <c r="BI252" s="233"/>
      <c r="BJ252" s="233"/>
      <c r="BU252" s="233" t="e">
        <f>#REF!</f>
        <v>#REF!</v>
      </c>
      <c r="BV252" s="225" t="s">
        <v>671</v>
      </c>
    </row>
    <row r="253" spans="1:74" ht="40.5" customHeight="1" x14ac:dyDescent="0.3">
      <c r="A253" s="244"/>
      <c r="B253" s="245" t="s">
        <v>165</v>
      </c>
      <c r="C253" s="540" t="s">
        <v>1474</v>
      </c>
      <c r="D253" s="541"/>
      <c r="E253" s="541"/>
      <c r="F253" s="541"/>
      <c r="G253" s="541"/>
      <c r="H253" s="541"/>
      <c r="I253" s="541"/>
      <c r="J253" s="541"/>
      <c r="K253" s="541"/>
      <c r="L253" s="541"/>
      <c r="M253" s="542"/>
    </row>
    <row r="254" spans="1:74" ht="14.4" x14ac:dyDescent="0.3">
      <c r="A254" s="237" t="s">
        <v>677</v>
      </c>
      <c r="B254" s="238" t="s">
        <v>674</v>
      </c>
      <c r="C254" s="543" t="s">
        <v>675</v>
      </c>
      <c r="D254" s="544"/>
      <c r="E254" s="238" t="s">
        <v>160</v>
      </c>
      <c r="F254" s="258">
        <v>5</v>
      </c>
      <c r="G254" s="311">
        <v>0</v>
      </c>
      <c r="H254" s="258">
        <f>F254*AM254</f>
        <v>0</v>
      </c>
      <c r="I254" s="258">
        <f>F254*AN254</f>
        <v>0</v>
      </c>
      <c r="J254" s="258">
        <f>F254*G254</f>
        <v>0</v>
      </c>
      <c r="K254" s="258">
        <v>3.8000000000000002E-4</v>
      </c>
      <c r="L254" s="258">
        <f>F254*K254</f>
        <v>1.9000000000000002E-3</v>
      </c>
      <c r="M254" s="259" t="s">
        <v>472</v>
      </c>
      <c r="X254" s="233">
        <f>IF(AO254="5",BH254,0)</f>
        <v>0</v>
      </c>
      <c r="Z254" s="233">
        <f>IF(AO254="1",BF254,0)</f>
        <v>0</v>
      </c>
      <c r="AA254" s="233">
        <f>IF(AO254="1",BG254,0)</f>
        <v>0</v>
      </c>
      <c r="AB254" s="233">
        <f>IF(AO254="7",BF254,0)</f>
        <v>0</v>
      </c>
      <c r="AC254" s="233">
        <f>IF(AO254="7",BG254,0)</f>
        <v>0</v>
      </c>
      <c r="AD254" s="233">
        <f>IF(AO254="2",BF254,0)</f>
        <v>0</v>
      </c>
      <c r="AE254" s="233">
        <f>IF(AO254="2",BG254,0)</f>
        <v>0</v>
      </c>
      <c r="AF254" s="233">
        <f>IF(AO254="0",BH254,0)</f>
        <v>0</v>
      </c>
      <c r="AG254" s="230" t="s">
        <v>154</v>
      </c>
      <c r="AH254" s="233">
        <f>IF(AL254=0,J254,0)</f>
        <v>0</v>
      </c>
      <c r="AI254" s="233">
        <f>IF(AL254=15,J254,0)</f>
        <v>0</v>
      </c>
      <c r="AJ254" s="233">
        <f>IF(AL254=21,J254,0)</f>
        <v>0</v>
      </c>
      <c r="AL254" s="233">
        <v>21</v>
      </c>
      <c r="AM254" s="233">
        <f>G254*1</f>
        <v>0</v>
      </c>
      <c r="AN254" s="233">
        <f>G254*(1-1)</f>
        <v>0</v>
      </c>
      <c r="AO254" s="234" t="s">
        <v>453</v>
      </c>
      <c r="AT254" s="233">
        <f>AU254+AV254</f>
        <v>0</v>
      </c>
      <c r="AU254" s="233">
        <f>F254*AM254</f>
        <v>0</v>
      </c>
      <c r="AV254" s="233">
        <f>F254*AN254</f>
        <v>0</v>
      </c>
      <c r="AW254" s="234" t="s">
        <v>454</v>
      </c>
      <c r="AX254" s="234" t="s">
        <v>455</v>
      </c>
      <c r="AY254" s="230" t="s">
        <v>164</v>
      </c>
      <c r="BA254" s="233">
        <f>AU254+AV254</f>
        <v>0</v>
      </c>
      <c r="BB254" s="233">
        <f>G254/(100-BC254)*100</f>
        <v>0</v>
      </c>
      <c r="BC254" s="233">
        <v>0</v>
      </c>
      <c r="BD254" s="233">
        <f>L254</f>
        <v>1.9000000000000002E-3</v>
      </c>
      <c r="BF254" s="233">
        <f>F254*AM254</f>
        <v>0</v>
      </c>
      <c r="BG254" s="233">
        <f>F254*AN254</f>
        <v>0</v>
      </c>
      <c r="BH254" s="233">
        <f>F254*G254</f>
        <v>0</v>
      </c>
      <c r="BI254" s="233"/>
      <c r="BJ254" s="233"/>
      <c r="BU254" s="233" t="e">
        <f>#REF!</f>
        <v>#REF!</v>
      </c>
      <c r="BV254" s="225" t="s">
        <v>675</v>
      </c>
    </row>
    <row r="255" spans="1:74" ht="67.5" customHeight="1" x14ac:dyDescent="0.3">
      <c r="A255" s="241"/>
      <c r="B255" s="242" t="s">
        <v>165</v>
      </c>
      <c r="C255" s="530" t="s">
        <v>1475</v>
      </c>
      <c r="D255" s="531"/>
      <c r="E255" s="531"/>
      <c r="F255" s="531"/>
      <c r="G255" s="531"/>
      <c r="H255" s="531"/>
      <c r="I255" s="531"/>
      <c r="J255" s="531"/>
      <c r="K255" s="531"/>
      <c r="L255" s="531"/>
      <c r="M255" s="532"/>
    </row>
    <row r="256" spans="1:74" ht="14.4" x14ac:dyDescent="0.3">
      <c r="A256" s="239" t="s">
        <v>680</v>
      </c>
      <c r="B256" s="223" t="s">
        <v>678</v>
      </c>
      <c r="C256" s="521" t="s">
        <v>679</v>
      </c>
      <c r="D256" s="519"/>
      <c r="E256" s="223" t="s">
        <v>160</v>
      </c>
      <c r="F256" s="233">
        <v>463.05</v>
      </c>
      <c r="G256" s="311">
        <v>0</v>
      </c>
      <c r="H256" s="233">
        <f>F256*AM256</f>
        <v>0</v>
      </c>
      <c r="I256" s="233">
        <f>F256*AN256</f>
        <v>0</v>
      </c>
      <c r="J256" s="233">
        <f>F256*G256</f>
        <v>0</v>
      </c>
      <c r="K256" s="233">
        <v>3.7000000000000002E-3</v>
      </c>
      <c r="L256" s="233">
        <f>F256*K256</f>
        <v>1.7132850000000002</v>
      </c>
      <c r="M256" s="240" t="s">
        <v>472</v>
      </c>
      <c r="X256" s="233">
        <f>IF(AO256="5",BH256,0)</f>
        <v>0</v>
      </c>
      <c r="Z256" s="233">
        <f>IF(AO256="1",BF256,0)</f>
        <v>0</v>
      </c>
      <c r="AA256" s="233">
        <f>IF(AO256="1",BG256,0)</f>
        <v>0</v>
      </c>
      <c r="AB256" s="233">
        <f>IF(AO256="7",BF256,0)</f>
        <v>0</v>
      </c>
      <c r="AC256" s="233">
        <f>IF(AO256="7",BG256,0)</f>
        <v>0</v>
      </c>
      <c r="AD256" s="233">
        <f>IF(AO256="2",BF256,0)</f>
        <v>0</v>
      </c>
      <c r="AE256" s="233">
        <f>IF(AO256="2",BG256,0)</f>
        <v>0</v>
      </c>
      <c r="AF256" s="233">
        <f>IF(AO256="0",BH256,0)</f>
        <v>0</v>
      </c>
      <c r="AG256" s="230" t="s">
        <v>154</v>
      </c>
      <c r="AH256" s="233">
        <f>IF(AL256=0,J256,0)</f>
        <v>0</v>
      </c>
      <c r="AI256" s="233">
        <f>IF(AL256=15,J256,0)</f>
        <v>0</v>
      </c>
      <c r="AJ256" s="233">
        <f>IF(AL256=21,J256,0)</f>
        <v>0</v>
      </c>
      <c r="AL256" s="233">
        <v>21</v>
      </c>
      <c r="AM256" s="233">
        <f>G256*1</f>
        <v>0</v>
      </c>
      <c r="AN256" s="233">
        <f>G256*(1-1)</f>
        <v>0</v>
      </c>
      <c r="AO256" s="234" t="s">
        <v>453</v>
      </c>
      <c r="AT256" s="233">
        <f>AU256+AV256</f>
        <v>0</v>
      </c>
      <c r="AU256" s="233">
        <f>F256*AM256</f>
        <v>0</v>
      </c>
      <c r="AV256" s="233">
        <f>F256*AN256</f>
        <v>0</v>
      </c>
      <c r="AW256" s="234" t="s">
        <v>454</v>
      </c>
      <c r="AX256" s="234" t="s">
        <v>455</v>
      </c>
      <c r="AY256" s="230" t="s">
        <v>164</v>
      </c>
      <c r="BA256" s="233">
        <f>AU256+AV256</f>
        <v>0</v>
      </c>
      <c r="BB256" s="233">
        <f>G256/(100-BC256)*100</f>
        <v>0</v>
      </c>
      <c r="BC256" s="233">
        <v>0</v>
      </c>
      <c r="BD256" s="233">
        <f>L256</f>
        <v>1.7132850000000002</v>
      </c>
      <c r="BF256" s="233">
        <f>F256*AM256</f>
        <v>0</v>
      </c>
      <c r="BG256" s="233">
        <f>F256*AN256</f>
        <v>0</v>
      </c>
      <c r="BH256" s="233">
        <f>F256*G256</f>
        <v>0</v>
      </c>
      <c r="BI256" s="233"/>
      <c r="BJ256" s="233"/>
      <c r="BU256" s="233" t="e">
        <f>#REF!</f>
        <v>#REF!</v>
      </c>
      <c r="BV256" s="225" t="s">
        <v>679</v>
      </c>
    </row>
    <row r="257" spans="1:74" ht="67.5" customHeight="1" x14ac:dyDescent="0.3">
      <c r="A257" s="241"/>
      <c r="B257" s="242" t="s">
        <v>165</v>
      </c>
      <c r="C257" s="530" t="s">
        <v>1476</v>
      </c>
      <c r="D257" s="531"/>
      <c r="E257" s="531"/>
      <c r="F257" s="531"/>
      <c r="G257" s="531"/>
      <c r="H257" s="531"/>
      <c r="I257" s="531"/>
      <c r="J257" s="531"/>
      <c r="K257" s="531"/>
      <c r="L257" s="531"/>
      <c r="M257" s="532"/>
    </row>
    <row r="258" spans="1:74" ht="14.4" x14ac:dyDescent="0.3">
      <c r="A258" s="239" t="s">
        <v>684</v>
      </c>
      <c r="B258" s="223" t="s">
        <v>681</v>
      </c>
      <c r="C258" s="521" t="s">
        <v>682</v>
      </c>
      <c r="D258" s="519"/>
      <c r="E258" s="223" t="s">
        <v>471</v>
      </c>
      <c r="F258" s="233">
        <v>12</v>
      </c>
      <c r="G258" s="311">
        <v>0</v>
      </c>
      <c r="H258" s="233">
        <f>F258*AM258</f>
        <v>0</v>
      </c>
      <c r="I258" s="233">
        <f>F258*AN258</f>
        <v>0</v>
      </c>
      <c r="J258" s="233">
        <f>F258*G258</f>
        <v>0</v>
      </c>
      <c r="K258" s="233">
        <v>0</v>
      </c>
      <c r="L258" s="233">
        <f>F258*K258</f>
        <v>0</v>
      </c>
      <c r="M258" s="240" t="s">
        <v>472</v>
      </c>
      <c r="X258" s="233">
        <f>IF(AO258="5",BH258,0)</f>
        <v>0</v>
      </c>
      <c r="Z258" s="233">
        <f>IF(AO258="1",BF258,0)</f>
        <v>0</v>
      </c>
      <c r="AA258" s="233">
        <f>IF(AO258="1",BG258,0)</f>
        <v>0</v>
      </c>
      <c r="AB258" s="233">
        <f>IF(AO258="7",BF258,0)</f>
        <v>0</v>
      </c>
      <c r="AC258" s="233">
        <f>IF(AO258="7",BG258,0)</f>
        <v>0</v>
      </c>
      <c r="AD258" s="233">
        <f>IF(AO258="2",BF258,0)</f>
        <v>0</v>
      </c>
      <c r="AE258" s="233">
        <f>IF(AO258="2",BG258,0)</f>
        <v>0</v>
      </c>
      <c r="AF258" s="233">
        <f>IF(AO258="0",BH258,0)</f>
        <v>0</v>
      </c>
      <c r="AG258" s="230" t="s">
        <v>154</v>
      </c>
      <c r="AH258" s="233">
        <f>IF(AL258=0,J258,0)</f>
        <v>0</v>
      </c>
      <c r="AI258" s="233">
        <f>IF(AL258=15,J258,0)</f>
        <v>0</v>
      </c>
      <c r="AJ258" s="233">
        <f>IF(AL258=21,J258,0)</f>
        <v>0</v>
      </c>
      <c r="AL258" s="233">
        <v>21</v>
      </c>
      <c r="AM258" s="233">
        <f>G258*1</f>
        <v>0</v>
      </c>
      <c r="AN258" s="233">
        <f>G258*(1-1)</f>
        <v>0</v>
      </c>
      <c r="AO258" s="234" t="s">
        <v>453</v>
      </c>
      <c r="AT258" s="233">
        <f>AU258+AV258</f>
        <v>0</v>
      </c>
      <c r="AU258" s="233">
        <f>F258*AM258</f>
        <v>0</v>
      </c>
      <c r="AV258" s="233">
        <f>F258*AN258</f>
        <v>0</v>
      </c>
      <c r="AW258" s="234" t="s">
        <v>454</v>
      </c>
      <c r="AX258" s="234" t="s">
        <v>455</v>
      </c>
      <c r="AY258" s="230" t="s">
        <v>164</v>
      </c>
      <c r="BA258" s="233">
        <f>AU258+AV258</f>
        <v>0</v>
      </c>
      <c r="BB258" s="233">
        <f>G258/(100-BC258)*100</f>
        <v>0</v>
      </c>
      <c r="BC258" s="233">
        <v>0</v>
      </c>
      <c r="BD258" s="233">
        <f>L258</f>
        <v>0</v>
      </c>
      <c r="BF258" s="233">
        <f>F258*AM258</f>
        <v>0</v>
      </c>
      <c r="BG258" s="233">
        <f>F258*AN258</f>
        <v>0</v>
      </c>
      <c r="BH258" s="233">
        <f>F258*G258</f>
        <v>0</v>
      </c>
      <c r="BI258" s="233"/>
      <c r="BJ258" s="233"/>
      <c r="BU258" s="233" t="e">
        <f>#REF!</f>
        <v>#REF!</v>
      </c>
      <c r="BV258" s="225" t="s">
        <v>682</v>
      </c>
    </row>
    <row r="259" spans="1:74" ht="13.5" customHeight="1" x14ac:dyDescent="0.3">
      <c r="A259" s="241"/>
      <c r="B259" s="242" t="s">
        <v>165</v>
      </c>
      <c r="C259" s="530" t="s">
        <v>683</v>
      </c>
      <c r="D259" s="531"/>
      <c r="E259" s="531"/>
      <c r="F259" s="531"/>
      <c r="G259" s="531"/>
      <c r="H259" s="531"/>
      <c r="I259" s="531"/>
      <c r="J259" s="531"/>
      <c r="K259" s="531"/>
      <c r="L259" s="531"/>
      <c r="M259" s="532"/>
    </row>
    <row r="260" spans="1:74" ht="14.4" x14ac:dyDescent="0.3">
      <c r="A260" s="239" t="s">
        <v>686</v>
      </c>
      <c r="B260" s="223" t="s">
        <v>681</v>
      </c>
      <c r="C260" s="521" t="s">
        <v>682</v>
      </c>
      <c r="D260" s="519"/>
      <c r="E260" s="223" t="s">
        <v>471</v>
      </c>
      <c r="F260" s="233">
        <v>37</v>
      </c>
      <c r="G260" s="311">
        <v>0</v>
      </c>
      <c r="H260" s="233">
        <f>F260*AM260</f>
        <v>0</v>
      </c>
      <c r="I260" s="233">
        <f>F260*AN260</f>
        <v>0</v>
      </c>
      <c r="J260" s="233">
        <f>F260*G260</f>
        <v>0</v>
      </c>
      <c r="K260" s="233">
        <v>0</v>
      </c>
      <c r="L260" s="233">
        <f>F260*K260</f>
        <v>0</v>
      </c>
      <c r="M260" s="240" t="s">
        <v>472</v>
      </c>
      <c r="X260" s="233">
        <f>IF(AO260="5",BH260,0)</f>
        <v>0</v>
      </c>
      <c r="Z260" s="233">
        <f>IF(AO260="1",BF260,0)</f>
        <v>0</v>
      </c>
      <c r="AA260" s="233">
        <f>IF(AO260="1",BG260,0)</f>
        <v>0</v>
      </c>
      <c r="AB260" s="233">
        <f>IF(AO260="7",BF260,0)</f>
        <v>0</v>
      </c>
      <c r="AC260" s="233">
        <f>IF(AO260="7",BG260,0)</f>
        <v>0</v>
      </c>
      <c r="AD260" s="233">
        <f>IF(AO260="2",BF260,0)</f>
        <v>0</v>
      </c>
      <c r="AE260" s="233">
        <f>IF(AO260="2",BG260,0)</f>
        <v>0</v>
      </c>
      <c r="AF260" s="233">
        <f>IF(AO260="0",BH260,0)</f>
        <v>0</v>
      </c>
      <c r="AG260" s="230" t="s">
        <v>154</v>
      </c>
      <c r="AH260" s="233">
        <f>IF(AL260=0,J260,0)</f>
        <v>0</v>
      </c>
      <c r="AI260" s="233">
        <f>IF(AL260=15,J260,0)</f>
        <v>0</v>
      </c>
      <c r="AJ260" s="233">
        <f>IF(AL260=21,J260,0)</f>
        <v>0</v>
      </c>
      <c r="AL260" s="233">
        <v>21</v>
      </c>
      <c r="AM260" s="233">
        <f>G260*1</f>
        <v>0</v>
      </c>
      <c r="AN260" s="233">
        <f>G260*(1-1)</f>
        <v>0</v>
      </c>
      <c r="AO260" s="234" t="s">
        <v>453</v>
      </c>
      <c r="AT260" s="233">
        <f>AU260+AV260</f>
        <v>0</v>
      </c>
      <c r="AU260" s="233">
        <f>F260*AM260</f>
        <v>0</v>
      </c>
      <c r="AV260" s="233">
        <f>F260*AN260</f>
        <v>0</v>
      </c>
      <c r="AW260" s="234" t="s">
        <v>454</v>
      </c>
      <c r="AX260" s="234" t="s">
        <v>455</v>
      </c>
      <c r="AY260" s="230" t="s">
        <v>164</v>
      </c>
      <c r="BA260" s="233">
        <f>AU260+AV260</f>
        <v>0</v>
      </c>
      <c r="BB260" s="233">
        <f>G260/(100-BC260)*100</f>
        <v>0</v>
      </c>
      <c r="BC260" s="233">
        <v>0</v>
      </c>
      <c r="BD260" s="233">
        <f>L260</f>
        <v>0</v>
      </c>
      <c r="BF260" s="233">
        <f>F260*AM260</f>
        <v>0</v>
      </c>
      <c r="BG260" s="233">
        <f>F260*AN260</f>
        <v>0</v>
      </c>
      <c r="BH260" s="233">
        <f>F260*G260</f>
        <v>0</v>
      </c>
      <c r="BI260" s="233"/>
      <c r="BJ260" s="233"/>
      <c r="BU260" s="233" t="e">
        <f>#REF!</f>
        <v>#REF!</v>
      </c>
      <c r="BV260" s="225" t="s">
        <v>682</v>
      </c>
    </row>
    <row r="261" spans="1:74" ht="13.5" customHeight="1" x14ac:dyDescent="0.3">
      <c r="A261" s="241"/>
      <c r="B261" s="242" t="s">
        <v>165</v>
      </c>
      <c r="C261" s="530" t="s">
        <v>685</v>
      </c>
      <c r="D261" s="531"/>
      <c r="E261" s="531"/>
      <c r="F261" s="531"/>
      <c r="G261" s="531"/>
      <c r="H261" s="531"/>
      <c r="I261" s="531"/>
      <c r="J261" s="531"/>
      <c r="K261" s="531"/>
      <c r="L261" s="531"/>
      <c r="M261" s="532"/>
    </row>
    <row r="262" spans="1:74" ht="14.4" x14ac:dyDescent="0.3">
      <c r="A262" s="239" t="s">
        <v>690</v>
      </c>
      <c r="B262" s="223" t="s">
        <v>687</v>
      </c>
      <c r="C262" s="521" t="s">
        <v>688</v>
      </c>
      <c r="D262" s="519"/>
      <c r="E262" s="223" t="s">
        <v>160</v>
      </c>
      <c r="F262" s="233">
        <v>4.4000000000000004</v>
      </c>
      <c r="G262" s="311">
        <v>0</v>
      </c>
      <c r="H262" s="233">
        <f>F262*AM262</f>
        <v>0</v>
      </c>
      <c r="I262" s="233">
        <f>F262*AN262</f>
        <v>0</v>
      </c>
      <c r="J262" s="233">
        <f>F262*G262</f>
        <v>0</v>
      </c>
      <c r="K262" s="233">
        <v>2.5300000000000001E-3</v>
      </c>
      <c r="L262" s="233">
        <f>F262*K262</f>
        <v>1.1132000000000001E-2</v>
      </c>
      <c r="M262" s="240" t="s">
        <v>472</v>
      </c>
      <c r="X262" s="233">
        <f>IF(AO262="5",BH262,0)</f>
        <v>0</v>
      </c>
      <c r="Z262" s="233">
        <f>IF(AO262="1",BF262,0)</f>
        <v>0</v>
      </c>
      <c r="AA262" s="233">
        <f>IF(AO262="1",BG262,0)</f>
        <v>0</v>
      </c>
      <c r="AB262" s="233">
        <f>IF(AO262="7",BF262,0)</f>
        <v>0</v>
      </c>
      <c r="AC262" s="233">
        <f>IF(AO262="7",BG262,0)</f>
        <v>0</v>
      </c>
      <c r="AD262" s="233">
        <f>IF(AO262="2",BF262,0)</f>
        <v>0</v>
      </c>
      <c r="AE262" s="233">
        <f>IF(AO262="2",BG262,0)</f>
        <v>0</v>
      </c>
      <c r="AF262" s="233">
        <f>IF(AO262="0",BH262,0)</f>
        <v>0</v>
      </c>
      <c r="AG262" s="230" t="s">
        <v>154</v>
      </c>
      <c r="AH262" s="233">
        <f>IF(AL262=0,J262,0)</f>
        <v>0</v>
      </c>
      <c r="AI262" s="233">
        <f>IF(AL262=15,J262,0)</f>
        <v>0</v>
      </c>
      <c r="AJ262" s="233">
        <f>IF(AL262=21,J262,0)</f>
        <v>0</v>
      </c>
      <c r="AL262" s="233">
        <v>21</v>
      </c>
      <c r="AM262" s="233">
        <f>G262*1</f>
        <v>0</v>
      </c>
      <c r="AN262" s="233">
        <f>G262*(1-1)</f>
        <v>0</v>
      </c>
      <c r="AO262" s="234" t="s">
        <v>453</v>
      </c>
      <c r="AT262" s="233">
        <f>AU262+AV262</f>
        <v>0</v>
      </c>
      <c r="AU262" s="233">
        <f>F262*AM262</f>
        <v>0</v>
      </c>
      <c r="AV262" s="233">
        <f>F262*AN262</f>
        <v>0</v>
      </c>
      <c r="AW262" s="234" t="s">
        <v>454</v>
      </c>
      <c r="AX262" s="234" t="s">
        <v>455</v>
      </c>
      <c r="AY262" s="230" t="s">
        <v>164</v>
      </c>
      <c r="BA262" s="233">
        <f>AU262+AV262</f>
        <v>0</v>
      </c>
      <c r="BB262" s="233">
        <f>G262/(100-BC262)*100</f>
        <v>0</v>
      </c>
      <c r="BC262" s="233">
        <v>0</v>
      </c>
      <c r="BD262" s="233">
        <f>L262</f>
        <v>1.1132000000000001E-2</v>
      </c>
      <c r="BF262" s="233">
        <f>F262*AM262</f>
        <v>0</v>
      </c>
      <c r="BG262" s="233">
        <f>F262*AN262</f>
        <v>0</v>
      </c>
      <c r="BH262" s="233">
        <f>F262*G262</f>
        <v>0</v>
      </c>
      <c r="BI262" s="233"/>
      <c r="BJ262" s="233"/>
      <c r="BU262" s="233" t="e">
        <f>#REF!</f>
        <v>#REF!</v>
      </c>
      <c r="BV262" s="225" t="s">
        <v>688</v>
      </c>
    </row>
    <row r="263" spans="1:74" ht="67.5" customHeight="1" x14ac:dyDescent="0.3">
      <c r="A263" s="241"/>
      <c r="B263" s="242" t="s">
        <v>165</v>
      </c>
      <c r="C263" s="530" t="s">
        <v>1477</v>
      </c>
      <c r="D263" s="531"/>
      <c r="E263" s="531"/>
      <c r="F263" s="531"/>
      <c r="G263" s="531"/>
      <c r="H263" s="531"/>
      <c r="I263" s="531"/>
      <c r="J263" s="531"/>
      <c r="K263" s="531"/>
      <c r="L263" s="531"/>
      <c r="M263" s="532"/>
    </row>
    <row r="264" spans="1:74" ht="14.4" x14ac:dyDescent="0.3">
      <c r="A264" s="239" t="s">
        <v>693</v>
      </c>
      <c r="B264" s="223" t="s">
        <v>691</v>
      </c>
      <c r="C264" s="521" t="s">
        <v>692</v>
      </c>
      <c r="D264" s="519"/>
      <c r="E264" s="223" t="s">
        <v>471</v>
      </c>
      <c r="F264" s="233">
        <v>5</v>
      </c>
      <c r="G264" s="311">
        <v>0</v>
      </c>
      <c r="H264" s="233">
        <f>F264*AM264</f>
        <v>0</v>
      </c>
      <c r="I264" s="233">
        <f>F264*AN264</f>
        <v>0</v>
      </c>
      <c r="J264" s="233">
        <f>F264*G264</f>
        <v>0</v>
      </c>
      <c r="K264" s="233">
        <v>0</v>
      </c>
      <c r="L264" s="233">
        <f>F264*K264</f>
        <v>0</v>
      </c>
      <c r="M264" s="240" t="s">
        <v>472</v>
      </c>
      <c r="X264" s="233">
        <f>IF(AO264="5",BH264,0)</f>
        <v>0</v>
      </c>
      <c r="Z264" s="233">
        <f>IF(AO264="1",BF264,0)</f>
        <v>0</v>
      </c>
      <c r="AA264" s="233">
        <f>IF(AO264="1",BG264,0)</f>
        <v>0</v>
      </c>
      <c r="AB264" s="233">
        <f>IF(AO264="7",BF264,0)</f>
        <v>0</v>
      </c>
      <c r="AC264" s="233">
        <f>IF(AO264="7",BG264,0)</f>
        <v>0</v>
      </c>
      <c r="AD264" s="233">
        <f>IF(AO264="2",BF264,0)</f>
        <v>0</v>
      </c>
      <c r="AE264" s="233">
        <f>IF(AO264="2",BG264,0)</f>
        <v>0</v>
      </c>
      <c r="AF264" s="233">
        <f>IF(AO264="0",BH264,0)</f>
        <v>0</v>
      </c>
      <c r="AG264" s="230" t="s">
        <v>154</v>
      </c>
      <c r="AH264" s="233">
        <f>IF(AL264=0,J264,0)</f>
        <v>0</v>
      </c>
      <c r="AI264" s="233">
        <f>IF(AL264=15,J264,0)</f>
        <v>0</v>
      </c>
      <c r="AJ264" s="233">
        <f>IF(AL264=21,J264,0)</f>
        <v>0</v>
      </c>
      <c r="AL264" s="233">
        <v>21</v>
      </c>
      <c r="AM264" s="233">
        <f>G264*1</f>
        <v>0</v>
      </c>
      <c r="AN264" s="233">
        <f>G264*(1-1)</f>
        <v>0</v>
      </c>
      <c r="AO264" s="234" t="s">
        <v>453</v>
      </c>
      <c r="AT264" s="233">
        <f>AU264+AV264</f>
        <v>0</v>
      </c>
      <c r="AU264" s="233">
        <f>F264*AM264</f>
        <v>0</v>
      </c>
      <c r="AV264" s="233">
        <f>F264*AN264</f>
        <v>0</v>
      </c>
      <c r="AW264" s="234" t="s">
        <v>454</v>
      </c>
      <c r="AX264" s="234" t="s">
        <v>455</v>
      </c>
      <c r="AY264" s="230" t="s">
        <v>164</v>
      </c>
      <c r="BA264" s="233">
        <f>AU264+AV264</f>
        <v>0</v>
      </c>
      <c r="BB264" s="233">
        <f>G264/(100-BC264)*100</f>
        <v>0</v>
      </c>
      <c r="BC264" s="233">
        <v>0</v>
      </c>
      <c r="BD264" s="233">
        <f>L264</f>
        <v>0</v>
      </c>
      <c r="BF264" s="233">
        <f>F264*AM264</f>
        <v>0</v>
      </c>
      <c r="BG264" s="233">
        <f>F264*AN264</f>
        <v>0</v>
      </c>
      <c r="BH264" s="233">
        <f>F264*G264</f>
        <v>0</v>
      </c>
      <c r="BI264" s="233"/>
      <c r="BJ264" s="233"/>
      <c r="BU264" s="233" t="e">
        <f>#REF!</f>
        <v>#REF!</v>
      </c>
      <c r="BV264" s="225" t="s">
        <v>692</v>
      </c>
    </row>
    <row r="265" spans="1:74" ht="13.5" customHeight="1" x14ac:dyDescent="0.3">
      <c r="A265" s="241"/>
      <c r="B265" s="242" t="s">
        <v>165</v>
      </c>
      <c r="C265" s="530" t="s">
        <v>683</v>
      </c>
      <c r="D265" s="531"/>
      <c r="E265" s="531"/>
      <c r="F265" s="531"/>
      <c r="G265" s="531"/>
      <c r="H265" s="531"/>
      <c r="I265" s="531"/>
      <c r="J265" s="531"/>
      <c r="K265" s="531"/>
      <c r="L265" s="531"/>
      <c r="M265" s="532"/>
    </row>
    <row r="266" spans="1:74" ht="14.4" x14ac:dyDescent="0.3">
      <c r="A266" s="239" t="s">
        <v>696</v>
      </c>
      <c r="B266" s="223" t="s">
        <v>694</v>
      </c>
      <c r="C266" s="521" t="s">
        <v>695</v>
      </c>
      <c r="D266" s="519"/>
      <c r="E266" s="223" t="s">
        <v>471</v>
      </c>
      <c r="F266" s="233">
        <v>2</v>
      </c>
      <c r="G266" s="311">
        <v>0</v>
      </c>
      <c r="H266" s="233">
        <f t="shared" ref="H266:H289" si="0">F266*AM266</f>
        <v>0</v>
      </c>
      <c r="I266" s="233">
        <f t="shared" ref="I266:I289" si="1">F266*AN266</f>
        <v>0</v>
      </c>
      <c r="J266" s="233">
        <f t="shared" ref="J266:J289" si="2">F266*G266</f>
        <v>0</v>
      </c>
      <c r="K266" s="233">
        <v>0</v>
      </c>
      <c r="L266" s="233">
        <f t="shared" ref="L266:L289" si="3">F266*K266</f>
        <v>0</v>
      </c>
      <c r="M266" s="240" t="s">
        <v>472</v>
      </c>
      <c r="X266" s="233">
        <f t="shared" ref="X266:X289" si="4">IF(AO266="5",BH266,0)</f>
        <v>0</v>
      </c>
      <c r="Z266" s="233">
        <f t="shared" ref="Z266:Z289" si="5">IF(AO266="1",BF266,0)</f>
        <v>0</v>
      </c>
      <c r="AA266" s="233">
        <f t="shared" ref="AA266:AA289" si="6">IF(AO266="1",BG266,0)</f>
        <v>0</v>
      </c>
      <c r="AB266" s="233">
        <f t="shared" ref="AB266:AB289" si="7">IF(AO266="7",BF266,0)</f>
        <v>0</v>
      </c>
      <c r="AC266" s="233">
        <f t="shared" ref="AC266:AC289" si="8">IF(AO266="7",BG266,0)</f>
        <v>0</v>
      </c>
      <c r="AD266" s="233">
        <f t="shared" ref="AD266:AD289" si="9">IF(AO266="2",BF266,0)</f>
        <v>0</v>
      </c>
      <c r="AE266" s="233">
        <f t="shared" ref="AE266:AE289" si="10">IF(AO266="2",BG266,0)</f>
        <v>0</v>
      </c>
      <c r="AF266" s="233">
        <f t="shared" ref="AF266:AF289" si="11">IF(AO266="0",BH266,0)</f>
        <v>0</v>
      </c>
      <c r="AG266" s="230" t="s">
        <v>154</v>
      </c>
      <c r="AH266" s="233">
        <f t="shared" ref="AH266:AH289" si="12">IF(AL266=0,J266,0)</f>
        <v>0</v>
      </c>
      <c r="AI266" s="233">
        <f t="shared" ref="AI266:AI289" si="13">IF(AL266=15,J266,0)</f>
        <v>0</v>
      </c>
      <c r="AJ266" s="233">
        <f t="shared" ref="AJ266:AJ289" si="14">IF(AL266=21,J266,0)</f>
        <v>0</v>
      </c>
      <c r="AL266" s="233">
        <v>21</v>
      </c>
      <c r="AM266" s="233">
        <f t="shared" ref="AM266:AM289" si="15">G266*1</f>
        <v>0</v>
      </c>
      <c r="AN266" s="233">
        <f t="shared" ref="AN266:AN289" si="16">G266*(1-1)</f>
        <v>0</v>
      </c>
      <c r="AO266" s="234" t="s">
        <v>453</v>
      </c>
      <c r="AT266" s="233">
        <f t="shared" ref="AT266:AT289" si="17">AU266+AV266</f>
        <v>0</v>
      </c>
      <c r="AU266" s="233">
        <f t="shared" ref="AU266:AU289" si="18">F266*AM266</f>
        <v>0</v>
      </c>
      <c r="AV266" s="233">
        <f t="shared" ref="AV266:AV289" si="19">F266*AN266</f>
        <v>0</v>
      </c>
      <c r="AW266" s="234" t="s">
        <v>454</v>
      </c>
      <c r="AX266" s="234" t="s">
        <v>455</v>
      </c>
      <c r="AY266" s="230" t="s">
        <v>164</v>
      </c>
      <c r="BA266" s="233">
        <f t="shared" ref="BA266:BA289" si="20">AU266+AV266</f>
        <v>0</v>
      </c>
      <c r="BB266" s="233">
        <f t="shared" ref="BB266:BB289" si="21">G266/(100-BC266)*100</f>
        <v>0</v>
      </c>
      <c r="BC266" s="233">
        <v>0</v>
      </c>
      <c r="BD266" s="233">
        <f t="shared" ref="BD266:BD289" si="22">L266</f>
        <v>0</v>
      </c>
      <c r="BF266" s="233">
        <f t="shared" ref="BF266:BF289" si="23">F266*AM266</f>
        <v>0</v>
      </c>
      <c r="BG266" s="233">
        <f t="shared" ref="BG266:BG289" si="24">F266*AN266</f>
        <v>0</v>
      </c>
      <c r="BH266" s="233">
        <f t="shared" ref="BH266:BH289" si="25">F266*G266</f>
        <v>0</v>
      </c>
      <c r="BI266" s="233"/>
      <c r="BJ266" s="233"/>
      <c r="BU266" s="233" t="e">
        <f>#REF!</f>
        <v>#REF!</v>
      </c>
      <c r="BV266" s="225" t="s">
        <v>695</v>
      </c>
    </row>
    <row r="267" spans="1:74" ht="14.4" x14ac:dyDescent="0.3">
      <c r="A267" s="239" t="s">
        <v>699</v>
      </c>
      <c r="B267" s="223" t="s">
        <v>697</v>
      </c>
      <c r="C267" s="521" t="s">
        <v>698</v>
      </c>
      <c r="D267" s="519"/>
      <c r="E267" s="223" t="s">
        <v>471</v>
      </c>
      <c r="F267" s="233">
        <v>2</v>
      </c>
      <c r="G267" s="311">
        <v>0</v>
      </c>
      <c r="H267" s="233">
        <f t="shared" si="0"/>
        <v>0</v>
      </c>
      <c r="I267" s="233">
        <f t="shared" si="1"/>
        <v>0</v>
      </c>
      <c r="J267" s="233">
        <f t="shared" si="2"/>
        <v>0</v>
      </c>
      <c r="K267" s="233">
        <v>9.4999999999999998E-3</v>
      </c>
      <c r="L267" s="233">
        <f t="shared" si="3"/>
        <v>1.9E-2</v>
      </c>
      <c r="M267" s="240" t="s">
        <v>472</v>
      </c>
      <c r="X267" s="233">
        <f t="shared" si="4"/>
        <v>0</v>
      </c>
      <c r="Z267" s="233">
        <f t="shared" si="5"/>
        <v>0</v>
      </c>
      <c r="AA267" s="233">
        <f t="shared" si="6"/>
        <v>0</v>
      </c>
      <c r="AB267" s="233">
        <f t="shared" si="7"/>
        <v>0</v>
      </c>
      <c r="AC267" s="233">
        <f t="shared" si="8"/>
        <v>0</v>
      </c>
      <c r="AD267" s="233">
        <f t="shared" si="9"/>
        <v>0</v>
      </c>
      <c r="AE267" s="233">
        <f t="shared" si="10"/>
        <v>0</v>
      </c>
      <c r="AF267" s="233">
        <f t="shared" si="11"/>
        <v>0</v>
      </c>
      <c r="AG267" s="230" t="s">
        <v>154</v>
      </c>
      <c r="AH267" s="233">
        <f t="shared" si="12"/>
        <v>0</v>
      </c>
      <c r="AI267" s="233">
        <f t="shared" si="13"/>
        <v>0</v>
      </c>
      <c r="AJ267" s="233">
        <f t="shared" si="14"/>
        <v>0</v>
      </c>
      <c r="AL267" s="233">
        <v>21</v>
      </c>
      <c r="AM267" s="233">
        <f t="shared" si="15"/>
        <v>0</v>
      </c>
      <c r="AN267" s="233">
        <f t="shared" si="16"/>
        <v>0</v>
      </c>
      <c r="AO267" s="234" t="s">
        <v>453</v>
      </c>
      <c r="AT267" s="233">
        <f t="shared" si="17"/>
        <v>0</v>
      </c>
      <c r="AU267" s="233">
        <f t="shared" si="18"/>
        <v>0</v>
      </c>
      <c r="AV267" s="233">
        <f t="shared" si="19"/>
        <v>0</v>
      </c>
      <c r="AW267" s="234" t="s">
        <v>454</v>
      </c>
      <c r="AX267" s="234" t="s">
        <v>455</v>
      </c>
      <c r="AY267" s="230" t="s">
        <v>164</v>
      </c>
      <c r="BA267" s="233">
        <f t="shared" si="20"/>
        <v>0</v>
      </c>
      <c r="BB267" s="233">
        <f t="shared" si="21"/>
        <v>0</v>
      </c>
      <c r="BC267" s="233">
        <v>0</v>
      </c>
      <c r="BD267" s="233">
        <f t="shared" si="22"/>
        <v>1.9E-2</v>
      </c>
      <c r="BF267" s="233">
        <f t="shared" si="23"/>
        <v>0</v>
      </c>
      <c r="BG267" s="233">
        <f t="shared" si="24"/>
        <v>0</v>
      </c>
      <c r="BH267" s="233">
        <f t="shared" si="25"/>
        <v>0</v>
      </c>
      <c r="BI267" s="233"/>
      <c r="BJ267" s="233"/>
      <c r="BU267" s="233" t="e">
        <f>#REF!</f>
        <v>#REF!</v>
      </c>
      <c r="BV267" s="225" t="s">
        <v>698</v>
      </c>
    </row>
    <row r="268" spans="1:74" ht="14.4" x14ac:dyDescent="0.3">
      <c r="A268" s="239" t="s">
        <v>702</v>
      </c>
      <c r="B268" s="223" t="s">
        <v>700</v>
      </c>
      <c r="C268" s="521" t="s">
        <v>701</v>
      </c>
      <c r="D268" s="519"/>
      <c r="E268" s="223" t="s">
        <v>471</v>
      </c>
      <c r="F268" s="233">
        <v>3</v>
      </c>
      <c r="G268" s="311">
        <v>0</v>
      </c>
      <c r="H268" s="233">
        <f t="shared" si="0"/>
        <v>0</v>
      </c>
      <c r="I268" s="233">
        <f t="shared" si="1"/>
        <v>0</v>
      </c>
      <c r="J268" s="233">
        <f t="shared" si="2"/>
        <v>0</v>
      </c>
      <c r="K268" s="233">
        <v>0</v>
      </c>
      <c r="L268" s="233">
        <f t="shared" si="3"/>
        <v>0</v>
      </c>
      <c r="M268" s="240" t="s">
        <v>154</v>
      </c>
      <c r="X268" s="233">
        <f t="shared" si="4"/>
        <v>0</v>
      </c>
      <c r="Z268" s="233">
        <f t="shared" si="5"/>
        <v>0</v>
      </c>
      <c r="AA268" s="233">
        <f t="shared" si="6"/>
        <v>0</v>
      </c>
      <c r="AB268" s="233">
        <f t="shared" si="7"/>
        <v>0</v>
      </c>
      <c r="AC268" s="233">
        <f t="shared" si="8"/>
        <v>0</v>
      </c>
      <c r="AD268" s="233">
        <f t="shared" si="9"/>
        <v>0</v>
      </c>
      <c r="AE268" s="233">
        <f t="shared" si="10"/>
        <v>0</v>
      </c>
      <c r="AF268" s="233">
        <f t="shared" si="11"/>
        <v>0</v>
      </c>
      <c r="AG268" s="230" t="s">
        <v>154</v>
      </c>
      <c r="AH268" s="233">
        <f t="shared" si="12"/>
        <v>0</v>
      </c>
      <c r="AI268" s="233">
        <f t="shared" si="13"/>
        <v>0</v>
      </c>
      <c r="AJ268" s="233">
        <f t="shared" si="14"/>
        <v>0</v>
      </c>
      <c r="AL268" s="233">
        <v>21</v>
      </c>
      <c r="AM268" s="233">
        <f t="shared" si="15"/>
        <v>0</v>
      </c>
      <c r="AN268" s="233">
        <f t="shared" si="16"/>
        <v>0</v>
      </c>
      <c r="AO268" s="234" t="s">
        <v>453</v>
      </c>
      <c r="AT268" s="233">
        <f t="shared" si="17"/>
        <v>0</v>
      </c>
      <c r="AU268" s="233">
        <f t="shared" si="18"/>
        <v>0</v>
      </c>
      <c r="AV268" s="233">
        <f t="shared" si="19"/>
        <v>0</v>
      </c>
      <c r="AW268" s="234" t="s">
        <v>454</v>
      </c>
      <c r="AX268" s="234" t="s">
        <v>455</v>
      </c>
      <c r="AY268" s="230" t="s">
        <v>164</v>
      </c>
      <c r="BA268" s="233">
        <f t="shared" si="20"/>
        <v>0</v>
      </c>
      <c r="BB268" s="233">
        <f t="shared" si="21"/>
        <v>0</v>
      </c>
      <c r="BC268" s="233">
        <v>0</v>
      </c>
      <c r="BD268" s="233">
        <f t="shared" si="22"/>
        <v>0</v>
      </c>
      <c r="BF268" s="233">
        <f t="shared" si="23"/>
        <v>0</v>
      </c>
      <c r="BG268" s="233">
        <f t="shared" si="24"/>
        <v>0</v>
      </c>
      <c r="BH268" s="233">
        <f t="shared" si="25"/>
        <v>0</v>
      </c>
      <c r="BI268" s="233"/>
      <c r="BJ268" s="233"/>
      <c r="BU268" s="233" t="e">
        <f>#REF!</f>
        <v>#REF!</v>
      </c>
      <c r="BV268" s="225" t="s">
        <v>701</v>
      </c>
    </row>
    <row r="269" spans="1:74" ht="14.4" x14ac:dyDescent="0.3">
      <c r="A269" s="239" t="s">
        <v>705</v>
      </c>
      <c r="B269" s="223" t="s">
        <v>703</v>
      </c>
      <c r="C269" s="521" t="s">
        <v>704</v>
      </c>
      <c r="D269" s="519"/>
      <c r="E269" s="223" t="s">
        <v>471</v>
      </c>
      <c r="F269" s="233">
        <v>3</v>
      </c>
      <c r="G269" s="311">
        <v>0</v>
      </c>
      <c r="H269" s="233">
        <f t="shared" si="0"/>
        <v>0</v>
      </c>
      <c r="I269" s="233">
        <f t="shared" si="1"/>
        <v>0</v>
      </c>
      <c r="J269" s="233">
        <f t="shared" si="2"/>
        <v>0</v>
      </c>
      <c r="K269" s="233">
        <v>0</v>
      </c>
      <c r="L269" s="233">
        <f t="shared" si="3"/>
        <v>0</v>
      </c>
      <c r="M269" s="240" t="s">
        <v>154</v>
      </c>
      <c r="X269" s="233">
        <f t="shared" si="4"/>
        <v>0</v>
      </c>
      <c r="Z269" s="233">
        <f t="shared" si="5"/>
        <v>0</v>
      </c>
      <c r="AA269" s="233">
        <f t="shared" si="6"/>
        <v>0</v>
      </c>
      <c r="AB269" s="233">
        <f t="shared" si="7"/>
        <v>0</v>
      </c>
      <c r="AC269" s="233">
        <f t="shared" si="8"/>
        <v>0</v>
      </c>
      <c r="AD269" s="233">
        <f t="shared" si="9"/>
        <v>0</v>
      </c>
      <c r="AE269" s="233">
        <f t="shared" si="10"/>
        <v>0</v>
      </c>
      <c r="AF269" s="233">
        <f t="shared" si="11"/>
        <v>0</v>
      </c>
      <c r="AG269" s="230" t="s">
        <v>154</v>
      </c>
      <c r="AH269" s="233">
        <f t="shared" si="12"/>
        <v>0</v>
      </c>
      <c r="AI269" s="233">
        <f t="shared" si="13"/>
        <v>0</v>
      </c>
      <c r="AJ269" s="233">
        <f t="shared" si="14"/>
        <v>0</v>
      </c>
      <c r="AL269" s="233">
        <v>21</v>
      </c>
      <c r="AM269" s="233">
        <f t="shared" si="15"/>
        <v>0</v>
      </c>
      <c r="AN269" s="233">
        <f t="shared" si="16"/>
        <v>0</v>
      </c>
      <c r="AO269" s="234" t="s">
        <v>453</v>
      </c>
      <c r="AT269" s="233">
        <f t="shared" si="17"/>
        <v>0</v>
      </c>
      <c r="AU269" s="233">
        <f t="shared" si="18"/>
        <v>0</v>
      </c>
      <c r="AV269" s="233">
        <f t="shared" si="19"/>
        <v>0</v>
      </c>
      <c r="AW269" s="234" t="s">
        <v>454</v>
      </c>
      <c r="AX269" s="234" t="s">
        <v>455</v>
      </c>
      <c r="AY269" s="230" t="s">
        <v>164</v>
      </c>
      <c r="BA269" s="233">
        <f t="shared" si="20"/>
        <v>0</v>
      </c>
      <c r="BB269" s="233">
        <f t="shared" si="21"/>
        <v>0</v>
      </c>
      <c r="BC269" s="233">
        <v>0</v>
      </c>
      <c r="BD269" s="233">
        <f t="shared" si="22"/>
        <v>0</v>
      </c>
      <c r="BF269" s="233">
        <f t="shared" si="23"/>
        <v>0</v>
      </c>
      <c r="BG269" s="233">
        <f t="shared" si="24"/>
        <v>0</v>
      </c>
      <c r="BH269" s="233">
        <f t="shared" si="25"/>
        <v>0</v>
      </c>
      <c r="BI269" s="233"/>
      <c r="BJ269" s="233"/>
      <c r="BU269" s="233" t="e">
        <f>#REF!</f>
        <v>#REF!</v>
      </c>
      <c r="BV269" s="225" t="s">
        <v>704</v>
      </c>
    </row>
    <row r="270" spans="1:74" ht="14.4" x14ac:dyDescent="0.3">
      <c r="A270" s="239" t="s">
        <v>708</v>
      </c>
      <c r="B270" s="223" t="s">
        <v>706</v>
      </c>
      <c r="C270" s="521" t="s">
        <v>707</v>
      </c>
      <c r="D270" s="519"/>
      <c r="E270" s="223" t="s">
        <v>471</v>
      </c>
      <c r="F270" s="233">
        <v>1</v>
      </c>
      <c r="G270" s="311">
        <v>0</v>
      </c>
      <c r="H270" s="233">
        <f t="shared" si="0"/>
        <v>0</v>
      </c>
      <c r="I270" s="233">
        <f t="shared" si="1"/>
        <v>0</v>
      </c>
      <c r="J270" s="233">
        <f t="shared" si="2"/>
        <v>0</v>
      </c>
      <c r="K270" s="233">
        <v>9.7000000000000003E-3</v>
      </c>
      <c r="L270" s="233">
        <f t="shared" si="3"/>
        <v>9.7000000000000003E-3</v>
      </c>
      <c r="M270" s="240" t="s">
        <v>154</v>
      </c>
      <c r="X270" s="233">
        <f t="shared" si="4"/>
        <v>0</v>
      </c>
      <c r="Z270" s="233">
        <f t="shared" si="5"/>
        <v>0</v>
      </c>
      <c r="AA270" s="233">
        <f t="shared" si="6"/>
        <v>0</v>
      </c>
      <c r="AB270" s="233">
        <f t="shared" si="7"/>
        <v>0</v>
      </c>
      <c r="AC270" s="233">
        <f t="shared" si="8"/>
        <v>0</v>
      </c>
      <c r="AD270" s="233">
        <f t="shared" si="9"/>
        <v>0</v>
      </c>
      <c r="AE270" s="233">
        <f t="shared" si="10"/>
        <v>0</v>
      </c>
      <c r="AF270" s="233">
        <f t="shared" si="11"/>
        <v>0</v>
      </c>
      <c r="AG270" s="230" t="s">
        <v>154</v>
      </c>
      <c r="AH270" s="233">
        <f t="shared" si="12"/>
        <v>0</v>
      </c>
      <c r="AI270" s="233">
        <f t="shared" si="13"/>
        <v>0</v>
      </c>
      <c r="AJ270" s="233">
        <f t="shared" si="14"/>
        <v>0</v>
      </c>
      <c r="AL270" s="233">
        <v>21</v>
      </c>
      <c r="AM270" s="233">
        <f t="shared" si="15"/>
        <v>0</v>
      </c>
      <c r="AN270" s="233">
        <f t="shared" si="16"/>
        <v>0</v>
      </c>
      <c r="AO270" s="234" t="s">
        <v>453</v>
      </c>
      <c r="AT270" s="233">
        <f t="shared" si="17"/>
        <v>0</v>
      </c>
      <c r="AU270" s="233">
        <f t="shared" si="18"/>
        <v>0</v>
      </c>
      <c r="AV270" s="233">
        <f t="shared" si="19"/>
        <v>0</v>
      </c>
      <c r="AW270" s="234" t="s">
        <v>454</v>
      </c>
      <c r="AX270" s="234" t="s">
        <v>455</v>
      </c>
      <c r="AY270" s="230" t="s">
        <v>164</v>
      </c>
      <c r="BA270" s="233">
        <f t="shared" si="20"/>
        <v>0</v>
      </c>
      <c r="BB270" s="233">
        <f t="shared" si="21"/>
        <v>0</v>
      </c>
      <c r="BC270" s="233">
        <v>0</v>
      </c>
      <c r="BD270" s="233">
        <f t="shared" si="22"/>
        <v>9.7000000000000003E-3</v>
      </c>
      <c r="BF270" s="233">
        <f t="shared" si="23"/>
        <v>0</v>
      </c>
      <c r="BG270" s="233">
        <f t="shared" si="24"/>
        <v>0</v>
      </c>
      <c r="BH270" s="233">
        <f t="shared" si="25"/>
        <v>0</v>
      </c>
      <c r="BI270" s="233"/>
      <c r="BJ270" s="233"/>
      <c r="BU270" s="233" t="e">
        <f>#REF!</f>
        <v>#REF!</v>
      </c>
      <c r="BV270" s="225" t="s">
        <v>707</v>
      </c>
    </row>
    <row r="271" spans="1:74" ht="14.4" x14ac:dyDescent="0.3">
      <c r="A271" s="239" t="s">
        <v>711</v>
      </c>
      <c r="B271" s="223" t="s">
        <v>709</v>
      </c>
      <c r="C271" s="521" t="s">
        <v>710</v>
      </c>
      <c r="D271" s="519"/>
      <c r="E271" s="223" t="s">
        <v>471</v>
      </c>
      <c r="F271" s="233">
        <v>8</v>
      </c>
      <c r="G271" s="311">
        <v>0</v>
      </c>
      <c r="H271" s="233">
        <f t="shared" si="0"/>
        <v>0</v>
      </c>
      <c r="I271" s="233">
        <f t="shared" si="1"/>
        <v>0</v>
      </c>
      <c r="J271" s="233">
        <f t="shared" si="2"/>
        <v>0</v>
      </c>
      <c r="K271" s="233">
        <v>0</v>
      </c>
      <c r="L271" s="233">
        <f t="shared" si="3"/>
        <v>0</v>
      </c>
      <c r="M271" s="240" t="s">
        <v>154</v>
      </c>
      <c r="X271" s="233">
        <f t="shared" si="4"/>
        <v>0</v>
      </c>
      <c r="Z271" s="233">
        <f t="shared" si="5"/>
        <v>0</v>
      </c>
      <c r="AA271" s="233">
        <f t="shared" si="6"/>
        <v>0</v>
      </c>
      <c r="AB271" s="233">
        <f t="shared" si="7"/>
        <v>0</v>
      </c>
      <c r="AC271" s="233">
        <f t="shared" si="8"/>
        <v>0</v>
      </c>
      <c r="AD271" s="233">
        <f t="shared" si="9"/>
        <v>0</v>
      </c>
      <c r="AE271" s="233">
        <f t="shared" si="10"/>
        <v>0</v>
      </c>
      <c r="AF271" s="233">
        <f t="shared" si="11"/>
        <v>0</v>
      </c>
      <c r="AG271" s="230" t="s">
        <v>154</v>
      </c>
      <c r="AH271" s="233">
        <f t="shared" si="12"/>
        <v>0</v>
      </c>
      <c r="AI271" s="233">
        <f t="shared" si="13"/>
        <v>0</v>
      </c>
      <c r="AJ271" s="233">
        <f t="shared" si="14"/>
        <v>0</v>
      </c>
      <c r="AL271" s="233">
        <v>21</v>
      </c>
      <c r="AM271" s="233">
        <f t="shared" si="15"/>
        <v>0</v>
      </c>
      <c r="AN271" s="233">
        <f t="shared" si="16"/>
        <v>0</v>
      </c>
      <c r="AO271" s="234" t="s">
        <v>453</v>
      </c>
      <c r="AT271" s="233">
        <f t="shared" si="17"/>
        <v>0</v>
      </c>
      <c r="AU271" s="233">
        <f t="shared" si="18"/>
        <v>0</v>
      </c>
      <c r="AV271" s="233">
        <f t="shared" si="19"/>
        <v>0</v>
      </c>
      <c r="AW271" s="234" t="s">
        <v>454</v>
      </c>
      <c r="AX271" s="234" t="s">
        <v>455</v>
      </c>
      <c r="AY271" s="230" t="s">
        <v>164</v>
      </c>
      <c r="BA271" s="233">
        <f t="shared" si="20"/>
        <v>0</v>
      </c>
      <c r="BB271" s="233">
        <f t="shared" si="21"/>
        <v>0</v>
      </c>
      <c r="BC271" s="233">
        <v>0</v>
      </c>
      <c r="BD271" s="233">
        <f t="shared" si="22"/>
        <v>0</v>
      </c>
      <c r="BF271" s="233">
        <f t="shared" si="23"/>
        <v>0</v>
      </c>
      <c r="BG271" s="233">
        <f t="shared" si="24"/>
        <v>0</v>
      </c>
      <c r="BH271" s="233">
        <f t="shared" si="25"/>
        <v>0</v>
      </c>
      <c r="BI271" s="233"/>
      <c r="BJ271" s="233"/>
      <c r="BU271" s="233" t="e">
        <f>#REF!</f>
        <v>#REF!</v>
      </c>
      <c r="BV271" s="225" t="s">
        <v>710</v>
      </c>
    </row>
    <row r="272" spans="1:74" ht="14.4" x14ac:dyDescent="0.3">
      <c r="A272" s="239" t="s">
        <v>714</v>
      </c>
      <c r="B272" s="223" t="s">
        <v>712</v>
      </c>
      <c r="C272" s="521" t="s">
        <v>713</v>
      </c>
      <c r="D272" s="519"/>
      <c r="E272" s="223" t="s">
        <v>471</v>
      </c>
      <c r="F272" s="233">
        <v>5</v>
      </c>
      <c r="G272" s="311">
        <v>0</v>
      </c>
      <c r="H272" s="233">
        <f t="shared" si="0"/>
        <v>0</v>
      </c>
      <c r="I272" s="233">
        <f t="shared" si="1"/>
        <v>0</v>
      </c>
      <c r="J272" s="233">
        <f t="shared" si="2"/>
        <v>0</v>
      </c>
      <c r="K272" s="233">
        <v>0</v>
      </c>
      <c r="L272" s="233">
        <f t="shared" si="3"/>
        <v>0</v>
      </c>
      <c r="M272" s="240" t="s">
        <v>154</v>
      </c>
      <c r="X272" s="233">
        <f t="shared" si="4"/>
        <v>0</v>
      </c>
      <c r="Z272" s="233">
        <f t="shared" si="5"/>
        <v>0</v>
      </c>
      <c r="AA272" s="233">
        <f t="shared" si="6"/>
        <v>0</v>
      </c>
      <c r="AB272" s="233">
        <f t="shared" si="7"/>
        <v>0</v>
      </c>
      <c r="AC272" s="233">
        <f t="shared" si="8"/>
        <v>0</v>
      </c>
      <c r="AD272" s="233">
        <f t="shared" si="9"/>
        <v>0</v>
      </c>
      <c r="AE272" s="233">
        <f t="shared" si="10"/>
        <v>0</v>
      </c>
      <c r="AF272" s="233">
        <f t="shared" si="11"/>
        <v>0</v>
      </c>
      <c r="AG272" s="230" t="s">
        <v>154</v>
      </c>
      <c r="AH272" s="233">
        <f t="shared" si="12"/>
        <v>0</v>
      </c>
      <c r="AI272" s="233">
        <f t="shared" si="13"/>
        <v>0</v>
      </c>
      <c r="AJ272" s="233">
        <f t="shared" si="14"/>
        <v>0</v>
      </c>
      <c r="AL272" s="233">
        <v>21</v>
      </c>
      <c r="AM272" s="233">
        <f t="shared" si="15"/>
        <v>0</v>
      </c>
      <c r="AN272" s="233">
        <f t="shared" si="16"/>
        <v>0</v>
      </c>
      <c r="AO272" s="234" t="s">
        <v>453</v>
      </c>
      <c r="AT272" s="233">
        <f t="shared" si="17"/>
        <v>0</v>
      </c>
      <c r="AU272" s="233">
        <f t="shared" si="18"/>
        <v>0</v>
      </c>
      <c r="AV272" s="233">
        <f t="shared" si="19"/>
        <v>0</v>
      </c>
      <c r="AW272" s="234" t="s">
        <v>454</v>
      </c>
      <c r="AX272" s="234" t="s">
        <v>455</v>
      </c>
      <c r="AY272" s="230" t="s">
        <v>164</v>
      </c>
      <c r="BA272" s="233">
        <f t="shared" si="20"/>
        <v>0</v>
      </c>
      <c r="BB272" s="233">
        <f t="shared" si="21"/>
        <v>0</v>
      </c>
      <c r="BC272" s="233">
        <v>0</v>
      </c>
      <c r="BD272" s="233">
        <f t="shared" si="22"/>
        <v>0</v>
      </c>
      <c r="BF272" s="233">
        <f t="shared" si="23"/>
        <v>0</v>
      </c>
      <c r="BG272" s="233">
        <f t="shared" si="24"/>
        <v>0</v>
      </c>
      <c r="BH272" s="233">
        <f t="shared" si="25"/>
        <v>0</v>
      </c>
      <c r="BI272" s="233"/>
      <c r="BJ272" s="233"/>
      <c r="BU272" s="233" t="e">
        <f>#REF!</f>
        <v>#REF!</v>
      </c>
      <c r="BV272" s="225" t="s">
        <v>713</v>
      </c>
    </row>
    <row r="273" spans="1:74" ht="14.4" x14ac:dyDescent="0.3">
      <c r="A273" s="239" t="s">
        <v>717</v>
      </c>
      <c r="B273" s="223" t="s">
        <v>715</v>
      </c>
      <c r="C273" s="521" t="s">
        <v>716</v>
      </c>
      <c r="D273" s="519"/>
      <c r="E273" s="223" t="s">
        <v>471</v>
      </c>
      <c r="F273" s="233">
        <v>8</v>
      </c>
      <c r="G273" s="311">
        <v>0</v>
      </c>
      <c r="H273" s="233">
        <f t="shared" si="0"/>
        <v>0</v>
      </c>
      <c r="I273" s="233">
        <f t="shared" si="1"/>
        <v>0</v>
      </c>
      <c r="J273" s="233">
        <f t="shared" si="2"/>
        <v>0</v>
      </c>
      <c r="K273" s="233">
        <v>0</v>
      </c>
      <c r="L273" s="233">
        <f t="shared" si="3"/>
        <v>0</v>
      </c>
      <c r="M273" s="240" t="s">
        <v>154</v>
      </c>
      <c r="X273" s="233">
        <f t="shared" si="4"/>
        <v>0</v>
      </c>
      <c r="Z273" s="233">
        <f t="shared" si="5"/>
        <v>0</v>
      </c>
      <c r="AA273" s="233">
        <f t="shared" si="6"/>
        <v>0</v>
      </c>
      <c r="AB273" s="233">
        <f t="shared" si="7"/>
        <v>0</v>
      </c>
      <c r="AC273" s="233">
        <f t="shared" si="8"/>
        <v>0</v>
      </c>
      <c r="AD273" s="233">
        <f t="shared" si="9"/>
        <v>0</v>
      </c>
      <c r="AE273" s="233">
        <f t="shared" si="10"/>
        <v>0</v>
      </c>
      <c r="AF273" s="233">
        <f t="shared" si="11"/>
        <v>0</v>
      </c>
      <c r="AG273" s="230" t="s">
        <v>154</v>
      </c>
      <c r="AH273" s="233">
        <f t="shared" si="12"/>
        <v>0</v>
      </c>
      <c r="AI273" s="233">
        <f t="shared" si="13"/>
        <v>0</v>
      </c>
      <c r="AJ273" s="233">
        <f t="shared" si="14"/>
        <v>0</v>
      </c>
      <c r="AL273" s="233">
        <v>21</v>
      </c>
      <c r="AM273" s="233">
        <f t="shared" si="15"/>
        <v>0</v>
      </c>
      <c r="AN273" s="233">
        <f t="shared" si="16"/>
        <v>0</v>
      </c>
      <c r="AO273" s="234" t="s">
        <v>453</v>
      </c>
      <c r="AT273" s="233">
        <f t="shared" si="17"/>
        <v>0</v>
      </c>
      <c r="AU273" s="233">
        <f t="shared" si="18"/>
        <v>0</v>
      </c>
      <c r="AV273" s="233">
        <f t="shared" si="19"/>
        <v>0</v>
      </c>
      <c r="AW273" s="234" t="s">
        <v>454</v>
      </c>
      <c r="AX273" s="234" t="s">
        <v>455</v>
      </c>
      <c r="AY273" s="230" t="s">
        <v>164</v>
      </c>
      <c r="BA273" s="233">
        <f t="shared" si="20"/>
        <v>0</v>
      </c>
      <c r="BB273" s="233">
        <f t="shared" si="21"/>
        <v>0</v>
      </c>
      <c r="BC273" s="233">
        <v>0</v>
      </c>
      <c r="BD273" s="233">
        <f t="shared" si="22"/>
        <v>0</v>
      </c>
      <c r="BF273" s="233">
        <f t="shared" si="23"/>
        <v>0</v>
      </c>
      <c r="BG273" s="233">
        <f t="shared" si="24"/>
        <v>0</v>
      </c>
      <c r="BH273" s="233">
        <f t="shared" si="25"/>
        <v>0</v>
      </c>
      <c r="BI273" s="233"/>
      <c r="BJ273" s="233"/>
      <c r="BU273" s="233" t="e">
        <f>#REF!</f>
        <v>#REF!</v>
      </c>
      <c r="BV273" s="225" t="s">
        <v>716</v>
      </c>
    </row>
    <row r="274" spans="1:74" ht="14.4" x14ac:dyDescent="0.3">
      <c r="A274" s="239" t="s">
        <v>720</v>
      </c>
      <c r="B274" s="223" t="s">
        <v>718</v>
      </c>
      <c r="C274" s="521" t="s">
        <v>719</v>
      </c>
      <c r="D274" s="519"/>
      <c r="E274" s="223" t="s">
        <v>471</v>
      </c>
      <c r="F274" s="233">
        <v>5</v>
      </c>
      <c r="G274" s="311">
        <v>0</v>
      </c>
      <c r="H274" s="233">
        <f t="shared" si="0"/>
        <v>0</v>
      </c>
      <c r="I274" s="233">
        <f t="shared" si="1"/>
        <v>0</v>
      </c>
      <c r="J274" s="233">
        <f t="shared" si="2"/>
        <v>0</v>
      </c>
      <c r="K274" s="233">
        <v>0</v>
      </c>
      <c r="L274" s="233">
        <f t="shared" si="3"/>
        <v>0</v>
      </c>
      <c r="M274" s="240" t="s">
        <v>154</v>
      </c>
      <c r="X274" s="233">
        <f t="shared" si="4"/>
        <v>0</v>
      </c>
      <c r="Z274" s="233">
        <f t="shared" si="5"/>
        <v>0</v>
      </c>
      <c r="AA274" s="233">
        <f t="shared" si="6"/>
        <v>0</v>
      </c>
      <c r="AB274" s="233">
        <f t="shared" si="7"/>
        <v>0</v>
      </c>
      <c r="AC274" s="233">
        <f t="shared" si="8"/>
        <v>0</v>
      </c>
      <c r="AD274" s="233">
        <f t="shared" si="9"/>
        <v>0</v>
      </c>
      <c r="AE274" s="233">
        <f t="shared" si="10"/>
        <v>0</v>
      </c>
      <c r="AF274" s="233">
        <f t="shared" si="11"/>
        <v>0</v>
      </c>
      <c r="AG274" s="230" t="s">
        <v>154</v>
      </c>
      <c r="AH274" s="233">
        <f t="shared" si="12"/>
        <v>0</v>
      </c>
      <c r="AI274" s="233">
        <f t="shared" si="13"/>
        <v>0</v>
      </c>
      <c r="AJ274" s="233">
        <f t="shared" si="14"/>
        <v>0</v>
      </c>
      <c r="AL274" s="233">
        <v>21</v>
      </c>
      <c r="AM274" s="233">
        <f t="shared" si="15"/>
        <v>0</v>
      </c>
      <c r="AN274" s="233">
        <f t="shared" si="16"/>
        <v>0</v>
      </c>
      <c r="AO274" s="234" t="s">
        <v>453</v>
      </c>
      <c r="AT274" s="233">
        <f t="shared" si="17"/>
        <v>0</v>
      </c>
      <c r="AU274" s="233">
        <f t="shared" si="18"/>
        <v>0</v>
      </c>
      <c r="AV274" s="233">
        <f t="shared" si="19"/>
        <v>0</v>
      </c>
      <c r="AW274" s="234" t="s">
        <v>454</v>
      </c>
      <c r="AX274" s="234" t="s">
        <v>455</v>
      </c>
      <c r="AY274" s="230" t="s">
        <v>164</v>
      </c>
      <c r="BA274" s="233">
        <f t="shared" si="20"/>
        <v>0</v>
      </c>
      <c r="BB274" s="233">
        <f t="shared" si="21"/>
        <v>0</v>
      </c>
      <c r="BC274" s="233">
        <v>0</v>
      </c>
      <c r="BD274" s="233">
        <f t="shared" si="22"/>
        <v>0</v>
      </c>
      <c r="BF274" s="233">
        <f t="shared" si="23"/>
        <v>0</v>
      </c>
      <c r="BG274" s="233">
        <f t="shared" si="24"/>
        <v>0</v>
      </c>
      <c r="BH274" s="233">
        <f t="shared" si="25"/>
        <v>0</v>
      </c>
      <c r="BI274" s="233"/>
      <c r="BJ274" s="233"/>
      <c r="BU274" s="233" t="e">
        <f>#REF!</f>
        <v>#REF!</v>
      </c>
      <c r="BV274" s="225" t="s">
        <v>719</v>
      </c>
    </row>
    <row r="275" spans="1:74" ht="14.4" x14ac:dyDescent="0.3">
      <c r="A275" s="239" t="s">
        <v>723</v>
      </c>
      <c r="B275" s="223" t="s">
        <v>721</v>
      </c>
      <c r="C275" s="521" t="s">
        <v>722</v>
      </c>
      <c r="D275" s="519"/>
      <c r="E275" s="223" t="s">
        <v>471</v>
      </c>
      <c r="F275" s="233">
        <v>2</v>
      </c>
      <c r="G275" s="311">
        <v>0</v>
      </c>
      <c r="H275" s="233">
        <f t="shared" si="0"/>
        <v>0</v>
      </c>
      <c r="I275" s="233">
        <f t="shared" si="1"/>
        <v>0</v>
      </c>
      <c r="J275" s="233">
        <f t="shared" si="2"/>
        <v>0</v>
      </c>
      <c r="K275" s="233">
        <v>0</v>
      </c>
      <c r="L275" s="233">
        <f t="shared" si="3"/>
        <v>0</v>
      </c>
      <c r="M275" s="240" t="s">
        <v>154</v>
      </c>
      <c r="X275" s="233">
        <f t="shared" si="4"/>
        <v>0</v>
      </c>
      <c r="Z275" s="233">
        <f t="shared" si="5"/>
        <v>0</v>
      </c>
      <c r="AA275" s="233">
        <f t="shared" si="6"/>
        <v>0</v>
      </c>
      <c r="AB275" s="233">
        <f t="shared" si="7"/>
        <v>0</v>
      </c>
      <c r="AC275" s="233">
        <f t="shared" si="8"/>
        <v>0</v>
      </c>
      <c r="AD275" s="233">
        <f t="shared" si="9"/>
        <v>0</v>
      </c>
      <c r="AE275" s="233">
        <f t="shared" si="10"/>
        <v>0</v>
      </c>
      <c r="AF275" s="233">
        <f t="shared" si="11"/>
        <v>0</v>
      </c>
      <c r="AG275" s="230" t="s">
        <v>154</v>
      </c>
      <c r="AH275" s="233">
        <f t="shared" si="12"/>
        <v>0</v>
      </c>
      <c r="AI275" s="233">
        <f t="shared" si="13"/>
        <v>0</v>
      </c>
      <c r="AJ275" s="233">
        <f t="shared" si="14"/>
        <v>0</v>
      </c>
      <c r="AL275" s="233">
        <v>21</v>
      </c>
      <c r="AM275" s="233">
        <f t="shared" si="15"/>
        <v>0</v>
      </c>
      <c r="AN275" s="233">
        <f t="shared" si="16"/>
        <v>0</v>
      </c>
      <c r="AO275" s="234" t="s">
        <v>453</v>
      </c>
      <c r="AT275" s="233">
        <f t="shared" si="17"/>
        <v>0</v>
      </c>
      <c r="AU275" s="233">
        <f t="shared" si="18"/>
        <v>0</v>
      </c>
      <c r="AV275" s="233">
        <f t="shared" si="19"/>
        <v>0</v>
      </c>
      <c r="AW275" s="234" t="s">
        <v>454</v>
      </c>
      <c r="AX275" s="234" t="s">
        <v>455</v>
      </c>
      <c r="AY275" s="230" t="s">
        <v>164</v>
      </c>
      <c r="BA275" s="233">
        <f t="shared" si="20"/>
        <v>0</v>
      </c>
      <c r="BB275" s="233">
        <f t="shared" si="21"/>
        <v>0</v>
      </c>
      <c r="BC275" s="233">
        <v>0</v>
      </c>
      <c r="BD275" s="233">
        <f t="shared" si="22"/>
        <v>0</v>
      </c>
      <c r="BF275" s="233">
        <f t="shared" si="23"/>
        <v>0</v>
      </c>
      <c r="BG275" s="233">
        <f t="shared" si="24"/>
        <v>0</v>
      </c>
      <c r="BH275" s="233">
        <f t="shared" si="25"/>
        <v>0</v>
      </c>
      <c r="BI275" s="233"/>
      <c r="BJ275" s="233"/>
      <c r="BU275" s="233" t="e">
        <f>#REF!</f>
        <v>#REF!</v>
      </c>
      <c r="BV275" s="225" t="s">
        <v>722</v>
      </c>
    </row>
    <row r="276" spans="1:74" ht="14.4" x14ac:dyDescent="0.3">
      <c r="A276" s="239" t="s">
        <v>726</v>
      </c>
      <c r="B276" s="223" t="s">
        <v>724</v>
      </c>
      <c r="C276" s="521" t="s">
        <v>725</v>
      </c>
      <c r="D276" s="519"/>
      <c r="E276" s="223" t="s">
        <v>471</v>
      </c>
      <c r="F276" s="233">
        <v>1</v>
      </c>
      <c r="G276" s="311">
        <v>0</v>
      </c>
      <c r="H276" s="233">
        <f t="shared" si="0"/>
        <v>0</v>
      </c>
      <c r="I276" s="233">
        <f t="shared" si="1"/>
        <v>0</v>
      </c>
      <c r="J276" s="233">
        <f t="shared" si="2"/>
        <v>0</v>
      </c>
      <c r="K276" s="233">
        <v>0</v>
      </c>
      <c r="L276" s="233">
        <f t="shared" si="3"/>
        <v>0</v>
      </c>
      <c r="M276" s="240" t="s">
        <v>154</v>
      </c>
      <c r="X276" s="233">
        <f t="shared" si="4"/>
        <v>0</v>
      </c>
      <c r="Z276" s="233">
        <f t="shared" si="5"/>
        <v>0</v>
      </c>
      <c r="AA276" s="233">
        <f t="shared" si="6"/>
        <v>0</v>
      </c>
      <c r="AB276" s="233">
        <f t="shared" si="7"/>
        <v>0</v>
      </c>
      <c r="AC276" s="233">
        <f t="shared" si="8"/>
        <v>0</v>
      </c>
      <c r="AD276" s="233">
        <f t="shared" si="9"/>
        <v>0</v>
      </c>
      <c r="AE276" s="233">
        <f t="shared" si="10"/>
        <v>0</v>
      </c>
      <c r="AF276" s="233">
        <f t="shared" si="11"/>
        <v>0</v>
      </c>
      <c r="AG276" s="230" t="s">
        <v>154</v>
      </c>
      <c r="AH276" s="233">
        <f t="shared" si="12"/>
        <v>0</v>
      </c>
      <c r="AI276" s="233">
        <f t="shared" si="13"/>
        <v>0</v>
      </c>
      <c r="AJ276" s="233">
        <f t="shared" si="14"/>
        <v>0</v>
      </c>
      <c r="AL276" s="233">
        <v>21</v>
      </c>
      <c r="AM276" s="233">
        <f t="shared" si="15"/>
        <v>0</v>
      </c>
      <c r="AN276" s="233">
        <f t="shared" si="16"/>
        <v>0</v>
      </c>
      <c r="AO276" s="234" t="s">
        <v>453</v>
      </c>
      <c r="AT276" s="233">
        <f t="shared" si="17"/>
        <v>0</v>
      </c>
      <c r="AU276" s="233">
        <f t="shared" si="18"/>
        <v>0</v>
      </c>
      <c r="AV276" s="233">
        <f t="shared" si="19"/>
        <v>0</v>
      </c>
      <c r="AW276" s="234" t="s">
        <v>454</v>
      </c>
      <c r="AX276" s="234" t="s">
        <v>455</v>
      </c>
      <c r="AY276" s="230" t="s">
        <v>164</v>
      </c>
      <c r="BA276" s="233">
        <f t="shared" si="20"/>
        <v>0</v>
      </c>
      <c r="BB276" s="233">
        <f t="shared" si="21"/>
        <v>0</v>
      </c>
      <c r="BC276" s="233">
        <v>0</v>
      </c>
      <c r="BD276" s="233">
        <f t="shared" si="22"/>
        <v>0</v>
      </c>
      <c r="BF276" s="233">
        <f t="shared" si="23"/>
        <v>0</v>
      </c>
      <c r="BG276" s="233">
        <f t="shared" si="24"/>
        <v>0</v>
      </c>
      <c r="BH276" s="233">
        <f t="shared" si="25"/>
        <v>0</v>
      </c>
      <c r="BI276" s="233"/>
      <c r="BJ276" s="233"/>
      <c r="BU276" s="233" t="e">
        <f>#REF!</f>
        <v>#REF!</v>
      </c>
      <c r="BV276" s="225" t="s">
        <v>725</v>
      </c>
    </row>
    <row r="277" spans="1:74" ht="14.4" x14ac:dyDescent="0.3">
      <c r="A277" s="239" t="s">
        <v>729</v>
      </c>
      <c r="B277" s="223" t="s">
        <v>727</v>
      </c>
      <c r="C277" s="521" t="s">
        <v>728</v>
      </c>
      <c r="D277" s="519"/>
      <c r="E277" s="223" t="s">
        <v>471</v>
      </c>
      <c r="F277" s="233">
        <v>1</v>
      </c>
      <c r="G277" s="311">
        <v>0</v>
      </c>
      <c r="H277" s="233">
        <f t="shared" si="0"/>
        <v>0</v>
      </c>
      <c r="I277" s="233">
        <f t="shared" si="1"/>
        <v>0</v>
      </c>
      <c r="J277" s="233">
        <f t="shared" si="2"/>
        <v>0</v>
      </c>
      <c r="K277" s="233">
        <v>0</v>
      </c>
      <c r="L277" s="233">
        <f t="shared" si="3"/>
        <v>0</v>
      </c>
      <c r="M277" s="240" t="s">
        <v>154</v>
      </c>
      <c r="X277" s="233">
        <f t="shared" si="4"/>
        <v>0</v>
      </c>
      <c r="Z277" s="233">
        <f t="shared" si="5"/>
        <v>0</v>
      </c>
      <c r="AA277" s="233">
        <f t="shared" si="6"/>
        <v>0</v>
      </c>
      <c r="AB277" s="233">
        <f t="shared" si="7"/>
        <v>0</v>
      </c>
      <c r="AC277" s="233">
        <f t="shared" si="8"/>
        <v>0</v>
      </c>
      <c r="AD277" s="233">
        <f t="shared" si="9"/>
        <v>0</v>
      </c>
      <c r="AE277" s="233">
        <f t="shared" si="10"/>
        <v>0</v>
      </c>
      <c r="AF277" s="233">
        <f t="shared" si="11"/>
        <v>0</v>
      </c>
      <c r="AG277" s="230" t="s">
        <v>154</v>
      </c>
      <c r="AH277" s="233">
        <f t="shared" si="12"/>
        <v>0</v>
      </c>
      <c r="AI277" s="233">
        <f t="shared" si="13"/>
        <v>0</v>
      </c>
      <c r="AJ277" s="233">
        <f t="shared" si="14"/>
        <v>0</v>
      </c>
      <c r="AL277" s="233">
        <v>21</v>
      </c>
      <c r="AM277" s="233">
        <f t="shared" si="15"/>
        <v>0</v>
      </c>
      <c r="AN277" s="233">
        <f t="shared" si="16"/>
        <v>0</v>
      </c>
      <c r="AO277" s="234" t="s">
        <v>453</v>
      </c>
      <c r="AT277" s="233">
        <f t="shared" si="17"/>
        <v>0</v>
      </c>
      <c r="AU277" s="233">
        <f t="shared" si="18"/>
        <v>0</v>
      </c>
      <c r="AV277" s="233">
        <f t="shared" si="19"/>
        <v>0</v>
      </c>
      <c r="AW277" s="234" t="s">
        <v>454</v>
      </c>
      <c r="AX277" s="234" t="s">
        <v>455</v>
      </c>
      <c r="AY277" s="230" t="s">
        <v>164</v>
      </c>
      <c r="BA277" s="233">
        <f t="shared" si="20"/>
        <v>0</v>
      </c>
      <c r="BB277" s="233">
        <f t="shared" si="21"/>
        <v>0</v>
      </c>
      <c r="BC277" s="233">
        <v>0</v>
      </c>
      <c r="BD277" s="233">
        <f t="shared" si="22"/>
        <v>0</v>
      </c>
      <c r="BF277" s="233">
        <f t="shared" si="23"/>
        <v>0</v>
      </c>
      <c r="BG277" s="233">
        <f t="shared" si="24"/>
        <v>0</v>
      </c>
      <c r="BH277" s="233">
        <f t="shared" si="25"/>
        <v>0</v>
      </c>
      <c r="BI277" s="233"/>
      <c r="BJ277" s="233"/>
      <c r="BU277" s="233" t="e">
        <f>#REF!</f>
        <v>#REF!</v>
      </c>
      <c r="BV277" s="225" t="s">
        <v>728</v>
      </c>
    </row>
    <row r="278" spans="1:74" ht="14.4" x14ac:dyDescent="0.3">
      <c r="A278" s="239" t="s">
        <v>732</v>
      </c>
      <c r="B278" s="223" t="s">
        <v>730</v>
      </c>
      <c r="C278" s="521" t="s">
        <v>731</v>
      </c>
      <c r="D278" s="519"/>
      <c r="E278" s="223" t="s">
        <v>471</v>
      </c>
      <c r="F278" s="233">
        <v>1</v>
      </c>
      <c r="G278" s="311">
        <v>0</v>
      </c>
      <c r="H278" s="233">
        <f t="shared" si="0"/>
        <v>0</v>
      </c>
      <c r="I278" s="233">
        <f t="shared" si="1"/>
        <v>0</v>
      </c>
      <c r="J278" s="233">
        <f t="shared" si="2"/>
        <v>0</v>
      </c>
      <c r="K278" s="233">
        <v>0</v>
      </c>
      <c r="L278" s="233">
        <f t="shared" si="3"/>
        <v>0</v>
      </c>
      <c r="M278" s="240" t="s">
        <v>154</v>
      </c>
      <c r="X278" s="233">
        <f t="shared" si="4"/>
        <v>0</v>
      </c>
      <c r="Z278" s="233">
        <f t="shared" si="5"/>
        <v>0</v>
      </c>
      <c r="AA278" s="233">
        <f t="shared" si="6"/>
        <v>0</v>
      </c>
      <c r="AB278" s="233">
        <f t="shared" si="7"/>
        <v>0</v>
      </c>
      <c r="AC278" s="233">
        <f t="shared" si="8"/>
        <v>0</v>
      </c>
      <c r="AD278" s="233">
        <f t="shared" si="9"/>
        <v>0</v>
      </c>
      <c r="AE278" s="233">
        <f t="shared" si="10"/>
        <v>0</v>
      </c>
      <c r="AF278" s="233">
        <f t="shared" si="11"/>
        <v>0</v>
      </c>
      <c r="AG278" s="230" t="s">
        <v>154</v>
      </c>
      <c r="AH278" s="233">
        <f t="shared" si="12"/>
        <v>0</v>
      </c>
      <c r="AI278" s="233">
        <f t="shared" si="13"/>
        <v>0</v>
      </c>
      <c r="AJ278" s="233">
        <f t="shared" si="14"/>
        <v>0</v>
      </c>
      <c r="AL278" s="233">
        <v>21</v>
      </c>
      <c r="AM278" s="233">
        <f t="shared" si="15"/>
        <v>0</v>
      </c>
      <c r="AN278" s="233">
        <f t="shared" si="16"/>
        <v>0</v>
      </c>
      <c r="AO278" s="234" t="s">
        <v>453</v>
      </c>
      <c r="AT278" s="233">
        <f t="shared" si="17"/>
        <v>0</v>
      </c>
      <c r="AU278" s="233">
        <f t="shared" si="18"/>
        <v>0</v>
      </c>
      <c r="AV278" s="233">
        <f t="shared" si="19"/>
        <v>0</v>
      </c>
      <c r="AW278" s="234" t="s">
        <v>454</v>
      </c>
      <c r="AX278" s="234" t="s">
        <v>455</v>
      </c>
      <c r="AY278" s="230" t="s">
        <v>164</v>
      </c>
      <c r="BA278" s="233">
        <f t="shared" si="20"/>
        <v>0</v>
      </c>
      <c r="BB278" s="233">
        <f t="shared" si="21"/>
        <v>0</v>
      </c>
      <c r="BC278" s="233">
        <v>0</v>
      </c>
      <c r="BD278" s="233">
        <f t="shared" si="22"/>
        <v>0</v>
      </c>
      <c r="BF278" s="233">
        <f t="shared" si="23"/>
        <v>0</v>
      </c>
      <c r="BG278" s="233">
        <f t="shared" si="24"/>
        <v>0</v>
      </c>
      <c r="BH278" s="233">
        <f t="shared" si="25"/>
        <v>0</v>
      </c>
      <c r="BI278" s="233"/>
      <c r="BJ278" s="233"/>
      <c r="BU278" s="233" t="e">
        <f>#REF!</f>
        <v>#REF!</v>
      </c>
      <c r="BV278" s="225" t="s">
        <v>731</v>
      </c>
    </row>
    <row r="279" spans="1:74" ht="14.4" x14ac:dyDescent="0.3">
      <c r="A279" s="239" t="s">
        <v>735</v>
      </c>
      <c r="B279" s="223" t="s">
        <v>733</v>
      </c>
      <c r="C279" s="521" t="s">
        <v>734</v>
      </c>
      <c r="D279" s="519"/>
      <c r="E279" s="223" t="s">
        <v>471</v>
      </c>
      <c r="F279" s="233">
        <v>2</v>
      </c>
      <c r="G279" s="311">
        <v>0</v>
      </c>
      <c r="H279" s="233">
        <f t="shared" si="0"/>
        <v>0</v>
      </c>
      <c r="I279" s="233">
        <f t="shared" si="1"/>
        <v>0</v>
      </c>
      <c r="J279" s="233">
        <f t="shared" si="2"/>
        <v>0</v>
      </c>
      <c r="K279" s="233">
        <v>0</v>
      </c>
      <c r="L279" s="233">
        <f t="shared" si="3"/>
        <v>0</v>
      </c>
      <c r="M279" s="240" t="s">
        <v>154</v>
      </c>
      <c r="X279" s="233">
        <f t="shared" si="4"/>
        <v>0</v>
      </c>
      <c r="Z279" s="233">
        <f t="shared" si="5"/>
        <v>0</v>
      </c>
      <c r="AA279" s="233">
        <f t="shared" si="6"/>
        <v>0</v>
      </c>
      <c r="AB279" s="233">
        <f t="shared" si="7"/>
        <v>0</v>
      </c>
      <c r="AC279" s="233">
        <f t="shared" si="8"/>
        <v>0</v>
      </c>
      <c r="AD279" s="233">
        <f t="shared" si="9"/>
        <v>0</v>
      </c>
      <c r="AE279" s="233">
        <f t="shared" si="10"/>
        <v>0</v>
      </c>
      <c r="AF279" s="233">
        <f t="shared" si="11"/>
        <v>0</v>
      </c>
      <c r="AG279" s="230" t="s">
        <v>154</v>
      </c>
      <c r="AH279" s="233">
        <f t="shared" si="12"/>
        <v>0</v>
      </c>
      <c r="AI279" s="233">
        <f t="shared" si="13"/>
        <v>0</v>
      </c>
      <c r="AJ279" s="233">
        <f t="shared" si="14"/>
        <v>0</v>
      </c>
      <c r="AL279" s="233">
        <v>21</v>
      </c>
      <c r="AM279" s="233">
        <f t="shared" si="15"/>
        <v>0</v>
      </c>
      <c r="AN279" s="233">
        <f t="shared" si="16"/>
        <v>0</v>
      </c>
      <c r="AO279" s="234" t="s">
        <v>453</v>
      </c>
      <c r="AT279" s="233">
        <f t="shared" si="17"/>
        <v>0</v>
      </c>
      <c r="AU279" s="233">
        <f t="shared" si="18"/>
        <v>0</v>
      </c>
      <c r="AV279" s="233">
        <f t="shared" si="19"/>
        <v>0</v>
      </c>
      <c r="AW279" s="234" t="s">
        <v>454</v>
      </c>
      <c r="AX279" s="234" t="s">
        <v>455</v>
      </c>
      <c r="AY279" s="230" t="s">
        <v>164</v>
      </c>
      <c r="BA279" s="233">
        <f t="shared" si="20"/>
        <v>0</v>
      </c>
      <c r="BB279" s="233">
        <f t="shared" si="21"/>
        <v>0</v>
      </c>
      <c r="BC279" s="233">
        <v>0</v>
      </c>
      <c r="BD279" s="233">
        <f t="shared" si="22"/>
        <v>0</v>
      </c>
      <c r="BF279" s="233">
        <f t="shared" si="23"/>
        <v>0</v>
      </c>
      <c r="BG279" s="233">
        <f t="shared" si="24"/>
        <v>0</v>
      </c>
      <c r="BH279" s="233">
        <f t="shared" si="25"/>
        <v>0</v>
      </c>
      <c r="BI279" s="233"/>
      <c r="BJ279" s="233"/>
      <c r="BU279" s="233" t="e">
        <f>#REF!</f>
        <v>#REF!</v>
      </c>
      <c r="BV279" s="225" t="s">
        <v>734</v>
      </c>
    </row>
    <row r="280" spans="1:74" ht="14.4" x14ac:dyDescent="0.3">
      <c r="A280" s="239" t="s">
        <v>738</v>
      </c>
      <c r="B280" s="223" t="s">
        <v>736</v>
      </c>
      <c r="C280" s="521" t="s">
        <v>737</v>
      </c>
      <c r="D280" s="519"/>
      <c r="E280" s="223" t="s">
        <v>471</v>
      </c>
      <c r="F280" s="233">
        <v>3</v>
      </c>
      <c r="G280" s="311">
        <v>0</v>
      </c>
      <c r="H280" s="233">
        <f t="shared" si="0"/>
        <v>0</v>
      </c>
      <c r="I280" s="233">
        <f t="shared" si="1"/>
        <v>0</v>
      </c>
      <c r="J280" s="233">
        <f t="shared" si="2"/>
        <v>0</v>
      </c>
      <c r="K280" s="233">
        <v>0</v>
      </c>
      <c r="L280" s="233">
        <f t="shared" si="3"/>
        <v>0</v>
      </c>
      <c r="M280" s="240" t="s">
        <v>154</v>
      </c>
      <c r="X280" s="233">
        <f t="shared" si="4"/>
        <v>0</v>
      </c>
      <c r="Z280" s="233">
        <f t="shared" si="5"/>
        <v>0</v>
      </c>
      <c r="AA280" s="233">
        <f t="shared" si="6"/>
        <v>0</v>
      </c>
      <c r="AB280" s="233">
        <f t="shared" si="7"/>
        <v>0</v>
      </c>
      <c r="AC280" s="233">
        <f t="shared" si="8"/>
        <v>0</v>
      </c>
      <c r="AD280" s="233">
        <f t="shared" si="9"/>
        <v>0</v>
      </c>
      <c r="AE280" s="233">
        <f t="shared" si="10"/>
        <v>0</v>
      </c>
      <c r="AF280" s="233">
        <f t="shared" si="11"/>
        <v>0</v>
      </c>
      <c r="AG280" s="230" t="s">
        <v>154</v>
      </c>
      <c r="AH280" s="233">
        <f t="shared" si="12"/>
        <v>0</v>
      </c>
      <c r="AI280" s="233">
        <f t="shared" si="13"/>
        <v>0</v>
      </c>
      <c r="AJ280" s="233">
        <f t="shared" si="14"/>
        <v>0</v>
      </c>
      <c r="AL280" s="233">
        <v>21</v>
      </c>
      <c r="AM280" s="233">
        <f t="shared" si="15"/>
        <v>0</v>
      </c>
      <c r="AN280" s="233">
        <f t="shared" si="16"/>
        <v>0</v>
      </c>
      <c r="AO280" s="234" t="s">
        <v>453</v>
      </c>
      <c r="AT280" s="233">
        <f t="shared" si="17"/>
        <v>0</v>
      </c>
      <c r="AU280" s="233">
        <f t="shared" si="18"/>
        <v>0</v>
      </c>
      <c r="AV280" s="233">
        <f t="shared" si="19"/>
        <v>0</v>
      </c>
      <c r="AW280" s="234" t="s">
        <v>454</v>
      </c>
      <c r="AX280" s="234" t="s">
        <v>455</v>
      </c>
      <c r="AY280" s="230" t="s">
        <v>164</v>
      </c>
      <c r="BA280" s="233">
        <f t="shared" si="20"/>
        <v>0</v>
      </c>
      <c r="BB280" s="233">
        <f t="shared" si="21"/>
        <v>0</v>
      </c>
      <c r="BC280" s="233">
        <v>0</v>
      </c>
      <c r="BD280" s="233">
        <f t="shared" si="22"/>
        <v>0</v>
      </c>
      <c r="BF280" s="233">
        <f t="shared" si="23"/>
        <v>0</v>
      </c>
      <c r="BG280" s="233">
        <f t="shared" si="24"/>
        <v>0</v>
      </c>
      <c r="BH280" s="233">
        <f t="shared" si="25"/>
        <v>0</v>
      </c>
      <c r="BI280" s="233"/>
      <c r="BJ280" s="233"/>
      <c r="BU280" s="233" t="e">
        <f>#REF!</f>
        <v>#REF!</v>
      </c>
      <c r="BV280" s="225" t="s">
        <v>737</v>
      </c>
    </row>
    <row r="281" spans="1:74" ht="14.4" x14ac:dyDescent="0.3">
      <c r="A281" s="239" t="s">
        <v>741</v>
      </c>
      <c r="B281" s="223" t="s">
        <v>739</v>
      </c>
      <c r="C281" s="521" t="s">
        <v>740</v>
      </c>
      <c r="D281" s="519"/>
      <c r="E281" s="223" t="s">
        <v>471</v>
      </c>
      <c r="F281" s="233">
        <v>9</v>
      </c>
      <c r="G281" s="311">
        <v>0</v>
      </c>
      <c r="H281" s="233">
        <f t="shared" si="0"/>
        <v>0</v>
      </c>
      <c r="I281" s="233">
        <f t="shared" si="1"/>
        <v>0</v>
      </c>
      <c r="J281" s="233">
        <f t="shared" si="2"/>
        <v>0</v>
      </c>
      <c r="K281" s="233">
        <v>0</v>
      </c>
      <c r="L281" s="233">
        <f t="shared" si="3"/>
        <v>0</v>
      </c>
      <c r="M281" s="240" t="s">
        <v>154</v>
      </c>
      <c r="X281" s="233">
        <f t="shared" si="4"/>
        <v>0</v>
      </c>
      <c r="Z281" s="233">
        <f t="shared" si="5"/>
        <v>0</v>
      </c>
      <c r="AA281" s="233">
        <f t="shared" si="6"/>
        <v>0</v>
      </c>
      <c r="AB281" s="233">
        <f t="shared" si="7"/>
        <v>0</v>
      </c>
      <c r="AC281" s="233">
        <f t="shared" si="8"/>
        <v>0</v>
      </c>
      <c r="AD281" s="233">
        <f t="shared" si="9"/>
        <v>0</v>
      </c>
      <c r="AE281" s="233">
        <f t="shared" si="10"/>
        <v>0</v>
      </c>
      <c r="AF281" s="233">
        <f t="shared" si="11"/>
        <v>0</v>
      </c>
      <c r="AG281" s="230" t="s">
        <v>154</v>
      </c>
      <c r="AH281" s="233">
        <f t="shared" si="12"/>
        <v>0</v>
      </c>
      <c r="AI281" s="233">
        <f t="shared" si="13"/>
        <v>0</v>
      </c>
      <c r="AJ281" s="233">
        <f t="shared" si="14"/>
        <v>0</v>
      </c>
      <c r="AL281" s="233">
        <v>21</v>
      </c>
      <c r="AM281" s="233">
        <f t="shared" si="15"/>
        <v>0</v>
      </c>
      <c r="AN281" s="233">
        <f t="shared" si="16"/>
        <v>0</v>
      </c>
      <c r="AO281" s="234" t="s">
        <v>453</v>
      </c>
      <c r="AT281" s="233">
        <f t="shared" si="17"/>
        <v>0</v>
      </c>
      <c r="AU281" s="233">
        <f t="shared" si="18"/>
        <v>0</v>
      </c>
      <c r="AV281" s="233">
        <f t="shared" si="19"/>
        <v>0</v>
      </c>
      <c r="AW281" s="234" t="s">
        <v>454</v>
      </c>
      <c r="AX281" s="234" t="s">
        <v>455</v>
      </c>
      <c r="AY281" s="230" t="s">
        <v>164</v>
      </c>
      <c r="BA281" s="233">
        <f t="shared" si="20"/>
        <v>0</v>
      </c>
      <c r="BB281" s="233">
        <f t="shared" si="21"/>
        <v>0</v>
      </c>
      <c r="BC281" s="233">
        <v>0</v>
      </c>
      <c r="BD281" s="233">
        <f t="shared" si="22"/>
        <v>0</v>
      </c>
      <c r="BF281" s="233">
        <f t="shared" si="23"/>
        <v>0</v>
      </c>
      <c r="BG281" s="233">
        <f t="shared" si="24"/>
        <v>0</v>
      </c>
      <c r="BH281" s="233">
        <f t="shared" si="25"/>
        <v>0</v>
      </c>
      <c r="BI281" s="233"/>
      <c r="BJ281" s="233"/>
      <c r="BU281" s="233" t="e">
        <f>#REF!</f>
        <v>#REF!</v>
      </c>
      <c r="BV281" s="225" t="s">
        <v>740</v>
      </c>
    </row>
    <row r="282" spans="1:74" ht="14.4" x14ac:dyDescent="0.3">
      <c r="A282" s="239" t="s">
        <v>744</v>
      </c>
      <c r="B282" s="223" t="s">
        <v>742</v>
      </c>
      <c r="C282" s="521" t="s">
        <v>743</v>
      </c>
      <c r="D282" s="519"/>
      <c r="E282" s="223" t="s">
        <v>471</v>
      </c>
      <c r="F282" s="233">
        <v>9</v>
      </c>
      <c r="G282" s="311">
        <v>0</v>
      </c>
      <c r="H282" s="233">
        <f t="shared" si="0"/>
        <v>0</v>
      </c>
      <c r="I282" s="233">
        <f t="shared" si="1"/>
        <v>0</v>
      </c>
      <c r="J282" s="233">
        <f t="shared" si="2"/>
        <v>0</v>
      </c>
      <c r="K282" s="233">
        <v>0</v>
      </c>
      <c r="L282" s="233">
        <f t="shared" si="3"/>
        <v>0</v>
      </c>
      <c r="M282" s="240" t="s">
        <v>154</v>
      </c>
      <c r="X282" s="233">
        <f t="shared" si="4"/>
        <v>0</v>
      </c>
      <c r="Z282" s="233">
        <f t="shared" si="5"/>
        <v>0</v>
      </c>
      <c r="AA282" s="233">
        <f t="shared" si="6"/>
        <v>0</v>
      </c>
      <c r="AB282" s="233">
        <f t="shared" si="7"/>
        <v>0</v>
      </c>
      <c r="AC282" s="233">
        <f t="shared" si="8"/>
        <v>0</v>
      </c>
      <c r="AD282" s="233">
        <f t="shared" si="9"/>
        <v>0</v>
      </c>
      <c r="AE282" s="233">
        <f t="shared" si="10"/>
        <v>0</v>
      </c>
      <c r="AF282" s="233">
        <f t="shared" si="11"/>
        <v>0</v>
      </c>
      <c r="AG282" s="230" t="s">
        <v>154</v>
      </c>
      <c r="AH282" s="233">
        <f t="shared" si="12"/>
        <v>0</v>
      </c>
      <c r="AI282" s="233">
        <f t="shared" si="13"/>
        <v>0</v>
      </c>
      <c r="AJ282" s="233">
        <f t="shared" si="14"/>
        <v>0</v>
      </c>
      <c r="AL282" s="233">
        <v>21</v>
      </c>
      <c r="AM282" s="233">
        <f t="shared" si="15"/>
        <v>0</v>
      </c>
      <c r="AN282" s="233">
        <f t="shared" si="16"/>
        <v>0</v>
      </c>
      <c r="AO282" s="234" t="s">
        <v>453</v>
      </c>
      <c r="AT282" s="233">
        <f t="shared" si="17"/>
        <v>0</v>
      </c>
      <c r="AU282" s="233">
        <f t="shared" si="18"/>
        <v>0</v>
      </c>
      <c r="AV282" s="233">
        <f t="shared" si="19"/>
        <v>0</v>
      </c>
      <c r="AW282" s="234" t="s">
        <v>454</v>
      </c>
      <c r="AX282" s="234" t="s">
        <v>455</v>
      </c>
      <c r="AY282" s="230" t="s">
        <v>164</v>
      </c>
      <c r="BA282" s="233">
        <f t="shared" si="20"/>
        <v>0</v>
      </c>
      <c r="BB282" s="233">
        <f t="shared" si="21"/>
        <v>0</v>
      </c>
      <c r="BC282" s="233">
        <v>0</v>
      </c>
      <c r="BD282" s="233">
        <f t="shared" si="22"/>
        <v>0</v>
      </c>
      <c r="BF282" s="233">
        <f t="shared" si="23"/>
        <v>0</v>
      </c>
      <c r="BG282" s="233">
        <f t="shared" si="24"/>
        <v>0</v>
      </c>
      <c r="BH282" s="233">
        <f t="shared" si="25"/>
        <v>0</v>
      </c>
      <c r="BI282" s="233"/>
      <c r="BJ282" s="233"/>
      <c r="BU282" s="233" t="e">
        <f>#REF!</f>
        <v>#REF!</v>
      </c>
      <c r="BV282" s="225" t="s">
        <v>743</v>
      </c>
    </row>
    <row r="283" spans="1:74" ht="14.4" x14ac:dyDescent="0.3">
      <c r="A283" s="239" t="s">
        <v>747</v>
      </c>
      <c r="B283" s="223" t="s">
        <v>745</v>
      </c>
      <c r="C283" s="521" t="s">
        <v>746</v>
      </c>
      <c r="D283" s="519"/>
      <c r="E283" s="223" t="s">
        <v>471</v>
      </c>
      <c r="F283" s="233">
        <v>9</v>
      </c>
      <c r="G283" s="311">
        <v>0</v>
      </c>
      <c r="H283" s="233">
        <f t="shared" si="0"/>
        <v>0</v>
      </c>
      <c r="I283" s="233">
        <f t="shared" si="1"/>
        <v>0</v>
      </c>
      <c r="J283" s="233">
        <f t="shared" si="2"/>
        <v>0</v>
      </c>
      <c r="K283" s="233">
        <v>0</v>
      </c>
      <c r="L283" s="233">
        <f t="shared" si="3"/>
        <v>0</v>
      </c>
      <c r="M283" s="240" t="s">
        <v>154</v>
      </c>
      <c r="X283" s="233">
        <f t="shared" si="4"/>
        <v>0</v>
      </c>
      <c r="Z283" s="233">
        <f t="shared" si="5"/>
        <v>0</v>
      </c>
      <c r="AA283" s="233">
        <f t="shared" si="6"/>
        <v>0</v>
      </c>
      <c r="AB283" s="233">
        <f t="shared" si="7"/>
        <v>0</v>
      </c>
      <c r="AC283" s="233">
        <f t="shared" si="8"/>
        <v>0</v>
      </c>
      <c r="AD283" s="233">
        <f t="shared" si="9"/>
        <v>0</v>
      </c>
      <c r="AE283" s="233">
        <f t="shared" si="10"/>
        <v>0</v>
      </c>
      <c r="AF283" s="233">
        <f t="shared" si="11"/>
        <v>0</v>
      </c>
      <c r="AG283" s="230" t="s">
        <v>154</v>
      </c>
      <c r="AH283" s="233">
        <f t="shared" si="12"/>
        <v>0</v>
      </c>
      <c r="AI283" s="233">
        <f t="shared" si="13"/>
        <v>0</v>
      </c>
      <c r="AJ283" s="233">
        <f t="shared" si="14"/>
        <v>0</v>
      </c>
      <c r="AL283" s="233">
        <v>21</v>
      </c>
      <c r="AM283" s="233">
        <f t="shared" si="15"/>
        <v>0</v>
      </c>
      <c r="AN283" s="233">
        <f t="shared" si="16"/>
        <v>0</v>
      </c>
      <c r="AO283" s="234" t="s">
        <v>453</v>
      </c>
      <c r="AT283" s="233">
        <f t="shared" si="17"/>
        <v>0</v>
      </c>
      <c r="AU283" s="233">
        <f t="shared" si="18"/>
        <v>0</v>
      </c>
      <c r="AV283" s="233">
        <f t="shared" si="19"/>
        <v>0</v>
      </c>
      <c r="AW283" s="234" t="s">
        <v>454</v>
      </c>
      <c r="AX283" s="234" t="s">
        <v>455</v>
      </c>
      <c r="AY283" s="230" t="s">
        <v>164</v>
      </c>
      <c r="BA283" s="233">
        <f t="shared" si="20"/>
        <v>0</v>
      </c>
      <c r="BB283" s="233">
        <f t="shared" si="21"/>
        <v>0</v>
      </c>
      <c r="BC283" s="233">
        <v>0</v>
      </c>
      <c r="BD283" s="233">
        <f t="shared" si="22"/>
        <v>0</v>
      </c>
      <c r="BF283" s="233">
        <f t="shared" si="23"/>
        <v>0</v>
      </c>
      <c r="BG283" s="233">
        <f t="shared" si="24"/>
        <v>0</v>
      </c>
      <c r="BH283" s="233">
        <f t="shared" si="25"/>
        <v>0</v>
      </c>
      <c r="BI283" s="233"/>
      <c r="BJ283" s="233"/>
      <c r="BU283" s="233" t="e">
        <f>#REF!</f>
        <v>#REF!</v>
      </c>
      <c r="BV283" s="225" t="s">
        <v>746</v>
      </c>
    </row>
    <row r="284" spans="1:74" ht="14.4" x14ac:dyDescent="0.3">
      <c r="A284" s="239" t="s">
        <v>750</v>
      </c>
      <c r="B284" s="223" t="s">
        <v>748</v>
      </c>
      <c r="C284" s="521" t="s">
        <v>749</v>
      </c>
      <c r="D284" s="519"/>
      <c r="E284" s="223" t="s">
        <v>471</v>
      </c>
      <c r="F284" s="233">
        <v>3</v>
      </c>
      <c r="G284" s="311">
        <v>0</v>
      </c>
      <c r="H284" s="233">
        <f t="shared" si="0"/>
        <v>0</v>
      </c>
      <c r="I284" s="233">
        <f t="shared" si="1"/>
        <v>0</v>
      </c>
      <c r="J284" s="233">
        <f t="shared" si="2"/>
        <v>0</v>
      </c>
      <c r="K284" s="233">
        <v>0</v>
      </c>
      <c r="L284" s="233">
        <f t="shared" si="3"/>
        <v>0</v>
      </c>
      <c r="M284" s="240" t="s">
        <v>154</v>
      </c>
      <c r="X284" s="233">
        <f t="shared" si="4"/>
        <v>0</v>
      </c>
      <c r="Z284" s="233">
        <f t="shared" si="5"/>
        <v>0</v>
      </c>
      <c r="AA284" s="233">
        <f t="shared" si="6"/>
        <v>0</v>
      </c>
      <c r="AB284" s="233">
        <f t="shared" si="7"/>
        <v>0</v>
      </c>
      <c r="AC284" s="233">
        <f t="shared" si="8"/>
        <v>0</v>
      </c>
      <c r="AD284" s="233">
        <f t="shared" si="9"/>
        <v>0</v>
      </c>
      <c r="AE284" s="233">
        <f t="shared" si="10"/>
        <v>0</v>
      </c>
      <c r="AF284" s="233">
        <f t="shared" si="11"/>
        <v>0</v>
      </c>
      <c r="AG284" s="230" t="s">
        <v>154</v>
      </c>
      <c r="AH284" s="233">
        <f t="shared" si="12"/>
        <v>0</v>
      </c>
      <c r="AI284" s="233">
        <f t="shared" si="13"/>
        <v>0</v>
      </c>
      <c r="AJ284" s="233">
        <f t="shared" si="14"/>
        <v>0</v>
      </c>
      <c r="AL284" s="233">
        <v>21</v>
      </c>
      <c r="AM284" s="233">
        <f t="shared" si="15"/>
        <v>0</v>
      </c>
      <c r="AN284" s="233">
        <f t="shared" si="16"/>
        <v>0</v>
      </c>
      <c r="AO284" s="234" t="s">
        <v>453</v>
      </c>
      <c r="AT284" s="233">
        <f t="shared" si="17"/>
        <v>0</v>
      </c>
      <c r="AU284" s="233">
        <f t="shared" si="18"/>
        <v>0</v>
      </c>
      <c r="AV284" s="233">
        <f t="shared" si="19"/>
        <v>0</v>
      </c>
      <c r="AW284" s="234" t="s">
        <v>454</v>
      </c>
      <c r="AX284" s="234" t="s">
        <v>455</v>
      </c>
      <c r="AY284" s="230" t="s">
        <v>164</v>
      </c>
      <c r="BA284" s="233">
        <f t="shared" si="20"/>
        <v>0</v>
      </c>
      <c r="BB284" s="233">
        <f t="shared" si="21"/>
        <v>0</v>
      </c>
      <c r="BC284" s="233">
        <v>0</v>
      </c>
      <c r="BD284" s="233">
        <f t="shared" si="22"/>
        <v>0</v>
      </c>
      <c r="BF284" s="233">
        <f t="shared" si="23"/>
        <v>0</v>
      </c>
      <c r="BG284" s="233">
        <f t="shared" si="24"/>
        <v>0</v>
      </c>
      <c r="BH284" s="233">
        <f t="shared" si="25"/>
        <v>0</v>
      </c>
      <c r="BI284" s="233"/>
      <c r="BJ284" s="233"/>
      <c r="BU284" s="233" t="e">
        <f>#REF!</f>
        <v>#REF!</v>
      </c>
      <c r="BV284" s="225" t="s">
        <v>749</v>
      </c>
    </row>
    <row r="285" spans="1:74" ht="14.4" x14ac:dyDescent="0.3">
      <c r="A285" s="239" t="s">
        <v>753</v>
      </c>
      <c r="B285" s="223" t="s">
        <v>751</v>
      </c>
      <c r="C285" s="521" t="s">
        <v>752</v>
      </c>
      <c r="D285" s="519"/>
      <c r="E285" s="223" t="s">
        <v>471</v>
      </c>
      <c r="F285" s="233">
        <v>3</v>
      </c>
      <c r="G285" s="311">
        <v>0</v>
      </c>
      <c r="H285" s="233">
        <f t="shared" si="0"/>
        <v>0</v>
      </c>
      <c r="I285" s="233">
        <f t="shared" si="1"/>
        <v>0</v>
      </c>
      <c r="J285" s="233">
        <f t="shared" si="2"/>
        <v>0</v>
      </c>
      <c r="K285" s="233">
        <v>0</v>
      </c>
      <c r="L285" s="233">
        <f t="shared" si="3"/>
        <v>0</v>
      </c>
      <c r="M285" s="240" t="s">
        <v>154</v>
      </c>
      <c r="X285" s="233">
        <f t="shared" si="4"/>
        <v>0</v>
      </c>
      <c r="Z285" s="233">
        <f t="shared" si="5"/>
        <v>0</v>
      </c>
      <c r="AA285" s="233">
        <f t="shared" si="6"/>
        <v>0</v>
      </c>
      <c r="AB285" s="233">
        <f t="shared" si="7"/>
        <v>0</v>
      </c>
      <c r="AC285" s="233">
        <f t="shared" si="8"/>
        <v>0</v>
      </c>
      <c r="AD285" s="233">
        <f t="shared" si="9"/>
        <v>0</v>
      </c>
      <c r="AE285" s="233">
        <f t="shared" si="10"/>
        <v>0</v>
      </c>
      <c r="AF285" s="233">
        <f t="shared" si="11"/>
        <v>0</v>
      </c>
      <c r="AG285" s="230" t="s">
        <v>154</v>
      </c>
      <c r="AH285" s="233">
        <f t="shared" si="12"/>
        <v>0</v>
      </c>
      <c r="AI285" s="233">
        <f t="shared" si="13"/>
        <v>0</v>
      </c>
      <c r="AJ285" s="233">
        <f t="shared" si="14"/>
        <v>0</v>
      </c>
      <c r="AL285" s="233">
        <v>21</v>
      </c>
      <c r="AM285" s="233">
        <f t="shared" si="15"/>
        <v>0</v>
      </c>
      <c r="AN285" s="233">
        <f t="shared" si="16"/>
        <v>0</v>
      </c>
      <c r="AO285" s="234" t="s">
        <v>453</v>
      </c>
      <c r="AT285" s="233">
        <f t="shared" si="17"/>
        <v>0</v>
      </c>
      <c r="AU285" s="233">
        <f t="shared" si="18"/>
        <v>0</v>
      </c>
      <c r="AV285" s="233">
        <f t="shared" si="19"/>
        <v>0</v>
      </c>
      <c r="AW285" s="234" t="s">
        <v>454</v>
      </c>
      <c r="AX285" s="234" t="s">
        <v>455</v>
      </c>
      <c r="AY285" s="230" t="s">
        <v>164</v>
      </c>
      <c r="BA285" s="233">
        <f t="shared" si="20"/>
        <v>0</v>
      </c>
      <c r="BB285" s="233">
        <f t="shared" si="21"/>
        <v>0</v>
      </c>
      <c r="BC285" s="233">
        <v>0</v>
      </c>
      <c r="BD285" s="233">
        <f t="shared" si="22"/>
        <v>0</v>
      </c>
      <c r="BF285" s="233">
        <f t="shared" si="23"/>
        <v>0</v>
      </c>
      <c r="BG285" s="233">
        <f t="shared" si="24"/>
        <v>0</v>
      </c>
      <c r="BH285" s="233">
        <f t="shared" si="25"/>
        <v>0</v>
      </c>
      <c r="BI285" s="233"/>
      <c r="BJ285" s="233"/>
      <c r="BU285" s="233" t="e">
        <f>#REF!</f>
        <v>#REF!</v>
      </c>
      <c r="BV285" s="225" t="s">
        <v>752</v>
      </c>
    </row>
    <row r="286" spans="1:74" ht="14.4" x14ac:dyDescent="0.3">
      <c r="A286" s="239" t="s">
        <v>756</v>
      </c>
      <c r="B286" s="223" t="s">
        <v>754</v>
      </c>
      <c r="C286" s="521" t="s">
        <v>755</v>
      </c>
      <c r="D286" s="519"/>
      <c r="E286" s="223" t="s">
        <v>471</v>
      </c>
      <c r="F286" s="233">
        <v>3</v>
      </c>
      <c r="G286" s="311">
        <v>0</v>
      </c>
      <c r="H286" s="233">
        <f t="shared" si="0"/>
        <v>0</v>
      </c>
      <c r="I286" s="233">
        <f t="shared" si="1"/>
        <v>0</v>
      </c>
      <c r="J286" s="233">
        <f t="shared" si="2"/>
        <v>0</v>
      </c>
      <c r="K286" s="233">
        <v>0</v>
      </c>
      <c r="L286" s="233">
        <f t="shared" si="3"/>
        <v>0</v>
      </c>
      <c r="M286" s="240" t="s">
        <v>154</v>
      </c>
      <c r="X286" s="233">
        <f t="shared" si="4"/>
        <v>0</v>
      </c>
      <c r="Z286" s="233">
        <f t="shared" si="5"/>
        <v>0</v>
      </c>
      <c r="AA286" s="233">
        <f t="shared" si="6"/>
        <v>0</v>
      </c>
      <c r="AB286" s="233">
        <f t="shared" si="7"/>
        <v>0</v>
      </c>
      <c r="AC286" s="233">
        <f t="shared" si="8"/>
        <v>0</v>
      </c>
      <c r="AD286" s="233">
        <f t="shared" si="9"/>
        <v>0</v>
      </c>
      <c r="AE286" s="233">
        <f t="shared" si="10"/>
        <v>0</v>
      </c>
      <c r="AF286" s="233">
        <f t="shared" si="11"/>
        <v>0</v>
      </c>
      <c r="AG286" s="230" t="s">
        <v>154</v>
      </c>
      <c r="AH286" s="233">
        <f t="shared" si="12"/>
        <v>0</v>
      </c>
      <c r="AI286" s="233">
        <f t="shared" si="13"/>
        <v>0</v>
      </c>
      <c r="AJ286" s="233">
        <f t="shared" si="14"/>
        <v>0</v>
      </c>
      <c r="AL286" s="233">
        <v>21</v>
      </c>
      <c r="AM286" s="233">
        <f t="shared" si="15"/>
        <v>0</v>
      </c>
      <c r="AN286" s="233">
        <f t="shared" si="16"/>
        <v>0</v>
      </c>
      <c r="AO286" s="234" t="s">
        <v>453</v>
      </c>
      <c r="AT286" s="233">
        <f t="shared" si="17"/>
        <v>0</v>
      </c>
      <c r="AU286" s="233">
        <f t="shared" si="18"/>
        <v>0</v>
      </c>
      <c r="AV286" s="233">
        <f t="shared" si="19"/>
        <v>0</v>
      </c>
      <c r="AW286" s="234" t="s">
        <v>454</v>
      </c>
      <c r="AX286" s="234" t="s">
        <v>455</v>
      </c>
      <c r="AY286" s="230" t="s">
        <v>164</v>
      </c>
      <c r="BA286" s="233">
        <f t="shared" si="20"/>
        <v>0</v>
      </c>
      <c r="BB286" s="233">
        <f t="shared" si="21"/>
        <v>0</v>
      </c>
      <c r="BC286" s="233">
        <v>0</v>
      </c>
      <c r="BD286" s="233">
        <f t="shared" si="22"/>
        <v>0</v>
      </c>
      <c r="BF286" s="233">
        <f t="shared" si="23"/>
        <v>0</v>
      </c>
      <c r="BG286" s="233">
        <f t="shared" si="24"/>
        <v>0</v>
      </c>
      <c r="BH286" s="233">
        <f t="shared" si="25"/>
        <v>0</v>
      </c>
      <c r="BI286" s="233"/>
      <c r="BJ286" s="233"/>
      <c r="BU286" s="233" t="e">
        <f>#REF!</f>
        <v>#REF!</v>
      </c>
      <c r="BV286" s="225" t="s">
        <v>755</v>
      </c>
    </row>
    <row r="287" spans="1:74" ht="14.4" x14ac:dyDescent="0.3">
      <c r="A287" s="239" t="s">
        <v>759</v>
      </c>
      <c r="B287" s="223" t="s">
        <v>757</v>
      </c>
      <c r="C287" s="521" t="s">
        <v>758</v>
      </c>
      <c r="D287" s="519"/>
      <c r="E287" s="223" t="s">
        <v>471</v>
      </c>
      <c r="F287" s="233">
        <v>17</v>
      </c>
      <c r="G287" s="311">
        <v>0</v>
      </c>
      <c r="H287" s="233">
        <f t="shared" si="0"/>
        <v>0</v>
      </c>
      <c r="I287" s="233">
        <f t="shared" si="1"/>
        <v>0</v>
      </c>
      <c r="J287" s="233">
        <f t="shared" si="2"/>
        <v>0</v>
      </c>
      <c r="K287" s="233">
        <v>0</v>
      </c>
      <c r="L287" s="233">
        <f t="shared" si="3"/>
        <v>0</v>
      </c>
      <c r="M287" s="240" t="s">
        <v>154</v>
      </c>
      <c r="X287" s="233">
        <f t="shared" si="4"/>
        <v>0</v>
      </c>
      <c r="Z287" s="233">
        <f t="shared" si="5"/>
        <v>0</v>
      </c>
      <c r="AA287" s="233">
        <f t="shared" si="6"/>
        <v>0</v>
      </c>
      <c r="AB287" s="233">
        <f t="shared" si="7"/>
        <v>0</v>
      </c>
      <c r="AC287" s="233">
        <f t="shared" si="8"/>
        <v>0</v>
      </c>
      <c r="AD287" s="233">
        <f t="shared" si="9"/>
        <v>0</v>
      </c>
      <c r="AE287" s="233">
        <f t="shared" si="10"/>
        <v>0</v>
      </c>
      <c r="AF287" s="233">
        <f t="shared" si="11"/>
        <v>0</v>
      </c>
      <c r="AG287" s="230" t="s">
        <v>154</v>
      </c>
      <c r="AH287" s="233">
        <f t="shared" si="12"/>
        <v>0</v>
      </c>
      <c r="AI287" s="233">
        <f t="shared" si="13"/>
        <v>0</v>
      </c>
      <c r="AJ287" s="233">
        <f t="shared" si="14"/>
        <v>0</v>
      </c>
      <c r="AL287" s="233">
        <v>21</v>
      </c>
      <c r="AM287" s="233">
        <f t="shared" si="15"/>
        <v>0</v>
      </c>
      <c r="AN287" s="233">
        <f t="shared" si="16"/>
        <v>0</v>
      </c>
      <c r="AO287" s="234" t="s">
        <v>453</v>
      </c>
      <c r="AT287" s="233">
        <f t="shared" si="17"/>
        <v>0</v>
      </c>
      <c r="AU287" s="233">
        <f t="shared" si="18"/>
        <v>0</v>
      </c>
      <c r="AV287" s="233">
        <f t="shared" si="19"/>
        <v>0</v>
      </c>
      <c r="AW287" s="234" t="s">
        <v>454</v>
      </c>
      <c r="AX287" s="234" t="s">
        <v>455</v>
      </c>
      <c r="AY287" s="230" t="s">
        <v>164</v>
      </c>
      <c r="BA287" s="233">
        <f t="shared" si="20"/>
        <v>0</v>
      </c>
      <c r="BB287" s="233">
        <f t="shared" si="21"/>
        <v>0</v>
      </c>
      <c r="BC287" s="233">
        <v>0</v>
      </c>
      <c r="BD287" s="233">
        <f t="shared" si="22"/>
        <v>0</v>
      </c>
      <c r="BF287" s="233">
        <f t="shared" si="23"/>
        <v>0</v>
      </c>
      <c r="BG287" s="233">
        <f t="shared" si="24"/>
        <v>0</v>
      </c>
      <c r="BH287" s="233">
        <f t="shared" si="25"/>
        <v>0</v>
      </c>
      <c r="BI287" s="233"/>
      <c r="BJ287" s="233"/>
      <c r="BU287" s="233" t="e">
        <f>#REF!</f>
        <v>#REF!</v>
      </c>
      <c r="BV287" s="225" t="s">
        <v>758</v>
      </c>
    </row>
    <row r="288" spans="1:74" ht="14.4" x14ac:dyDescent="0.3">
      <c r="A288" s="239" t="s">
        <v>762</v>
      </c>
      <c r="B288" s="223" t="s">
        <v>760</v>
      </c>
      <c r="C288" s="521" t="s">
        <v>761</v>
      </c>
      <c r="D288" s="519"/>
      <c r="E288" s="223" t="s">
        <v>471</v>
      </c>
      <c r="F288" s="233">
        <v>17</v>
      </c>
      <c r="G288" s="311">
        <v>0</v>
      </c>
      <c r="H288" s="233">
        <f t="shared" si="0"/>
        <v>0</v>
      </c>
      <c r="I288" s="233">
        <f t="shared" si="1"/>
        <v>0</v>
      </c>
      <c r="J288" s="233">
        <f t="shared" si="2"/>
        <v>0</v>
      </c>
      <c r="K288" s="233">
        <v>0</v>
      </c>
      <c r="L288" s="233">
        <f t="shared" si="3"/>
        <v>0</v>
      </c>
      <c r="M288" s="240" t="s">
        <v>154</v>
      </c>
      <c r="X288" s="233">
        <f t="shared" si="4"/>
        <v>0</v>
      </c>
      <c r="Z288" s="233">
        <f t="shared" si="5"/>
        <v>0</v>
      </c>
      <c r="AA288" s="233">
        <f t="shared" si="6"/>
        <v>0</v>
      </c>
      <c r="AB288" s="233">
        <f t="shared" si="7"/>
        <v>0</v>
      </c>
      <c r="AC288" s="233">
        <f t="shared" si="8"/>
        <v>0</v>
      </c>
      <c r="AD288" s="233">
        <f t="shared" si="9"/>
        <v>0</v>
      </c>
      <c r="AE288" s="233">
        <f t="shared" si="10"/>
        <v>0</v>
      </c>
      <c r="AF288" s="233">
        <f t="shared" si="11"/>
        <v>0</v>
      </c>
      <c r="AG288" s="230" t="s">
        <v>154</v>
      </c>
      <c r="AH288" s="233">
        <f t="shared" si="12"/>
        <v>0</v>
      </c>
      <c r="AI288" s="233">
        <f t="shared" si="13"/>
        <v>0</v>
      </c>
      <c r="AJ288" s="233">
        <f t="shared" si="14"/>
        <v>0</v>
      </c>
      <c r="AL288" s="233">
        <v>21</v>
      </c>
      <c r="AM288" s="233">
        <f t="shared" si="15"/>
        <v>0</v>
      </c>
      <c r="AN288" s="233">
        <f t="shared" si="16"/>
        <v>0</v>
      </c>
      <c r="AO288" s="234" t="s">
        <v>453</v>
      </c>
      <c r="AT288" s="233">
        <f t="shared" si="17"/>
        <v>0</v>
      </c>
      <c r="AU288" s="233">
        <f t="shared" si="18"/>
        <v>0</v>
      </c>
      <c r="AV288" s="233">
        <f t="shared" si="19"/>
        <v>0</v>
      </c>
      <c r="AW288" s="234" t="s">
        <v>454</v>
      </c>
      <c r="AX288" s="234" t="s">
        <v>455</v>
      </c>
      <c r="AY288" s="230" t="s">
        <v>164</v>
      </c>
      <c r="BA288" s="233">
        <f t="shared" si="20"/>
        <v>0</v>
      </c>
      <c r="BB288" s="233">
        <f t="shared" si="21"/>
        <v>0</v>
      </c>
      <c r="BC288" s="233">
        <v>0</v>
      </c>
      <c r="BD288" s="233">
        <f t="shared" si="22"/>
        <v>0</v>
      </c>
      <c r="BF288" s="233">
        <f t="shared" si="23"/>
        <v>0</v>
      </c>
      <c r="BG288" s="233">
        <f t="shared" si="24"/>
        <v>0</v>
      </c>
      <c r="BH288" s="233">
        <f t="shared" si="25"/>
        <v>0</v>
      </c>
      <c r="BI288" s="233"/>
      <c r="BJ288" s="233"/>
      <c r="BU288" s="233" t="e">
        <f>#REF!</f>
        <v>#REF!</v>
      </c>
      <c r="BV288" s="225" t="s">
        <v>761</v>
      </c>
    </row>
    <row r="289" spans="1:74" ht="14.4" x14ac:dyDescent="0.3">
      <c r="A289" s="239" t="s">
        <v>765</v>
      </c>
      <c r="B289" s="223" t="s">
        <v>763</v>
      </c>
      <c r="C289" s="521" t="s">
        <v>764</v>
      </c>
      <c r="D289" s="519"/>
      <c r="E289" s="223" t="s">
        <v>471</v>
      </c>
      <c r="F289" s="233">
        <v>17</v>
      </c>
      <c r="G289" s="311">
        <v>0</v>
      </c>
      <c r="H289" s="233">
        <f t="shared" si="0"/>
        <v>0</v>
      </c>
      <c r="I289" s="233">
        <f t="shared" si="1"/>
        <v>0</v>
      </c>
      <c r="J289" s="233">
        <f t="shared" si="2"/>
        <v>0</v>
      </c>
      <c r="K289" s="233">
        <v>0.01</v>
      </c>
      <c r="L289" s="233">
        <f t="shared" si="3"/>
        <v>0.17</v>
      </c>
      <c r="M289" s="240" t="s">
        <v>472</v>
      </c>
      <c r="X289" s="233">
        <f t="shared" si="4"/>
        <v>0</v>
      </c>
      <c r="Z289" s="233">
        <f t="shared" si="5"/>
        <v>0</v>
      </c>
      <c r="AA289" s="233">
        <f t="shared" si="6"/>
        <v>0</v>
      </c>
      <c r="AB289" s="233">
        <f t="shared" si="7"/>
        <v>0</v>
      </c>
      <c r="AC289" s="233">
        <f t="shared" si="8"/>
        <v>0</v>
      </c>
      <c r="AD289" s="233">
        <f t="shared" si="9"/>
        <v>0</v>
      </c>
      <c r="AE289" s="233">
        <f t="shared" si="10"/>
        <v>0</v>
      </c>
      <c r="AF289" s="233">
        <f t="shared" si="11"/>
        <v>0</v>
      </c>
      <c r="AG289" s="230" t="s">
        <v>154</v>
      </c>
      <c r="AH289" s="233">
        <f t="shared" si="12"/>
        <v>0</v>
      </c>
      <c r="AI289" s="233">
        <f t="shared" si="13"/>
        <v>0</v>
      </c>
      <c r="AJ289" s="233">
        <f t="shared" si="14"/>
        <v>0</v>
      </c>
      <c r="AL289" s="233">
        <v>21</v>
      </c>
      <c r="AM289" s="233">
        <f t="shared" si="15"/>
        <v>0</v>
      </c>
      <c r="AN289" s="233">
        <f t="shared" si="16"/>
        <v>0</v>
      </c>
      <c r="AO289" s="234" t="s">
        <v>453</v>
      </c>
      <c r="AT289" s="233">
        <f t="shared" si="17"/>
        <v>0</v>
      </c>
      <c r="AU289" s="233">
        <f t="shared" si="18"/>
        <v>0</v>
      </c>
      <c r="AV289" s="233">
        <f t="shared" si="19"/>
        <v>0</v>
      </c>
      <c r="AW289" s="234" t="s">
        <v>454</v>
      </c>
      <c r="AX289" s="234" t="s">
        <v>455</v>
      </c>
      <c r="AY289" s="230" t="s">
        <v>164</v>
      </c>
      <c r="BA289" s="233">
        <f t="shared" si="20"/>
        <v>0</v>
      </c>
      <c r="BB289" s="233">
        <f t="shared" si="21"/>
        <v>0</v>
      </c>
      <c r="BC289" s="233">
        <v>0</v>
      </c>
      <c r="BD289" s="233">
        <f t="shared" si="22"/>
        <v>0.17</v>
      </c>
      <c r="BF289" s="233">
        <f t="shared" si="23"/>
        <v>0</v>
      </c>
      <c r="BG289" s="233">
        <f t="shared" si="24"/>
        <v>0</v>
      </c>
      <c r="BH289" s="233">
        <f t="shared" si="25"/>
        <v>0</v>
      </c>
      <c r="BI289" s="233"/>
      <c r="BJ289" s="233"/>
      <c r="BU289" s="233" t="e">
        <f>#REF!</f>
        <v>#REF!</v>
      </c>
      <c r="BV289" s="225" t="s">
        <v>764</v>
      </c>
    </row>
    <row r="290" spans="1:74" ht="40.5" customHeight="1" x14ac:dyDescent="0.3">
      <c r="A290" s="241"/>
      <c r="B290" s="242" t="s">
        <v>165</v>
      </c>
      <c r="C290" s="530" t="s">
        <v>1478</v>
      </c>
      <c r="D290" s="531"/>
      <c r="E290" s="531"/>
      <c r="F290" s="531"/>
      <c r="G290" s="531"/>
      <c r="H290" s="531"/>
      <c r="I290" s="531"/>
      <c r="J290" s="531"/>
      <c r="K290" s="531"/>
      <c r="L290" s="531"/>
      <c r="M290" s="532"/>
    </row>
    <row r="291" spans="1:74" ht="14.4" x14ac:dyDescent="0.3">
      <c r="A291" s="239" t="s">
        <v>768</v>
      </c>
      <c r="B291" s="223" t="s">
        <v>766</v>
      </c>
      <c r="C291" s="521" t="s">
        <v>767</v>
      </c>
      <c r="D291" s="519"/>
      <c r="E291" s="223" t="s">
        <v>471</v>
      </c>
      <c r="F291" s="233">
        <v>17</v>
      </c>
      <c r="G291" s="311">
        <v>0</v>
      </c>
      <c r="H291" s="233">
        <f>F291*AM291</f>
        <v>0</v>
      </c>
      <c r="I291" s="233">
        <f>F291*AN291</f>
        <v>0</v>
      </c>
      <c r="J291" s="233">
        <f>F291*G291</f>
        <v>0</v>
      </c>
      <c r="K291" s="233">
        <v>0</v>
      </c>
      <c r="L291" s="233">
        <f>F291*K291</f>
        <v>0</v>
      </c>
      <c r="M291" s="240" t="s">
        <v>154</v>
      </c>
      <c r="X291" s="233">
        <f>IF(AO291="5",BH291,0)</f>
        <v>0</v>
      </c>
      <c r="Z291" s="233">
        <f>IF(AO291="1",BF291,0)</f>
        <v>0</v>
      </c>
      <c r="AA291" s="233">
        <f>IF(AO291="1",BG291,0)</f>
        <v>0</v>
      </c>
      <c r="AB291" s="233">
        <f>IF(AO291="7",BF291,0)</f>
        <v>0</v>
      </c>
      <c r="AC291" s="233">
        <f>IF(AO291="7",BG291,0)</f>
        <v>0</v>
      </c>
      <c r="AD291" s="233">
        <f>IF(AO291="2",BF291,0)</f>
        <v>0</v>
      </c>
      <c r="AE291" s="233">
        <f>IF(AO291="2",BG291,0)</f>
        <v>0</v>
      </c>
      <c r="AF291" s="233">
        <f>IF(AO291="0",BH291,0)</f>
        <v>0</v>
      </c>
      <c r="AG291" s="230" t="s">
        <v>154</v>
      </c>
      <c r="AH291" s="233">
        <f>IF(AL291=0,J291,0)</f>
        <v>0</v>
      </c>
      <c r="AI291" s="233">
        <f>IF(AL291=15,J291,0)</f>
        <v>0</v>
      </c>
      <c r="AJ291" s="233">
        <f>IF(AL291=21,J291,0)</f>
        <v>0</v>
      </c>
      <c r="AL291" s="233">
        <v>21</v>
      </c>
      <c r="AM291" s="233">
        <f>G291*1</f>
        <v>0</v>
      </c>
      <c r="AN291" s="233">
        <f>G291*(1-1)</f>
        <v>0</v>
      </c>
      <c r="AO291" s="234" t="s">
        <v>453</v>
      </c>
      <c r="AT291" s="233">
        <f>AU291+AV291</f>
        <v>0</v>
      </c>
      <c r="AU291" s="233">
        <f>F291*AM291</f>
        <v>0</v>
      </c>
      <c r="AV291" s="233">
        <f>F291*AN291</f>
        <v>0</v>
      </c>
      <c r="AW291" s="234" t="s">
        <v>454</v>
      </c>
      <c r="AX291" s="234" t="s">
        <v>455</v>
      </c>
      <c r="AY291" s="230" t="s">
        <v>164</v>
      </c>
      <c r="BA291" s="233">
        <f>AU291+AV291</f>
        <v>0</v>
      </c>
      <c r="BB291" s="233">
        <f>G291/(100-BC291)*100</f>
        <v>0</v>
      </c>
      <c r="BC291" s="233">
        <v>0</v>
      </c>
      <c r="BD291" s="233">
        <f>L291</f>
        <v>0</v>
      </c>
      <c r="BF291" s="233">
        <f>F291*AM291</f>
        <v>0</v>
      </c>
      <c r="BG291" s="233">
        <f>F291*AN291</f>
        <v>0</v>
      </c>
      <c r="BH291" s="233">
        <f>F291*G291</f>
        <v>0</v>
      </c>
      <c r="BI291" s="233"/>
      <c r="BJ291" s="233"/>
      <c r="BU291" s="233" t="e">
        <f>#REF!</f>
        <v>#REF!</v>
      </c>
      <c r="BV291" s="225" t="s">
        <v>767</v>
      </c>
    </row>
    <row r="292" spans="1:74" ht="14.4" x14ac:dyDescent="0.3">
      <c r="A292" s="239" t="s">
        <v>770</v>
      </c>
      <c r="B292" s="223" t="s">
        <v>745</v>
      </c>
      <c r="C292" s="521" t="s">
        <v>769</v>
      </c>
      <c r="D292" s="519"/>
      <c r="E292" s="223" t="s">
        <v>471</v>
      </c>
      <c r="F292" s="233">
        <v>17</v>
      </c>
      <c r="G292" s="311">
        <v>0</v>
      </c>
      <c r="H292" s="233">
        <f>F292*AM292</f>
        <v>0</v>
      </c>
      <c r="I292" s="233">
        <f>F292*AN292</f>
        <v>0</v>
      </c>
      <c r="J292" s="233">
        <f>F292*G292</f>
        <v>0</v>
      </c>
      <c r="K292" s="233">
        <v>0</v>
      </c>
      <c r="L292" s="233">
        <f>F292*K292</f>
        <v>0</v>
      </c>
      <c r="M292" s="240" t="s">
        <v>154</v>
      </c>
      <c r="X292" s="233">
        <f>IF(AO292="5",BH292,0)</f>
        <v>0</v>
      </c>
      <c r="Z292" s="233">
        <f>IF(AO292="1",BF292,0)</f>
        <v>0</v>
      </c>
      <c r="AA292" s="233">
        <f>IF(AO292="1",BG292,0)</f>
        <v>0</v>
      </c>
      <c r="AB292" s="233">
        <f>IF(AO292="7",BF292,0)</f>
        <v>0</v>
      </c>
      <c r="AC292" s="233">
        <f>IF(AO292="7",BG292,0)</f>
        <v>0</v>
      </c>
      <c r="AD292" s="233">
        <f>IF(AO292="2",BF292,0)</f>
        <v>0</v>
      </c>
      <c r="AE292" s="233">
        <f>IF(AO292="2",BG292,0)</f>
        <v>0</v>
      </c>
      <c r="AF292" s="233">
        <f>IF(AO292="0",BH292,0)</f>
        <v>0</v>
      </c>
      <c r="AG292" s="230" t="s">
        <v>154</v>
      </c>
      <c r="AH292" s="233">
        <f>IF(AL292=0,J292,0)</f>
        <v>0</v>
      </c>
      <c r="AI292" s="233">
        <f>IF(AL292=15,J292,0)</f>
        <v>0</v>
      </c>
      <c r="AJ292" s="233">
        <f>IF(AL292=21,J292,0)</f>
        <v>0</v>
      </c>
      <c r="AL292" s="233">
        <v>21</v>
      </c>
      <c r="AM292" s="233">
        <f>G292*1</f>
        <v>0</v>
      </c>
      <c r="AN292" s="233">
        <f>G292*(1-1)</f>
        <v>0</v>
      </c>
      <c r="AO292" s="234" t="s">
        <v>453</v>
      </c>
      <c r="AT292" s="233">
        <f>AU292+AV292</f>
        <v>0</v>
      </c>
      <c r="AU292" s="233">
        <f>F292*AM292</f>
        <v>0</v>
      </c>
      <c r="AV292" s="233">
        <f>F292*AN292</f>
        <v>0</v>
      </c>
      <c r="AW292" s="234" t="s">
        <v>454</v>
      </c>
      <c r="AX292" s="234" t="s">
        <v>455</v>
      </c>
      <c r="AY292" s="230" t="s">
        <v>164</v>
      </c>
      <c r="BA292" s="233">
        <f>AU292+AV292</f>
        <v>0</v>
      </c>
      <c r="BB292" s="233">
        <f>G292/(100-BC292)*100</f>
        <v>0</v>
      </c>
      <c r="BC292" s="233">
        <v>0</v>
      </c>
      <c r="BD292" s="233">
        <f>L292</f>
        <v>0</v>
      </c>
      <c r="BF292" s="233">
        <f>F292*AM292</f>
        <v>0</v>
      </c>
      <c r="BG292" s="233">
        <f>F292*AN292</f>
        <v>0</v>
      </c>
      <c r="BH292" s="233">
        <f>F292*G292</f>
        <v>0</v>
      </c>
      <c r="BI292" s="233"/>
      <c r="BJ292" s="233"/>
      <c r="BU292" s="233" t="e">
        <f>#REF!</f>
        <v>#REF!</v>
      </c>
      <c r="BV292" s="225" t="s">
        <v>769</v>
      </c>
    </row>
    <row r="293" spans="1:74" ht="14.4" x14ac:dyDescent="0.3">
      <c r="A293" s="239" t="s">
        <v>773</v>
      </c>
      <c r="B293" s="223" t="s">
        <v>771</v>
      </c>
      <c r="C293" s="521" t="s">
        <v>772</v>
      </c>
      <c r="D293" s="519"/>
      <c r="E293" s="223" t="s">
        <v>365</v>
      </c>
      <c r="F293" s="233">
        <v>17</v>
      </c>
      <c r="G293" s="311">
        <v>0</v>
      </c>
      <c r="H293" s="233">
        <f>F293*AM293</f>
        <v>0</v>
      </c>
      <c r="I293" s="233">
        <f>F293*AN293</f>
        <v>0</v>
      </c>
      <c r="J293" s="233">
        <f>F293*G293</f>
        <v>0</v>
      </c>
      <c r="K293" s="233">
        <v>6.4999999999999997E-3</v>
      </c>
      <c r="L293" s="233">
        <f>F293*K293</f>
        <v>0.1105</v>
      </c>
      <c r="M293" s="240" t="s">
        <v>472</v>
      </c>
      <c r="X293" s="233">
        <f>IF(AO293="5",BH293,0)</f>
        <v>0</v>
      </c>
      <c r="Z293" s="233">
        <f>IF(AO293="1",BF293,0)</f>
        <v>0</v>
      </c>
      <c r="AA293" s="233">
        <f>IF(AO293="1",BG293,0)</f>
        <v>0</v>
      </c>
      <c r="AB293" s="233">
        <f>IF(AO293="7",BF293,0)</f>
        <v>0</v>
      </c>
      <c r="AC293" s="233">
        <f>IF(AO293="7",BG293,0)</f>
        <v>0</v>
      </c>
      <c r="AD293" s="233">
        <f>IF(AO293="2",BF293,0)</f>
        <v>0</v>
      </c>
      <c r="AE293" s="233">
        <f>IF(AO293="2",BG293,0)</f>
        <v>0</v>
      </c>
      <c r="AF293" s="233">
        <f>IF(AO293="0",BH293,0)</f>
        <v>0</v>
      </c>
      <c r="AG293" s="230" t="s">
        <v>154</v>
      </c>
      <c r="AH293" s="233">
        <f>IF(AL293=0,J293,0)</f>
        <v>0</v>
      </c>
      <c r="AI293" s="233">
        <f>IF(AL293=15,J293,0)</f>
        <v>0</v>
      </c>
      <c r="AJ293" s="233">
        <f>IF(AL293=21,J293,0)</f>
        <v>0</v>
      </c>
      <c r="AL293" s="233">
        <v>21</v>
      </c>
      <c r="AM293" s="233">
        <f>G293*1</f>
        <v>0</v>
      </c>
      <c r="AN293" s="233">
        <f>G293*(1-1)</f>
        <v>0</v>
      </c>
      <c r="AO293" s="234" t="s">
        <v>453</v>
      </c>
      <c r="AT293" s="233">
        <f>AU293+AV293</f>
        <v>0</v>
      </c>
      <c r="AU293" s="233">
        <f>F293*AM293</f>
        <v>0</v>
      </c>
      <c r="AV293" s="233">
        <f>F293*AN293</f>
        <v>0</v>
      </c>
      <c r="AW293" s="234" t="s">
        <v>454</v>
      </c>
      <c r="AX293" s="234" t="s">
        <v>455</v>
      </c>
      <c r="AY293" s="230" t="s">
        <v>164</v>
      </c>
      <c r="BA293" s="233">
        <f>AU293+AV293</f>
        <v>0</v>
      </c>
      <c r="BB293" s="233">
        <f>G293/(100-BC293)*100</f>
        <v>0</v>
      </c>
      <c r="BC293" s="233">
        <v>0</v>
      </c>
      <c r="BD293" s="233">
        <f>L293</f>
        <v>0.1105</v>
      </c>
      <c r="BF293" s="233">
        <f>F293*AM293</f>
        <v>0</v>
      </c>
      <c r="BG293" s="233">
        <f>F293*AN293</f>
        <v>0</v>
      </c>
      <c r="BH293" s="233">
        <f>F293*G293</f>
        <v>0</v>
      </c>
      <c r="BI293" s="233"/>
      <c r="BJ293" s="233"/>
      <c r="BU293" s="233" t="e">
        <f>#REF!</f>
        <v>#REF!</v>
      </c>
      <c r="BV293" s="225" t="s">
        <v>772</v>
      </c>
    </row>
    <row r="294" spans="1:74" ht="14.4" x14ac:dyDescent="0.3">
      <c r="A294" s="239" t="s">
        <v>777</v>
      </c>
      <c r="B294" s="223" t="s">
        <v>774</v>
      </c>
      <c r="C294" s="521" t="s">
        <v>775</v>
      </c>
      <c r="D294" s="519"/>
      <c r="E294" s="223" t="s">
        <v>471</v>
      </c>
      <c r="F294" s="233">
        <v>3</v>
      </c>
      <c r="G294" s="311">
        <v>0</v>
      </c>
      <c r="H294" s="233">
        <f>F294*AM294</f>
        <v>0</v>
      </c>
      <c r="I294" s="233">
        <f>F294*AN294</f>
        <v>0</v>
      </c>
      <c r="J294" s="233">
        <f>F294*G294</f>
        <v>0</v>
      </c>
      <c r="K294" s="233">
        <v>0</v>
      </c>
      <c r="L294" s="233">
        <f>F294*K294</f>
        <v>0</v>
      </c>
      <c r="M294" s="240" t="s">
        <v>154</v>
      </c>
      <c r="X294" s="233">
        <f>IF(AO294="5",BH294,0)</f>
        <v>0</v>
      </c>
      <c r="Z294" s="233">
        <f>IF(AO294="1",BF294,0)</f>
        <v>0</v>
      </c>
      <c r="AA294" s="233">
        <f>IF(AO294="1",BG294,0)</f>
        <v>0</v>
      </c>
      <c r="AB294" s="233">
        <f>IF(AO294="7",BF294,0)</f>
        <v>0</v>
      </c>
      <c r="AC294" s="233">
        <f>IF(AO294="7",BG294,0)</f>
        <v>0</v>
      </c>
      <c r="AD294" s="233">
        <f>IF(AO294="2",BF294,0)</f>
        <v>0</v>
      </c>
      <c r="AE294" s="233">
        <f>IF(AO294="2",BG294,0)</f>
        <v>0</v>
      </c>
      <c r="AF294" s="233">
        <f>IF(AO294="0",BH294,0)</f>
        <v>0</v>
      </c>
      <c r="AG294" s="230" t="s">
        <v>154</v>
      </c>
      <c r="AH294" s="233">
        <f>IF(AL294=0,J294,0)</f>
        <v>0</v>
      </c>
      <c r="AI294" s="233">
        <f>IF(AL294=15,J294,0)</f>
        <v>0</v>
      </c>
      <c r="AJ294" s="233">
        <f>IF(AL294=21,J294,0)</f>
        <v>0</v>
      </c>
      <c r="AL294" s="233">
        <v>21</v>
      </c>
      <c r="AM294" s="233">
        <f>G294*1</f>
        <v>0</v>
      </c>
      <c r="AN294" s="233">
        <f>G294*(1-1)</f>
        <v>0</v>
      </c>
      <c r="AO294" s="234" t="s">
        <v>453</v>
      </c>
      <c r="AT294" s="233">
        <f>AU294+AV294</f>
        <v>0</v>
      </c>
      <c r="AU294" s="233">
        <f>F294*AM294</f>
        <v>0</v>
      </c>
      <c r="AV294" s="233">
        <f>F294*AN294</f>
        <v>0</v>
      </c>
      <c r="AW294" s="234" t="s">
        <v>454</v>
      </c>
      <c r="AX294" s="234" t="s">
        <v>455</v>
      </c>
      <c r="AY294" s="230" t="s">
        <v>164</v>
      </c>
      <c r="BA294" s="233">
        <f>AU294+AV294</f>
        <v>0</v>
      </c>
      <c r="BB294" s="233">
        <f>G294/(100-BC294)*100</f>
        <v>0</v>
      </c>
      <c r="BC294" s="233">
        <v>0</v>
      </c>
      <c r="BD294" s="233">
        <f>L294</f>
        <v>0</v>
      </c>
      <c r="BF294" s="233">
        <f>F294*AM294</f>
        <v>0</v>
      </c>
      <c r="BG294" s="233">
        <f>F294*AN294</f>
        <v>0</v>
      </c>
      <c r="BH294" s="233">
        <f>F294*G294</f>
        <v>0</v>
      </c>
      <c r="BI294" s="233"/>
      <c r="BJ294" s="233"/>
      <c r="BU294" s="233" t="e">
        <f>#REF!</f>
        <v>#REF!</v>
      </c>
      <c r="BV294" s="225" t="s">
        <v>775</v>
      </c>
    </row>
    <row r="295" spans="1:74" ht="13.5" customHeight="1" x14ac:dyDescent="0.3">
      <c r="A295" s="244"/>
      <c r="B295" s="245" t="s">
        <v>165</v>
      </c>
      <c r="C295" s="540" t="s">
        <v>776</v>
      </c>
      <c r="D295" s="541"/>
      <c r="E295" s="541"/>
      <c r="F295" s="541"/>
      <c r="G295" s="541"/>
      <c r="H295" s="541"/>
      <c r="I295" s="541"/>
      <c r="J295" s="541"/>
      <c r="K295" s="541"/>
      <c r="L295" s="541"/>
      <c r="M295" s="542"/>
    </row>
    <row r="296" spans="1:74" ht="14.4" x14ac:dyDescent="0.3">
      <c r="A296" s="237" t="s">
        <v>780</v>
      </c>
      <c r="B296" s="238" t="s">
        <v>778</v>
      </c>
      <c r="C296" s="543" t="s">
        <v>779</v>
      </c>
      <c r="D296" s="544"/>
      <c r="E296" s="238" t="s">
        <v>160</v>
      </c>
      <c r="F296" s="258">
        <v>467.25</v>
      </c>
      <c r="G296" s="311">
        <v>0</v>
      </c>
      <c r="H296" s="258">
        <f>F296*AM296</f>
        <v>0</v>
      </c>
      <c r="I296" s="258">
        <f>F296*AN296</f>
        <v>0</v>
      </c>
      <c r="J296" s="258">
        <f>F296*G296</f>
        <v>0</v>
      </c>
      <c r="K296" s="258">
        <v>8.0000000000000007E-5</v>
      </c>
      <c r="L296" s="258">
        <f>F296*K296</f>
        <v>3.7380000000000004E-2</v>
      </c>
      <c r="M296" s="259" t="s">
        <v>472</v>
      </c>
      <c r="X296" s="233">
        <f>IF(AO296="5",BH296,0)</f>
        <v>0</v>
      </c>
      <c r="Z296" s="233">
        <f>IF(AO296="1",BF296,0)</f>
        <v>0</v>
      </c>
      <c r="AA296" s="233">
        <f>IF(AO296="1",BG296,0)</f>
        <v>0</v>
      </c>
      <c r="AB296" s="233">
        <f>IF(AO296="7",BF296,0)</f>
        <v>0</v>
      </c>
      <c r="AC296" s="233">
        <f>IF(AO296="7",BG296,0)</f>
        <v>0</v>
      </c>
      <c r="AD296" s="233">
        <f>IF(AO296="2",BF296,0)</f>
        <v>0</v>
      </c>
      <c r="AE296" s="233">
        <f>IF(AO296="2",BG296,0)</f>
        <v>0</v>
      </c>
      <c r="AF296" s="233">
        <f>IF(AO296="0",BH296,0)</f>
        <v>0</v>
      </c>
      <c r="AG296" s="230" t="s">
        <v>154</v>
      </c>
      <c r="AH296" s="233">
        <f>IF(AL296=0,J296,0)</f>
        <v>0</v>
      </c>
      <c r="AI296" s="233">
        <f>IF(AL296=15,J296,0)</f>
        <v>0</v>
      </c>
      <c r="AJ296" s="233">
        <f>IF(AL296=21,J296,0)</f>
        <v>0</v>
      </c>
      <c r="AL296" s="233">
        <v>21</v>
      </c>
      <c r="AM296" s="233">
        <f>G296*1</f>
        <v>0</v>
      </c>
      <c r="AN296" s="233">
        <f>G296*(1-1)</f>
        <v>0</v>
      </c>
      <c r="AO296" s="234" t="s">
        <v>453</v>
      </c>
      <c r="AT296" s="233">
        <f>AU296+AV296</f>
        <v>0</v>
      </c>
      <c r="AU296" s="233">
        <f>F296*AM296</f>
        <v>0</v>
      </c>
      <c r="AV296" s="233">
        <f>F296*AN296</f>
        <v>0</v>
      </c>
      <c r="AW296" s="234" t="s">
        <v>454</v>
      </c>
      <c r="AX296" s="234" t="s">
        <v>455</v>
      </c>
      <c r="AY296" s="230" t="s">
        <v>164</v>
      </c>
      <c r="BA296" s="233">
        <f>AU296+AV296</f>
        <v>0</v>
      </c>
      <c r="BB296" s="233">
        <f>G296/(100-BC296)*100</f>
        <v>0</v>
      </c>
      <c r="BC296" s="233">
        <v>0</v>
      </c>
      <c r="BD296" s="233">
        <f>L296</f>
        <v>3.7380000000000004E-2</v>
      </c>
      <c r="BF296" s="233">
        <f>F296*AM296</f>
        <v>0</v>
      </c>
      <c r="BG296" s="233">
        <f>F296*AN296</f>
        <v>0</v>
      </c>
      <c r="BH296" s="233">
        <f>F296*G296</f>
        <v>0</v>
      </c>
      <c r="BI296" s="233"/>
      <c r="BJ296" s="233"/>
      <c r="BU296" s="233" t="e">
        <f>#REF!</f>
        <v>#REF!</v>
      </c>
      <c r="BV296" s="225" t="s">
        <v>779</v>
      </c>
    </row>
    <row r="297" spans="1:74" ht="40.5" customHeight="1" x14ac:dyDescent="0.3">
      <c r="A297" s="241"/>
      <c r="B297" s="242" t="s">
        <v>165</v>
      </c>
      <c r="C297" s="530" t="s">
        <v>1479</v>
      </c>
      <c r="D297" s="531"/>
      <c r="E297" s="531"/>
      <c r="F297" s="531"/>
      <c r="G297" s="531"/>
      <c r="H297" s="531"/>
      <c r="I297" s="531"/>
      <c r="J297" s="531"/>
      <c r="K297" s="531"/>
      <c r="L297" s="531"/>
      <c r="M297" s="532"/>
    </row>
    <row r="298" spans="1:74" ht="14.4" x14ac:dyDescent="0.3">
      <c r="A298" s="239" t="s">
        <v>783</v>
      </c>
      <c r="B298" s="223" t="s">
        <v>781</v>
      </c>
      <c r="C298" s="521" t="s">
        <v>782</v>
      </c>
      <c r="D298" s="519"/>
      <c r="E298" s="223" t="s">
        <v>452</v>
      </c>
      <c r="F298" s="233">
        <v>3</v>
      </c>
      <c r="G298" s="311">
        <v>0</v>
      </c>
      <c r="H298" s="233">
        <f>F298*AM298</f>
        <v>0</v>
      </c>
      <c r="I298" s="233">
        <f>F298*AN298</f>
        <v>0</v>
      </c>
      <c r="J298" s="233">
        <f>F298*G298</f>
        <v>0</v>
      </c>
      <c r="K298" s="233">
        <v>0</v>
      </c>
      <c r="L298" s="233">
        <f>F298*K298</f>
        <v>0</v>
      </c>
      <c r="M298" s="240" t="s">
        <v>472</v>
      </c>
      <c r="X298" s="233">
        <f>IF(AO298="5",BH298,0)</f>
        <v>0</v>
      </c>
      <c r="Z298" s="233">
        <f>IF(AO298="1",BF298,0)</f>
        <v>0</v>
      </c>
      <c r="AA298" s="233">
        <f>IF(AO298="1",BG298,0)</f>
        <v>0</v>
      </c>
      <c r="AB298" s="233">
        <f>IF(AO298="7",BF298,0)</f>
        <v>0</v>
      </c>
      <c r="AC298" s="233">
        <f>IF(AO298="7",BG298,0)</f>
        <v>0</v>
      </c>
      <c r="AD298" s="233">
        <f>IF(AO298="2",BF298,0)</f>
        <v>0</v>
      </c>
      <c r="AE298" s="233">
        <f>IF(AO298="2",BG298,0)</f>
        <v>0</v>
      </c>
      <c r="AF298" s="233">
        <f>IF(AO298="0",BH298,0)</f>
        <v>0</v>
      </c>
      <c r="AG298" s="230" t="s">
        <v>154</v>
      </c>
      <c r="AH298" s="233">
        <f>IF(AL298=0,J298,0)</f>
        <v>0</v>
      </c>
      <c r="AI298" s="233">
        <f>IF(AL298=15,J298,0)</f>
        <v>0</v>
      </c>
      <c r="AJ298" s="233">
        <f>IF(AL298=21,J298,0)</f>
        <v>0</v>
      </c>
      <c r="AL298" s="233">
        <v>21</v>
      </c>
      <c r="AM298" s="233">
        <f>G298*1</f>
        <v>0</v>
      </c>
      <c r="AN298" s="233">
        <f>G298*(1-1)</f>
        <v>0</v>
      </c>
      <c r="AO298" s="234" t="s">
        <v>453</v>
      </c>
      <c r="AT298" s="233">
        <f>AU298+AV298</f>
        <v>0</v>
      </c>
      <c r="AU298" s="233">
        <f>F298*AM298</f>
        <v>0</v>
      </c>
      <c r="AV298" s="233">
        <f>F298*AN298</f>
        <v>0</v>
      </c>
      <c r="AW298" s="234" t="s">
        <v>454</v>
      </c>
      <c r="AX298" s="234" t="s">
        <v>455</v>
      </c>
      <c r="AY298" s="230" t="s">
        <v>164</v>
      </c>
      <c r="BA298" s="233">
        <f>AU298+AV298</f>
        <v>0</v>
      </c>
      <c r="BB298" s="233">
        <f>G298/(100-BC298)*100</f>
        <v>0</v>
      </c>
      <c r="BC298" s="233">
        <v>0</v>
      </c>
      <c r="BD298" s="233">
        <f>L298</f>
        <v>0</v>
      </c>
      <c r="BF298" s="233">
        <f>F298*AM298</f>
        <v>0</v>
      </c>
      <c r="BG298" s="233">
        <f>F298*AN298</f>
        <v>0</v>
      </c>
      <c r="BH298" s="233">
        <f>F298*G298</f>
        <v>0</v>
      </c>
      <c r="BI298" s="233"/>
      <c r="BJ298" s="233"/>
      <c r="BU298" s="233" t="e">
        <f>#REF!</f>
        <v>#REF!</v>
      </c>
      <c r="BV298" s="225" t="s">
        <v>782</v>
      </c>
    </row>
    <row r="299" spans="1:74" ht="27" customHeight="1" x14ac:dyDescent="0.3">
      <c r="A299" s="241"/>
      <c r="B299" s="242" t="s">
        <v>165</v>
      </c>
      <c r="C299" s="530" t="s">
        <v>1480</v>
      </c>
      <c r="D299" s="531"/>
      <c r="E299" s="531"/>
      <c r="F299" s="531"/>
      <c r="G299" s="531"/>
      <c r="H299" s="531"/>
      <c r="I299" s="531"/>
      <c r="J299" s="531"/>
      <c r="K299" s="531"/>
      <c r="L299" s="531"/>
      <c r="M299" s="532"/>
    </row>
    <row r="300" spans="1:74" ht="14.4" x14ac:dyDescent="0.3">
      <c r="A300" s="239" t="s">
        <v>786</v>
      </c>
      <c r="B300" s="223" t="s">
        <v>784</v>
      </c>
      <c r="C300" s="521" t="s">
        <v>785</v>
      </c>
      <c r="D300" s="519"/>
      <c r="E300" s="223" t="s">
        <v>365</v>
      </c>
      <c r="F300" s="233">
        <v>42</v>
      </c>
      <c r="G300" s="311">
        <v>0</v>
      </c>
      <c r="H300" s="233">
        <f>F300*AM300</f>
        <v>0</v>
      </c>
      <c r="I300" s="233">
        <f>F300*AN300</f>
        <v>0</v>
      </c>
      <c r="J300" s="233">
        <f>F300*G300</f>
        <v>0</v>
      </c>
      <c r="K300" s="233">
        <v>4.4999999999999998E-2</v>
      </c>
      <c r="L300" s="233">
        <f>F300*K300</f>
        <v>1.89</v>
      </c>
      <c r="M300" s="240" t="s">
        <v>472</v>
      </c>
      <c r="X300" s="233">
        <f>IF(AO300="5",BH300,0)</f>
        <v>0</v>
      </c>
      <c r="Z300" s="233">
        <f>IF(AO300="1",BF300,0)</f>
        <v>0</v>
      </c>
      <c r="AA300" s="233">
        <f>IF(AO300="1",BG300,0)</f>
        <v>0</v>
      </c>
      <c r="AB300" s="233">
        <f>IF(AO300="7",BF300,0)</f>
        <v>0</v>
      </c>
      <c r="AC300" s="233">
        <f>IF(AO300="7",BG300,0)</f>
        <v>0</v>
      </c>
      <c r="AD300" s="233">
        <f>IF(AO300="2",BF300,0)</f>
        <v>0</v>
      </c>
      <c r="AE300" s="233">
        <f>IF(AO300="2",BG300,0)</f>
        <v>0</v>
      </c>
      <c r="AF300" s="233">
        <f>IF(AO300="0",BH300,0)</f>
        <v>0</v>
      </c>
      <c r="AG300" s="230" t="s">
        <v>154</v>
      </c>
      <c r="AH300" s="233">
        <f>IF(AL300=0,J300,0)</f>
        <v>0</v>
      </c>
      <c r="AI300" s="233">
        <f>IF(AL300=15,J300,0)</f>
        <v>0</v>
      </c>
      <c r="AJ300" s="233">
        <f>IF(AL300=21,J300,0)</f>
        <v>0</v>
      </c>
      <c r="AL300" s="233">
        <v>21</v>
      </c>
      <c r="AM300" s="233">
        <f>G300*1</f>
        <v>0</v>
      </c>
      <c r="AN300" s="233">
        <f>G300*(1-1)</f>
        <v>0</v>
      </c>
      <c r="AO300" s="234" t="s">
        <v>453</v>
      </c>
      <c r="AT300" s="233">
        <f>AU300+AV300</f>
        <v>0</v>
      </c>
      <c r="AU300" s="233">
        <f>F300*AM300</f>
        <v>0</v>
      </c>
      <c r="AV300" s="233">
        <f>F300*AN300</f>
        <v>0</v>
      </c>
      <c r="AW300" s="234" t="s">
        <v>454</v>
      </c>
      <c r="AX300" s="234" t="s">
        <v>455</v>
      </c>
      <c r="AY300" s="230" t="s">
        <v>164</v>
      </c>
      <c r="BA300" s="233">
        <f>AU300+AV300</f>
        <v>0</v>
      </c>
      <c r="BB300" s="233">
        <f>G300/(100-BC300)*100</f>
        <v>0</v>
      </c>
      <c r="BC300" s="233">
        <v>0</v>
      </c>
      <c r="BD300" s="233">
        <f>L300</f>
        <v>1.89</v>
      </c>
      <c r="BF300" s="233">
        <f>F300*AM300</f>
        <v>0</v>
      </c>
      <c r="BG300" s="233">
        <f>F300*AN300</f>
        <v>0</v>
      </c>
      <c r="BH300" s="233">
        <f>F300*G300</f>
        <v>0</v>
      </c>
      <c r="BI300" s="233"/>
      <c r="BJ300" s="233"/>
      <c r="BU300" s="233" t="e">
        <f>#REF!</f>
        <v>#REF!</v>
      </c>
      <c r="BV300" s="225" t="s">
        <v>785</v>
      </c>
    </row>
    <row r="301" spans="1:74" ht="81" customHeight="1" x14ac:dyDescent="0.3">
      <c r="A301" s="241"/>
      <c r="B301" s="242" t="s">
        <v>165</v>
      </c>
      <c r="C301" s="530" t="s">
        <v>1481</v>
      </c>
      <c r="D301" s="531"/>
      <c r="E301" s="531"/>
      <c r="F301" s="531"/>
      <c r="G301" s="531"/>
      <c r="H301" s="531"/>
      <c r="I301" s="531"/>
      <c r="J301" s="531"/>
      <c r="K301" s="531"/>
      <c r="L301" s="531"/>
      <c r="M301" s="532"/>
    </row>
    <row r="302" spans="1:74" ht="14.4" x14ac:dyDescent="0.3">
      <c r="A302" s="239" t="s">
        <v>1482</v>
      </c>
      <c r="B302" s="223" t="s">
        <v>787</v>
      </c>
      <c r="C302" s="521" t="s">
        <v>788</v>
      </c>
      <c r="D302" s="519"/>
      <c r="E302" s="223" t="s">
        <v>196</v>
      </c>
      <c r="F302" s="233">
        <v>0.09</v>
      </c>
      <c r="G302" s="311">
        <v>0</v>
      </c>
      <c r="H302" s="233">
        <f>F302*AM302</f>
        <v>0</v>
      </c>
      <c r="I302" s="233">
        <f>F302*AN302</f>
        <v>0</v>
      </c>
      <c r="J302" s="233">
        <f>F302*G302</f>
        <v>0</v>
      </c>
      <c r="K302" s="233">
        <v>0.55000000000000004</v>
      </c>
      <c r="L302" s="233">
        <f>F302*K302</f>
        <v>4.9500000000000002E-2</v>
      </c>
      <c r="M302" s="240" t="s">
        <v>472</v>
      </c>
      <c r="X302" s="233">
        <f>IF(AO302="5",BH302,0)</f>
        <v>0</v>
      </c>
      <c r="Z302" s="233">
        <f>IF(AO302="1",BF302,0)</f>
        <v>0</v>
      </c>
      <c r="AA302" s="233">
        <f>IF(AO302="1",BG302,0)</f>
        <v>0</v>
      </c>
      <c r="AB302" s="233">
        <f>IF(AO302="7",BF302,0)</f>
        <v>0</v>
      </c>
      <c r="AC302" s="233">
        <f>IF(AO302="7",BG302,0)</f>
        <v>0</v>
      </c>
      <c r="AD302" s="233">
        <f>IF(AO302="2",BF302,0)</f>
        <v>0</v>
      </c>
      <c r="AE302" s="233">
        <f>IF(AO302="2",BG302,0)</f>
        <v>0</v>
      </c>
      <c r="AF302" s="233">
        <f>IF(AO302="0",BH302,0)</f>
        <v>0</v>
      </c>
      <c r="AG302" s="230" t="s">
        <v>154</v>
      </c>
      <c r="AH302" s="233">
        <f>IF(AL302=0,J302,0)</f>
        <v>0</v>
      </c>
      <c r="AI302" s="233">
        <f>IF(AL302=15,J302,0)</f>
        <v>0</v>
      </c>
      <c r="AJ302" s="233">
        <f>IF(AL302=21,J302,0)</f>
        <v>0</v>
      </c>
      <c r="AL302" s="233">
        <v>21</v>
      </c>
      <c r="AM302" s="233">
        <f>G302*1</f>
        <v>0</v>
      </c>
      <c r="AN302" s="233">
        <f>G302*(1-1)</f>
        <v>0</v>
      </c>
      <c r="AO302" s="234" t="s">
        <v>453</v>
      </c>
      <c r="AT302" s="233">
        <f>AU302+AV302</f>
        <v>0</v>
      </c>
      <c r="AU302" s="233">
        <f>F302*AM302</f>
        <v>0</v>
      </c>
      <c r="AV302" s="233">
        <f>F302*AN302</f>
        <v>0</v>
      </c>
      <c r="AW302" s="234" t="s">
        <v>454</v>
      </c>
      <c r="AX302" s="234" t="s">
        <v>455</v>
      </c>
      <c r="AY302" s="230" t="s">
        <v>164</v>
      </c>
      <c r="BA302" s="233">
        <f>AU302+AV302</f>
        <v>0</v>
      </c>
      <c r="BB302" s="233">
        <f>G302/(100-BC302)*100</f>
        <v>0</v>
      </c>
      <c r="BC302" s="233">
        <v>0</v>
      </c>
      <c r="BD302" s="233">
        <f>L302</f>
        <v>4.9500000000000002E-2</v>
      </c>
      <c r="BF302" s="233">
        <f>F302*AM302</f>
        <v>0</v>
      </c>
      <c r="BG302" s="233">
        <f>F302*AN302</f>
        <v>0</v>
      </c>
      <c r="BH302" s="233">
        <f>F302*G302</f>
        <v>0</v>
      </c>
      <c r="BI302" s="233"/>
      <c r="BJ302" s="233"/>
      <c r="BU302" s="233" t="e">
        <f>#REF!</f>
        <v>#REF!</v>
      </c>
      <c r="BV302" s="225" t="s">
        <v>788</v>
      </c>
    </row>
    <row r="303" spans="1:74" ht="94.5" customHeight="1" x14ac:dyDescent="0.3">
      <c r="A303" s="244"/>
      <c r="B303" s="245" t="s">
        <v>165</v>
      </c>
      <c r="C303" s="540" t="s">
        <v>1483</v>
      </c>
      <c r="D303" s="541"/>
      <c r="E303" s="541"/>
      <c r="F303" s="541"/>
      <c r="G303" s="541"/>
      <c r="H303" s="541"/>
      <c r="I303" s="541"/>
      <c r="J303" s="541"/>
      <c r="K303" s="541"/>
      <c r="L303" s="541"/>
      <c r="M303" s="542"/>
    </row>
    <row r="304" spans="1:74" ht="14.4" x14ac:dyDescent="0.3">
      <c r="H304" s="527" t="s">
        <v>423</v>
      </c>
      <c r="I304" s="527"/>
      <c r="J304" s="235">
        <f>J12+J15+J18+J35+J40+J61+J64+J69+J90+J96+J99+J104+J109+J114+J117+J140+J145+J148+J155+J162+J175+J210+J213+J220+J223+J225+J227+J230+J241</f>
        <v>0</v>
      </c>
    </row>
    <row r="305" spans="1:13" ht="14.4" x14ac:dyDescent="0.3">
      <c r="A305" s="236" t="s">
        <v>165</v>
      </c>
    </row>
    <row r="306" spans="1:13" ht="13.5" customHeight="1" x14ac:dyDescent="0.3">
      <c r="A306" s="521" t="s">
        <v>1484</v>
      </c>
      <c r="B306" s="519"/>
      <c r="C306" s="519"/>
      <c r="D306" s="519"/>
      <c r="E306" s="519"/>
      <c r="F306" s="519"/>
      <c r="G306" s="519"/>
      <c r="H306" s="519"/>
      <c r="I306" s="519"/>
      <c r="J306" s="519"/>
      <c r="K306" s="519"/>
      <c r="L306" s="519"/>
      <c r="M306" s="519"/>
    </row>
    <row r="307" spans="1:13" ht="15" customHeight="1" x14ac:dyDescent="0.3">
      <c r="A307" s="549" t="s">
        <v>1159</v>
      </c>
      <c r="B307" s="550"/>
      <c r="C307" s="550"/>
      <c r="D307" s="550"/>
      <c r="E307" s="550"/>
      <c r="F307" s="550"/>
      <c r="G307" s="550"/>
      <c r="H307" s="550"/>
      <c r="I307" s="550"/>
      <c r="J307" s="550"/>
      <c r="K307" s="550"/>
      <c r="L307" s="550"/>
      <c r="M307" s="550"/>
    </row>
  </sheetData>
  <sheetProtection algorithmName="SHA-512" hashValue="z4i02ENsg7zc1RUuTF12qUxDtS60pEqsSTYfgzBv37iU8W+PJzMBpYBZ40BPGw+D35F/y+P4ZXNwncK+cfZbPA==" saltValue="GyJUP3OL3tjel+v92iQIDA==" spinCount="100000" sheet="1" objects="1" scenarios="1" formatCells="0" formatColumns="0" formatRows="0" insertColumns="0" insertRows="0" insertHyperlinks="0"/>
  <mergeCells count="324">
    <mergeCell ref="A307:M307"/>
    <mergeCell ref="A306:M306"/>
    <mergeCell ref="H2:H3"/>
    <mergeCell ref="I2:M3"/>
    <mergeCell ref="H4:H5"/>
    <mergeCell ref="I4:M5"/>
    <mergeCell ref="H6:H7"/>
    <mergeCell ref="I6:M7"/>
    <mergeCell ref="H8:H9"/>
    <mergeCell ref="I8:M9"/>
    <mergeCell ref="C299:M299"/>
    <mergeCell ref="C300:D300"/>
    <mergeCell ref="C301:M301"/>
    <mergeCell ref="C302:D302"/>
    <mergeCell ref="C303:M303"/>
    <mergeCell ref="H304:I304"/>
    <mergeCell ref="C293:D293"/>
    <mergeCell ref="C294:D294"/>
    <mergeCell ref="C295:M295"/>
    <mergeCell ref="C296:D296"/>
    <mergeCell ref="C297:M297"/>
    <mergeCell ref="C298:D298"/>
    <mergeCell ref="C287:D287"/>
    <mergeCell ref="C288:D288"/>
    <mergeCell ref="C289:D289"/>
    <mergeCell ref="C290:M290"/>
    <mergeCell ref="C291:D291"/>
    <mergeCell ref="C292:D292"/>
    <mergeCell ref="C281:D281"/>
    <mergeCell ref="C282:D282"/>
    <mergeCell ref="C283:D283"/>
    <mergeCell ref="C284:D284"/>
    <mergeCell ref="C285:D285"/>
    <mergeCell ref="C286:D286"/>
    <mergeCell ref="C275:D275"/>
    <mergeCell ref="C276:D276"/>
    <mergeCell ref="C277:D277"/>
    <mergeCell ref="C278:D278"/>
    <mergeCell ref="C279:D279"/>
    <mergeCell ref="C280:D280"/>
    <mergeCell ref="C269:D269"/>
    <mergeCell ref="C270:D270"/>
    <mergeCell ref="C271:D271"/>
    <mergeCell ref="C272:D272"/>
    <mergeCell ref="C273:D273"/>
    <mergeCell ref="C274:D274"/>
    <mergeCell ref="C263:M263"/>
    <mergeCell ref="C264:D264"/>
    <mergeCell ref="C265:M265"/>
    <mergeCell ref="C266:D266"/>
    <mergeCell ref="C267:D267"/>
    <mergeCell ref="C268:D268"/>
    <mergeCell ref="C257:M257"/>
    <mergeCell ref="C258:D258"/>
    <mergeCell ref="C259:M259"/>
    <mergeCell ref="C260:D260"/>
    <mergeCell ref="C261:M261"/>
    <mergeCell ref="C262:D262"/>
    <mergeCell ref="C251:M251"/>
    <mergeCell ref="C252:D252"/>
    <mergeCell ref="C253:M253"/>
    <mergeCell ref="C254:D254"/>
    <mergeCell ref="C255:M255"/>
    <mergeCell ref="C256:D256"/>
    <mergeCell ref="C245:M245"/>
    <mergeCell ref="C246:D246"/>
    <mergeCell ref="C247:M247"/>
    <mergeCell ref="C248:D248"/>
    <mergeCell ref="C249:M249"/>
    <mergeCell ref="C250:D250"/>
    <mergeCell ref="C239:D239"/>
    <mergeCell ref="C240:M240"/>
    <mergeCell ref="C241:D241"/>
    <mergeCell ref="C242:D242"/>
    <mergeCell ref="C243:M243"/>
    <mergeCell ref="C244:D244"/>
    <mergeCell ref="C233:D233"/>
    <mergeCell ref="C234:M234"/>
    <mergeCell ref="C235:D235"/>
    <mergeCell ref="C236:M236"/>
    <mergeCell ref="C237:D237"/>
    <mergeCell ref="C238:M238"/>
    <mergeCell ref="C227:D227"/>
    <mergeCell ref="C228:D228"/>
    <mergeCell ref="C229:M229"/>
    <mergeCell ref="C230:D230"/>
    <mergeCell ref="C231:D231"/>
    <mergeCell ref="C232:M232"/>
    <mergeCell ref="C221:D221"/>
    <mergeCell ref="C222:D222"/>
    <mergeCell ref="C223:D223"/>
    <mergeCell ref="C224:D224"/>
    <mergeCell ref="C225:D225"/>
    <mergeCell ref="C226:D226"/>
    <mergeCell ref="C215:D215"/>
    <mergeCell ref="C216:M216"/>
    <mergeCell ref="C217:D217"/>
    <mergeCell ref="C218:M218"/>
    <mergeCell ref="C219:D219"/>
    <mergeCell ref="C220:D220"/>
    <mergeCell ref="C209:M209"/>
    <mergeCell ref="C210:D210"/>
    <mergeCell ref="C211:D211"/>
    <mergeCell ref="C212:M212"/>
    <mergeCell ref="C213:D213"/>
    <mergeCell ref="C214:D214"/>
    <mergeCell ref="C203:M203"/>
    <mergeCell ref="C204:D204"/>
    <mergeCell ref="C205:M205"/>
    <mergeCell ref="C206:D206"/>
    <mergeCell ref="C207:M207"/>
    <mergeCell ref="C208:D208"/>
    <mergeCell ref="C197:M197"/>
    <mergeCell ref="C198:D198"/>
    <mergeCell ref="C199:M199"/>
    <mergeCell ref="C200:D200"/>
    <mergeCell ref="C201:M201"/>
    <mergeCell ref="C202:D202"/>
    <mergeCell ref="C191:M191"/>
    <mergeCell ref="C192:D192"/>
    <mergeCell ref="C193:M193"/>
    <mergeCell ref="C194:D194"/>
    <mergeCell ref="C195:M195"/>
    <mergeCell ref="C196:D196"/>
    <mergeCell ref="C185:M185"/>
    <mergeCell ref="C186:D186"/>
    <mergeCell ref="C187:M187"/>
    <mergeCell ref="C188:D188"/>
    <mergeCell ref="C189:M189"/>
    <mergeCell ref="C190:D190"/>
    <mergeCell ref="C179:M179"/>
    <mergeCell ref="C180:D180"/>
    <mergeCell ref="C181:M181"/>
    <mergeCell ref="C182:D182"/>
    <mergeCell ref="C183:M183"/>
    <mergeCell ref="C184:D184"/>
    <mergeCell ref="C173:D173"/>
    <mergeCell ref="C174:M174"/>
    <mergeCell ref="C175:D175"/>
    <mergeCell ref="C176:D176"/>
    <mergeCell ref="C177:M177"/>
    <mergeCell ref="C178:D178"/>
    <mergeCell ref="C167:D167"/>
    <mergeCell ref="C168:M168"/>
    <mergeCell ref="C169:D169"/>
    <mergeCell ref="C170:M170"/>
    <mergeCell ref="C171:D171"/>
    <mergeCell ref="C172:M172"/>
    <mergeCell ref="C161:M161"/>
    <mergeCell ref="C162:D162"/>
    <mergeCell ref="C163:D163"/>
    <mergeCell ref="C164:M164"/>
    <mergeCell ref="C165:D165"/>
    <mergeCell ref="C166:M166"/>
    <mergeCell ref="C155:D155"/>
    <mergeCell ref="C156:D156"/>
    <mergeCell ref="C157:M157"/>
    <mergeCell ref="C158:D158"/>
    <mergeCell ref="C159:M159"/>
    <mergeCell ref="C160:D160"/>
    <mergeCell ref="C149:D149"/>
    <mergeCell ref="C150:M150"/>
    <mergeCell ref="C151:D151"/>
    <mergeCell ref="C152:M152"/>
    <mergeCell ref="C153:D153"/>
    <mergeCell ref="C154:M154"/>
    <mergeCell ref="C143:D143"/>
    <mergeCell ref="C144:M144"/>
    <mergeCell ref="C145:D145"/>
    <mergeCell ref="C146:D146"/>
    <mergeCell ref="C147:M147"/>
    <mergeCell ref="C148:D148"/>
    <mergeCell ref="C137:M137"/>
    <mergeCell ref="C138:D138"/>
    <mergeCell ref="C139:M139"/>
    <mergeCell ref="C140:D140"/>
    <mergeCell ref="C141:D141"/>
    <mergeCell ref="C142:M142"/>
    <mergeCell ref="C131:M131"/>
    <mergeCell ref="C132:D132"/>
    <mergeCell ref="C133:M133"/>
    <mergeCell ref="C134:D134"/>
    <mergeCell ref="C135:M135"/>
    <mergeCell ref="C136:D136"/>
    <mergeCell ref="C125:M125"/>
    <mergeCell ref="C126:D126"/>
    <mergeCell ref="C127:M127"/>
    <mergeCell ref="C128:D128"/>
    <mergeCell ref="C129:M129"/>
    <mergeCell ref="C130:D130"/>
    <mergeCell ref="C119:M119"/>
    <mergeCell ref="C120:D120"/>
    <mergeCell ref="C121:M121"/>
    <mergeCell ref="C122:D122"/>
    <mergeCell ref="C123:M123"/>
    <mergeCell ref="C124:D124"/>
    <mergeCell ref="C113:M113"/>
    <mergeCell ref="C114:D114"/>
    <mergeCell ref="C115:D115"/>
    <mergeCell ref="C116:M116"/>
    <mergeCell ref="C117:D117"/>
    <mergeCell ref="C118:D118"/>
    <mergeCell ref="C107:D107"/>
    <mergeCell ref="C108:M108"/>
    <mergeCell ref="C109:D109"/>
    <mergeCell ref="C110:D110"/>
    <mergeCell ref="C111:M111"/>
    <mergeCell ref="C112:D112"/>
    <mergeCell ref="C101:M101"/>
    <mergeCell ref="C102:D102"/>
    <mergeCell ref="C103:M103"/>
    <mergeCell ref="C104:D104"/>
    <mergeCell ref="C105:D105"/>
    <mergeCell ref="C106:M106"/>
    <mergeCell ref="C95:M95"/>
    <mergeCell ref="C96:D96"/>
    <mergeCell ref="C97:D97"/>
    <mergeCell ref="C98:M98"/>
    <mergeCell ref="C99:D99"/>
    <mergeCell ref="C100:D100"/>
    <mergeCell ref="C89:M89"/>
    <mergeCell ref="C90:D90"/>
    <mergeCell ref="C91:D91"/>
    <mergeCell ref="C92:M92"/>
    <mergeCell ref="C93:D93"/>
    <mergeCell ref="C94:D94"/>
    <mergeCell ref="C83:M83"/>
    <mergeCell ref="C84:D84"/>
    <mergeCell ref="C85:M85"/>
    <mergeCell ref="C86:D86"/>
    <mergeCell ref="C87:M87"/>
    <mergeCell ref="C88:D88"/>
    <mergeCell ref="C77:M77"/>
    <mergeCell ref="C78:D78"/>
    <mergeCell ref="C79:M79"/>
    <mergeCell ref="C80:D80"/>
    <mergeCell ref="C81:M81"/>
    <mergeCell ref="C82:D82"/>
    <mergeCell ref="C71:M71"/>
    <mergeCell ref="C72:D72"/>
    <mergeCell ref="C73:M73"/>
    <mergeCell ref="C74:D74"/>
    <mergeCell ref="C75:M75"/>
    <mergeCell ref="C76:D76"/>
    <mergeCell ref="C65:D65"/>
    <mergeCell ref="C66:M66"/>
    <mergeCell ref="C67:D67"/>
    <mergeCell ref="C68:M68"/>
    <mergeCell ref="C69:D69"/>
    <mergeCell ref="C70:D70"/>
    <mergeCell ref="C59:D59"/>
    <mergeCell ref="C60:M60"/>
    <mergeCell ref="C61:D61"/>
    <mergeCell ref="C62:D62"/>
    <mergeCell ref="C63:M63"/>
    <mergeCell ref="C64:D64"/>
    <mergeCell ref="C53:D53"/>
    <mergeCell ref="C54:M54"/>
    <mergeCell ref="C55:D55"/>
    <mergeCell ref="C56:M56"/>
    <mergeCell ref="C57:D57"/>
    <mergeCell ref="C58:M58"/>
    <mergeCell ref="C47:D47"/>
    <mergeCell ref="C48:M48"/>
    <mergeCell ref="C49:D49"/>
    <mergeCell ref="C50:M50"/>
    <mergeCell ref="C51:D51"/>
    <mergeCell ref="C52:M52"/>
    <mergeCell ref="C41:D41"/>
    <mergeCell ref="C42:M42"/>
    <mergeCell ref="C43:D43"/>
    <mergeCell ref="C44:M44"/>
    <mergeCell ref="C45:D45"/>
    <mergeCell ref="C46:M46"/>
    <mergeCell ref="C35:D35"/>
    <mergeCell ref="C36:D36"/>
    <mergeCell ref="C37:M37"/>
    <mergeCell ref="C38:D38"/>
    <mergeCell ref="C39:M39"/>
    <mergeCell ref="C40:D40"/>
    <mergeCell ref="C29:D29"/>
    <mergeCell ref="C30:M30"/>
    <mergeCell ref="C31:D31"/>
    <mergeCell ref="C32:M32"/>
    <mergeCell ref="C33:D33"/>
    <mergeCell ref="C34:M34"/>
    <mergeCell ref="C23:D23"/>
    <mergeCell ref="C24:M24"/>
    <mergeCell ref="C25:D25"/>
    <mergeCell ref="C26:M26"/>
    <mergeCell ref="C27:D27"/>
    <mergeCell ref="C28:M28"/>
    <mergeCell ref="C17:M17"/>
    <mergeCell ref="C18:D18"/>
    <mergeCell ref="C19:D19"/>
    <mergeCell ref="C20:M20"/>
    <mergeCell ref="C21:D21"/>
    <mergeCell ref="C22:M22"/>
    <mergeCell ref="C11:D11"/>
    <mergeCell ref="C12:D12"/>
    <mergeCell ref="C13:D13"/>
    <mergeCell ref="C14:M14"/>
    <mergeCell ref="C15:D15"/>
    <mergeCell ref="C16:D16"/>
    <mergeCell ref="A8:B9"/>
    <mergeCell ref="C8:D9"/>
    <mergeCell ref="E8:F9"/>
    <mergeCell ref="G8:G9"/>
    <mergeCell ref="C10:D10"/>
    <mergeCell ref="H10:J10"/>
    <mergeCell ref="K10:L10"/>
    <mergeCell ref="A4:B5"/>
    <mergeCell ref="C4:D5"/>
    <mergeCell ref="E4:F5"/>
    <mergeCell ref="G4:G5"/>
    <mergeCell ref="A6:B7"/>
    <mergeCell ref="C6:D7"/>
    <mergeCell ref="E6:F7"/>
    <mergeCell ref="G6:G7"/>
    <mergeCell ref="A1:M1"/>
    <mergeCell ref="A2:B3"/>
    <mergeCell ref="C2:D3"/>
    <mergeCell ref="E2:F3"/>
    <mergeCell ref="G2:G3"/>
  </mergeCells>
  <pageMargins left="0.78740157480314965" right="0.39370078740157483" top="0.39370078740157483" bottom="0.39370078740157483" header="0" footer="0.39370078740157483"/>
  <pageSetup paperSize="9" scale="63" fitToHeight="0" orientation="landscape" r:id="rId1"/>
  <headerFooter>
    <oddFooter>&amp;L&amp;A&amp;C&amp;F&amp;Rstran &amp;N / strana &amp;P</oddFooter>
  </headerFooter>
  <rowBreaks count="11" manualBreakCount="11">
    <brk id="28" max="12" man="1"/>
    <brk id="42" max="12" man="1"/>
    <brk id="60" max="12" man="1"/>
    <brk id="85" max="12" man="1"/>
    <brk id="116" max="12" man="1"/>
    <brk id="131" max="12" man="1"/>
    <brk id="157" max="12" man="1"/>
    <brk id="185" max="12" man="1"/>
    <brk id="226" max="12" man="1"/>
    <brk id="253" max="12" man="1"/>
    <brk id="295" max="12"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8EA8A-FD39-4EB3-AE18-087A515FDF2F}">
  <sheetPr codeName="List3">
    <pageSetUpPr fitToPage="1"/>
  </sheetPr>
  <dimension ref="A1:BV205"/>
  <sheetViews>
    <sheetView view="pageBreakPreview" zoomScale="55" zoomScaleNormal="55" zoomScaleSheetLayoutView="55" workbookViewId="0">
      <pane ySplit="11" topLeftCell="A180" activePane="bottomLeft" state="frozen"/>
      <selection pane="bottomLeft" activeCell="C201" sqref="C201:M201"/>
    </sheetView>
  </sheetViews>
  <sheetFormatPr defaultColWidth="12.109375" defaultRowHeight="15" customHeight="1" x14ac:dyDescent="0.3"/>
  <cols>
    <col min="1" max="1" width="4" style="221" customWidth="1"/>
    <col min="2" max="2" width="17.88671875" style="221" customWidth="1"/>
    <col min="3" max="3" width="42.88671875" style="221" customWidth="1"/>
    <col min="4" max="4" width="35.6640625" style="221" customWidth="1"/>
    <col min="5" max="5" width="6.44140625" style="221" customWidth="1"/>
    <col min="6" max="6" width="12.88671875" style="221" customWidth="1"/>
    <col min="7" max="7" width="12" style="221" customWidth="1"/>
    <col min="8" max="10" width="15.6640625" style="221" customWidth="1"/>
    <col min="11" max="12" width="11.6640625" style="221" customWidth="1"/>
    <col min="13" max="13" width="13.44140625" style="221" customWidth="1"/>
    <col min="14" max="73" width="12.109375" style="221"/>
    <col min="74" max="74" width="78.5546875" style="221" hidden="1" customWidth="1"/>
    <col min="75" max="16384" width="12.109375" style="221"/>
  </cols>
  <sheetData>
    <row r="1" spans="1:74" ht="54.75" customHeight="1" thickBot="1" x14ac:dyDescent="0.35">
      <c r="A1" s="523" t="s">
        <v>2303</v>
      </c>
      <c r="B1" s="524"/>
      <c r="C1" s="524"/>
      <c r="D1" s="524"/>
      <c r="E1" s="524"/>
      <c r="F1" s="524"/>
      <c r="G1" s="524"/>
      <c r="H1" s="524"/>
      <c r="I1" s="524"/>
      <c r="J1" s="524"/>
      <c r="K1" s="524"/>
      <c r="L1" s="524"/>
      <c r="M1" s="525"/>
      <c r="AQ1" s="222">
        <f>SUM(AH1:AH2)</f>
        <v>0</v>
      </c>
      <c r="AR1" s="222">
        <f>SUM(AI1:AI2)</f>
        <v>0</v>
      </c>
      <c r="AS1" s="222">
        <f>SUM(AJ1:AJ2)</f>
        <v>0</v>
      </c>
    </row>
    <row r="2" spans="1:74" ht="15" customHeight="1" x14ac:dyDescent="0.3">
      <c r="A2" s="518" t="s">
        <v>112</v>
      </c>
      <c r="B2" s="519"/>
      <c r="C2" s="526" t="s">
        <v>68</v>
      </c>
      <c r="D2" s="527"/>
      <c r="E2" s="519" t="s">
        <v>113</v>
      </c>
      <c r="F2" s="519"/>
      <c r="G2" s="522" t="s">
        <v>1156</v>
      </c>
      <c r="H2" s="551" t="s">
        <v>457</v>
      </c>
      <c r="I2" s="551" t="s">
        <v>69</v>
      </c>
      <c r="J2" s="551"/>
      <c r="K2" s="551"/>
      <c r="L2" s="551"/>
      <c r="M2" s="552"/>
    </row>
    <row r="3" spans="1:74" ht="14.4" x14ac:dyDescent="0.3">
      <c r="A3" s="520"/>
      <c r="B3" s="519"/>
      <c r="C3" s="527"/>
      <c r="D3" s="527"/>
      <c r="E3" s="519"/>
      <c r="F3" s="519"/>
      <c r="G3" s="522"/>
      <c r="H3" s="551"/>
      <c r="I3" s="551"/>
      <c r="J3" s="551"/>
      <c r="K3" s="551"/>
      <c r="L3" s="551"/>
      <c r="M3" s="552"/>
    </row>
    <row r="4" spans="1:74" ht="15" customHeight="1" x14ac:dyDescent="0.3">
      <c r="A4" s="518" t="s">
        <v>115</v>
      </c>
      <c r="B4" s="519"/>
      <c r="C4" s="521" t="s">
        <v>72</v>
      </c>
      <c r="D4" s="519"/>
      <c r="E4" s="519" t="s">
        <v>116</v>
      </c>
      <c r="F4" s="519"/>
      <c r="G4" s="522" t="s">
        <v>1156</v>
      </c>
      <c r="H4" s="551" t="s">
        <v>458</v>
      </c>
      <c r="I4" s="551" t="s">
        <v>1157</v>
      </c>
      <c r="J4" s="551"/>
      <c r="K4" s="551"/>
      <c r="L4" s="551"/>
      <c r="M4" s="552"/>
    </row>
    <row r="5" spans="1:74" ht="14.4" x14ac:dyDescent="0.3">
      <c r="A5" s="520"/>
      <c r="B5" s="519"/>
      <c r="C5" s="519"/>
      <c r="D5" s="519"/>
      <c r="E5" s="519"/>
      <c r="F5" s="519"/>
      <c r="G5" s="522"/>
      <c r="H5" s="551"/>
      <c r="I5" s="551"/>
      <c r="J5" s="551"/>
      <c r="K5" s="551"/>
      <c r="L5" s="551"/>
      <c r="M5" s="552"/>
    </row>
    <row r="6" spans="1:74" ht="15" customHeight="1" x14ac:dyDescent="0.3">
      <c r="A6" s="518" t="s">
        <v>117</v>
      </c>
      <c r="B6" s="519"/>
      <c r="C6" s="521" t="s">
        <v>459</v>
      </c>
      <c r="D6" s="519"/>
      <c r="E6" s="519" t="s">
        <v>119</v>
      </c>
      <c r="F6" s="519"/>
      <c r="G6" s="522" t="s">
        <v>1156</v>
      </c>
      <c r="H6" s="551" t="s">
        <v>460</v>
      </c>
      <c r="I6" s="551" t="s">
        <v>461</v>
      </c>
      <c r="J6" s="551"/>
      <c r="K6" s="551"/>
      <c r="L6" s="551"/>
      <c r="M6" s="552"/>
    </row>
    <row r="7" spans="1:74" ht="14.4" x14ac:dyDescent="0.3">
      <c r="A7" s="520"/>
      <c r="B7" s="519"/>
      <c r="C7" s="519"/>
      <c r="D7" s="519"/>
      <c r="E7" s="519"/>
      <c r="F7" s="519"/>
      <c r="G7" s="522"/>
      <c r="H7" s="551"/>
      <c r="I7" s="551"/>
      <c r="J7" s="551"/>
      <c r="K7" s="551"/>
      <c r="L7" s="551"/>
      <c r="M7" s="552"/>
    </row>
    <row r="8" spans="1:74" ht="15" customHeight="1" x14ac:dyDescent="0.3">
      <c r="A8" s="518" t="s">
        <v>120</v>
      </c>
      <c r="B8" s="519"/>
      <c r="C8" s="521" t="s">
        <v>425</v>
      </c>
      <c r="D8" s="519"/>
      <c r="E8" s="519" t="s">
        <v>122</v>
      </c>
      <c r="F8" s="519"/>
      <c r="G8" s="522" t="s">
        <v>1155</v>
      </c>
      <c r="H8" s="551" t="s">
        <v>462</v>
      </c>
      <c r="I8" s="551" t="s">
        <v>1158</v>
      </c>
      <c r="J8" s="551"/>
      <c r="K8" s="551"/>
      <c r="L8" s="551"/>
      <c r="M8" s="552"/>
    </row>
    <row r="9" spans="1:74" thickBot="1" x14ac:dyDescent="0.35">
      <c r="A9" s="520"/>
      <c r="B9" s="519"/>
      <c r="C9" s="519"/>
      <c r="D9" s="519"/>
      <c r="E9" s="519"/>
      <c r="F9" s="519"/>
      <c r="G9" s="522"/>
      <c r="H9" s="551"/>
      <c r="I9" s="551"/>
      <c r="J9" s="551"/>
      <c r="K9" s="551"/>
      <c r="L9" s="551"/>
      <c r="M9" s="552"/>
    </row>
    <row r="10" spans="1:74" ht="14.4" x14ac:dyDescent="0.3">
      <c r="A10" s="246" t="s">
        <v>123</v>
      </c>
      <c r="B10" s="247" t="s">
        <v>124</v>
      </c>
      <c r="C10" s="555" t="s">
        <v>125</v>
      </c>
      <c r="D10" s="556"/>
      <c r="E10" s="247" t="s">
        <v>126</v>
      </c>
      <c r="F10" s="248" t="s">
        <v>127</v>
      </c>
      <c r="G10" s="249" t="s">
        <v>128</v>
      </c>
      <c r="H10" s="557" t="s">
        <v>129</v>
      </c>
      <c r="I10" s="558"/>
      <c r="J10" s="559"/>
      <c r="K10" s="558" t="s">
        <v>130</v>
      </c>
      <c r="L10" s="558"/>
      <c r="M10" s="250" t="s">
        <v>131</v>
      </c>
      <c r="BI10" s="229" t="s">
        <v>132</v>
      </c>
      <c r="BJ10" s="230" t="s">
        <v>133</v>
      </c>
      <c r="BU10" s="230" t="s">
        <v>134</v>
      </c>
    </row>
    <row r="11" spans="1:74" thickBot="1" x14ac:dyDescent="0.35">
      <c r="A11" s="251" t="s">
        <v>114</v>
      </c>
      <c r="B11" s="252" t="s">
        <v>114</v>
      </c>
      <c r="C11" s="528" t="s">
        <v>135</v>
      </c>
      <c r="D11" s="529"/>
      <c r="E11" s="252" t="s">
        <v>114</v>
      </c>
      <c r="F11" s="252" t="s">
        <v>114</v>
      </c>
      <c r="G11" s="253" t="s">
        <v>136</v>
      </c>
      <c r="H11" s="254" t="s">
        <v>137</v>
      </c>
      <c r="I11" s="255" t="s">
        <v>138</v>
      </c>
      <c r="J11" s="256" t="s">
        <v>139</v>
      </c>
      <c r="K11" s="255" t="s">
        <v>140</v>
      </c>
      <c r="L11" s="253" t="s">
        <v>139</v>
      </c>
      <c r="M11" s="257" t="s">
        <v>141</v>
      </c>
      <c r="X11" s="229" t="s">
        <v>142</v>
      </c>
      <c r="Y11" s="229" t="s">
        <v>143</v>
      </c>
      <c r="Z11" s="229" t="s">
        <v>144</v>
      </c>
      <c r="AA11" s="229" t="s">
        <v>145</v>
      </c>
      <c r="AB11" s="229" t="s">
        <v>146</v>
      </c>
      <c r="AC11" s="229" t="s">
        <v>147</v>
      </c>
      <c r="AD11" s="229" t="s">
        <v>148</v>
      </c>
      <c r="AE11" s="229" t="s">
        <v>149</v>
      </c>
      <c r="AF11" s="229" t="s">
        <v>150</v>
      </c>
      <c r="BF11" s="229" t="s">
        <v>151</v>
      </c>
      <c r="BG11" s="229" t="s">
        <v>152</v>
      </c>
      <c r="BH11" s="229" t="s">
        <v>153</v>
      </c>
    </row>
    <row r="12" spans="1:74" ht="14.4" x14ac:dyDescent="0.3">
      <c r="A12" s="239" t="s">
        <v>154</v>
      </c>
      <c r="B12" s="224" t="s">
        <v>453</v>
      </c>
      <c r="C12" s="526" t="s">
        <v>463</v>
      </c>
      <c r="D12" s="527"/>
      <c r="E12" s="223" t="s">
        <v>114</v>
      </c>
      <c r="F12" s="223" t="s">
        <v>114</v>
      </c>
      <c r="G12" s="223" t="s">
        <v>114</v>
      </c>
      <c r="H12" s="235">
        <f>SUM(H13:H13)</f>
        <v>0</v>
      </c>
      <c r="I12" s="235">
        <f>SUM(I13:I13)</f>
        <v>0</v>
      </c>
      <c r="J12" s="235">
        <f>SUM(J13:J13)</f>
        <v>0</v>
      </c>
      <c r="K12" s="230" t="s">
        <v>154</v>
      </c>
      <c r="L12" s="235">
        <f>SUM(L13:L13)</f>
        <v>0</v>
      </c>
      <c r="M12" s="243" t="s">
        <v>154</v>
      </c>
      <c r="AG12" s="229" t="s">
        <v>154</v>
      </c>
      <c r="AQ12" s="222">
        <f>SUM(AH13:AH13)</f>
        <v>0</v>
      </c>
      <c r="AR12" s="222">
        <f>SUM(AI13:AI13)</f>
        <v>0</v>
      </c>
      <c r="AS12" s="222">
        <f>SUM(AJ13:AJ13)</f>
        <v>0</v>
      </c>
    </row>
    <row r="13" spans="1:74" ht="14.4" x14ac:dyDescent="0.3">
      <c r="A13" s="239" t="s">
        <v>157</v>
      </c>
      <c r="B13" s="223" t="s">
        <v>464</v>
      </c>
      <c r="C13" s="521" t="s">
        <v>465</v>
      </c>
      <c r="D13" s="519"/>
      <c r="E13" s="223" t="s">
        <v>466</v>
      </c>
      <c r="F13" s="233">
        <v>2</v>
      </c>
      <c r="G13" s="311">
        <v>0</v>
      </c>
      <c r="H13" s="233">
        <f>F13*AM13</f>
        <v>0</v>
      </c>
      <c r="I13" s="233">
        <f>F13*AN13</f>
        <v>0</v>
      </c>
      <c r="J13" s="233">
        <f>F13*G13</f>
        <v>0</v>
      </c>
      <c r="K13" s="233">
        <v>0</v>
      </c>
      <c r="L13" s="233">
        <f>F13*K13</f>
        <v>0</v>
      </c>
      <c r="M13" s="240" t="s">
        <v>154</v>
      </c>
      <c r="X13" s="233">
        <f>IF(AO13="5",BH13,0)</f>
        <v>0</v>
      </c>
      <c r="Z13" s="233">
        <f>IF(AO13="1",BF13,0)</f>
        <v>0</v>
      </c>
      <c r="AA13" s="233">
        <f>IF(AO13="1",BG13,0)</f>
        <v>0</v>
      </c>
      <c r="AB13" s="233">
        <f>IF(AO13="7",BF13,0)</f>
        <v>0</v>
      </c>
      <c r="AC13" s="233">
        <f>IF(AO13="7",BG13,0)</f>
        <v>0</v>
      </c>
      <c r="AD13" s="233">
        <f>IF(AO13="2",BF13,0)</f>
        <v>0</v>
      </c>
      <c r="AE13" s="233">
        <f>IF(AO13="2",BG13,0)</f>
        <v>0</v>
      </c>
      <c r="AF13" s="233">
        <f>IF(AO13="0",BH13,0)</f>
        <v>0</v>
      </c>
      <c r="AG13" s="229" t="s">
        <v>154</v>
      </c>
      <c r="AH13" s="233">
        <f>IF(AL13=0,J13,0)</f>
        <v>0</v>
      </c>
      <c r="AI13" s="233">
        <f>IF(AL13=15,J13,0)</f>
        <v>0</v>
      </c>
      <c r="AJ13" s="233">
        <f>IF(AL13=21,J13,0)</f>
        <v>0</v>
      </c>
      <c r="AL13" s="233">
        <v>21</v>
      </c>
      <c r="AM13" s="233">
        <f>G13*0.125865324</f>
        <v>0</v>
      </c>
      <c r="AN13" s="233">
        <f>G13*(1-0.125865324)</f>
        <v>0</v>
      </c>
      <c r="AO13" s="234" t="s">
        <v>157</v>
      </c>
      <c r="AT13" s="233">
        <f>AU13+AV13</f>
        <v>0</v>
      </c>
      <c r="AU13" s="233">
        <f>F13*AM13</f>
        <v>0</v>
      </c>
      <c r="AV13" s="233">
        <f>F13*AN13</f>
        <v>0</v>
      </c>
      <c r="AW13" s="234" t="s">
        <v>467</v>
      </c>
      <c r="AX13" s="234" t="s">
        <v>467</v>
      </c>
      <c r="AY13" s="229" t="s">
        <v>164</v>
      </c>
      <c r="BA13" s="233">
        <f>AU13+AV13</f>
        <v>0</v>
      </c>
      <c r="BB13" s="233">
        <f>G13/(100-BC13)*100</f>
        <v>0</v>
      </c>
      <c r="BC13" s="233">
        <v>0</v>
      </c>
      <c r="BD13" s="233">
        <f>L13</f>
        <v>0</v>
      </c>
      <c r="BF13" s="233">
        <f>F13*AM13</f>
        <v>0</v>
      </c>
      <c r="BG13" s="233">
        <f>F13*AN13</f>
        <v>0</v>
      </c>
      <c r="BH13" s="233">
        <f>F13*G13</f>
        <v>0</v>
      </c>
      <c r="BI13" s="233"/>
      <c r="BJ13" s="233">
        <v>0</v>
      </c>
      <c r="BU13" s="233" t="e">
        <f>#REF!</f>
        <v>#REF!</v>
      </c>
      <c r="BV13" s="225" t="s">
        <v>465</v>
      </c>
    </row>
    <row r="14" spans="1:74" ht="40.5" customHeight="1" x14ac:dyDescent="0.3">
      <c r="A14" s="241"/>
      <c r="B14" s="242" t="s">
        <v>165</v>
      </c>
      <c r="C14" s="530" t="s">
        <v>1485</v>
      </c>
      <c r="D14" s="531"/>
      <c r="E14" s="531"/>
      <c r="F14" s="531"/>
      <c r="G14" s="531"/>
      <c r="H14" s="531"/>
      <c r="I14" s="531"/>
      <c r="J14" s="531"/>
      <c r="K14" s="531"/>
      <c r="L14" s="531"/>
      <c r="M14" s="532"/>
    </row>
    <row r="15" spans="1:74" ht="14.4" x14ac:dyDescent="0.3">
      <c r="A15" s="239" t="s">
        <v>154</v>
      </c>
      <c r="B15" s="224" t="s">
        <v>155</v>
      </c>
      <c r="C15" s="526" t="s">
        <v>156</v>
      </c>
      <c r="D15" s="527"/>
      <c r="E15" s="223" t="s">
        <v>114</v>
      </c>
      <c r="F15" s="223" t="s">
        <v>114</v>
      </c>
      <c r="G15" s="223" t="s">
        <v>114</v>
      </c>
      <c r="H15" s="235">
        <f>SUM(H16:H28)</f>
        <v>0</v>
      </c>
      <c r="I15" s="235">
        <f>SUM(I16:I28)</f>
        <v>0</v>
      </c>
      <c r="J15" s="235">
        <f>SUM(J16:J28)</f>
        <v>0</v>
      </c>
      <c r="K15" s="230" t="s">
        <v>154</v>
      </c>
      <c r="L15" s="235">
        <f>SUM(L16:L28)</f>
        <v>77.9303515</v>
      </c>
      <c r="M15" s="243" t="s">
        <v>154</v>
      </c>
      <c r="AG15" s="229" t="s">
        <v>154</v>
      </c>
      <c r="AQ15" s="222">
        <f>SUM(AH16:AH28)</f>
        <v>0</v>
      </c>
      <c r="AR15" s="222">
        <f>SUM(AI16:AI28)</f>
        <v>0</v>
      </c>
      <c r="AS15" s="222">
        <f>SUM(AJ16:AJ28)</f>
        <v>0</v>
      </c>
    </row>
    <row r="16" spans="1:74" ht="14.4" x14ac:dyDescent="0.3">
      <c r="A16" s="239" t="s">
        <v>166</v>
      </c>
      <c r="B16" s="223" t="s">
        <v>158</v>
      </c>
      <c r="C16" s="521" t="s">
        <v>159</v>
      </c>
      <c r="D16" s="519"/>
      <c r="E16" s="223" t="s">
        <v>160</v>
      </c>
      <c r="F16" s="233">
        <v>4.2</v>
      </c>
      <c r="G16" s="311">
        <v>0</v>
      </c>
      <c r="H16" s="233">
        <f>F16*AM16</f>
        <v>0</v>
      </c>
      <c r="I16" s="233">
        <f>F16*AN16</f>
        <v>0</v>
      </c>
      <c r="J16" s="233">
        <f>F16*G16</f>
        <v>0</v>
      </c>
      <c r="K16" s="233">
        <v>2.478E-2</v>
      </c>
      <c r="L16" s="233">
        <f>F16*K16</f>
        <v>0.104076</v>
      </c>
      <c r="M16" s="240" t="s">
        <v>472</v>
      </c>
      <c r="X16" s="233">
        <f>IF(AO16="5",BH16,0)</f>
        <v>0</v>
      </c>
      <c r="Z16" s="233">
        <f>IF(AO16="1",BF16,0)</f>
        <v>0</v>
      </c>
      <c r="AA16" s="233">
        <f>IF(AO16="1",BG16,0)</f>
        <v>0</v>
      </c>
      <c r="AB16" s="233">
        <f>IF(AO16="7",BF16,0)</f>
        <v>0</v>
      </c>
      <c r="AC16" s="233">
        <f>IF(AO16="7",BG16,0)</f>
        <v>0</v>
      </c>
      <c r="AD16" s="233">
        <f>IF(AO16="2",BF16,0)</f>
        <v>0</v>
      </c>
      <c r="AE16" s="233">
        <f>IF(AO16="2",BG16,0)</f>
        <v>0</v>
      </c>
      <c r="AF16" s="233">
        <f>IF(AO16="0",BH16,0)</f>
        <v>0</v>
      </c>
      <c r="AG16" s="229" t="s">
        <v>154</v>
      </c>
      <c r="AH16" s="233">
        <f>IF(AL16=0,J16,0)</f>
        <v>0</v>
      </c>
      <c r="AI16" s="233">
        <f>IF(AL16=15,J16,0)</f>
        <v>0</v>
      </c>
      <c r="AJ16" s="233">
        <f>IF(AL16=21,J16,0)</f>
        <v>0</v>
      </c>
      <c r="AL16" s="233">
        <v>21</v>
      </c>
      <c r="AM16" s="233">
        <f>G16*0.071410416</f>
        <v>0</v>
      </c>
      <c r="AN16" s="233">
        <f>G16*(1-0.071410416)</f>
        <v>0</v>
      </c>
      <c r="AO16" s="234" t="s">
        <v>157</v>
      </c>
      <c r="AT16" s="233">
        <f>AU16+AV16</f>
        <v>0</v>
      </c>
      <c r="AU16" s="233">
        <f>F16*AM16</f>
        <v>0</v>
      </c>
      <c r="AV16" s="233">
        <f>F16*AN16</f>
        <v>0</v>
      </c>
      <c r="AW16" s="234" t="s">
        <v>162</v>
      </c>
      <c r="AX16" s="234" t="s">
        <v>163</v>
      </c>
      <c r="AY16" s="229" t="s">
        <v>164</v>
      </c>
      <c r="BA16" s="233">
        <f>AU16+AV16</f>
        <v>0</v>
      </c>
      <c r="BB16" s="233">
        <f>G16/(100-BC16)*100</f>
        <v>0</v>
      </c>
      <c r="BC16" s="233">
        <v>0</v>
      </c>
      <c r="BD16" s="233">
        <f>L16</f>
        <v>0.104076</v>
      </c>
      <c r="BF16" s="233">
        <f>F16*AM16</f>
        <v>0</v>
      </c>
      <c r="BG16" s="233">
        <f>F16*AN16</f>
        <v>0</v>
      </c>
      <c r="BH16" s="233">
        <f>F16*G16</f>
        <v>0</v>
      </c>
      <c r="BI16" s="233"/>
      <c r="BJ16" s="233">
        <v>11</v>
      </c>
      <c r="BU16" s="233" t="e">
        <f>#REF!</f>
        <v>#REF!</v>
      </c>
      <c r="BV16" s="225" t="s">
        <v>159</v>
      </c>
    </row>
    <row r="17" spans="1:74" ht="40.5" customHeight="1" x14ac:dyDescent="0.3">
      <c r="A17" s="241"/>
      <c r="B17" s="242" t="s">
        <v>165</v>
      </c>
      <c r="C17" s="530" t="s">
        <v>1486</v>
      </c>
      <c r="D17" s="531"/>
      <c r="E17" s="531"/>
      <c r="F17" s="531"/>
      <c r="G17" s="531"/>
      <c r="H17" s="531"/>
      <c r="I17" s="531"/>
      <c r="J17" s="531"/>
      <c r="K17" s="531"/>
      <c r="L17" s="531"/>
      <c r="M17" s="532"/>
    </row>
    <row r="18" spans="1:74" ht="14.4" x14ac:dyDescent="0.3">
      <c r="A18" s="239" t="s">
        <v>169</v>
      </c>
      <c r="B18" s="223" t="s">
        <v>170</v>
      </c>
      <c r="C18" s="521" t="s">
        <v>171</v>
      </c>
      <c r="D18" s="519"/>
      <c r="E18" s="223" t="s">
        <v>172</v>
      </c>
      <c r="F18" s="233">
        <v>40</v>
      </c>
      <c r="G18" s="311">
        <v>0</v>
      </c>
      <c r="H18" s="233">
        <f>F18*AM18</f>
        <v>0</v>
      </c>
      <c r="I18" s="233">
        <f>F18*AN18</f>
        <v>0</v>
      </c>
      <c r="J18" s="233">
        <f>F18*G18</f>
        <v>0</v>
      </c>
      <c r="K18" s="233">
        <v>0</v>
      </c>
      <c r="L18" s="233">
        <f>F18*K18</f>
        <v>0</v>
      </c>
      <c r="M18" s="240" t="s">
        <v>472</v>
      </c>
      <c r="X18" s="233">
        <f>IF(AO18="5",BH18,0)</f>
        <v>0</v>
      </c>
      <c r="Z18" s="233">
        <f>IF(AO18="1",BF18,0)</f>
        <v>0</v>
      </c>
      <c r="AA18" s="233">
        <f>IF(AO18="1",BG18,0)</f>
        <v>0</v>
      </c>
      <c r="AB18" s="233">
        <f>IF(AO18="7",BF18,0)</f>
        <v>0</v>
      </c>
      <c r="AC18" s="233">
        <f>IF(AO18="7",BG18,0)</f>
        <v>0</v>
      </c>
      <c r="AD18" s="233">
        <f>IF(AO18="2",BF18,0)</f>
        <v>0</v>
      </c>
      <c r="AE18" s="233">
        <f>IF(AO18="2",BG18,0)</f>
        <v>0</v>
      </c>
      <c r="AF18" s="233">
        <f>IF(AO18="0",BH18,0)</f>
        <v>0</v>
      </c>
      <c r="AG18" s="229" t="s">
        <v>154</v>
      </c>
      <c r="AH18" s="233">
        <f>IF(AL18=0,J18,0)</f>
        <v>0</v>
      </c>
      <c r="AI18" s="233">
        <f>IF(AL18=15,J18,0)</f>
        <v>0</v>
      </c>
      <c r="AJ18" s="233">
        <f>IF(AL18=21,J18,0)</f>
        <v>0</v>
      </c>
      <c r="AL18" s="233">
        <v>21</v>
      </c>
      <c r="AM18" s="233">
        <f>G18*0</f>
        <v>0</v>
      </c>
      <c r="AN18" s="233">
        <f>G18*(1-0)</f>
        <v>0</v>
      </c>
      <c r="AO18" s="234" t="s">
        <v>157</v>
      </c>
      <c r="AT18" s="233">
        <f>AU18+AV18</f>
        <v>0</v>
      </c>
      <c r="AU18" s="233">
        <f>F18*AM18</f>
        <v>0</v>
      </c>
      <c r="AV18" s="233">
        <f>F18*AN18</f>
        <v>0</v>
      </c>
      <c r="AW18" s="234" t="s">
        <v>162</v>
      </c>
      <c r="AX18" s="234" t="s">
        <v>163</v>
      </c>
      <c r="AY18" s="229" t="s">
        <v>164</v>
      </c>
      <c r="BA18" s="233">
        <f>AU18+AV18</f>
        <v>0</v>
      </c>
      <c r="BB18" s="233">
        <f>G18/(100-BC18)*100</f>
        <v>0</v>
      </c>
      <c r="BC18" s="233">
        <v>0</v>
      </c>
      <c r="BD18" s="233">
        <f>L18</f>
        <v>0</v>
      </c>
      <c r="BF18" s="233">
        <f>F18*AM18</f>
        <v>0</v>
      </c>
      <c r="BG18" s="233">
        <f>F18*AN18</f>
        <v>0</v>
      </c>
      <c r="BH18" s="233">
        <f>F18*G18</f>
        <v>0</v>
      </c>
      <c r="BI18" s="233"/>
      <c r="BJ18" s="233">
        <v>11</v>
      </c>
      <c r="BU18" s="233" t="e">
        <f>#REF!</f>
        <v>#REF!</v>
      </c>
      <c r="BV18" s="225" t="s">
        <v>171</v>
      </c>
    </row>
    <row r="19" spans="1:74" ht="40.5" customHeight="1" x14ac:dyDescent="0.3">
      <c r="A19" s="241"/>
      <c r="B19" s="242" t="s">
        <v>165</v>
      </c>
      <c r="C19" s="530" t="s">
        <v>1487</v>
      </c>
      <c r="D19" s="531"/>
      <c r="E19" s="531"/>
      <c r="F19" s="531"/>
      <c r="G19" s="531"/>
      <c r="H19" s="531"/>
      <c r="I19" s="531"/>
      <c r="J19" s="531"/>
      <c r="K19" s="531"/>
      <c r="L19" s="531"/>
      <c r="M19" s="532"/>
    </row>
    <row r="20" spans="1:74" ht="14.4" x14ac:dyDescent="0.3">
      <c r="A20" s="239" t="s">
        <v>173</v>
      </c>
      <c r="B20" s="223" t="s">
        <v>174</v>
      </c>
      <c r="C20" s="521" t="s">
        <v>175</v>
      </c>
      <c r="D20" s="519"/>
      <c r="E20" s="223" t="s">
        <v>176</v>
      </c>
      <c r="F20" s="233">
        <v>5</v>
      </c>
      <c r="G20" s="311">
        <v>0</v>
      </c>
      <c r="H20" s="233">
        <f>F20*AM20</f>
        <v>0</v>
      </c>
      <c r="I20" s="233">
        <f>F20*AN20</f>
        <v>0</v>
      </c>
      <c r="J20" s="233">
        <f>F20*G20</f>
        <v>0</v>
      </c>
      <c r="K20" s="233">
        <v>0</v>
      </c>
      <c r="L20" s="233">
        <f>F20*K20</f>
        <v>0</v>
      </c>
      <c r="M20" s="240" t="s">
        <v>472</v>
      </c>
      <c r="X20" s="233">
        <f>IF(AO20="5",BH20,0)</f>
        <v>0</v>
      </c>
      <c r="Z20" s="233">
        <f>IF(AO20="1",BF20,0)</f>
        <v>0</v>
      </c>
      <c r="AA20" s="233">
        <f>IF(AO20="1",BG20,0)</f>
        <v>0</v>
      </c>
      <c r="AB20" s="233">
        <f>IF(AO20="7",BF20,0)</f>
        <v>0</v>
      </c>
      <c r="AC20" s="233">
        <f>IF(AO20="7",BG20,0)</f>
        <v>0</v>
      </c>
      <c r="AD20" s="233">
        <f>IF(AO20="2",BF20,0)</f>
        <v>0</v>
      </c>
      <c r="AE20" s="233">
        <f>IF(AO20="2",BG20,0)</f>
        <v>0</v>
      </c>
      <c r="AF20" s="233">
        <f>IF(AO20="0",BH20,0)</f>
        <v>0</v>
      </c>
      <c r="AG20" s="229" t="s">
        <v>154</v>
      </c>
      <c r="AH20" s="233">
        <f>IF(AL20=0,J20,0)</f>
        <v>0</v>
      </c>
      <c r="AI20" s="233">
        <f>IF(AL20=15,J20,0)</f>
        <v>0</v>
      </c>
      <c r="AJ20" s="233">
        <f>IF(AL20=21,J20,0)</f>
        <v>0</v>
      </c>
      <c r="AL20" s="233">
        <v>21</v>
      </c>
      <c r="AM20" s="233">
        <f>G20*0</f>
        <v>0</v>
      </c>
      <c r="AN20" s="233">
        <f>G20*(1-0)</f>
        <v>0</v>
      </c>
      <c r="AO20" s="234" t="s">
        <v>157</v>
      </c>
      <c r="AT20" s="233">
        <f>AU20+AV20</f>
        <v>0</v>
      </c>
      <c r="AU20" s="233">
        <f>F20*AM20</f>
        <v>0</v>
      </c>
      <c r="AV20" s="233">
        <f>F20*AN20</f>
        <v>0</v>
      </c>
      <c r="AW20" s="234" t="s">
        <v>162</v>
      </c>
      <c r="AX20" s="234" t="s">
        <v>163</v>
      </c>
      <c r="AY20" s="229" t="s">
        <v>164</v>
      </c>
      <c r="BA20" s="233">
        <f>AU20+AV20</f>
        <v>0</v>
      </c>
      <c r="BB20" s="233">
        <f>G20/(100-BC20)*100</f>
        <v>0</v>
      </c>
      <c r="BC20" s="233">
        <v>0</v>
      </c>
      <c r="BD20" s="233">
        <f>L20</f>
        <v>0</v>
      </c>
      <c r="BF20" s="233">
        <f>F20*AM20</f>
        <v>0</v>
      </c>
      <c r="BG20" s="233">
        <f>F20*AN20</f>
        <v>0</v>
      </c>
      <c r="BH20" s="233">
        <f>F20*G20</f>
        <v>0</v>
      </c>
      <c r="BI20" s="233"/>
      <c r="BJ20" s="233">
        <v>11</v>
      </c>
      <c r="BU20" s="233" t="e">
        <f>#REF!</f>
        <v>#REF!</v>
      </c>
      <c r="BV20" s="225" t="s">
        <v>175</v>
      </c>
    </row>
    <row r="21" spans="1:74" ht="40.5" customHeight="1" x14ac:dyDescent="0.3">
      <c r="A21" s="241"/>
      <c r="B21" s="242" t="s">
        <v>165</v>
      </c>
      <c r="C21" s="530" t="s">
        <v>1393</v>
      </c>
      <c r="D21" s="531"/>
      <c r="E21" s="531"/>
      <c r="F21" s="531"/>
      <c r="G21" s="531"/>
      <c r="H21" s="531"/>
      <c r="I21" s="531"/>
      <c r="J21" s="531"/>
      <c r="K21" s="531"/>
      <c r="L21" s="531"/>
      <c r="M21" s="532"/>
    </row>
    <row r="22" spans="1:74" ht="14.4" x14ac:dyDescent="0.3">
      <c r="A22" s="239" t="s">
        <v>177</v>
      </c>
      <c r="B22" s="223" t="s">
        <v>178</v>
      </c>
      <c r="C22" s="521" t="s">
        <v>179</v>
      </c>
      <c r="D22" s="519"/>
      <c r="E22" s="223" t="s">
        <v>180</v>
      </c>
      <c r="F22" s="233">
        <v>51.55</v>
      </c>
      <c r="G22" s="311">
        <v>0</v>
      </c>
      <c r="H22" s="233">
        <f>F22*AM22</f>
        <v>0</v>
      </c>
      <c r="I22" s="233">
        <f>F22*AN22</f>
        <v>0</v>
      </c>
      <c r="J22" s="233">
        <f>F22*G22</f>
        <v>0</v>
      </c>
      <c r="K22" s="233">
        <v>0.90051000000000003</v>
      </c>
      <c r="L22" s="233">
        <f>F22*K22</f>
        <v>46.421290499999998</v>
      </c>
      <c r="M22" s="240" t="s">
        <v>472</v>
      </c>
      <c r="X22" s="233">
        <f>IF(AO22="5",BH22,0)</f>
        <v>0</v>
      </c>
      <c r="Z22" s="233">
        <f>IF(AO22="1",BF22,0)</f>
        <v>0</v>
      </c>
      <c r="AA22" s="233">
        <f>IF(AO22="1",BG22,0)</f>
        <v>0</v>
      </c>
      <c r="AB22" s="233">
        <f>IF(AO22="7",BF22,0)</f>
        <v>0</v>
      </c>
      <c r="AC22" s="233">
        <f>IF(AO22="7",BG22,0)</f>
        <v>0</v>
      </c>
      <c r="AD22" s="233">
        <f>IF(AO22="2",BF22,0)</f>
        <v>0</v>
      </c>
      <c r="AE22" s="233">
        <f>IF(AO22="2",BG22,0)</f>
        <v>0</v>
      </c>
      <c r="AF22" s="233">
        <f>IF(AO22="0",BH22,0)</f>
        <v>0</v>
      </c>
      <c r="AG22" s="229" t="s">
        <v>154</v>
      </c>
      <c r="AH22" s="233">
        <f>IF(AL22=0,J22,0)</f>
        <v>0</v>
      </c>
      <c r="AI22" s="233">
        <f>IF(AL22=15,J22,0)</f>
        <v>0</v>
      </c>
      <c r="AJ22" s="233">
        <f>IF(AL22=21,J22,0)</f>
        <v>0</v>
      </c>
      <c r="AL22" s="233">
        <v>21</v>
      </c>
      <c r="AM22" s="233">
        <f>G22*0.022141013</f>
        <v>0</v>
      </c>
      <c r="AN22" s="233">
        <f>G22*(1-0.022141013)</f>
        <v>0</v>
      </c>
      <c r="AO22" s="234" t="s">
        <v>157</v>
      </c>
      <c r="AT22" s="233">
        <f>AU22+AV22</f>
        <v>0</v>
      </c>
      <c r="AU22" s="233">
        <f>F22*AM22</f>
        <v>0</v>
      </c>
      <c r="AV22" s="233">
        <f>F22*AN22</f>
        <v>0</v>
      </c>
      <c r="AW22" s="234" t="s">
        <v>162</v>
      </c>
      <c r="AX22" s="234" t="s">
        <v>163</v>
      </c>
      <c r="AY22" s="229" t="s">
        <v>164</v>
      </c>
      <c r="BA22" s="233">
        <f>AU22+AV22</f>
        <v>0</v>
      </c>
      <c r="BB22" s="233">
        <f>G22/(100-BC22)*100</f>
        <v>0</v>
      </c>
      <c r="BC22" s="233">
        <v>0</v>
      </c>
      <c r="BD22" s="233">
        <f>L22</f>
        <v>46.421290499999998</v>
      </c>
      <c r="BF22" s="233">
        <f>F22*AM22</f>
        <v>0</v>
      </c>
      <c r="BG22" s="233">
        <f>F22*AN22</f>
        <v>0</v>
      </c>
      <c r="BH22" s="233">
        <f>F22*G22</f>
        <v>0</v>
      </c>
      <c r="BI22" s="233"/>
      <c r="BJ22" s="233">
        <v>11</v>
      </c>
      <c r="BU22" s="233" t="e">
        <f>#REF!</f>
        <v>#REF!</v>
      </c>
      <c r="BV22" s="225" t="s">
        <v>179</v>
      </c>
    </row>
    <row r="23" spans="1:74" ht="162" customHeight="1" x14ac:dyDescent="0.3">
      <c r="A23" s="241"/>
      <c r="B23" s="242" t="s">
        <v>165</v>
      </c>
      <c r="C23" s="530" t="s">
        <v>1488</v>
      </c>
      <c r="D23" s="531"/>
      <c r="E23" s="531"/>
      <c r="F23" s="531"/>
      <c r="G23" s="531"/>
      <c r="H23" s="531"/>
      <c r="I23" s="531"/>
      <c r="J23" s="531"/>
      <c r="K23" s="531"/>
      <c r="L23" s="531"/>
      <c r="M23" s="532"/>
    </row>
    <row r="24" spans="1:74" ht="14.4" x14ac:dyDescent="0.3">
      <c r="A24" s="239" t="s">
        <v>181</v>
      </c>
      <c r="B24" s="223" t="s">
        <v>182</v>
      </c>
      <c r="C24" s="521" t="s">
        <v>183</v>
      </c>
      <c r="D24" s="519"/>
      <c r="E24" s="223" t="s">
        <v>180</v>
      </c>
      <c r="F24" s="233">
        <v>9.85</v>
      </c>
      <c r="G24" s="311">
        <v>0</v>
      </c>
      <c r="H24" s="233">
        <f>F24*AM24</f>
        <v>0</v>
      </c>
      <c r="I24" s="233">
        <f>F24*AN24</f>
        <v>0</v>
      </c>
      <c r="J24" s="233">
        <f>F24*G24</f>
        <v>0</v>
      </c>
      <c r="K24" s="233">
        <v>0.90010000000000001</v>
      </c>
      <c r="L24" s="233">
        <f>F24*K24</f>
        <v>8.8659850000000002</v>
      </c>
      <c r="M24" s="240" t="s">
        <v>472</v>
      </c>
      <c r="X24" s="233">
        <f>IF(AO24="5",BH24,0)</f>
        <v>0</v>
      </c>
      <c r="Z24" s="233">
        <f>IF(AO24="1",BF24,0)</f>
        <v>0</v>
      </c>
      <c r="AA24" s="233">
        <f>IF(AO24="1",BG24,0)</f>
        <v>0</v>
      </c>
      <c r="AB24" s="233">
        <f>IF(AO24="7",BF24,0)</f>
        <v>0</v>
      </c>
      <c r="AC24" s="233">
        <f>IF(AO24="7",BG24,0)</f>
        <v>0</v>
      </c>
      <c r="AD24" s="233">
        <f>IF(AO24="2",BF24,0)</f>
        <v>0</v>
      </c>
      <c r="AE24" s="233">
        <f>IF(AO24="2",BG24,0)</f>
        <v>0</v>
      </c>
      <c r="AF24" s="233">
        <f>IF(AO24="0",BH24,0)</f>
        <v>0</v>
      </c>
      <c r="AG24" s="229" t="s">
        <v>154</v>
      </c>
      <c r="AH24" s="233">
        <f>IF(AL24=0,J24,0)</f>
        <v>0</v>
      </c>
      <c r="AI24" s="233">
        <f>IF(AL24=15,J24,0)</f>
        <v>0</v>
      </c>
      <c r="AJ24" s="233">
        <f>IF(AL24=21,J24,0)</f>
        <v>0</v>
      </c>
      <c r="AL24" s="233">
        <v>21</v>
      </c>
      <c r="AM24" s="233">
        <f>G24*0.006693262</f>
        <v>0</v>
      </c>
      <c r="AN24" s="233">
        <f>G24*(1-0.006693262)</f>
        <v>0</v>
      </c>
      <c r="AO24" s="234" t="s">
        <v>157</v>
      </c>
      <c r="AT24" s="233">
        <f>AU24+AV24</f>
        <v>0</v>
      </c>
      <c r="AU24" s="233">
        <f>F24*AM24</f>
        <v>0</v>
      </c>
      <c r="AV24" s="233">
        <f>F24*AN24</f>
        <v>0</v>
      </c>
      <c r="AW24" s="234" t="s">
        <v>162</v>
      </c>
      <c r="AX24" s="234" t="s">
        <v>163</v>
      </c>
      <c r="AY24" s="229" t="s">
        <v>164</v>
      </c>
      <c r="BA24" s="233">
        <f>AU24+AV24</f>
        <v>0</v>
      </c>
      <c r="BB24" s="233">
        <f>G24/(100-BC24)*100</f>
        <v>0</v>
      </c>
      <c r="BC24" s="233">
        <v>0</v>
      </c>
      <c r="BD24" s="233">
        <f>L24</f>
        <v>8.8659850000000002</v>
      </c>
      <c r="BF24" s="233">
        <f>F24*AM24</f>
        <v>0</v>
      </c>
      <c r="BG24" s="233">
        <f>F24*AN24</f>
        <v>0</v>
      </c>
      <c r="BH24" s="233">
        <f>F24*G24</f>
        <v>0</v>
      </c>
      <c r="BI24" s="233"/>
      <c r="BJ24" s="233">
        <v>11</v>
      </c>
      <c r="BU24" s="233" t="e">
        <f>#REF!</f>
        <v>#REF!</v>
      </c>
      <c r="BV24" s="225" t="s">
        <v>183</v>
      </c>
    </row>
    <row r="25" spans="1:74" ht="162" customHeight="1" x14ac:dyDescent="0.3">
      <c r="A25" s="244"/>
      <c r="B25" s="245" t="s">
        <v>165</v>
      </c>
      <c r="C25" s="540" t="s">
        <v>1489</v>
      </c>
      <c r="D25" s="541"/>
      <c r="E25" s="541"/>
      <c r="F25" s="541"/>
      <c r="G25" s="541"/>
      <c r="H25" s="541"/>
      <c r="I25" s="541"/>
      <c r="J25" s="541"/>
      <c r="K25" s="541"/>
      <c r="L25" s="541"/>
      <c r="M25" s="542"/>
    </row>
    <row r="26" spans="1:74" ht="14.4" x14ac:dyDescent="0.3">
      <c r="A26" s="237" t="s">
        <v>184</v>
      </c>
      <c r="B26" s="238" t="s">
        <v>476</v>
      </c>
      <c r="C26" s="543" t="s">
        <v>477</v>
      </c>
      <c r="D26" s="544"/>
      <c r="E26" s="238" t="s">
        <v>180</v>
      </c>
      <c r="F26" s="258">
        <v>49.1</v>
      </c>
      <c r="G26" s="311">
        <v>0</v>
      </c>
      <c r="H26" s="258">
        <f>F26*AM26</f>
        <v>0</v>
      </c>
      <c r="I26" s="258">
        <f>F26*AN26</f>
        <v>0</v>
      </c>
      <c r="J26" s="258">
        <f>F26*G26</f>
        <v>0</v>
      </c>
      <c r="K26" s="258">
        <v>0.39600000000000002</v>
      </c>
      <c r="L26" s="258">
        <f>F26*K26</f>
        <v>19.4436</v>
      </c>
      <c r="M26" s="259" t="s">
        <v>472</v>
      </c>
      <c r="X26" s="233">
        <f>IF(AO26="5",BH26,0)</f>
        <v>0</v>
      </c>
      <c r="Z26" s="233">
        <f>IF(AO26="1",BF26,0)</f>
        <v>0</v>
      </c>
      <c r="AA26" s="233">
        <f>IF(AO26="1",BG26,0)</f>
        <v>0</v>
      </c>
      <c r="AB26" s="233">
        <f>IF(AO26="7",BF26,0)</f>
        <v>0</v>
      </c>
      <c r="AC26" s="233">
        <f>IF(AO26="7",BG26,0)</f>
        <v>0</v>
      </c>
      <c r="AD26" s="233">
        <f>IF(AO26="2",BF26,0)</f>
        <v>0</v>
      </c>
      <c r="AE26" s="233">
        <f>IF(AO26="2",BG26,0)</f>
        <v>0</v>
      </c>
      <c r="AF26" s="233">
        <f>IF(AO26="0",BH26,0)</f>
        <v>0</v>
      </c>
      <c r="AG26" s="229" t="s">
        <v>154</v>
      </c>
      <c r="AH26" s="233">
        <f>IF(AL26=0,J26,0)</f>
        <v>0</v>
      </c>
      <c r="AI26" s="233">
        <f>IF(AL26=15,J26,0)</f>
        <v>0</v>
      </c>
      <c r="AJ26" s="233">
        <f>IF(AL26=21,J26,0)</f>
        <v>0</v>
      </c>
      <c r="AL26" s="233">
        <v>21</v>
      </c>
      <c r="AM26" s="233">
        <f>G26*0</f>
        <v>0</v>
      </c>
      <c r="AN26" s="233">
        <f>G26*(1-0)</f>
        <v>0</v>
      </c>
      <c r="AO26" s="234" t="s">
        <v>157</v>
      </c>
      <c r="AT26" s="233">
        <f>AU26+AV26</f>
        <v>0</v>
      </c>
      <c r="AU26" s="233">
        <f>F26*AM26</f>
        <v>0</v>
      </c>
      <c r="AV26" s="233">
        <f>F26*AN26</f>
        <v>0</v>
      </c>
      <c r="AW26" s="234" t="s">
        <v>162</v>
      </c>
      <c r="AX26" s="234" t="s">
        <v>163</v>
      </c>
      <c r="AY26" s="229" t="s">
        <v>164</v>
      </c>
      <c r="BA26" s="233">
        <f>AU26+AV26</f>
        <v>0</v>
      </c>
      <c r="BB26" s="233">
        <f>G26/(100-BC26)*100</f>
        <v>0</v>
      </c>
      <c r="BC26" s="233">
        <v>0</v>
      </c>
      <c r="BD26" s="233">
        <f>L26</f>
        <v>19.4436</v>
      </c>
      <c r="BF26" s="233">
        <f>F26*AM26</f>
        <v>0</v>
      </c>
      <c r="BG26" s="233">
        <f>F26*AN26</f>
        <v>0</v>
      </c>
      <c r="BH26" s="233">
        <f>F26*G26</f>
        <v>0</v>
      </c>
      <c r="BI26" s="233"/>
      <c r="BJ26" s="233">
        <v>11</v>
      </c>
      <c r="BU26" s="233" t="e">
        <f>#REF!</f>
        <v>#REF!</v>
      </c>
      <c r="BV26" s="225" t="s">
        <v>477</v>
      </c>
    </row>
    <row r="27" spans="1:74" ht="67.5" customHeight="1" x14ac:dyDescent="0.3">
      <c r="A27" s="241"/>
      <c r="B27" s="242" t="s">
        <v>165</v>
      </c>
      <c r="C27" s="530" t="s">
        <v>1490</v>
      </c>
      <c r="D27" s="531"/>
      <c r="E27" s="531"/>
      <c r="F27" s="531"/>
      <c r="G27" s="531"/>
      <c r="H27" s="531"/>
      <c r="I27" s="531"/>
      <c r="J27" s="531"/>
      <c r="K27" s="531"/>
      <c r="L27" s="531"/>
      <c r="M27" s="532"/>
    </row>
    <row r="28" spans="1:74" ht="14.4" x14ac:dyDescent="0.3">
      <c r="A28" s="239" t="s">
        <v>187</v>
      </c>
      <c r="B28" s="223" t="s">
        <v>478</v>
      </c>
      <c r="C28" s="521" t="s">
        <v>479</v>
      </c>
      <c r="D28" s="519"/>
      <c r="E28" s="223" t="s">
        <v>180</v>
      </c>
      <c r="F28" s="233">
        <v>9.3800000000000008</v>
      </c>
      <c r="G28" s="311">
        <v>0</v>
      </c>
      <c r="H28" s="233">
        <f>F28*AM28</f>
        <v>0</v>
      </c>
      <c r="I28" s="233">
        <f>F28*AN28</f>
        <v>0</v>
      </c>
      <c r="J28" s="233">
        <f>F28*G28</f>
        <v>0</v>
      </c>
      <c r="K28" s="233">
        <v>0.33</v>
      </c>
      <c r="L28" s="233">
        <f>F28*K28</f>
        <v>3.0954000000000006</v>
      </c>
      <c r="M28" s="240" t="s">
        <v>472</v>
      </c>
      <c r="X28" s="233">
        <f>IF(AO28="5",BH28,0)</f>
        <v>0</v>
      </c>
      <c r="Z28" s="233">
        <f>IF(AO28="1",BF28,0)</f>
        <v>0</v>
      </c>
      <c r="AA28" s="233">
        <f>IF(AO28="1",BG28,0)</f>
        <v>0</v>
      </c>
      <c r="AB28" s="233">
        <f>IF(AO28="7",BF28,0)</f>
        <v>0</v>
      </c>
      <c r="AC28" s="233">
        <f>IF(AO28="7",BG28,0)</f>
        <v>0</v>
      </c>
      <c r="AD28" s="233">
        <f>IF(AO28="2",BF28,0)</f>
        <v>0</v>
      </c>
      <c r="AE28" s="233">
        <f>IF(AO28="2",BG28,0)</f>
        <v>0</v>
      </c>
      <c r="AF28" s="233">
        <f>IF(AO28="0",BH28,0)</f>
        <v>0</v>
      </c>
      <c r="AG28" s="229" t="s">
        <v>154</v>
      </c>
      <c r="AH28" s="233">
        <f>IF(AL28=0,J28,0)</f>
        <v>0</v>
      </c>
      <c r="AI28" s="233">
        <f>IF(AL28=15,J28,0)</f>
        <v>0</v>
      </c>
      <c r="AJ28" s="233">
        <f>IF(AL28=21,J28,0)</f>
        <v>0</v>
      </c>
      <c r="AL28" s="233">
        <v>21</v>
      </c>
      <c r="AM28" s="233">
        <f>G28*0</f>
        <v>0</v>
      </c>
      <c r="AN28" s="233">
        <f>G28*(1-0)</f>
        <v>0</v>
      </c>
      <c r="AO28" s="234" t="s">
        <v>157</v>
      </c>
      <c r="AT28" s="233">
        <f>AU28+AV28</f>
        <v>0</v>
      </c>
      <c r="AU28" s="233">
        <f>F28*AM28</f>
        <v>0</v>
      </c>
      <c r="AV28" s="233">
        <f>F28*AN28</f>
        <v>0</v>
      </c>
      <c r="AW28" s="234" t="s">
        <v>162</v>
      </c>
      <c r="AX28" s="234" t="s">
        <v>163</v>
      </c>
      <c r="AY28" s="229" t="s">
        <v>164</v>
      </c>
      <c r="BA28" s="233">
        <f>AU28+AV28</f>
        <v>0</v>
      </c>
      <c r="BB28" s="233">
        <f>G28/(100-BC28)*100</f>
        <v>0</v>
      </c>
      <c r="BC28" s="233">
        <v>0</v>
      </c>
      <c r="BD28" s="233">
        <f>L28</f>
        <v>3.0954000000000006</v>
      </c>
      <c r="BF28" s="233">
        <f>F28*AM28</f>
        <v>0</v>
      </c>
      <c r="BG28" s="233">
        <f>F28*AN28</f>
        <v>0</v>
      </c>
      <c r="BH28" s="233">
        <f>F28*G28</f>
        <v>0</v>
      </c>
      <c r="BI28" s="233"/>
      <c r="BJ28" s="233">
        <v>11</v>
      </c>
      <c r="BU28" s="233" t="e">
        <f>#REF!</f>
        <v>#REF!</v>
      </c>
      <c r="BV28" s="225" t="s">
        <v>479</v>
      </c>
    </row>
    <row r="29" spans="1:74" ht="67.5" customHeight="1" x14ac:dyDescent="0.3">
      <c r="A29" s="241"/>
      <c r="B29" s="242" t="s">
        <v>165</v>
      </c>
      <c r="C29" s="530" t="s">
        <v>1491</v>
      </c>
      <c r="D29" s="531"/>
      <c r="E29" s="531"/>
      <c r="F29" s="531"/>
      <c r="G29" s="531"/>
      <c r="H29" s="531"/>
      <c r="I29" s="531"/>
      <c r="J29" s="531"/>
      <c r="K29" s="531"/>
      <c r="L29" s="531"/>
      <c r="M29" s="532"/>
    </row>
    <row r="30" spans="1:74" ht="14.4" x14ac:dyDescent="0.3">
      <c r="A30" s="239" t="s">
        <v>154</v>
      </c>
      <c r="B30" s="224" t="s">
        <v>191</v>
      </c>
      <c r="C30" s="526" t="s">
        <v>192</v>
      </c>
      <c r="D30" s="527"/>
      <c r="E30" s="223" t="s">
        <v>114</v>
      </c>
      <c r="F30" s="223" t="s">
        <v>114</v>
      </c>
      <c r="G30" s="223" t="s">
        <v>114</v>
      </c>
      <c r="H30" s="235">
        <f>SUM(H31:H31)</f>
        <v>0</v>
      </c>
      <c r="I30" s="235">
        <f>SUM(I31:I31)</f>
        <v>0</v>
      </c>
      <c r="J30" s="235">
        <f>SUM(J31:J31)</f>
        <v>0</v>
      </c>
      <c r="K30" s="230" t="s">
        <v>154</v>
      </c>
      <c r="L30" s="235">
        <f>SUM(L31:L31)</f>
        <v>0</v>
      </c>
      <c r="M30" s="243" t="s">
        <v>154</v>
      </c>
      <c r="AG30" s="229" t="s">
        <v>154</v>
      </c>
      <c r="AQ30" s="222">
        <f>SUM(AH31:AH31)</f>
        <v>0</v>
      </c>
      <c r="AR30" s="222">
        <f>SUM(AI31:AI31)</f>
        <v>0</v>
      </c>
      <c r="AS30" s="222">
        <f>SUM(AJ31:AJ31)</f>
        <v>0</v>
      </c>
    </row>
    <row r="31" spans="1:74" ht="14.4" x14ac:dyDescent="0.3">
      <c r="A31" s="239" t="s">
        <v>193</v>
      </c>
      <c r="B31" s="223" t="s">
        <v>199</v>
      </c>
      <c r="C31" s="521" t="s">
        <v>200</v>
      </c>
      <c r="D31" s="519"/>
      <c r="E31" s="223" t="s">
        <v>196</v>
      </c>
      <c r="F31" s="233">
        <v>2</v>
      </c>
      <c r="G31" s="311">
        <v>0</v>
      </c>
      <c r="H31" s="233">
        <f>F31*AM31</f>
        <v>0</v>
      </c>
      <c r="I31" s="233">
        <f>F31*AN31</f>
        <v>0</v>
      </c>
      <c r="J31" s="233">
        <f>F31*G31</f>
        <v>0</v>
      </c>
      <c r="K31" s="233">
        <v>0</v>
      </c>
      <c r="L31" s="233">
        <f>F31*K31</f>
        <v>0</v>
      </c>
      <c r="M31" s="240" t="s">
        <v>472</v>
      </c>
      <c r="X31" s="233">
        <f>IF(AO31="5",BH31,0)</f>
        <v>0</v>
      </c>
      <c r="Z31" s="233">
        <f>IF(AO31="1",BF31,0)</f>
        <v>0</v>
      </c>
      <c r="AA31" s="233">
        <f>IF(AO31="1",BG31,0)</f>
        <v>0</v>
      </c>
      <c r="AB31" s="233">
        <f>IF(AO31="7",BF31,0)</f>
        <v>0</v>
      </c>
      <c r="AC31" s="233">
        <f>IF(AO31="7",BG31,0)</f>
        <v>0</v>
      </c>
      <c r="AD31" s="233">
        <f>IF(AO31="2",BF31,0)</f>
        <v>0</v>
      </c>
      <c r="AE31" s="233">
        <f>IF(AO31="2",BG31,0)</f>
        <v>0</v>
      </c>
      <c r="AF31" s="233">
        <f>IF(AO31="0",BH31,0)</f>
        <v>0</v>
      </c>
      <c r="AG31" s="229" t="s">
        <v>154</v>
      </c>
      <c r="AH31" s="233">
        <f>IF(AL31=0,J31,0)</f>
        <v>0</v>
      </c>
      <c r="AI31" s="233">
        <f>IF(AL31=15,J31,0)</f>
        <v>0</v>
      </c>
      <c r="AJ31" s="233">
        <f>IF(AL31=21,J31,0)</f>
        <v>0</v>
      </c>
      <c r="AL31" s="233">
        <v>21</v>
      </c>
      <c r="AM31" s="233">
        <f>G31*0</f>
        <v>0</v>
      </c>
      <c r="AN31" s="233">
        <f>G31*(1-0)</f>
        <v>0</v>
      </c>
      <c r="AO31" s="234" t="s">
        <v>157</v>
      </c>
      <c r="AT31" s="233">
        <f>AU31+AV31</f>
        <v>0</v>
      </c>
      <c r="AU31" s="233">
        <f>F31*AM31</f>
        <v>0</v>
      </c>
      <c r="AV31" s="233">
        <f>F31*AN31</f>
        <v>0</v>
      </c>
      <c r="AW31" s="234" t="s">
        <v>197</v>
      </c>
      <c r="AX31" s="234" t="s">
        <v>163</v>
      </c>
      <c r="AY31" s="229" t="s">
        <v>164</v>
      </c>
      <c r="BA31" s="233">
        <f>AU31+AV31</f>
        <v>0</v>
      </c>
      <c r="BB31" s="233">
        <f>G31/(100-BC31)*100</f>
        <v>0</v>
      </c>
      <c r="BC31" s="233">
        <v>0</v>
      </c>
      <c r="BD31" s="233">
        <f>L31</f>
        <v>0</v>
      </c>
      <c r="BF31" s="233">
        <f>F31*AM31</f>
        <v>0</v>
      </c>
      <c r="BG31" s="233">
        <f>F31*AN31</f>
        <v>0</v>
      </c>
      <c r="BH31" s="233">
        <f>F31*G31</f>
        <v>0</v>
      </c>
      <c r="BI31" s="233"/>
      <c r="BJ31" s="233">
        <v>12</v>
      </c>
      <c r="BU31" s="233" t="e">
        <f>#REF!</f>
        <v>#REF!</v>
      </c>
      <c r="BV31" s="225" t="s">
        <v>200</v>
      </c>
    </row>
    <row r="32" spans="1:74" ht="13.5" customHeight="1" x14ac:dyDescent="0.3">
      <c r="A32" s="241"/>
      <c r="B32" s="242" t="s">
        <v>165</v>
      </c>
      <c r="C32" s="530" t="s">
        <v>480</v>
      </c>
      <c r="D32" s="531"/>
      <c r="E32" s="531"/>
      <c r="F32" s="531"/>
      <c r="G32" s="531"/>
      <c r="H32" s="531"/>
      <c r="I32" s="531"/>
      <c r="J32" s="531"/>
      <c r="K32" s="531"/>
      <c r="L32" s="531"/>
      <c r="M32" s="532"/>
    </row>
    <row r="33" spans="1:74" ht="14.4" x14ac:dyDescent="0.3">
      <c r="A33" s="239" t="s">
        <v>154</v>
      </c>
      <c r="B33" s="224" t="s">
        <v>201</v>
      </c>
      <c r="C33" s="526" t="s">
        <v>202</v>
      </c>
      <c r="D33" s="527"/>
      <c r="E33" s="223" t="s">
        <v>114</v>
      </c>
      <c r="F33" s="223" t="s">
        <v>114</v>
      </c>
      <c r="G33" s="223" t="s">
        <v>114</v>
      </c>
      <c r="H33" s="235">
        <f>SUM(H34:H46)</f>
        <v>0</v>
      </c>
      <c r="I33" s="235">
        <f>SUM(I34:I46)</f>
        <v>0</v>
      </c>
      <c r="J33" s="235">
        <f>SUM(J34:J46)</f>
        <v>0</v>
      </c>
      <c r="K33" s="230" t="s">
        <v>154</v>
      </c>
      <c r="L33" s="235">
        <f>SUM(L34:L46)</f>
        <v>0</v>
      </c>
      <c r="M33" s="243" t="s">
        <v>154</v>
      </c>
      <c r="AG33" s="229" t="s">
        <v>154</v>
      </c>
      <c r="AQ33" s="222">
        <f>SUM(AH34:AH46)</f>
        <v>0</v>
      </c>
      <c r="AR33" s="222">
        <f>SUM(AI34:AI46)</f>
        <v>0</v>
      </c>
      <c r="AS33" s="222">
        <f>SUM(AJ34:AJ46)</f>
        <v>0</v>
      </c>
    </row>
    <row r="34" spans="1:74" ht="14.4" x14ac:dyDescent="0.3">
      <c r="A34" s="239" t="s">
        <v>198</v>
      </c>
      <c r="B34" s="223" t="s">
        <v>203</v>
      </c>
      <c r="C34" s="521" t="s">
        <v>204</v>
      </c>
      <c r="D34" s="519"/>
      <c r="E34" s="223" t="s">
        <v>196</v>
      </c>
      <c r="F34" s="233">
        <v>30.71</v>
      </c>
      <c r="G34" s="311">
        <v>0</v>
      </c>
      <c r="H34" s="233">
        <f>F34*AM34</f>
        <v>0</v>
      </c>
      <c r="I34" s="233">
        <f>F34*AN34</f>
        <v>0</v>
      </c>
      <c r="J34" s="233">
        <f>F34*G34</f>
        <v>0</v>
      </c>
      <c r="K34" s="233">
        <v>0</v>
      </c>
      <c r="L34" s="233">
        <f>F34*K34</f>
        <v>0</v>
      </c>
      <c r="M34" s="240" t="s">
        <v>472</v>
      </c>
      <c r="X34" s="233">
        <f>IF(AO34="5",BH34,0)</f>
        <v>0</v>
      </c>
      <c r="Z34" s="233">
        <f>IF(AO34="1",BF34,0)</f>
        <v>0</v>
      </c>
      <c r="AA34" s="233">
        <f>IF(AO34="1",BG34,0)</f>
        <v>0</v>
      </c>
      <c r="AB34" s="233">
        <f>IF(AO34="7",BF34,0)</f>
        <v>0</v>
      </c>
      <c r="AC34" s="233">
        <f>IF(AO34="7",BG34,0)</f>
        <v>0</v>
      </c>
      <c r="AD34" s="233">
        <f>IF(AO34="2",BF34,0)</f>
        <v>0</v>
      </c>
      <c r="AE34" s="233">
        <f>IF(AO34="2",BG34,0)</f>
        <v>0</v>
      </c>
      <c r="AF34" s="233">
        <f>IF(AO34="0",BH34,0)</f>
        <v>0</v>
      </c>
      <c r="AG34" s="229" t="s">
        <v>154</v>
      </c>
      <c r="AH34" s="233">
        <f>IF(AL34=0,J34,0)</f>
        <v>0</v>
      </c>
      <c r="AI34" s="233">
        <f>IF(AL34=15,J34,0)</f>
        <v>0</v>
      </c>
      <c r="AJ34" s="233">
        <f>IF(AL34=21,J34,0)</f>
        <v>0</v>
      </c>
      <c r="AL34" s="233">
        <v>21</v>
      </c>
      <c r="AM34" s="233">
        <f>G34*0</f>
        <v>0</v>
      </c>
      <c r="AN34" s="233">
        <f>G34*(1-0)</f>
        <v>0</v>
      </c>
      <c r="AO34" s="234" t="s">
        <v>157</v>
      </c>
      <c r="AT34" s="233">
        <f>AU34+AV34</f>
        <v>0</v>
      </c>
      <c r="AU34" s="233">
        <f>F34*AM34</f>
        <v>0</v>
      </c>
      <c r="AV34" s="233">
        <f>F34*AN34</f>
        <v>0</v>
      </c>
      <c r="AW34" s="234" t="s">
        <v>205</v>
      </c>
      <c r="AX34" s="234" t="s">
        <v>163</v>
      </c>
      <c r="AY34" s="229" t="s">
        <v>164</v>
      </c>
      <c r="BA34" s="233">
        <f>AU34+AV34</f>
        <v>0</v>
      </c>
      <c r="BB34" s="233">
        <f>G34/(100-BC34)*100</f>
        <v>0</v>
      </c>
      <c r="BC34" s="233">
        <v>0</v>
      </c>
      <c r="BD34" s="233">
        <f>L34</f>
        <v>0</v>
      </c>
      <c r="BF34" s="233">
        <f>F34*AM34</f>
        <v>0</v>
      </c>
      <c r="BG34" s="233">
        <f>F34*AN34</f>
        <v>0</v>
      </c>
      <c r="BH34" s="233">
        <f>F34*G34</f>
        <v>0</v>
      </c>
      <c r="BI34" s="233"/>
      <c r="BJ34" s="233">
        <v>13</v>
      </c>
      <c r="BU34" s="233" t="e">
        <f>#REF!</f>
        <v>#REF!</v>
      </c>
      <c r="BV34" s="225" t="s">
        <v>204</v>
      </c>
    </row>
    <row r="35" spans="1:74" ht="81" customHeight="1" x14ac:dyDescent="0.3">
      <c r="A35" s="241"/>
      <c r="B35" s="242" t="s">
        <v>165</v>
      </c>
      <c r="C35" s="530" t="s">
        <v>1492</v>
      </c>
      <c r="D35" s="531"/>
      <c r="E35" s="531"/>
      <c r="F35" s="531"/>
      <c r="G35" s="531"/>
      <c r="H35" s="531"/>
      <c r="I35" s="531"/>
      <c r="J35" s="531"/>
      <c r="K35" s="531"/>
      <c r="L35" s="531"/>
      <c r="M35" s="532"/>
    </row>
    <row r="36" spans="1:74" ht="14.4" x14ac:dyDescent="0.3">
      <c r="A36" s="239" t="s">
        <v>155</v>
      </c>
      <c r="B36" s="223" t="s">
        <v>206</v>
      </c>
      <c r="C36" s="521" t="s">
        <v>481</v>
      </c>
      <c r="D36" s="519"/>
      <c r="E36" s="223" t="s">
        <v>196</v>
      </c>
      <c r="F36" s="233">
        <v>15.36</v>
      </c>
      <c r="G36" s="311">
        <v>0</v>
      </c>
      <c r="H36" s="233">
        <f>F36*AM36</f>
        <v>0</v>
      </c>
      <c r="I36" s="233">
        <f>F36*AN36</f>
        <v>0</v>
      </c>
      <c r="J36" s="233">
        <f>F36*G36</f>
        <v>0</v>
      </c>
      <c r="K36" s="233">
        <v>0</v>
      </c>
      <c r="L36" s="233">
        <f>F36*K36</f>
        <v>0</v>
      </c>
      <c r="M36" s="240" t="s">
        <v>472</v>
      </c>
      <c r="X36" s="233">
        <f>IF(AO36="5",BH36,0)</f>
        <v>0</v>
      </c>
      <c r="Z36" s="233">
        <f>IF(AO36="1",BF36,0)</f>
        <v>0</v>
      </c>
      <c r="AA36" s="233">
        <f>IF(AO36="1",BG36,0)</f>
        <v>0</v>
      </c>
      <c r="AB36" s="233">
        <f>IF(AO36="7",BF36,0)</f>
        <v>0</v>
      </c>
      <c r="AC36" s="233">
        <f>IF(AO36="7",BG36,0)</f>
        <v>0</v>
      </c>
      <c r="AD36" s="233">
        <f>IF(AO36="2",BF36,0)</f>
        <v>0</v>
      </c>
      <c r="AE36" s="233">
        <f>IF(AO36="2",BG36,0)</f>
        <v>0</v>
      </c>
      <c r="AF36" s="233">
        <f>IF(AO36="0",BH36,0)</f>
        <v>0</v>
      </c>
      <c r="AG36" s="229" t="s">
        <v>154</v>
      </c>
      <c r="AH36" s="233">
        <f>IF(AL36=0,J36,0)</f>
        <v>0</v>
      </c>
      <c r="AI36" s="233">
        <f>IF(AL36=15,J36,0)</f>
        <v>0</v>
      </c>
      <c r="AJ36" s="233">
        <f>IF(AL36=21,J36,0)</f>
        <v>0</v>
      </c>
      <c r="AL36" s="233">
        <v>21</v>
      </c>
      <c r="AM36" s="233">
        <f>G36*0</f>
        <v>0</v>
      </c>
      <c r="AN36" s="233">
        <f>G36*(1-0)</f>
        <v>0</v>
      </c>
      <c r="AO36" s="234" t="s">
        <v>157</v>
      </c>
      <c r="AT36" s="233">
        <f>AU36+AV36</f>
        <v>0</v>
      </c>
      <c r="AU36" s="233">
        <f>F36*AM36</f>
        <v>0</v>
      </c>
      <c r="AV36" s="233">
        <f>F36*AN36</f>
        <v>0</v>
      </c>
      <c r="AW36" s="234" t="s">
        <v>205</v>
      </c>
      <c r="AX36" s="234" t="s">
        <v>163</v>
      </c>
      <c r="AY36" s="229" t="s">
        <v>164</v>
      </c>
      <c r="BA36" s="233">
        <f>AU36+AV36</f>
        <v>0</v>
      </c>
      <c r="BB36" s="233">
        <f>G36/(100-BC36)*100</f>
        <v>0</v>
      </c>
      <c r="BC36" s="233">
        <v>0</v>
      </c>
      <c r="BD36" s="233">
        <f>L36</f>
        <v>0</v>
      </c>
      <c r="BF36" s="233">
        <f>F36*AM36</f>
        <v>0</v>
      </c>
      <c r="BG36" s="233">
        <f>F36*AN36</f>
        <v>0</v>
      </c>
      <c r="BH36" s="233">
        <f>F36*G36</f>
        <v>0</v>
      </c>
      <c r="BI36" s="233"/>
      <c r="BJ36" s="233">
        <v>13</v>
      </c>
      <c r="BU36" s="233" t="e">
        <f>#REF!</f>
        <v>#REF!</v>
      </c>
      <c r="BV36" s="225" t="s">
        <v>481</v>
      </c>
    </row>
    <row r="37" spans="1:74" ht="40.5" customHeight="1" x14ac:dyDescent="0.3">
      <c r="A37" s="241"/>
      <c r="B37" s="242" t="s">
        <v>165</v>
      </c>
      <c r="C37" s="530" t="s">
        <v>1493</v>
      </c>
      <c r="D37" s="531"/>
      <c r="E37" s="531"/>
      <c r="F37" s="531"/>
      <c r="G37" s="531"/>
      <c r="H37" s="531"/>
      <c r="I37" s="531"/>
      <c r="J37" s="531"/>
      <c r="K37" s="531"/>
      <c r="L37" s="531"/>
      <c r="M37" s="532"/>
    </row>
    <row r="38" spans="1:74" ht="14.4" x14ac:dyDescent="0.3">
      <c r="A38" s="239" t="s">
        <v>191</v>
      </c>
      <c r="B38" s="223" t="s">
        <v>208</v>
      </c>
      <c r="C38" s="521" t="s">
        <v>209</v>
      </c>
      <c r="D38" s="519"/>
      <c r="E38" s="223" t="s">
        <v>196</v>
      </c>
      <c r="F38" s="233">
        <v>24.56</v>
      </c>
      <c r="G38" s="311">
        <v>0</v>
      </c>
      <c r="H38" s="233">
        <f>F38*AM38</f>
        <v>0</v>
      </c>
      <c r="I38" s="233">
        <f>F38*AN38</f>
        <v>0</v>
      </c>
      <c r="J38" s="233">
        <f>F38*G38</f>
        <v>0</v>
      </c>
      <c r="K38" s="233">
        <v>0</v>
      </c>
      <c r="L38" s="233">
        <f>F38*K38</f>
        <v>0</v>
      </c>
      <c r="M38" s="240" t="s">
        <v>472</v>
      </c>
      <c r="X38" s="233">
        <f>IF(AO38="5",BH38,0)</f>
        <v>0</v>
      </c>
      <c r="Z38" s="233">
        <f>IF(AO38="1",BF38,0)</f>
        <v>0</v>
      </c>
      <c r="AA38" s="233">
        <f>IF(AO38="1",BG38,0)</f>
        <v>0</v>
      </c>
      <c r="AB38" s="233">
        <f>IF(AO38="7",BF38,0)</f>
        <v>0</v>
      </c>
      <c r="AC38" s="233">
        <f>IF(AO38="7",BG38,0)</f>
        <v>0</v>
      </c>
      <c r="AD38" s="233">
        <f>IF(AO38="2",BF38,0)</f>
        <v>0</v>
      </c>
      <c r="AE38" s="233">
        <f>IF(AO38="2",BG38,0)</f>
        <v>0</v>
      </c>
      <c r="AF38" s="233">
        <f>IF(AO38="0",BH38,0)</f>
        <v>0</v>
      </c>
      <c r="AG38" s="229" t="s">
        <v>154</v>
      </c>
      <c r="AH38" s="233">
        <f>IF(AL38=0,J38,0)</f>
        <v>0</v>
      </c>
      <c r="AI38" s="233">
        <f>IF(AL38=15,J38,0)</f>
        <v>0</v>
      </c>
      <c r="AJ38" s="233">
        <f>IF(AL38=21,J38,0)</f>
        <v>0</v>
      </c>
      <c r="AL38" s="233">
        <v>21</v>
      </c>
      <c r="AM38" s="233">
        <f>G38*0</f>
        <v>0</v>
      </c>
      <c r="AN38" s="233">
        <f>G38*(1-0)</f>
        <v>0</v>
      </c>
      <c r="AO38" s="234" t="s">
        <v>157</v>
      </c>
      <c r="AT38" s="233">
        <f>AU38+AV38</f>
        <v>0</v>
      </c>
      <c r="AU38" s="233">
        <f>F38*AM38</f>
        <v>0</v>
      </c>
      <c r="AV38" s="233">
        <f>F38*AN38</f>
        <v>0</v>
      </c>
      <c r="AW38" s="234" t="s">
        <v>205</v>
      </c>
      <c r="AX38" s="234" t="s">
        <v>163</v>
      </c>
      <c r="AY38" s="229" t="s">
        <v>164</v>
      </c>
      <c r="BA38" s="233">
        <f>AU38+AV38</f>
        <v>0</v>
      </c>
      <c r="BB38" s="233">
        <f>G38/(100-BC38)*100</f>
        <v>0</v>
      </c>
      <c r="BC38" s="233">
        <v>0</v>
      </c>
      <c r="BD38" s="233">
        <f>L38</f>
        <v>0</v>
      </c>
      <c r="BF38" s="233">
        <f>F38*AM38</f>
        <v>0</v>
      </c>
      <c r="BG38" s="233">
        <f>F38*AN38</f>
        <v>0</v>
      </c>
      <c r="BH38" s="233">
        <f>F38*G38</f>
        <v>0</v>
      </c>
      <c r="BI38" s="233"/>
      <c r="BJ38" s="233">
        <v>13</v>
      </c>
      <c r="BU38" s="233" t="e">
        <f>#REF!</f>
        <v>#REF!</v>
      </c>
      <c r="BV38" s="225" t="s">
        <v>209</v>
      </c>
    </row>
    <row r="39" spans="1:74" ht="81" customHeight="1" x14ac:dyDescent="0.3">
      <c r="A39" s="241"/>
      <c r="B39" s="242" t="s">
        <v>165</v>
      </c>
      <c r="C39" s="530" t="s">
        <v>1494</v>
      </c>
      <c r="D39" s="531"/>
      <c r="E39" s="531"/>
      <c r="F39" s="531"/>
      <c r="G39" s="531"/>
      <c r="H39" s="531"/>
      <c r="I39" s="531"/>
      <c r="J39" s="531"/>
      <c r="K39" s="531"/>
      <c r="L39" s="531"/>
      <c r="M39" s="532"/>
    </row>
    <row r="40" spans="1:74" ht="14.4" x14ac:dyDescent="0.3">
      <c r="A40" s="239" t="s">
        <v>201</v>
      </c>
      <c r="B40" s="223" t="s">
        <v>211</v>
      </c>
      <c r="C40" s="521" t="s">
        <v>482</v>
      </c>
      <c r="D40" s="519"/>
      <c r="E40" s="223" t="s">
        <v>196</v>
      </c>
      <c r="F40" s="233">
        <v>6.14</v>
      </c>
      <c r="G40" s="311">
        <v>0</v>
      </c>
      <c r="H40" s="233">
        <f>F40*AM40</f>
        <v>0</v>
      </c>
      <c r="I40" s="233">
        <f>F40*AN40</f>
        <v>0</v>
      </c>
      <c r="J40" s="233">
        <f>F40*G40</f>
        <v>0</v>
      </c>
      <c r="K40" s="233">
        <v>0</v>
      </c>
      <c r="L40" s="233">
        <f>F40*K40</f>
        <v>0</v>
      </c>
      <c r="M40" s="240" t="s">
        <v>472</v>
      </c>
      <c r="X40" s="233">
        <f>IF(AO40="5",BH40,0)</f>
        <v>0</v>
      </c>
      <c r="Z40" s="233">
        <f>IF(AO40="1",BF40,0)</f>
        <v>0</v>
      </c>
      <c r="AA40" s="233">
        <f>IF(AO40="1",BG40,0)</f>
        <v>0</v>
      </c>
      <c r="AB40" s="233">
        <f>IF(AO40="7",BF40,0)</f>
        <v>0</v>
      </c>
      <c r="AC40" s="233">
        <f>IF(AO40="7",BG40,0)</f>
        <v>0</v>
      </c>
      <c r="AD40" s="233">
        <f>IF(AO40="2",BF40,0)</f>
        <v>0</v>
      </c>
      <c r="AE40" s="233">
        <f>IF(AO40="2",BG40,0)</f>
        <v>0</v>
      </c>
      <c r="AF40" s="233">
        <f>IF(AO40="0",BH40,0)</f>
        <v>0</v>
      </c>
      <c r="AG40" s="229" t="s">
        <v>154</v>
      </c>
      <c r="AH40" s="233">
        <f>IF(AL40=0,J40,0)</f>
        <v>0</v>
      </c>
      <c r="AI40" s="233">
        <f>IF(AL40=15,J40,0)</f>
        <v>0</v>
      </c>
      <c r="AJ40" s="233">
        <f>IF(AL40=21,J40,0)</f>
        <v>0</v>
      </c>
      <c r="AL40" s="233">
        <v>21</v>
      </c>
      <c r="AM40" s="233">
        <f>G40*0</f>
        <v>0</v>
      </c>
      <c r="AN40" s="233">
        <f>G40*(1-0)</f>
        <v>0</v>
      </c>
      <c r="AO40" s="234" t="s">
        <v>157</v>
      </c>
      <c r="AT40" s="233">
        <f>AU40+AV40</f>
        <v>0</v>
      </c>
      <c r="AU40" s="233">
        <f>F40*AM40</f>
        <v>0</v>
      </c>
      <c r="AV40" s="233">
        <f>F40*AN40</f>
        <v>0</v>
      </c>
      <c r="AW40" s="234" t="s">
        <v>205</v>
      </c>
      <c r="AX40" s="234" t="s">
        <v>163</v>
      </c>
      <c r="AY40" s="229" t="s">
        <v>164</v>
      </c>
      <c r="BA40" s="233">
        <f>AU40+AV40</f>
        <v>0</v>
      </c>
      <c r="BB40" s="233">
        <f>G40/(100-BC40)*100</f>
        <v>0</v>
      </c>
      <c r="BC40" s="233">
        <v>0</v>
      </c>
      <c r="BD40" s="233">
        <f>L40</f>
        <v>0</v>
      </c>
      <c r="BF40" s="233">
        <f>F40*AM40</f>
        <v>0</v>
      </c>
      <c r="BG40" s="233">
        <f>F40*AN40</f>
        <v>0</v>
      </c>
      <c r="BH40" s="233">
        <f>F40*G40</f>
        <v>0</v>
      </c>
      <c r="BI40" s="233"/>
      <c r="BJ40" s="233">
        <v>13</v>
      </c>
      <c r="BU40" s="233" t="e">
        <f>#REF!</f>
        <v>#REF!</v>
      </c>
      <c r="BV40" s="225" t="s">
        <v>482</v>
      </c>
    </row>
    <row r="41" spans="1:74" ht="40.5" customHeight="1" x14ac:dyDescent="0.3">
      <c r="A41" s="241"/>
      <c r="B41" s="242" t="s">
        <v>165</v>
      </c>
      <c r="C41" s="530" t="s">
        <v>1495</v>
      </c>
      <c r="D41" s="531"/>
      <c r="E41" s="531"/>
      <c r="F41" s="531"/>
      <c r="G41" s="531"/>
      <c r="H41" s="531"/>
      <c r="I41" s="531"/>
      <c r="J41" s="531"/>
      <c r="K41" s="531"/>
      <c r="L41" s="531"/>
      <c r="M41" s="532"/>
    </row>
    <row r="42" spans="1:74" ht="14.4" x14ac:dyDescent="0.3">
      <c r="A42" s="239" t="s">
        <v>210</v>
      </c>
      <c r="B42" s="223" t="s">
        <v>213</v>
      </c>
      <c r="C42" s="521" t="s">
        <v>214</v>
      </c>
      <c r="D42" s="519"/>
      <c r="E42" s="223" t="s">
        <v>196</v>
      </c>
      <c r="F42" s="233">
        <v>6.15</v>
      </c>
      <c r="G42" s="311">
        <v>0</v>
      </c>
      <c r="H42" s="233">
        <f>F42*AM42</f>
        <v>0</v>
      </c>
      <c r="I42" s="233">
        <f>F42*AN42</f>
        <v>0</v>
      </c>
      <c r="J42" s="233">
        <f>F42*G42</f>
        <v>0</v>
      </c>
      <c r="K42" s="233">
        <v>0</v>
      </c>
      <c r="L42" s="233">
        <f>F42*K42</f>
        <v>0</v>
      </c>
      <c r="M42" s="240" t="s">
        <v>472</v>
      </c>
      <c r="X42" s="233">
        <f>IF(AO42="5",BH42,0)</f>
        <v>0</v>
      </c>
      <c r="Z42" s="233">
        <f>IF(AO42="1",BF42,0)</f>
        <v>0</v>
      </c>
      <c r="AA42" s="233">
        <f>IF(AO42="1",BG42,0)</f>
        <v>0</v>
      </c>
      <c r="AB42" s="233">
        <f>IF(AO42="7",BF42,0)</f>
        <v>0</v>
      </c>
      <c r="AC42" s="233">
        <f>IF(AO42="7",BG42,0)</f>
        <v>0</v>
      </c>
      <c r="AD42" s="233">
        <f>IF(AO42="2",BF42,0)</f>
        <v>0</v>
      </c>
      <c r="AE42" s="233">
        <f>IF(AO42="2",BG42,0)</f>
        <v>0</v>
      </c>
      <c r="AF42" s="233">
        <f>IF(AO42="0",BH42,0)</f>
        <v>0</v>
      </c>
      <c r="AG42" s="229" t="s">
        <v>154</v>
      </c>
      <c r="AH42" s="233">
        <f>IF(AL42=0,J42,0)</f>
        <v>0</v>
      </c>
      <c r="AI42" s="233">
        <f>IF(AL42=15,J42,0)</f>
        <v>0</v>
      </c>
      <c r="AJ42" s="233">
        <f>IF(AL42=21,J42,0)</f>
        <v>0</v>
      </c>
      <c r="AL42" s="233">
        <v>21</v>
      </c>
      <c r="AM42" s="233">
        <f>G42*0</f>
        <v>0</v>
      </c>
      <c r="AN42" s="233">
        <f>G42*(1-0)</f>
        <v>0</v>
      </c>
      <c r="AO42" s="234" t="s">
        <v>157</v>
      </c>
      <c r="AT42" s="233">
        <f>AU42+AV42</f>
        <v>0</v>
      </c>
      <c r="AU42" s="233">
        <f>F42*AM42</f>
        <v>0</v>
      </c>
      <c r="AV42" s="233">
        <f>F42*AN42</f>
        <v>0</v>
      </c>
      <c r="AW42" s="234" t="s">
        <v>205</v>
      </c>
      <c r="AX42" s="234" t="s">
        <v>163</v>
      </c>
      <c r="AY42" s="229" t="s">
        <v>164</v>
      </c>
      <c r="BA42" s="233">
        <f>AU42+AV42</f>
        <v>0</v>
      </c>
      <c r="BB42" s="233">
        <f>G42/(100-BC42)*100</f>
        <v>0</v>
      </c>
      <c r="BC42" s="233">
        <v>0</v>
      </c>
      <c r="BD42" s="233">
        <f>L42</f>
        <v>0</v>
      </c>
      <c r="BF42" s="233">
        <f>F42*AM42</f>
        <v>0</v>
      </c>
      <c r="BG42" s="233">
        <f>F42*AN42</f>
        <v>0</v>
      </c>
      <c r="BH42" s="233">
        <f>F42*G42</f>
        <v>0</v>
      </c>
      <c r="BI42" s="233"/>
      <c r="BJ42" s="233">
        <v>13</v>
      </c>
      <c r="BU42" s="233" t="e">
        <f>#REF!</f>
        <v>#REF!</v>
      </c>
      <c r="BV42" s="225" t="s">
        <v>214</v>
      </c>
    </row>
    <row r="43" spans="1:74" ht="94.5" customHeight="1" x14ac:dyDescent="0.3">
      <c r="A43" s="241"/>
      <c r="B43" s="242" t="s">
        <v>165</v>
      </c>
      <c r="C43" s="530" t="s">
        <v>1496</v>
      </c>
      <c r="D43" s="531"/>
      <c r="E43" s="531"/>
      <c r="F43" s="531"/>
      <c r="G43" s="531"/>
      <c r="H43" s="531"/>
      <c r="I43" s="531"/>
      <c r="J43" s="531"/>
      <c r="K43" s="531"/>
      <c r="L43" s="531"/>
      <c r="M43" s="532"/>
    </row>
    <row r="44" spans="1:74" ht="14.4" x14ac:dyDescent="0.3">
      <c r="A44" s="239" t="s">
        <v>161</v>
      </c>
      <c r="B44" s="223" t="s">
        <v>216</v>
      </c>
      <c r="C44" s="521" t="s">
        <v>217</v>
      </c>
      <c r="D44" s="519"/>
      <c r="E44" s="223" t="s">
        <v>196</v>
      </c>
      <c r="F44" s="233">
        <v>3</v>
      </c>
      <c r="G44" s="311">
        <v>0</v>
      </c>
      <c r="H44" s="233">
        <f>F44*AM44</f>
        <v>0</v>
      </c>
      <c r="I44" s="233">
        <f>F44*AN44</f>
        <v>0</v>
      </c>
      <c r="J44" s="233">
        <f>F44*G44</f>
        <v>0</v>
      </c>
      <c r="K44" s="233">
        <v>0</v>
      </c>
      <c r="L44" s="233">
        <f>F44*K44</f>
        <v>0</v>
      </c>
      <c r="M44" s="240" t="s">
        <v>472</v>
      </c>
      <c r="X44" s="233">
        <f>IF(AO44="5",BH44,0)</f>
        <v>0</v>
      </c>
      <c r="Z44" s="233">
        <f>IF(AO44="1",BF44,0)</f>
        <v>0</v>
      </c>
      <c r="AA44" s="233">
        <f>IF(AO44="1",BG44,0)</f>
        <v>0</v>
      </c>
      <c r="AB44" s="233">
        <f>IF(AO44="7",BF44,0)</f>
        <v>0</v>
      </c>
      <c r="AC44" s="233">
        <f>IF(AO44="7",BG44,0)</f>
        <v>0</v>
      </c>
      <c r="AD44" s="233">
        <f>IF(AO44="2",BF44,0)</f>
        <v>0</v>
      </c>
      <c r="AE44" s="233">
        <f>IF(AO44="2",BG44,0)</f>
        <v>0</v>
      </c>
      <c r="AF44" s="233">
        <f>IF(AO44="0",BH44,0)</f>
        <v>0</v>
      </c>
      <c r="AG44" s="229" t="s">
        <v>154</v>
      </c>
      <c r="AH44" s="233">
        <f>IF(AL44=0,J44,0)</f>
        <v>0</v>
      </c>
      <c r="AI44" s="233">
        <f>IF(AL44=15,J44,0)</f>
        <v>0</v>
      </c>
      <c r="AJ44" s="233">
        <f>IF(AL44=21,J44,0)</f>
        <v>0</v>
      </c>
      <c r="AL44" s="233">
        <v>21</v>
      </c>
      <c r="AM44" s="233">
        <f>G44*0</f>
        <v>0</v>
      </c>
      <c r="AN44" s="233">
        <f>G44*(1-0)</f>
        <v>0</v>
      </c>
      <c r="AO44" s="234" t="s">
        <v>157</v>
      </c>
      <c r="AT44" s="233">
        <f>AU44+AV44</f>
        <v>0</v>
      </c>
      <c r="AU44" s="233">
        <f>F44*AM44</f>
        <v>0</v>
      </c>
      <c r="AV44" s="233">
        <f>F44*AN44</f>
        <v>0</v>
      </c>
      <c r="AW44" s="234" t="s">
        <v>205</v>
      </c>
      <c r="AX44" s="234" t="s">
        <v>163</v>
      </c>
      <c r="AY44" s="229" t="s">
        <v>164</v>
      </c>
      <c r="BA44" s="233">
        <f>AU44+AV44</f>
        <v>0</v>
      </c>
      <c r="BB44" s="233">
        <f>G44/(100-BC44)*100</f>
        <v>0</v>
      </c>
      <c r="BC44" s="233">
        <v>0</v>
      </c>
      <c r="BD44" s="233">
        <f>L44</f>
        <v>0</v>
      </c>
      <c r="BF44" s="233">
        <f>F44*AM44</f>
        <v>0</v>
      </c>
      <c r="BG44" s="233">
        <f>F44*AN44</f>
        <v>0</v>
      </c>
      <c r="BH44" s="233">
        <f>F44*G44</f>
        <v>0</v>
      </c>
      <c r="BI44" s="233"/>
      <c r="BJ44" s="233">
        <v>13</v>
      </c>
      <c r="BU44" s="233" t="e">
        <f>#REF!</f>
        <v>#REF!</v>
      </c>
      <c r="BV44" s="225" t="s">
        <v>217</v>
      </c>
    </row>
    <row r="45" spans="1:74" ht="13.5" customHeight="1" x14ac:dyDescent="0.3">
      <c r="A45" s="241"/>
      <c r="B45" s="242" t="s">
        <v>165</v>
      </c>
      <c r="C45" s="530" t="s">
        <v>218</v>
      </c>
      <c r="D45" s="531"/>
      <c r="E45" s="531"/>
      <c r="F45" s="531"/>
      <c r="G45" s="531"/>
      <c r="H45" s="531"/>
      <c r="I45" s="531"/>
      <c r="J45" s="531"/>
      <c r="K45" s="531"/>
      <c r="L45" s="531"/>
      <c r="M45" s="532"/>
    </row>
    <row r="46" spans="1:74" ht="14.4" x14ac:dyDescent="0.3">
      <c r="A46" s="239" t="s">
        <v>215</v>
      </c>
      <c r="B46" s="223" t="s">
        <v>483</v>
      </c>
      <c r="C46" s="521" t="s">
        <v>484</v>
      </c>
      <c r="D46" s="519"/>
      <c r="E46" s="223" t="s">
        <v>196</v>
      </c>
      <c r="F46" s="233">
        <v>2.75</v>
      </c>
      <c r="G46" s="311">
        <v>0</v>
      </c>
      <c r="H46" s="233">
        <f>F46*AM46</f>
        <v>0</v>
      </c>
      <c r="I46" s="233">
        <f>F46*AN46</f>
        <v>0</v>
      </c>
      <c r="J46" s="233">
        <f>F46*G46</f>
        <v>0</v>
      </c>
      <c r="K46" s="233">
        <v>0</v>
      </c>
      <c r="L46" s="233">
        <f>F46*K46</f>
        <v>0</v>
      </c>
      <c r="M46" s="240" t="s">
        <v>472</v>
      </c>
      <c r="X46" s="233">
        <f>IF(AO46="5",BH46,0)</f>
        <v>0</v>
      </c>
      <c r="Z46" s="233">
        <f>IF(AO46="1",BF46,0)</f>
        <v>0</v>
      </c>
      <c r="AA46" s="233">
        <f>IF(AO46="1",BG46,0)</f>
        <v>0</v>
      </c>
      <c r="AB46" s="233">
        <f>IF(AO46="7",BF46,0)</f>
        <v>0</v>
      </c>
      <c r="AC46" s="233">
        <f>IF(AO46="7",BG46,0)</f>
        <v>0</v>
      </c>
      <c r="AD46" s="233">
        <f>IF(AO46="2",BF46,0)</f>
        <v>0</v>
      </c>
      <c r="AE46" s="233">
        <f>IF(AO46="2",BG46,0)</f>
        <v>0</v>
      </c>
      <c r="AF46" s="233">
        <f>IF(AO46="0",BH46,0)</f>
        <v>0</v>
      </c>
      <c r="AG46" s="229" t="s">
        <v>154</v>
      </c>
      <c r="AH46" s="233">
        <f>IF(AL46=0,J46,0)</f>
        <v>0</v>
      </c>
      <c r="AI46" s="233">
        <f>IF(AL46=15,J46,0)</f>
        <v>0</v>
      </c>
      <c r="AJ46" s="233">
        <f>IF(AL46=21,J46,0)</f>
        <v>0</v>
      </c>
      <c r="AL46" s="233">
        <v>21</v>
      </c>
      <c r="AM46" s="233">
        <f>G46*0</f>
        <v>0</v>
      </c>
      <c r="AN46" s="233">
        <f>G46*(1-0)</f>
        <v>0</v>
      </c>
      <c r="AO46" s="234" t="s">
        <v>157</v>
      </c>
      <c r="AT46" s="233">
        <f>AU46+AV46</f>
        <v>0</v>
      </c>
      <c r="AU46" s="233">
        <f>F46*AM46</f>
        <v>0</v>
      </c>
      <c r="AV46" s="233">
        <f>F46*AN46</f>
        <v>0</v>
      </c>
      <c r="AW46" s="234" t="s">
        <v>205</v>
      </c>
      <c r="AX46" s="234" t="s">
        <v>163</v>
      </c>
      <c r="AY46" s="229" t="s">
        <v>164</v>
      </c>
      <c r="BA46" s="233">
        <f>AU46+AV46</f>
        <v>0</v>
      </c>
      <c r="BB46" s="233">
        <f>G46/(100-BC46)*100</f>
        <v>0</v>
      </c>
      <c r="BC46" s="233">
        <v>0</v>
      </c>
      <c r="BD46" s="233">
        <f>L46</f>
        <v>0</v>
      </c>
      <c r="BF46" s="233">
        <f>F46*AM46</f>
        <v>0</v>
      </c>
      <c r="BG46" s="233">
        <f>F46*AN46</f>
        <v>0</v>
      </c>
      <c r="BH46" s="233">
        <f>F46*G46</f>
        <v>0</v>
      </c>
      <c r="BI46" s="233"/>
      <c r="BJ46" s="233">
        <v>13</v>
      </c>
      <c r="BU46" s="233" t="e">
        <f>#REF!</f>
        <v>#REF!</v>
      </c>
      <c r="BV46" s="225" t="s">
        <v>484</v>
      </c>
    </row>
    <row r="47" spans="1:74" ht="40.5" customHeight="1" x14ac:dyDescent="0.3">
      <c r="A47" s="241"/>
      <c r="B47" s="242" t="s">
        <v>165</v>
      </c>
      <c r="C47" s="530" t="s">
        <v>1404</v>
      </c>
      <c r="D47" s="531"/>
      <c r="E47" s="531"/>
      <c r="F47" s="531"/>
      <c r="G47" s="531"/>
      <c r="H47" s="531"/>
      <c r="I47" s="531"/>
      <c r="J47" s="531"/>
      <c r="K47" s="531"/>
      <c r="L47" s="531"/>
      <c r="M47" s="532"/>
    </row>
    <row r="48" spans="1:74" ht="14.4" x14ac:dyDescent="0.3">
      <c r="A48" s="239" t="s">
        <v>154</v>
      </c>
      <c r="B48" s="224" t="s">
        <v>161</v>
      </c>
      <c r="C48" s="526" t="s">
        <v>219</v>
      </c>
      <c r="D48" s="527"/>
      <c r="E48" s="223" t="s">
        <v>114</v>
      </c>
      <c r="F48" s="223" t="s">
        <v>114</v>
      </c>
      <c r="G48" s="223" t="s">
        <v>114</v>
      </c>
      <c r="H48" s="235">
        <f>SUM(H49:H51)</f>
        <v>0</v>
      </c>
      <c r="I48" s="235">
        <f>SUM(I49:I51)</f>
        <v>0</v>
      </c>
      <c r="J48" s="235">
        <f>SUM(J49:J51)</f>
        <v>0</v>
      </c>
      <c r="K48" s="230" t="s">
        <v>154</v>
      </c>
      <c r="L48" s="235">
        <f>SUM(L49:L51)</f>
        <v>5.6192399999999997E-2</v>
      </c>
      <c r="M48" s="243" t="s">
        <v>154</v>
      </c>
      <c r="AG48" s="229" t="s">
        <v>154</v>
      </c>
      <c r="AQ48" s="222">
        <f>SUM(AH49:AH51)</f>
        <v>0</v>
      </c>
      <c r="AR48" s="222">
        <f>SUM(AI49:AI51)</f>
        <v>0</v>
      </c>
      <c r="AS48" s="222">
        <f>SUM(AJ49:AJ51)</f>
        <v>0</v>
      </c>
    </row>
    <row r="49" spans="1:74" ht="14.4" x14ac:dyDescent="0.3">
      <c r="A49" s="239" t="s">
        <v>220</v>
      </c>
      <c r="B49" s="223" t="s">
        <v>499</v>
      </c>
      <c r="C49" s="521" t="s">
        <v>500</v>
      </c>
      <c r="D49" s="519"/>
      <c r="E49" s="223" t="s">
        <v>180</v>
      </c>
      <c r="F49" s="233">
        <v>56.76</v>
      </c>
      <c r="G49" s="311">
        <v>0</v>
      </c>
      <c r="H49" s="233">
        <f>F49*AM49</f>
        <v>0</v>
      </c>
      <c r="I49" s="233">
        <f>F49*AN49</f>
        <v>0</v>
      </c>
      <c r="J49" s="233">
        <f>F49*G49</f>
        <v>0</v>
      </c>
      <c r="K49" s="233">
        <v>9.8999999999999999E-4</v>
      </c>
      <c r="L49" s="233">
        <f>F49*K49</f>
        <v>5.6192399999999997E-2</v>
      </c>
      <c r="M49" s="240" t="s">
        <v>472</v>
      </c>
      <c r="X49" s="233">
        <f>IF(AO49="5",BH49,0)</f>
        <v>0</v>
      </c>
      <c r="Z49" s="233">
        <f>IF(AO49="1",BF49,0)</f>
        <v>0</v>
      </c>
      <c r="AA49" s="233">
        <f>IF(AO49="1",BG49,0)</f>
        <v>0</v>
      </c>
      <c r="AB49" s="233">
        <f>IF(AO49="7",BF49,0)</f>
        <v>0</v>
      </c>
      <c r="AC49" s="233">
        <f>IF(AO49="7",BG49,0)</f>
        <v>0</v>
      </c>
      <c r="AD49" s="233">
        <f>IF(AO49="2",BF49,0)</f>
        <v>0</v>
      </c>
      <c r="AE49" s="233">
        <f>IF(AO49="2",BG49,0)</f>
        <v>0</v>
      </c>
      <c r="AF49" s="233">
        <f>IF(AO49="0",BH49,0)</f>
        <v>0</v>
      </c>
      <c r="AG49" s="229" t="s">
        <v>154</v>
      </c>
      <c r="AH49" s="233">
        <f>IF(AL49=0,J49,0)</f>
        <v>0</v>
      </c>
      <c r="AI49" s="233">
        <f>IF(AL49=15,J49,0)</f>
        <v>0</v>
      </c>
      <c r="AJ49" s="233">
        <f>IF(AL49=21,J49,0)</f>
        <v>0</v>
      </c>
      <c r="AL49" s="233">
        <v>21</v>
      </c>
      <c r="AM49" s="233">
        <f>G49*0.085202998</f>
        <v>0</v>
      </c>
      <c r="AN49" s="233">
        <f>G49*(1-0.085202998)</f>
        <v>0</v>
      </c>
      <c r="AO49" s="234" t="s">
        <v>157</v>
      </c>
      <c r="AT49" s="233">
        <f>AU49+AV49</f>
        <v>0</v>
      </c>
      <c r="AU49" s="233">
        <f>F49*AM49</f>
        <v>0</v>
      </c>
      <c r="AV49" s="233">
        <f>F49*AN49</f>
        <v>0</v>
      </c>
      <c r="AW49" s="234" t="s">
        <v>223</v>
      </c>
      <c r="AX49" s="234" t="s">
        <v>163</v>
      </c>
      <c r="AY49" s="229" t="s">
        <v>164</v>
      </c>
      <c r="BA49" s="233">
        <f>AU49+AV49</f>
        <v>0</v>
      </c>
      <c r="BB49" s="233">
        <f>G49/(100-BC49)*100</f>
        <v>0</v>
      </c>
      <c r="BC49" s="233">
        <v>0</v>
      </c>
      <c r="BD49" s="233">
        <f>L49</f>
        <v>5.6192399999999997E-2</v>
      </c>
      <c r="BF49" s="233">
        <f>F49*AM49</f>
        <v>0</v>
      </c>
      <c r="BG49" s="233">
        <f>F49*AN49</f>
        <v>0</v>
      </c>
      <c r="BH49" s="233">
        <f>F49*G49</f>
        <v>0</v>
      </c>
      <c r="BI49" s="233"/>
      <c r="BJ49" s="233">
        <v>15</v>
      </c>
      <c r="BU49" s="233" t="e">
        <f>#REF!</f>
        <v>#REF!</v>
      </c>
      <c r="BV49" s="225" t="s">
        <v>500</v>
      </c>
    </row>
    <row r="50" spans="1:74" ht="40.5" customHeight="1" x14ac:dyDescent="0.3">
      <c r="A50" s="241"/>
      <c r="B50" s="242" t="s">
        <v>165</v>
      </c>
      <c r="C50" s="530" t="s">
        <v>1497</v>
      </c>
      <c r="D50" s="531"/>
      <c r="E50" s="531"/>
      <c r="F50" s="531"/>
      <c r="G50" s="531"/>
      <c r="H50" s="531"/>
      <c r="I50" s="531"/>
      <c r="J50" s="531"/>
      <c r="K50" s="531"/>
      <c r="L50" s="531"/>
      <c r="M50" s="532"/>
    </row>
    <row r="51" spans="1:74" ht="14.4" x14ac:dyDescent="0.3">
      <c r="A51" s="239" t="s">
        <v>224</v>
      </c>
      <c r="B51" s="223" t="s">
        <v>501</v>
      </c>
      <c r="C51" s="521" t="s">
        <v>502</v>
      </c>
      <c r="D51" s="519"/>
      <c r="E51" s="223" t="s">
        <v>180</v>
      </c>
      <c r="F51" s="233">
        <v>56.76</v>
      </c>
      <c r="G51" s="311">
        <v>0</v>
      </c>
      <c r="H51" s="233">
        <f>F51*AM51</f>
        <v>0</v>
      </c>
      <c r="I51" s="233">
        <f>F51*AN51</f>
        <v>0</v>
      </c>
      <c r="J51" s="233">
        <f>F51*G51</f>
        <v>0</v>
      </c>
      <c r="K51" s="233">
        <v>0</v>
      </c>
      <c r="L51" s="233">
        <f>F51*K51</f>
        <v>0</v>
      </c>
      <c r="M51" s="240" t="s">
        <v>472</v>
      </c>
      <c r="X51" s="233">
        <f>IF(AO51="5",BH51,0)</f>
        <v>0</v>
      </c>
      <c r="Z51" s="233">
        <f>IF(AO51="1",BF51,0)</f>
        <v>0</v>
      </c>
      <c r="AA51" s="233">
        <f>IF(AO51="1",BG51,0)</f>
        <v>0</v>
      </c>
      <c r="AB51" s="233">
        <f>IF(AO51="7",BF51,0)</f>
        <v>0</v>
      </c>
      <c r="AC51" s="233">
        <f>IF(AO51="7",BG51,0)</f>
        <v>0</v>
      </c>
      <c r="AD51" s="233">
        <f>IF(AO51="2",BF51,0)</f>
        <v>0</v>
      </c>
      <c r="AE51" s="233">
        <f>IF(AO51="2",BG51,0)</f>
        <v>0</v>
      </c>
      <c r="AF51" s="233">
        <f>IF(AO51="0",BH51,0)</f>
        <v>0</v>
      </c>
      <c r="AG51" s="229" t="s">
        <v>154</v>
      </c>
      <c r="AH51" s="233">
        <f>IF(AL51=0,J51,0)</f>
        <v>0</v>
      </c>
      <c r="AI51" s="233">
        <f>IF(AL51=15,J51,0)</f>
        <v>0</v>
      </c>
      <c r="AJ51" s="233">
        <f>IF(AL51=21,J51,0)</f>
        <v>0</v>
      </c>
      <c r="AL51" s="233">
        <v>21</v>
      </c>
      <c r="AM51" s="233">
        <f>G51*0</f>
        <v>0</v>
      </c>
      <c r="AN51" s="233">
        <f>G51*(1-0)</f>
        <v>0</v>
      </c>
      <c r="AO51" s="234" t="s">
        <v>157</v>
      </c>
      <c r="AT51" s="233">
        <f>AU51+AV51</f>
        <v>0</v>
      </c>
      <c r="AU51" s="233">
        <f>F51*AM51</f>
        <v>0</v>
      </c>
      <c r="AV51" s="233">
        <f>F51*AN51</f>
        <v>0</v>
      </c>
      <c r="AW51" s="234" t="s">
        <v>223</v>
      </c>
      <c r="AX51" s="234" t="s">
        <v>163</v>
      </c>
      <c r="AY51" s="229" t="s">
        <v>164</v>
      </c>
      <c r="BA51" s="233">
        <f>AU51+AV51</f>
        <v>0</v>
      </c>
      <c r="BB51" s="233">
        <f>G51/(100-BC51)*100</f>
        <v>0</v>
      </c>
      <c r="BC51" s="233">
        <v>0</v>
      </c>
      <c r="BD51" s="233">
        <f>L51</f>
        <v>0</v>
      </c>
      <c r="BF51" s="233">
        <f>F51*AM51</f>
        <v>0</v>
      </c>
      <c r="BG51" s="233">
        <f>F51*AN51</f>
        <v>0</v>
      </c>
      <c r="BH51" s="233">
        <f>F51*G51</f>
        <v>0</v>
      </c>
      <c r="BI51" s="233"/>
      <c r="BJ51" s="233">
        <v>15</v>
      </c>
      <c r="BU51" s="233" t="e">
        <f>#REF!</f>
        <v>#REF!</v>
      </c>
      <c r="BV51" s="225" t="s">
        <v>502</v>
      </c>
    </row>
    <row r="52" spans="1:74" ht="40.5" customHeight="1" x14ac:dyDescent="0.3">
      <c r="A52" s="244"/>
      <c r="B52" s="245" t="s">
        <v>165</v>
      </c>
      <c r="C52" s="540" t="s">
        <v>1498</v>
      </c>
      <c r="D52" s="541"/>
      <c r="E52" s="541"/>
      <c r="F52" s="541"/>
      <c r="G52" s="541"/>
      <c r="H52" s="541"/>
      <c r="I52" s="541"/>
      <c r="J52" s="541"/>
      <c r="K52" s="541"/>
      <c r="L52" s="541"/>
      <c r="M52" s="542"/>
    </row>
    <row r="53" spans="1:74" ht="14.4" x14ac:dyDescent="0.3">
      <c r="A53" s="237" t="s">
        <v>154</v>
      </c>
      <c r="B53" s="260" t="s">
        <v>215</v>
      </c>
      <c r="C53" s="545" t="s">
        <v>227</v>
      </c>
      <c r="D53" s="546"/>
      <c r="E53" s="238" t="s">
        <v>114</v>
      </c>
      <c r="F53" s="238" t="s">
        <v>114</v>
      </c>
      <c r="G53" s="238" t="s">
        <v>114</v>
      </c>
      <c r="H53" s="261">
        <f>SUM(H54:H68)</f>
        <v>0</v>
      </c>
      <c r="I53" s="261">
        <f>SUM(I54:I68)</f>
        <v>0</v>
      </c>
      <c r="J53" s="261">
        <f>SUM(J54:J68)</f>
        <v>0</v>
      </c>
      <c r="K53" s="262" t="s">
        <v>154</v>
      </c>
      <c r="L53" s="261">
        <f>SUM(L54:L68)</f>
        <v>0</v>
      </c>
      <c r="M53" s="263" t="s">
        <v>154</v>
      </c>
      <c r="AG53" s="229" t="s">
        <v>154</v>
      </c>
      <c r="AQ53" s="222">
        <f>SUM(AH54:AH68)</f>
        <v>0</v>
      </c>
      <c r="AR53" s="222">
        <f>SUM(AI54:AI68)</f>
        <v>0</v>
      </c>
      <c r="AS53" s="222">
        <f>SUM(AJ54:AJ68)</f>
        <v>0</v>
      </c>
    </row>
    <row r="54" spans="1:74" ht="14.4" x14ac:dyDescent="0.3">
      <c r="A54" s="239" t="s">
        <v>228</v>
      </c>
      <c r="B54" s="223" t="s">
        <v>229</v>
      </c>
      <c r="C54" s="521" t="s">
        <v>230</v>
      </c>
      <c r="D54" s="519"/>
      <c r="E54" s="223" t="s">
        <v>196</v>
      </c>
      <c r="F54" s="233">
        <v>1.66</v>
      </c>
      <c r="G54" s="311">
        <v>0</v>
      </c>
      <c r="H54" s="233">
        <f>F54*AM54</f>
        <v>0</v>
      </c>
      <c r="I54" s="233">
        <f>F54*AN54</f>
        <v>0</v>
      </c>
      <c r="J54" s="233">
        <f>F54*G54</f>
        <v>0</v>
      </c>
      <c r="K54" s="233">
        <v>0</v>
      </c>
      <c r="L54" s="233">
        <f>F54*K54</f>
        <v>0</v>
      </c>
      <c r="M54" s="240" t="s">
        <v>472</v>
      </c>
      <c r="X54" s="233">
        <f>IF(AO54="5",BH54,0)</f>
        <v>0</v>
      </c>
      <c r="Z54" s="233">
        <f>IF(AO54="1",BF54,0)</f>
        <v>0</v>
      </c>
      <c r="AA54" s="233">
        <f>IF(AO54="1",BG54,0)</f>
        <v>0</v>
      </c>
      <c r="AB54" s="233">
        <f>IF(AO54="7",BF54,0)</f>
        <v>0</v>
      </c>
      <c r="AC54" s="233">
        <f>IF(AO54="7",BG54,0)</f>
        <v>0</v>
      </c>
      <c r="AD54" s="233">
        <f>IF(AO54="2",BF54,0)</f>
        <v>0</v>
      </c>
      <c r="AE54" s="233">
        <f>IF(AO54="2",BG54,0)</f>
        <v>0</v>
      </c>
      <c r="AF54" s="233">
        <f>IF(AO54="0",BH54,0)</f>
        <v>0</v>
      </c>
      <c r="AG54" s="229" t="s">
        <v>154</v>
      </c>
      <c r="AH54" s="233">
        <f>IF(AL54=0,J54,0)</f>
        <v>0</v>
      </c>
      <c r="AI54" s="233">
        <f>IF(AL54=15,J54,0)</f>
        <v>0</v>
      </c>
      <c r="AJ54" s="233">
        <f>IF(AL54=21,J54,0)</f>
        <v>0</v>
      </c>
      <c r="AL54" s="233">
        <v>21</v>
      </c>
      <c r="AM54" s="233">
        <f>G54*0</f>
        <v>0</v>
      </c>
      <c r="AN54" s="233">
        <f>G54*(1-0)</f>
        <v>0</v>
      </c>
      <c r="AO54" s="234" t="s">
        <v>157</v>
      </c>
      <c r="AT54" s="233">
        <f>AU54+AV54</f>
        <v>0</v>
      </c>
      <c r="AU54" s="233">
        <f>F54*AM54</f>
        <v>0</v>
      </c>
      <c r="AV54" s="233">
        <f>F54*AN54</f>
        <v>0</v>
      </c>
      <c r="AW54" s="234" t="s">
        <v>231</v>
      </c>
      <c r="AX54" s="234" t="s">
        <v>163</v>
      </c>
      <c r="AY54" s="229" t="s">
        <v>164</v>
      </c>
      <c r="BA54" s="233">
        <f>AU54+AV54</f>
        <v>0</v>
      </c>
      <c r="BB54" s="233">
        <f>G54/(100-BC54)*100</f>
        <v>0</v>
      </c>
      <c r="BC54" s="233">
        <v>0</v>
      </c>
      <c r="BD54" s="233">
        <f>L54</f>
        <v>0</v>
      </c>
      <c r="BF54" s="233">
        <f>F54*AM54</f>
        <v>0</v>
      </c>
      <c r="BG54" s="233">
        <f>F54*AN54</f>
        <v>0</v>
      </c>
      <c r="BH54" s="233">
        <f>F54*G54</f>
        <v>0</v>
      </c>
      <c r="BI54" s="233"/>
      <c r="BJ54" s="233">
        <v>16</v>
      </c>
      <c r="BU54" s="233" t="e">
        <f>#REF!</f>
        <v>#REF!</v>
      </c>
      <c r="BV54" s="225" t="s">
        <v>230</v>
      </c>
    </row>
    <row r="55" spans="1:74" ht="54" customHeight="1" x14ac:dyDescent="0.3">
      <c r="A55" s="241"/>
      <c r="B55" s="242" t="s">
        <v>165</v>
      </c>
      <c r="C55" s="530" t="s">
        <v>1499</v>
      </c>
      <c r="D55" s="531"/>
      <c r="E55" s="531"/>
      <c r="F55" s="531"/>
      <c r="G55" s="531"/>
      <c r="H55" s="531"/>
      <c r="I55" s="531"/>
      <c r="J55" s="531"/>
      <c r="K55" s="531"/>
      <c r="L55" s="531"/>
      <c r="M55" s="532"/>
    </row>
    <row r="56" spans="1:74" ht="14.4" x14ac:dyDescent="0.3">
      <c r="A56" s="239" t="s">
        <v>232</v>
      </c>
      <c r="B56" s="223" t="s">
        <v>233</v>
      </c>
      <c r="C56" s="521" t="s">
        <v>234</v>
      </c>
      <c r="D56" s="519"/>
      <c r="E56" s="223" t="s">
        <v>196</v>
      </c>
      <c r="F56" s="233">
        <v>0.36</v>
      </c>
      <c r="G56" s="311">
        <v>0</v>
      </c>
      <c r="H56" s="233">
        <f>F56*AM56</f>
        <v>0</v>
      </c>
      <c r="I56" s="233">
        <f>F56*AN56</f>
        <v>0</v>
      </c>
      <c r="J56" s="233">
        <f>F56*G56</f>
        <v>0</v>
      </c>
      <c r="K56" s="233">
        <v>0</v>
      </c>
      <c r="L56" s="233">
        <f>F56*K56</f>
        <v>0</v>
      </c>
      <c r="M56" s="240" t="s">
        <v>472</v>
      </c>
      <c r="X56" s="233">
        <f>IF(AO56="5",BH56,0)</f>
        <v>0</v>
      </c>
      <c r="Z56" s="233">
        <f>IF(AO56="1",BF56,0)</f>
        <v>0</v>
      </c>
      <c r="AA56" s="233">
        <f>IF(AO56="1",BG56,0)</f>
        <v>0</v>
      </c>
      <c r="AB56" s="233">
        <f>IF(AO56="7",BF56,0)</f>
        <v>0</v>
      </c>
      <c r="AC56" s="233">
        <f>IF(AO56="7",BG56,0)</f>
        <v>0</v>
      </c>
      <c r="AD56" s="233">
        <f>IF(AO56="2",BF56,0)</f>
        <v>0</v>
      </c>
      <c r="AE56" s="233">
        <f>IF(AO56="2",BG56,0)</f>
        <v>0</v>
      </c>
      <c r="AF56" s="233">
        <f>IF(AO56="0",BH56,0)</f>
        <v>0</v>
      </c>
      <c r="AG56" s="229" t="s">
        <v>154</v>
      </c>
      <c r="AH56" s="233">
        <f>IF(AL56=0,J56,0)</f>
        <v>0</v>
      </c>
      <c r="AI56" s="233">
        <f>IF(AL56=15,J56,0)</f>
        <v>0</v>
      </c>
      <c r="AJ56" s="233">
        <f>IF(AL56=21,J56,0)</f>
        <v>0</v>
      </c>
      <c r="AL56" s="233">
        <v>21</v>
      </c>
      <c r="AM56" s="233">
        <f>G56*0</f>
        <v>0</v>
      </c>
      <c r="AN56" s="233">
        <f>G56*(1-0)</f>
        <v>0</v>
      </c>
      <c r="AO56" s="234" t="s">
        <v>157</v>
      </c>
      <c r="AT56" s="233">
        <f>AU56+AV56</f>
        <v>0</v>
      </c>
      <c r="AU56" s="233">
        <f>F56*AM56</f>
        <v>0</v>
      </c>
      <c r="AV56" s="233">
        <f>F56*AN56</f>
        <v>0</v>
      </c>
      <c r="AW56" s="234" t="s">
        <v>231</v>
      </c>
      <c r="AX56" s="234" t="s">
        <v>163</v>
      </c>
      <c r="AY56" s="229" t="s">
        <v>164</v>
      </c>
      <c r="BA56" s="233">
        <f>AU56+AV56</f>
        <v>0</v>
      </c>
      <c r="BB56" s="233">
        <f>G56/(100-BC56)*100</f>
        <v>0</v>
      </c>
      <c r="BC56" s="233">
        <v>0</v>
      </c>
      <c r="BD56" s="233">
        <f>L56</f>
        <v>0</v>
      </c>
      <c r="BF56" s="233">
        <f>F56*AM56</f>
        <v>0</v>
      </c>
      <c r="BG56" s="233">
        <f>F56*AN56</f>
        <v>0</v>
      </c>
      <c r="BH56" s="233">
        <f>F56*G56</f>
        <v>0</v>
      </c>
      <c r="BI56" s="233"/>
      <c r="BJ56" s="233">
        <v>16</v>
      </c>
      <c r="BU56" s="233" t="e">
        <f>#REF!</f>
        <v>#REF!</v>
      </c>
      <c r="BV56" s="225" t="s">
        <v>234</v>
      </c>
    </row>
    <row r="57" spans="1:74" ht="54" customHeight="1" x14ac:dyDescent="0.3">
      <c r="A57" s="241"/>
      <c r="B57" s="242" t="s">
        <v>165</v>
      </c>
      <c r="C57" s="530" t="s">
        <v>1500</v>
      </c>
      <c r="D57" s="531"/>
      <c r="E57" s="531"/>
      <c r="F57" s="531"/>
      <c r="G57" s="531"/>
      <c r="H57" s="531"/>
      <c r="I57" s="531"/>
      <c r="J57" s="531"/>
      <c r="K57" s="531"/>
      <c r="L57" s="531"/>
      <c r="M57" s="532"/>
    </row>
    <row r="58" spans="1:74" ht="14.4" x14ac:dyDescent="0.3">
      <c r="A58" s="239" t="s">
        <v>235</v>
      </c>
      <c r="B58" s="223" t="s">
        <v>503</v>
      </c>
      <c r="C58" s="521" t="s">
        <v>237</v>
      </c>
      <c r="D58" s="519"/>
      <c r="E58" s="223" t="s">
        <v>196</v>
      </c>
      <c r="F58" s="233">
        <v>47.5</v>
      </c>
      <c r="G58" s="311">
        <v>0</v>
      </c>
      <c r="H58" s="233">
        <f>F58*AM58</f>
        <v>0</v>
      </c>
      <c r="I58" s="233">
        <f>F58*AN58</f>
        <v>0</v>
      </c>
      <c r="J58" s="233">
        <f>F58*G58</f>
        <v>0</v>
      </c>
      <c r="K58" s="233">
        <v>0</v>
      </c>
      <c r="L58" s="233">
        <f>F58*K58</f>
        <v>0</v>
      </c>
      <c r="M58" s="240" t="s">
        <v>472</v>
      </c>
      <c r="X58" s="233">
        <f>IF(AO58="5",BH58,0)</f>
        <v>0</v>
      </c>
      <c r="Z58" s="233">
        <f>IF(AO58="1",BF58,0)</f>
        <v>0</v>
      </c>
      <c r="AA58" s="233">
        <f>IF(AO58="1",BG58,0)</f>
        <v>0</v>
      </c>
      <c r="AB58" s="233">
        <f>IF(AO58="7",BF58,0)</f>
        <v>0</v>
      </c>
      <c r="AC58" s="233">
        <f>IF(AO58="7",BG58,0)</f>
        <v>0</v>
      </c>
      <c r="AD58" s="233">
        <f>IF(AO58="2",BF58,0)</f>
        <v>0</v>
      </c>
      <c r="AE58" s="233">
        <f>IF(AO58="2",BG58,0)</f>
        <v>0</v>
      </c>
      <c r="AF58" s="233">
        <f>IF(AO58="0",BH58,0)</f>
        <v>0</v>
      </c>
      <c r="AG58" s="229" t="s">
        <v>154</v>
      </c>
      <c r="AH58" s="233">
        <f>IF(AL58=0,J58,0)</f>
        <v>0</v>
      </c>
      <c r="AI58" s="233">
        <f>IF(AL58=15,J58,0)</f>
        <v>0</v>
      </c>
      <c r="AJ58" s="233">
        <f>IF(AL58=21,J58,0)</f>
        <v>0</v>
      </c>
      <c r="AL58" s="233">
        <v>21</v>
      </c>
      <c r="AM58" s="233">
        <f>G58*0</f>
        <v>0</v>
      </c>
      <c r="AN58" s="233">
        <f>G58*(1-0)</f>
        <v>0</v>
      </c>
      <c r="AO58" s="234" t="s">
        <v>157</v>
      </c>
      <c r="AT58" s="233">
        <f>AU58+AV58</f>
        <v>0</v>
      </c>
      <c r="AU58" s="233">
        <f>F58*AM58</f>
        <v>0</v>
      </c>
      <c r="AV58" s="233">
        <f>F58*AN58</f>
        <v>0</v>
      </c>
      <c r="AW58" s="234" t="s">
        <v>231</v>
      </c>
      <c r="AX58" s="234" t="s">
        <v>163</v>
      </c>
      <c r="AY58" s="229" t="s">
        <v>164</v>
      </c>
      <c r="BA58" s="233">
        <f>AU58+AV58</f>
        <v>0</v>
      </c>
      <c r="BB58" s="233">
        <f>G58/(100-BC58)*100</f>
        <v>0</v>
      </c>
      <c r="BC58" s="233">
        <v>0</v>
      </c>
      <c r="BD58" s="233">
        <f>L58</f>
        <v>0</v>
      </c>
      <c r="BF58" s="233">
        <f>F58*AM58</f>
        <v>0</v>
      </c>
      <c r="BG58" s="233">
        <f>F58*AN58</f>
        <v>0</v>
      </c>
      <c r="BH58" s="233">
        <f>F58*G58</f>
        <v>0</v>
      </c>
      <c r="BI58" s="233"/>
      <c r="BJ58" s="233">
        <v>16</v>
      </c>
      <c r="BU58" s="233" t="e">
        <f>#REF!</f>
        <v>#REF!</v>
      </c>
      <c r="BV58" s="225" t="s">
        <v>237</v>
      </c>
    </row>
    <row r="59" spans="1:74" ht="67.5" customHeight="1" x14ac:dyDescent="0.3">
      <c r="A59" s="241"/>
      <c r="B59" s="242" t="s">
        <v>165</v>
      </c>
      <c r="C59" s="530" t="s">
        <v>1501</v>
      </c>
      <c r="D59" s="531"/>
      <c r="E59" s="531"/>
      <c r="F59" s="531"/>
      <c r="G59" s="531"/>
      <c r="H59" s="531"/>
      <c r="I59" s="531"/>
      <c r="J59" s="531"/>
      <c r="K59" s="531"/>
      <c r="L59" s="531"/>
      <c r="M59" s="532"/>
    </row>
    <row r="60" spans="1:74" ht="14.4" x14ac:dyDescent="0.3">
      <c r="A60" s="239" t="s">
        <v>238</v>
      </c>
      <c r="B60" s="223" t="s">
        <v>504</v>
      </c>
      <c r="C60" s="521" t="s">
        <v>240</v>
      </c>
      <c r="D60" s="519"/>
      <c r="E60" s="223" t="s">
        <v>196</v>
      </c>
      <c r="F60" s="233">
        <v>665</v>
      </c>
      <c r="G60" s="311">
        <v>0</v>
      </c>
      <c r="H60" s="233">
        <f>F60*AM60</f>
        <v>0</v>
      </c>
      <c r="I60" s="233">
        <f>F60*AN60</f>
        <v>0</v>
      </c>
      <c r="J60" s="233">
        <f>F60*G60</f>
        <v>0</v>
      </c>
      <c r="K60" s="233">
        <v>0</v>
      </c>
      <c r="L60" s="233">
        <f>F60*K60</f>
        <v>0</v>
      </c>
      <c r="M60" s="240" t="s">
        <v>472</v>
      </c>
      <c r="X60" s="233">
        <f>IF(AO60="5",BH60,0)</f>
        <v>0</v>
      </c>
      <c r="Z60" s="233">
        <f>IF(AO60="1",BF60,0)</f>
        <v>0</v>
      </c>
      <c r="AA60" s="233">
        <f>IF(AO60="1",BG60,0)</f>
        <v>0</v>
      </c>
      <c r="AB60" s="233">
        <f>IF(AO60="7",BF60,0)</f>
        <v>0</v>
      </c>
      <c r="AC60" s="233">
        <f>IF(AO60="7",BG60,0)</f>
        <v>0</v>
      </c>
      <c r="AD60" s="233">
        <f>IF(AO60="2",BF60,0)</f>
        <v>0</v>
      </c>
      <c r="AE60" s="233">
        <f>IF(AO60="2",BG60,0)</f>
        <v>0</v>
      </c>
      <c r="AF60" s="233">
        <f>IF(AO60="0",BH60,0)</f>
        <v>0</v>
      </c>
      <c r="AG60" s="229" t="s">
        <v>154</v>
      </c>
      <c r="AH60" s="233">
        <f>IF(AL60=0,J60,0)</f>
        <v>0</v>
      </c>
      <c r="AI60" s="233">
        <f>IF(AL60=15,J60,0)</f>
        <v>0</v>
      </c>
      <c r="AJ60" s="233">
        <f>IF(AL60=21,J60,0)</f>
        <v>0</v>
      </c>
      <c r="AL60" s="233">
        <v>21</v>
      </c>
      <c r="AM60" s="233">
        <f>G60*0</f>
        <v>0</v>
      </c>
      <c r="AN60" s="233">
        <f>G60*(1-0)</f>
        <v>0</v>
      </c>
      <c r="AO60" s="234" t="s">
        <v>157</v>
      </c>
      <c r="AT60" s="233">
        <f>AU60+AV60</f>
        <v>0</v>
      </c>
      <c r="AU60" s="233">
        <f>F60*AM60</f>
        <v>0</v>
      </c>
      <c r="AV60" s="233">
        <f>F60*AN60</f>
        <v>0</v>
      </c>
      <c r="AW60" s="234" t="s">
        <v>231</v>
      </c>
      <c r="AX60" s="234" t="s">
        <v>163</v>
      </c>
      <c r="AY60" s="229" t="s">
        <v>164</v>
      </c>
      <c r="BA60" s="233">
        <f>AU60+AV60</f>
        <v>0</v>
      </c>
      <c r="BB60" s="233">
        <f>G60/(100-BC60)*100</f>
        <v>0</v>
      </c>
      <c r="BC60" s="233">
        <v>0</v>
      </c>
      <c r="BD60" s="233">
        <f>L60</f>
        <v>0</v>
      </c>
      <c r="BF60" s="233">
        <f>F60*AM60</f>
        <v>0</v>
      </c>
      <c r="BG60" s="233">
        <f>F60*AN60</f>
        <v>0</v>
      </c>
      <c r="BH60" s="233">
        <f>F60*G60</f>
        <v>0</v>
      </c>
      <c r="BI60" s="233"/>
      <c r="BJ60" s="233">
        <v>16</v>
      </c>
      <c r="BU60" s="233" t="e">
        <f>#REF!</f>
        <v>#REF!</v>
      </c>
      <c r="BV60" s="225" t="s">
        <v>240</v>
      </c>
    </row>
    <row r="61" spans="1:74" ht="54" customHeight="1" x14ac:dyDescent="0.3">
      <c r="A61" s="241"/>
      <c r="B61" s="242" t="s">
        <v>165</v>
      </c>
      <c r="C61" s="530" t="s">
        <v>1502</v>
      </c>
      <c r="D61" s="531"/>
      <c r="E61" s="531"/>
      <c r="F61" s="531"/>
      <c r="G61" s="531"/>
      <c r="H61" s="531"/>
      <c r="I61" s="531"/>
      <c r="J61" s="531"/>
      <c r="K61" s="531"/>
      <c r="L61" s="531"/>
      <c r="M61" s="532"/>
    </row>
    <row r="62" spans="1:74" ht="14.4" x14ac:dyDescent="0.3">
      <c r="A62" s="239" t="s">
        <v>241</v>
      </c>
      <c r="B62" s="223" t="s">
        <v>505</v>
      </c>
      <c r="C62" s="521" t="s">
        <v>243</v>
      </c>
      <c r="D62" s="519"/>
      <c r="E62" s="223" t="s">
        <v>196</v>
      </c>
      <c r="F62" s="233">
        <v>11.9</v>
      </c>
      <c r="G62" s="311">
        <v>0</v>
      </c>
      <c r="H62" s="233">
        <f>F62*AM62</f>
        <v>0</v>
      </c>
      <c r="I62" s="233">
        <f>F62*AN62</f>
        <v>0</v>
      </c>
      <c r="J62" s="233">
        <f>F62*G62</f>
        <v>0</v>
      </c>
      <c r="K62" s="233">
        <v>0</v>
      </c>
      <c r="L62" s="233">
        <f>F62*K62</f>
        <v>0</v>
      </c>
      <c r="M62" s="240" t="s">
        <v>472</v>
      </c>
      <c r="X62" s="233">
        <f>IF(AO62="5",BH62,0)</f>
        <v>0</v>
      </c>
      <c r="Z62" s="233">
        <f>IF(AO62="1",BF62,0)</f>
        <v>0</v>
      </c>
      <c r="AA62" s="233">
        <f>IF(AO62="1",BG62,0)</f>
        <v>0</v>
      </c>
      <c r="AB62" s="233">
        <f>IF(AO62="7",BF62,0)</f>
        <v>0</v>
      </c>
      <c r="AC62" s="233">
        <f>IF(AO62="7",BG62,0)</f>
        <v>0</v>
      </c>
      <c r="AD62" s="233">
        <f>IF(AO62="2",BF62,0)</f>
        <v>0</v>
      </c>
      <c r="AE62" s="233">
        <f>IF(AO62="2",BG62,0)</f>
        <v>0</v>
      </c>
      <c r="AF62" s="233">
        <f>IF(AO62="0",BH62,0)</f>
        <v>0</v>
      </c>
      <c r="AG62" s="229" t="s">
        <v>154</v>
      </c>
      <c r="AH62" s="233">
        <f>IF(AL62=0,J62,0)</f>
        <v>0</v>
      </c>
      <c r="AI62" s="233">
        <f>IF(AL62=15,J62,0)</f>
        <v>0</v>
      </c>
      <c r="AJ62" s="233">
        <f>IF(AL62=21,J62,0)</f>
        <v>0</v>
      </c>
      <c r="AL62" s="233">
        <v>21</v>
      </c>
      <c r="AM62" s="233">
        <f>G62*0</f>
        <v>0</v>
      </c>
      <c r="AN62" s="233">
        <f>G62*(1-0)</f>
        <v>0</v>
      </c>
      <c r="AO62" s="234" t="s">
        <v>157</v>
      </c>
      <c r="AT62" s="233">
        <f>AU62+AV62</f>
        <v>0</v>
      </c>
      <c r="AU62" s="233">
        <f>F62*AM62</f>
        <v>0</v>
      </c>
      <c r="AV62" s="233">
        <f>F62*AN62</f>
        <v>0</v>
      </c>
      <c r="AW62" s="234" t="s">
        <v>231</v>
      </c>
      <c r="AX62" s="234" t="s">
        <v>163</v>
      </c>
      <c r="AY62" s="229" t="s">
        <v>164</v>
      </c>
      <c r="BA62" s="233">
        <f>AU62+AV62</f>
        <v>0</v>
      </c>
      <c r="BB62" s="233">
        <f>G62/(100-BC62)*100</f>
        <v>0</v>
      </c>
      <c r="BC62" s="233">
        <v>0</v>
      </c>
      <c r="BD62" s="233">
        <f>L62</f>
        <v>0</v>
      </c>
      <c r="BF62" s="233">
        <f>F62*AM62</f>
        <v>0</v>
      </c>
      <c r="BG62" s="233">
        <f>F62*AN62</f>
        <v>0</v>
      </c>
      <c r="BH62" s="233">
        <f>F62*G62</f>
        <v>0</v>
      </c>
      <c r="BI62" s="233"/>
      <c r="BJ62" s="233">
        <v>16</v>
      </c>
      <c r="BU62" s="233" t="e">
        <f>#REF!</f>
        <v>#REF!</v>
      </c>
      <c r="BV62" s="225" t="s">
        <v>243</v>
      </c>
    </row>
    <row r="63" spans="1:74" ht="54" customHeight="1" x14ac:dyDescent="0.3">
      <c r="A63" s="241"/>
      <c r="B63" s="242" t="s">
        <v>165</v>
      </c>
      <c r="C63" s="530" t="s">
        <v>1503</v>
      </c>
      <c r="D63" s="531"/>
      <c r="E63" s="531"/>
      <c r="F63" s="531"/>
      <c r="G63" s="531"/>
      <c r="H63" s="531"/>
      <c r="I63" s="531"/>
      <c r="J63" s="531"/>
      <c r="K63" s="531"/>
      <c r="L63" s="531"/>
      <c r="M63" s="532"/>
    </row>
    <row r="64" spans="1:74" ht="14.4" x14ac:dyDescent="0.3">
      <c r="A64" s="239" t="s">
        <v>244</v>
      </c>
      <c r="B64" s="223" t="s">
        <v>506</v>
      </c>
      <c r="C64" s="521" t="s">
        <v>246</v>
      </c>
      <c r="D64" s="519"/>
      <c r="E64" s="223" t="s">
        <v>196</v>
      </c>
      <c r="F64" s="233">
        <v>166.6</v>
      </c>
      <c r="G64" s="311">
        <v>0</v>
      </c>
      <c r="H64" s="233">
        <f>F64*AM64</f>
        <v>0</v>
      </c>
      <c r="I64" s="233">
        <f>F64*AN64</f>
        <v>0</v>
      </c>
      <c r="J64" s="233">
        <f>F64*G64</f>
        <v>0</v>
      </c>
      <c r="K64" s="233">
        <v>0</v>
      </c>
      <c r="L64" s="233">
        <f>F64*K64</f>
        <v>0</v>
      </c>
      <c r="M64" s="240" t="s">
        <v>472</v>
      </c>
      <c r="X64" s="233">
        <f>IF(AO64="5",BH64,0)</f>
        <v>0</v>
      </c>
      <c r="Z64" s="233">
        <f>IF(AO64="1",BF64,0)</f>
        <v>0</v>
      </c>
      <c r="AA64" s="233">
        <f>IF(AO64="1",BG64,0)</f>
        <v>0</v>
      </c>
      <c r="AB64" s="233">
        <f>IF(AO64="7",BF64,0)</f>
        <v>0</v>
      </c>
      <c r="AC64" s="233">
        <f>IF(AO64="7",BG64,0)</f>
        <v>0</v>
      </c>
      <c r="AD64" s="233">
        <f>IF(AO64="2",BF64,0)</f>
        <v>0</v>
      </c>
      <c r="AE64" s="233">
        <f>IF(AO64="2",BG64,0)</f>
        <v>0</v>
      </c>
      <c r="AF64" s="233">
        <f>IF(AO64="0",BH64,0)</f>
        <v>0</v>
      </c>
      <c r="AG64" s="229" t="s">
        <v>154</v>
      </c>
      <c r="AH64" s="233">
        <f>IF(AL64=0,J64,0)</f>
        <v>0</v>
      </c>
      <c r="AI64" s="233">
        <f>IF(AL64=15,J64,0)</f>
        <v>0</v>
      </c>
      <c r="AJ64" s="233">
        <f>IF(AL64=21,J64,0)</f>
        <v>0</v>
      </c>
      <c r="AL64" s="233">
        <v>21</v>
      </c>
      <c r="AM64" s="233">
        <f>G64*0</f>
        <v>0</v>
      </c>
      <c r="AN64" s="233">
        <f>G64*(1-0)</f>
        <v>0</v>
      </c>
      <c r="AO64" s="234" t="s">
        <v>157</v>
      </c>
      <c r="AT64" s="233">
        <f>AU64+AV64</f>
        <v>0</v>
      </c>
      <c r="AU64" s="233">
        <f>F64*AM64</f>
        <v>0</v>
      </c>
      <c r="AV64" s="233">
        <f>F64*AN64</f>
        <v>0</v>
      </c>
      <c r="AW64" s="234" t="s">
        <v>231</v>
      </c>
      <c r="AX64" s="234" t="s">
        <v>163</v>
      </c>
      <c r="AY64" s="229" t="s">
        <v>164</v>
      </c>
      <c r="BA64" s="233">
        <f>AU64+AV64</f>
        <v>0</v>
      </c>
      <c r="BB64" s="233">
        <f>G64/(100-BC64)*100</f>
        <v>0</v>
      </c>
      <c r="BC64" s="233">
        <v>0</v>
      </c>
      <c r="BD64" s="233">
        <f>L64</f>
        <v>0</v>
      </c>
      <c r="BF64" s="233">
        <f>F64*AM64</f>
        <v>0</v>
      </c>
      <c r="BG64" s="233">
        <f>F64*AN64</f>
        <v>0</v>
      </c>
      <c r="BH64" s="233">
        <f>F64*G64</f>
        <v>0</v>
      </c>
      <c r="BI64" s="233"/>
      <c r="BJ64" s="233">
        <v>16</v>
      </c>
      <c r="BU64" s="233" t="e">
        <f>#REF!</f>
        <v>#REF!</v>
      </c>
      <c r="BV64" s="225" t="s">
        <v>246</v>
      </c>
    </row>
    <row r="65" spans="1:74" ht="54" customHeight="1" x14ac:dyDescent="0.3">
      <c r="A65" s="241"/>
      <c r="B65" s="242" t="s">
        <v>165</v>
      </c>
      <c r="C65" s="530" t="s">
        <v>1504</v>
      </c>
      <c r="D65" s="531"/>
      <c r="E65" s="531"/>
      <c r="F65" s="531"/>
      <c r="G65" s="531"/>
      <c r="H65" s="531"/>
      <c r="I65" s="531"/>
      <c r="J65" s="531"/>
      <c r="K65" s="531"/>
      <c r="L65" s="531"/>
      <c r="M65" s="532"/>
    </row>
    <row r="66" spans="1:74" ht="14.4" x14ac:dyDescent="0.3">
      <c r="A66" s="239" t="s">
        <v>247</v>
      </c>
      <c r="B66" s="223" t="s">
        <v>248</v>
      </c>
      <c r="C66" s="521" t="s">
        <v>249</v>
      </c>
      <c r="D66" s="519"/>
      <c r="E66" s="223" t="s">
        <v>196</v>
      </c>
      <c r="F66" s="233">
        <v>15.54</v>
      </c>
      <c r="G66" s="311">
        <v>0</v>
      </c>
      <c r="H66" s="233">
        <f>F66*AM66</f>
        <v>0</v>
      </c>
      <c r="I66" s="233">
        <f>F66*AN66</f>
        <v>0</v>
      </c>
      <c r="J66" s="233">
        <f>F66*G66</f>
        <v>0</v>
      </c>
      <c r="K66" s="233">
        <v>0</v>
      </c>
      <c r="L66" s="233">
        <f>F66*K66</f>
        <v>0</v>
      </c>
      <c r="M66" s="240" t="s">
        <v>472</v>
      </c>
      <c r="X66" s="233">
        <f>IF(AO66="5",BH66,0)</f>
        <v>0</v>
      </c>
      <c r="Z66" s="233">
        <f>IF(AO66="1",BF66,0)</f>
        <v>0</v>
      </c>
      <c r="AA66" s="233">
        <f>IF(AO66="1",BG66,0)</f>
        <v>0</v>
      </c>
      <c r="AB66" s="233">
        <f>IF(AO66="7",BF66,0)</f>
        <v>0</v>
      </c>
      <c r="AC66" s="233">
        <f>IF(AO66="7",BG66,0)</f>
        <v>0</v>
      </c>
      <c r="AD66" s="233">
        <f>IF(AO66="2",BF66,0)</f>
        <v>0</v>
      </c>
      <c r="AE66" s="233">
        <f>IF(AO66="2",BG66,0)</f>
        <v>0</v>
      </c>
      <c r="AF66" s="233">
        <f>IF(AO66="0",BH66,0)</f>
        <v>0</v>
      </c>
      <c r="AG66" s="229" t="s">
        <v>154</v>
      </c>
      <c r="AH66" s="233">
        <f>IF(AL66=0,J66,0)</f>
        <v>0</v>
      </c>
      <c r="AI66" s="233">
        <f>IF(AL66=15,J66,0)</f>
        <v>0</v>
      </c>
      <c r="AJ66" s="233">
        <f>IF(AL66=21,J66,0)</f>
        <v>0</v>
      </c>
      <c r="AL66" s="233">
        <v>21</v>
      </c>
      <c r="AM66" s="233">
        <f>G66*0</f>
        <v>0</v>
      </c>
      <c r="AN66" s="233">
        <f>G66*(1-0)</f>
        <v>0</v>
      </c>
      <c r="AO66" s="234" t="s">
        <v>157</v>
      </c>
      <c r="AT66" s="233">
        <f>AU66+AV66</f>
        <v>0</v>
      </c>
      <c r="AU66" s="233">
        <f>F66*AM66</f>
        <v>0</v>
      </c>
      <c r="AV66" s="233">
        <f>F66*AN66</f>
        <v>0</v>
      </c>
      <c r="AW66" s="234" t="s">
        <v>231</v>
      </c>
      <c r="AX66" s="234" t="s">
        <v>163</v>
      </c>
      <c r="AY66" s="229" t="s">
        <v>164</v>
      </c>
      <c r="BA66" s="233">
        <f>AU66+AV66</f>
        <v>0</v>
      </c>
      <c r="BB66" s="233">
        <f>G66/(100-BC66)*100</f>
        <v>0</v>
      </c>
      <c r="BC66" s="233">
        <v>0</v>
      </c>
      <c r="BD66" s="233">
        <f>L66</f>
        <v>0</v>
      </c>
      <c r="BF66" s="233">
        <f>F66*AM66</f>
        <v>0</v>
      </c>
      <c r="BG66" s="233">
        <f>F66*AN66</f>
        <v>0</v>
      </c>
      <c r="BH66" s="233">
        <f>F66*G66</f>
        <v>0</v>
      </c>
      <c r="BI66" s="233"/>
      <c r="BJ66" s="233">
        <v>16</v>
      </c>
      <c r="BU66" s="233" t="e">
        <f>#REF!</f>
        <v>#REF!</v>
      </c>
      <c r="BV66" s="225" t="s">
        <v>249</v>
      </c>
    </row>
    <row r="67" spans="1:74" ht="40.5" customHeight="1" x14ac:dyDescent="0.3">
      <c r="A67" s="241"/>
      <c r="B67" s="242" t="s">
        <v>165</v>
      </c>
      <c r="C67" s="530" t="s">
        <v>1505</v>
      </c>
      <c r="D67" s="531"/>
      <c r="E67" s="531"/>
      <c r="F67" s="531"/>
      <c r="G67" s="531"/>
      <c r="H67" s="531"/>
      <c r="I67" s="531"/>
      <c r="J67" s="531"/>
      <c r="K67" s="531"/>
      <c r="L67" s="531"/>
      <c r="M67" s="532"/>
    </row>
    <row r="68" spans="1:74" ht="14.4" x14ac:dyDescent="0.3">
      <c r="A68" s="239" t="s">
        <v>250</v>
      </c>
      <c r="B68" s="223" t="s">
        <v>251</v>
      </c>
      <c r="C68" s="521" t="s">
        <v>252</v>
      </c>
      <c r="D68" s="519"/>
      <c r="E68" s="223" t="s">
        <v>196</v>
      </c>
      <c r="F68" s="233">
        <v>15.54</v>
      </c>
      <c r="G68" s="311">
        <v>0</v>
      </c>
      <c r="H68" s="233">
        <f>F68*AM68</f>
        <v>0</v>
      </c>
      <c r="I68" s="233">
        <f>F68*AN68</f>
        <v>0</v>
      </c>
      <c r="J68" s="233">
        <f>F68*G68</f>
        <v>0</v>
      </c>
      <c r="K68" s="233">
        <v>0</v>
      </c>
      <c r="L68" s="233">
        <f>F68*K68</f>
        <v>0</v>
      </c>
      <c r="M68" s="240" t="s">
        <v>472</v>
      </c>
      <c r="X68" s="233">
        <f>IF(AO68="5",BH68,0)</f>
        <v>0</v>
      </c>
      <c r="Z68" s="233">
        <f>IF(AO68="1",BF68,0)</f>
        <v>0</v>
      </c>
      <c r="AA68" s="233">
        <f>IF(AO68="1",BG68,0)</f>
        <v>0</v>
      </c>
      <c r="AB68" s="233">
        <f>IF(AO68="7",BF68,0)</f>
        <v>0</v>
      </c>
      <c r="AC68" s="233">
        <f>IF(AO68="7",BG68,0)</f>
        <v>0</v>
      </c>
      <c r="AD68" s="233">
        <f>IF(AO68="2",BF68,0)</f>
        <v>0</v>
      </c>
      <c r="AE68" s="233">
        <f>IF(AO68="2",BG68,0)</f>
        <v>0</v>
      </c>
      <c r="AF68" s="233">
        <f>IF(AO68="0",BH68,0)</f>
        <v>0</v>
      </c>
      <c r="AG68" s="229" t="s">
        <v>154</v>
      </c>
      <c r="AH68" s="233">
        <f>IF(AL68=0,J68,0)</f>
        <v>0</v>
      </c>
      <c r="AI68" s="233">
        <f>IF(AL68=15,J68,0)</f>
        <v>0</v>
      </c>
      <c r="AJ68" s="233">
        <f>IF(AL68=21,J68,0)</f>
        <v>0</v>
      </c>
      <c r="AL68" s="233">
        <v>21</v>
      </c>
      <c r="AM68" s="233">
        <f>G68*0</f>
        <v>0</v>
      </c>
      <c r="AN68" s="233">
        <f>G68*(1-0)</f>
        <v>0</v>
      </c>
      <c r="AO68" s="234" t="s">
        <v>157</v>
      </c>
      <c r="AT68" s="233">
        <f>AU68+AV68</f>
        <v>0</v>
      </c>
      <c r="AU68" s="233">
        <f>F68*AM68</f>
        <v>0</v>
      </c>
      <c r="AV68" s="233">
        <f>F68*AN68</f>
        <v>0</v>
      </c>
      <c r="AW68" s="234" t="s">
        <v>231</v>
      </c>
      <c r="AX68" s="234" t="s">
        <v>163</v>
      </c>
      <c r="AY68" s="229" t="s">
        <v>164</v>
      </c>
      <c r="BA68" s="233">
        <f>AU68+AV68</f>
        <v>0</v>
      </c>
      <c r="BB68" s="233">
        <f>G68/(100-BC68)*100</f>
        <v>0</v>
      </c>
      <c r="BC68" s="233">
        <v>0</v>
      </c>
      <c r="BD68" s="233">
        <f>L68</f>
        <v>0</v>
      </c>
      <c r="BF68" s="233">
        <f>F68*AM68</f>
        <v>0</v>
      </c>
      <c r="BG68" s="233">
        <f>F68*AN68</f>
        <v>0</v>
      </c>
      <c r="BH68" s="233">
        <f>F68*G68</f>
        <v>0</v>
      </c>
      <c r="BI68" s="233"/>
      <c r="BJ68" s="233">
        <v>16</v>
      </c>
      <c r="BU68" s="233" t="e">
        <f>#REF!</f>
        <v>#REF!</v>
      </c>
      <c r="BV68" s="225" t="s">
        <v>252</v>
      </c>
    </row>
    <row r="69" spans="1:74" ht="40.5" customHeight="1" x14ac:dyDescent="0.3">
      <c r="A69" s="241"/>
      <c r="B69" s="242" t="s">
        <v>165</v>
      </c>
      <c r="C69" s="530" t="s">
        <v>1506</v>
      </c>
      <c r="D69" s="531"/>
      <c r="E69" s="531"/>
      <c r="F69" s="531"/>
      <c r="G69" s="531"/>
      <c r="H69" s="531"/>
      <c r="I69" s="531"/>
      <c r="J69" s="531"/>
      <c r="K69" s="531"/>
      <c r="L69" s="531"/>
      <c r="M69" s="532"/>
    </row>
    <row r="70" spans="1:74" ht="14.4" x14ac:dyDescent="0.3">
      <c r="A70" s="239" t="s">
        <v>154</v>
      </c>
      <c r="B70" s="224" t="s">
        <v>220</v>
      </c>
      <c r="C70" s="526" t="s">
        <v>259</v>
      </c>
      <c r="D70" s="527"/>
      <c r="E70" s="223" t="s">
        <v>114</v>
      </c>
      <c r="F70" s="223" t="s">
        <v>114</v>
      </c>
      <c r="G70" s="223" t="s">
        <v>114</v>
      </c>
      <c r="H70" s="235">
        <f>SUM(H71:H74)</f>
        <v>0</v>
      </c>
      <c r="I70" s="235">
        <f>SUM(I71:I74)</f>
        <v>0</v>
      </c>
      <c r="J70" s="235">
        <f>SUM(J71:J74)</f>
        <v>0</v>
      </c>
      <c r="K70" s="230" t="s">
        <v>154</v>
      </c>
      <c r="L70" s="235">
        <f>SUM(L71:L74)</f>
        <v>31.535</v>
      </c>
      <c r="M70" s="243" t="s">
        <v>154</v>
      </c>
      <c r="AG70" s="229" t="s">
        <v>154</v>
      </c>
      <c r="AQ70" s="222">
        <f>SUM(AH71:AH74)</f>
        <v>0</v>
      </c>
      <c r="AR70" s="222">
        <f>SUM(AI71:AI74)</f>
        <v>0</v>
      </c>
      <c r="AS70" s="222">
        <f>SUM(AJ71:AJ74)</f>
        <v>0</v>
      </c>
    </row>
    <row r="71" spans="1:74" ht="14.4" x14ac:dyDescent="0.3">
      <c r="A71" s="239" t="s">
        <v>253</v>
      </c>
      <c r="B71" s="223" t="s">
        <v>261</v>
      </c>
      <c r="C71" s="521" t="s">
        <v>262</v>
      </c>
      <c r="D71" s="519"/>
      <c r="E71" s="223" t="s">
        <v>196</v>
      </c>
      <c r="F71" s="233">
        <v>18.55</v>
      </c>
      <c r="G71" s="311">
        <v>0</v>
      </c>
      <c r="H71" s="233">
        <f>F71*AM71</f>
        <v>0</v>
      </c>
      <c r="I71" s="233">
        <f>F71*AN71</f>
        <v>0</v>
      </c>
      <c r="J71" s="233">
        <f>F71*G71</f>
        <v>0</v>
      </c>
      <c r="K71" s="233">
        <v>1.7</v>
      </c>
      <c r="L71" s="233">
        <f>F71*K71</f>
        <v>31.535</v>
      </c>
      <c r="M71" s="240" t="s">
        <v>472</v>
      </c>
      <c r="X71" s="233">
        <f>IF(AO71="5",BH71,0)</f>
        <v>0</v>
      </c>
      <c r="Z71" s="233">
        <f>IF(AO71="1",BF71,0)</f>
        <v>0</v>
      </c>
      <c r="AA71" s="233">
        <f>IF(AO71="1",BG71,0)</f>
        <v>0</v>
      </c>
      <c r="AB71" s="233">
        <f>IF(AO71="7",BF71,0)</f>
        <v>0</v>
      </c>
      <c r="AC71" s="233">
        <f>IF(AO71="7",BG71,0)</f>
        <v>0</v>
      </c>
      <c r="AD71" s="233">
        <f>IF(AO71="2",BF71,0)</f>
        <v>0</v>
      </c>
      <c r="AE71" s="233">
        <f>IF(AO71="2",BG71,0)</f>
        <v>0</v>
      </c>
      <c r="AF71" s="233">
        <f>IF(AO71="0",BH71,0)</f>
        <v>0</v>
      </c>
      <c r="AG71" s="229" t="s">
        <v>154</v>
      </c>
      <c r="AH71" s="233">
        <f>IF(AL71=0,J71,0)</f>
        <v>0</v>
      </c>
      <c r="AI71" s="233">
        <f>IF(AL71=15,J71,0)</f>
        <v>0</v>
      </c>
      <c r="AJ71" s="233">
        <f>IF(AL71=21,J71,0)</f>
        <v>0</v>
      </c>
      <c r="AL71" s="233">
        <v>21</v>
      </c>
      <c r="AM71" s="233">
        <f>G71*0.517505126</f>
        <v>0</v>
      </c>
      <c r="AN71" s="233">
        <f>G71*(1-0.517505126)</f>
        <v>0</v>
      </c>
      <c r="AO71" s="234" t="s">
        <v>157</v>
      </c>
      <c r="AT71" s="233">
        <f>AU71+AV71</f>
        <v>0</v>
      </c>
      <c r="AU71" s="233">
        <f>F71*AM71</f>
        <v>0</v>
      </c>
      <c r="AV71" s="233">
        <f>F71*AN71</f>
        <v>0</v>
      </c>
      <c r="AW71" s="234" t="s">
        <v>263</v>
      </c>
      <c r="AX71" s="234" t="s">
        <v>163</v>
      </c>
      <c r="AY71" s="229" t="s">
        <v>164</v>
      </c>
      <c r="BA71" s="233">
        <f>AU71+AV71</f>
        <v>0</v>
      </c>
      <c r="BB71" s="233">
        <f>G71/(100-BC71)*100</f>
        <v>0</v>
      </c>
      <c r="BC71" s="233">
        <v>0</v>
      </c>
      <c r="BD71" s="233">
        <f>L71</f>
        <v>31.535</v>
      </c>
      <c r="BF71" s="233">
        <f>F71*AM71</f>
        <v>0</v>
      </c>
      <c r="BG71" s="233">
        <f>F71*AN71</f>
        <v>0</v>
      </c>
      <c r="BH71" s="233">
        <f>F71*G71</f>
        <v>0</v>
      </c>
      <c r="BI71" s="233"/>
      <c r="BJ71" s="233">
        <v>17</v>
      </c>
      <c r="BU71" s="233" t="e">
        <f>#REF!</f>
        <v>#REF!</v>
      </c>
      <c r="BV71" s="225" t="s">
        <v>262</v>
      </c>
    </row>
    <row r="72" spans="1:74" ht="67.5" customHeight="1" x14ac:dyDescent="0.3">
      <c r="A72" s="241"/>
      <c r="B72" s="242" t="s">
        <v>165</v>
      </c>
      <c r="C72" s="530" t="s">
        <v>1507</v>
      </c>
      <c r="D72" s="531"/>
      <c r="E72" s="531"/>
      <c r="F72" s="531"/>
      <c r="G72" s="531"/>
      <c r="H72" s="531"/>
      <c r="I72" s="531"/>
      <c r="J72" s="531"/>
      <c r="K72" s="531"/>
      <c r="L72" s="531"/>
      <c r="M72" s="532"/>
    </row>
    <row r="73" spans="1:74" ht="14.4" x14ac:dyDescent="0.3">
      <c r="A73" s="239" t="s">
        <v>256</v>
      </c>
      <c r="B73" s="223" t="s">
        <v>265</v>
      </c>
      <c r="C73" s="521" t="s">
        <v>266</v>
      </c>
      <c r="D73" s="519"/>
      <c r="E73" s="223" t="s">
        <v>196</v>
      </c>
      <c r="F73" s="233">
        <v>18.55</v>
      </c>
      <c r="G73" s="311">
        <v>0</v>
      </c>
      <c r="H73" s="233">
        <f>F73*AM73</f>
        <v>0</v>
      </c>
      <c r="I73" s="233">
        <f>F73*AN73</f>
        <v>0</v>
      </c>
      <c r="J73" s="233">
        <f>F73*G73</f>
        <v>0</v>
      </c>
      <c r="K73" s="233">
        <v>0</v>
      </c>
      <c r="L73" s="233">
        <f>F73*K73</f>
        <v>0</v>
      </c>
      <c r="M73" s="240" t="s">
        <v>472</v>
      </c>
      <c r="X73" s="233">
        <f>IF(AO73="5",BH73,0)</f>
        <v>0</v>
      </c>
      <c r="Z73" s="233">
        <f>IF(AO73="1",BF73,0)</f>
        <v>0</v>
      </c>
      <c r="AA73" s="233">
        <f>IF(AO73="1",BG73,0)</f>
        <v>0</v>
      </c>
      <c r="AB73" s="233">
        <f>IF(AO73="7",BF73,0)</f>
        <v>0</v>
      </c>
      <c r="AC73" s="233">
        <f>IF(AO73="7",BG73,0)</f>
        <v>0</v>
      </c>
      <c r="AD73" s="233">
        <f>IF(AO73="2",BF73,0)</f>
        <v>0</v>
      </c>
      <c r="AE73" s="233">
        <f>IF(AO73="2",BG73,0)</f>
        <v>0</v>
      </c>
      <c r="AF73" s="233">
        <f>IF(AO73="0",BH73,0)</f>
        <v>0</v>
      </c>
      <c r="AG73" s="229" t="s">
        <v>154</v>
      </c>
      <c r="AH73" s="233">
        <f>IF(AL73=0,J73,0)</f>
        <v>0</v>
      </c>
      <c r="AI73" s="233">
        <f>IF(AL73=15,J73,0)</f>
        <v>0</v>
      </c>
      <c r="AJ73" s="233">
        <f>IF(AL73=21,J73,0)</f>
        <v>0</v>
      </c>
      <c r="AL73" s="233">
        <v>21</v>
      </c>
      <c r="AM73" s="233">
        <f>G73*0</f>
        <v>0</v>
      </c>
      <c r="AN73" s="233">
        <f>G73*(1-0)</f>
        <v>0</v>
      </c>
      <c r="AO73" s="234" t="s">
        <v>157</v>
      </c>
      <c r="AT73" s="233">
        <f>AU73+AV73</f>
        <v>0</v>
      </c>
      <c r="AU73" s="233">
        <f>F73*AM73</f>
        <v>0</v>
      </c>
      <c r="AV73" s="233">
        <f>F73*AN73</f>
        <v>0</v>
      </c>
      <c r="AW73" s="234" t="s">
        <v>263</v>
      </c>
      <c r="AX73" s="234" t="s">
        <v>163</v>
      </c>
      <c r="AY73" s="229" t="s">
        <v>164</v>
      </c>
      <c r="BA73" s="233">
        <f>AU73+AV73</f>
        <v>0</v>
      </c>
      <c r="BB73" s="233">
        <f>G73/(100-BC73)*100</f>
        <v>0</v>
      </c>
      <c r="BC73" s="233">
        <v>0</v>
      </c>
      <c r="BD73" s="233">
        <f>L73</f>
        <v>0</v>
      </c>
      <c r="BF73" s="233">
        <f>F73*AM73</f>
        <v>0</v>
      </c>
      <c r="BG73" s="233">
        <f>F73*AN73</f>
        <v>0</v>
      </c>
      <c r="BH73" s="233">
        <f>F73*G73</f>
        <v>0</v>
      </c>
      <c r="BI73" s="233"/>
      <c r="BJ73" s="233">
        <v>17</v>
      </c>
      <c r="BU73" s="233" t="e">
        <f>#REF!</f>
        <v>#REF!</v>
      </c>
      <c r="BV73" s="225" t="s">
        <v>266</v>
      </c>
    </row>
    <row r="74" spans="1:74" ht="14.4" x14ac:dyDescent="0.3">
      <c r="A74" s="239" t="s">
        <v>260</v>
      </c>
      <c r="B74" s="223" t="s">
        <v>268</v>
      </c>
      <c r="C74" s="521" t="s">
        <v>269</v>
      </c>
      <c r="D74" s="519"/>
      <c r="E74" s="223" t="s">
        <v>196</v>
      </c>
      <c r="F74" s="233">
        <v>7.77</v>
      </c>
      <c r="G74" s="311">
        <v>0</v>
      </c>
      <c r="H74" s="233">
        <f>F74*AM74</f>
        <v>0</v>
      </c>
      <c r="I74" s="233">
        <f>F74*AN74</f>
        <v>0</v>
      </c>
      <c r="J74" s="233">
        <f>F74*G74</f>
        <v>0</v>
      </c>
      <c r="K74" s="233">
        <v>0</v>
      </c>
      <c r="L74" s="233">
        <f>F74*K74</f>
        <v>0</v>
      </c>
      <c r="M74" s="240" t="s">
        <v>472</v>
      </c>
      <c r="X74" s="233">
        <f>IF(AO74="5",BH74,0)</f>
        <v>0</v>
      </c>
      <c r="Z74" s="233">
        <f>IF(AO74="1",BF74,0)</f>
        <v>0</v>
      </c>
      <c r="AA74" s="233">
        <f>IF(AO74="1",BG74,0)</f>
        <v>0</v>
      </c>
      <c r="AB74" s="233">
        <f>IF(AO74="7",BF74,0)</f>
        <v>0</v>
      </c>
      <c r="AC74" s="233">
        <f>IF(AO74="7",BG74,0)</f>
        <v>0</v>
      </c>
      <c r="AD74" s="233">
        <f>IF(AO74="2",BF74,0)</f>
        <v>0</v>
      </c>
      <c r="AE74" s="233">
        <f>IF(AO74="2",BG74,0)</f>
        <v>0</v>
      </c>
      <c r="AF74" s="233">
        <f>IF(AO74="0",BH74,0)</f>
        <v>0</v>
      </c>
      <c r="AG74" s="229" t="s">
        <v>154</v>
      </c>
      <c r="AH74" s="233">
        <f>IF(AL74=0,J74,0)</f>
        <v>0</v>
      </c>
      <c r="AI74" s="233">
        <f>IF(AL74=15,J74,0)</f>
        <v>0</v>
      </c>
      <c r="AJ74" s="233">
        <f>IF(AL74=21,J74,0)</f>
        <v>0</v>
      </c>
      <c r="AL74" s="233">
        <v>21</v>
      </c>
      <c r="AM74" s="233">
        <f>G74*0</f>
        <v>0</v>
      </c>
      <c r="AN74" s="233">
        <f>G74*(1-0)</f>
        <v>0</v>
      </c>
      <c r="AO74" s="234" t="s">
        <v>157</v>
      </c>
      <c r="AT74" s="233">
        <f>AU74+AV74</f>
        <v>0</v>
      </c>
      <c r="AU74" s="233">
        <f>F74*AM74</f>
        <v>0</v>
      </c>
      <c r="AV74" s="233">
        <f>F74*AN74</f>
        <v>0</v>
      </c>
      <c r="AW74" s="234" t="s">
        <v>263</v>
      </c>
      <c r="AX74" s="234" t="s">
        <v>163</v>
      </c>
      <c r="AY74" s="229" t="s">
        <v>164</v>
      </c>
      <c r="BA74" s="233">
        <f>AU74+AV74</f>
        <v>0</v>
      </c>
      <c r="BB74" s="233">
        <f>G74/(100-BC74)*100</f>
        <v>0</v>
      </c>
      <c r="BC74" s="233">
        <v>0</v>
      </c>
      <c r="BD74" s="233">
        <f>L74</f>
        <v>0</v>
      </c>
      <c r="BF74" s="233">
        <f>F74*AM74</f>
        <v>0</v>
      </c>
      <c r="BG74" s="233">
        <f>F74*AN74</f>
        <v>0</v>
      </c>
      <c r="BH74" s="233">
        <f>F74*G74</f>
        <v>0</v>
      </c>
      <c r="BI74" s="233"/>
      <c r="BJ74" s="233">
        <v>17</v>
      </c>
      <c r="BU74" s="233" t="e">
        <f>#REF!</f>
        <v>#REF!</v>
      </c>
      <c r="BV74" s="225" t="s">
        <v>269</v>
      </c>
    </row>
    <row r="75" spans="1:74" ht="67.5" customHeight="1" x14ac:dyDescent="0.3">
      <c r="A75" s="241"/>
      <c r="B75" s="242" t="s">
        <v>165</v>
      </c>
      <c r="C75" s="530" t="s">
        <v>1508</v>
      </c>
      <c r="D75" s="531"/>
      <c r="E75" s="531"/>
      <c r="F75" s="531"/>
      <c r="G75" s="531"/>
      <c r="H75" s="531"/>
      <c r="I75" s="531"/>
      <c r="J75" s="531"/>
      <c r="K75" s="531"/>
      <c r="L75" s="531"/>
      <c r="M75" s="532"/>
    </row>
    <row r="76" spans="1:74" ht="14.4" x14ac:dyDescent="0.3">
      <c r="A76" s="239" t="s">
        <v>154</v>
      </c>
      <c r="B76" s="224" t="s">
        <v>228</v>
      </c>
      <c r="C76" s="526" t="s">
        <v>275</v>
      </c>
      <c r="D76" s="527"/>
      <c r="E76" s="223" t="s">
        <v>114</v>
      </c>
      <c r="F76" s="223" t="s">
        <v>114</v>
      </c>
      <c r="G76" s="223" t="s">
        <v>114</v>
      </c>
      <c r="H76" s="235">
        <f>SUM(H77:H79)</f>
        <v>0</v>
      </c>
      <c r="I76" s="235">
        <f>SUM(I77:I79)</f>
        <v>0</v>
      </c>
      <c r="J76" s="235">
        <f>SUM(J77:J79)</f>
        <v>0</v>
      </c>
      <c r="K76" s="230" t="s">
        <v>154</v>
      </c>
      <c r="L76" s="235">
        <f>SUM(L77:L79)</f>
        <v>0</v>
      </c>
      <c r="M76" s="243" t="s">
        <v>154</v>
      </c>
      <c r="AG76" s="229" t="s">
        <v>154</v>
      </c>
      <c r="AQ76" s="222">
        <f>SUM(AH77:AH79)</f>
        <v>0</v>
      </c>
      <c r="AR76" s="222">
        <f>SUM(AI77:AI79)</f>
        <v>0</v>
      </c>
      <c r="AS76" s="222">
        <f>SUM(AJ77:AJ79)</f>
        <v>0</v>
      </c>
    </row>
    <row r="77" spans="1:74" ht="14.4" x14ac:dyDescent="0.3">
      <c r="A77" s="239" t="s">
        <v>264</v>
      </c>
      <c r="B77" s="223" t="s">
        <v>277</v>
      </c>
      <c r="C77" s="521" t="s">
        <v>278</v>
      </c>
      <c r="D77" s="519"/>
      <c r="E77" s="223" t="s">
        <v>196</v>
      </c>
      <c r="F77" s="233">
        <v>47.5</v>
      </c>
      <c r="G77" s="311">
        <v>0</v>
      </c>
      <c r="H77" s="233">
        <f>F77*AM77</f>
        <v>0</v>
      </c>
      <c r="I77" s="233">
        <f>F77*AN77</f>
        <v>0</v>
      </c>
      <c r="J77" s="233">
        <f>F77*G77</f>
        <v>0</v>
      </c>
      <c r="K77" s="233">
        <v>0</v>
      </c>
      <c r="L77" s="233">
        <f>F77*K77</f>
        <v>0</v>
      </c>
      <c r="M77" s="240" t="s">
        <v>472</v>
      </c>
      <c r="X77" s="233">
        <f>IF(AO77="5",BH77,0)</f>
        <v>0</v>
      </c>
      <c r="Z77" s="233">
        <f>IF(AO77="1",BF77,0)</f>
        <v>0</v>
      </c>
      <c r="AA77" s="233">
        <f>IF(AO77="1",BG77,0)</f>
        <v>0</v>
      </c>
      <c r="AB77" s="233">
        <f>IF(AO77="7",BF77,0)</f>
        <v>0</v>
      </c>
      <c r="AC77" s="233">
        <f>IF(AO77="7",BG77,0)</f>
        <v>0</v>
      </c>
      <c r="AD77" s="233">
        <f>IF(AO77="2",BF77,0)</f>
        <v>0</v>
      </c>
      <c r="AE77" s="233">
        <f>IF(AO77="2",BG77,0)</f>
        <v>0</v>
      </c>
      <c r="AF77" s="233">
        <f>IF(AO77="0",BH77,0)</f>
        <v>0</v>
      </c>
      <c r="AG77" s="229" t="s">
        <v>154</v>
      </c>
      <c r="AH77" s="233">
        <f>IF(AL77=0,J77,0)</f>
        <v>0</v>
      </c>
      <c r="AI77" s="233">
        <f>IF(AL77=15,J77,0)</f>
        <v>0</v>
      </c>
      <c r="AJ77" s="233">
        <f>IF(AL77=21,J77,0)</f>
        <v>0</v>
      </c>
      <c r="AL77" s="233">
        <v>21</v>
      </c>
      <c r="AM77" s="233">
        <f>G77*0</f>
        <v>0</v>
      </c>
      <c r="AN77" s="233">
        <f>G77*(1-0)</f>
        <v>0</v>
      </c>
      <c r="AO77" s="234" t="s">
        <v>157</v>
      </c>
      <c r="AT77" s="233">
        <f>AU77+AV77</f>
        <v>0</v>
      </c>
      <c r="AU77" s="233">
        <f>F77*AM77</f>
        <v>0</v>
      </c>
      <c r="AV77" s="233">
        <f>F77*AN77</f>
        <v>0</v>
      </c>
      <c r="AW77" s="234" t="s">
        <v>279</v>
      </c>
      <c r="AX77" s="234" t="s">
        <v>163</v>
      </c>
      <c r="AY77" s="229" t="s">
        <v>164</v>
      </c>
      <c r="BA77" s="233">
        <f>AU77+AV77</f>
        <v>0</v>
      </c>
      <c r="BB77" s="233">
        <f>G77/(100-BC77)*100</f>
        <v>0</v>
      </c>
      <c r="BC77" s="233">
        <v>0</v>
      </c>
      <c r="BD77" s="233">
        <f>L77</f>
        <v>0</v>
      </c>
      <c r="BF77" s="233">
        <f>F77*AM77</f>
        <v>0</v>
      </c>
      <c r="BG77" s="233">
        <f>F77*AN77</f>
        <v>0</v>
      </c>
      <c r="BH77" s="233">
        <f>F77*G77</f>
        <v>0</v>
      </c>
      <c r="BI77" s="233"/>
      <c r="BJ77" s="233">
        <v>19</v>
      </c>
      <c r="BU77" s="233" t="e">
        <f>#REF!</f>
        <v>#REF!</v>
      </c>
      <c r="BV77" s="225" t="s">
        <v>278</v>
      </c>
    </row>
    <row r="78" spans="1:74" ht="13.5" customHeight="1" x14ac:dyDescent="0.3">
      <c r="A78" s="241"/>
      <c r="B78" s="242" t="s">
        <v>165</v>
      </c>
      <c r="C78" s="530" t="s">
        <v>280</v>
      </c>
      <c r="D78" s="531"/>
      <c r="E78" s="531"/>
      <c r="F78" s="531"/>
      <c r="G78" s="531"/>
      <c r="H78" s="531"/>
      <c r="I78" s="531"/>
      <c r="J78" s="531"/>
      <c r="K78" s="531"/>
      <c r="L78" s="531"/>
      <c r="M78" s="532"/>
    </row>
    <row r="79" spans="1:74" ht="14.4" x14ac:dyDescent="0.3">
      <c r="A79" s="239" t="s">
        <v>267</v>
      </c>
      <c r="B79" s="223" t="s">
        <v>282</v>
      </c>
      <c r="C79" s="521" t="s">
        <v>283</v>
      </c>
      <c r="D79" s="519"/>
      <c r="E79" s="223" t="s">
        <v>196</v>
      </c>
      <c r="F79" s="233">
        <v>11.9</v>
      </c>
      <c r="G79" s="311">
        <v>0</v>
      </c>
      <c r="H79" s="233">
        <f>F79*AM79</f>
        <v>0</v>
      </c>
      <c r="I79" s="233">
        <f>F79*AN79</f>
        <v>0</v>
      </c>
      <c r="J79" s="233">
        <f>F79*G79</f>
        <v>0</v>
      </c>
      <c r="K79" s="233">
        <v>0</v>
      </c>
      <c r="L79" s="233">
        <f>F79*K79</f>
        <v>0</v>
      </c>
      <c r="M79" s="240" t="s">
        <v>472</v>
      </c>
      <c r="X79" s="233">
        <f>IF(AO79="5",BH79,0)</f>
        <v>0</v>
      </c>
      <c r="Z79" s="233">
        <f>IF(AO79="1",BF79,0)</f>
        <v>0</v>
      </c>
      <c r="AA79" s="233">
        <f>IF(AO79="1",BG79,0)</f>
        <v>0</v>
      </c>
      <c r="AB79" s="233">
        <f>IF(AO79="7",BF79,0)</f>
        <v>0</v>
      </c>
      <c r="AC79" s="233">
        <f>IF(AO79="7",BG79,0)</f>
        <v>0</v>
      </c>
      <c r="AD79" s="233">
        <f>IF(AO79="2",BF79,0)</f>
        <v>0</v>
      </c>
      <c r="AE79" s="233">
        <f>IF(AO79="2",BG79,0)</f>
        <v>0</v>
      </c>
      <c r="AF79" s="233">
        <f>IF(AO79="0",BH79,0)</f>
        <v>0</v>
      </c>
      <c r="AG79" s="229" t="s">
        <v>154</v>
      </c>
      <c r="AH79" s="233">
        <f>IF(AL79=0,J79,0)</f>
        <v>0</v>
      </c>
      <c r="AI79" s="233">
        <f>IF(AL79=15,J79,0)</f>
        <v>0</v>
      </c>
      <c r="AJ79" s="233">
        <f>IF(AL79=21,J79,0)</f>
        <v>0</v>
      </c>
      <c r="AL79" s="233">
        <v>21</v>
      </c>
      <c r="AM79" s="233">
        <f>G79*0</f>
        <v>0</v>
      </c>
      <c r="AN79" s="233">
        <f>G79*(1-0)</f>
        <v>0</v>
      </c>
      <c r="AO79" s="234" t="s">
        <v>157</v>
      </c>
      <c r="AT79" s="233">
        <f>AU79+AV79</f>
        <v>0</v>
      </c>
      <c r="AU79" s="233">
        <f>F79*AM79</f>
        <v>0</v>
      </c>
      <c r="AV79" s="233">
        <f>F79*AN79</f>
        <v>0</v>
      </c>
      <c r="AW79" s="234" t="s">
        <v>279</v>
      </c>
      <c r="AX79" s="234" t="s">
        <v>163</v>
      </c>
      <c r="AY79" s="229" t="s">
        <v>164</v>
      </c>
      <c r="BA79" s="233">
        <f>AU79+AV79</f>
        <v>0</v>
      </c>
      <c r="BB79" s="233">
        <f>G79/(100-BC79)*100</f>
        <v>0</v>
      </c>
      <c r="BC79" s="233">
        <v>0</v>
      </c>
      <c r="BD79" s="233">
        <f>L79</f>
        <v>0</v>
      </c>
      <c r="BF79" s="233">
        <f>F79*AM79</f>
        <v>0</v>
      </c>
      <c r="BG79" s="233">
        <f>F79*AN79</f>
        <v>0</v>
      </c>
      <c r="BH79" s="233">
        <f>F79*G79</f>
        <v>0</v>
      </c>
      <c r="BI79" s="233"/>
      <c r="BJ79" s="233">
        <v>19</v>
      </c>
      <c r="BU79" s="233" t="e">
        <f>#REF!</f>
        <v>#REF!</v>
      </c>
      <c r="BV79" s="225" t="s">
        <v>283</v>
      </c>
    </row>
    <row r="80" spans="1:74" ht="13.5" customHeight="1" x14ac:dyDescent="0.3">
      <c r="A80" s="244"/>
      <c r="B80" s="245" t="s">
        <v>165</v>
      </c>
      <c r="C80" s="540" t="s">
        <v>280</v>
      </c>
      <c r="D80" s="541"/>
      <c r="E80" s="541"/>
      <c r="F80" s="541"/>
      <c r="G80" s="541"/>
      <c r="H80" s="541"/>
      <c r="I80" s="541"/>
      <c r="J80" s="541"/>
      <c r="K80" s="541"/>
      <c r="L80" s="541"/>
      <c r="M80" s="542"/>
    </row>
    <row r="81" spans="1:74" ht="14.4" x14ac:dyDescent="0.3">
      <c r="A81" s="237" t="s">
        <v>154</v>
      </c>
      <c r="B81" s="260" t="s">
        <v>235</v>
      </c>
      <c r="C81" s="545" t="s">
        <v>284</v>
      </c>
      <c r="D81" s="546"/>
      <c r="E81" s="238" t="s">
        <v>114</v>
      </c>
      <c r="F81" s="238" t="s">
        <v>114</v>
      </c>
      <c r="G81" s="238" t="s">
        <v>114</v>
      </c>
      <c r="H81" s="261">
        <f>SUM(H82:H84)</f>
        <v>0</v>
      </c>
      <c r="I81" s="261">
        <f>SUM(I82:I84)</f>
        <v>0</v>
      </c>
      <c r="J81" s="261">
        <f>SUM(J82:J84)</f>
        <v>0</v>
      </c>
      <c r="K81" s="262" t="s">
        <v>154</v>
      </c>
      <c r="L81" s="261">
        <f>SUM(L82:L84)</f>
        <v>4.3625000000000007</v>
      </c>
      <c r="M81" s="263" t="s">
        <v>154</v>
      </c>
      <c r="AG81" s="229" t="s">
        <v>154</v>
      </c>
      <c r="AQ81" s="222">
        <f>SUM(AH82:AH84)</f>
        <v>0</v>
      </c>
      <c r="AR81" s="222">
        <f>SUM(AI82:AI84)</f>
        <v>0</v>
      </c>
      <c r="AS81" s="222">
        <f>SUM(AJ82:AJ84)</f>
        <v>0</v>
      </c>
    </row>
    <row r="82" spans="1:74" ht="14.4" x14ac:dyDescent="0.3">
      <c r="A82" s="239" t="s">
        <v>271</v>
      </c>
      <c r="B82" s="223" t="s">
        <v>507</v>
      </c>
      <c r="C82" s="521" t="s">
        <v>287</v>
      </c>
      <c r="D82" s="519"/>
      <c r="E82" s="223" t="s">
        <v>180</v>
      </c>
      <c r="F82" s="233">
        <v>42.57</v>
      </c>
      <c r="G82" s="311">
        <v>0</v>
      </c>
      <c r="H82" s="233">
        <f>F82*AM82</f>
        <v>0</v>
      </c>
      <c r="I82" s="233">
        <f>F82*AN82</f>
        <v>0</v>
      </c>
      <c r="J82" s="233">
        <f>F82*G82</f>
        <v>0</v>
      </c>
      <c r="K82" s="233">
        <v>0</v>
      </c>
      <c r="L82" s="233">
        <f>F82*K82</f>
        <v>0</v>
      </c>
      <c r="M82" s="240" t="s">
        <v>472</v>
      </c>
      <c r="X82" s="233">
        <f>IF(AO82="5",BH82,0)</f>
        <v>0</v>
      </c>
      <c r="Z82" s="233">
        <f>IF(AO82="1",BF82,0)</f>
        <v>0</v>
      </c>
      <c r="AA82" s="233">
        <f>IF(AO82="1",BG82,0)</f>
        <v>0</v>
      </c>
      <c r="AB82" s="233">
        <f>IF(AO82="7",BF82,0)</f>
        <v>0</v>
      </c>
      <c r="AC82" s="233">
        <f>IF(AO82="7",BG82,0)</f>
        <v>0</v>
      </c>
      <c r="AD82" s="233">
        <f>IF(AO82="2",BF82,0)</f>
        <v>0</v>
      </c>
      <c r="AE82" s="233">
        <f>IF(AO82="2",BG82,0)</f>
        <v>0</v>
      </c>
      <c r="AF82" s="233">
        <f>IF(AO82="0",BH82,0)</f>
        <v>0</v>
      </c>
      <c r="AG82" s="229" t="s">
        <v>154</v>
      </c>
      <c r="AH82" s="233">
        <f>IF(AL82=0,J82,0)</f>
        <v>0</v>
      </c>
      <c r="AI82" s="233">
        <f>IF(AL82=15,J82,0)</f>
        <v>0</v>
      </c>
      <c r="AJ82" s="233">
        <f>IF(AL82=21,J82,0)</f>
        <v>0</v>
      </c>
      <c r="AL82" s="233">
        <v>21</v>
      </c>
      <c r="AM82" s="233">
        <f>G82*0</f>
        <v>0</v>
      </c>
      <c r="AN82" s="233">
        <f>G82*(1-0)</f>
        <v>0</v>
      </c>
      <c r="AO82" s="234" t="s">
        <v>157</v>
      </c>
      <c r="AT82" s="233">
        <f>AU82+AV82</f>
        <v>0</v>
      </c>
      <c r="AU82" s="233">
        <f>F82*AM82</f>
        <v>0</v>
      </c>
      <c r="AV82" s="233">
        <f>F82*AN82</f>
        <v>0</v>
      </c>
      <c r="AW82" s="234" t="s">
        <v>288</v>
      </c>
      <c r="AX82" s="234" t="s">
        <v>289</v>
      </c>
      <c r="AY82" s="229" t="s">
        <v>164</v>
      </c>
      <c r="BA82" s="233">
        <f>AU82+AV82</f>
        <v>0</v>
      </c>
      <c r="BB82" s="233">
        <f>G82/(100-BC82)*100</f>
        <v>0</v>
      </c>
      <c r="BC82" s="233">
        <v>0</v>
      </c>
      <c r="BD82" s="233">
        <f>L82</f>
        <v>0</v>
      </c>
      <c r="BF82" s="233">
        <f>F82*AM82</f>
        <v>0</v>
      </c>
      <c r="BG82" s="233">
        <f>F82*AN82</f>
        <v>0</v>
      </c>
      <c r="BH82" s="233">
        <f>F82*G82</f>
        <v>0</v>
      </c>
      <c r="BI82" s="233"/>
      <c r="BJ82" s="233">
        <v>21</v>
      </c>
      <c r="BU82" s="233" t="e">
        <f>#REF!</f>
        <v>#REF!</v>
      </c>
      <c r="BV82" s="225" t="s">
        <v>287</v>
      </c>
    </row>
    <row r="83" spans="1:74" ht="40.5" customHeight="1" x14ac:dyDescent="0.3">
      <c r="A83" s="241"/>
      <c r="B83" s="242" t="s">
        <v>165</v>
      </c>
      <c r="C83" s="530" t="s">
        <v>1509</v>
      </c>
      <c r="D83" s="531"/>
      <c r="E83" s="531"/>
      <c r="F83" s="531"/>
      <c r="G83" s="531"/>
      <c r="H83" s="531"/>
      <c r="I83" s="531"/>
      <c r="J83" s="531"/>
      <c r="K83" s="531"/>
      <c r="L83" s="531"/>
      <c r="M83" s="532"/>
    </row>
    <row r="84" spans="1:74" ht="14.4" x14ac:dyDescent="0.3">
      <c r="A84" s="239" t="s">
        <v>276</v>
      </c>
      <c r="B84" s="223" t="s">
        <v>291</v>
      </c>
      <c r="C84" s="521" t="s">
        <v>292</v>
      </c>
      <c r="D84" s="519"/>
      <c r="E84" s="223" t="s">
        <v>160</v>
      </c>
      <c r="F84" s="233">
        <v>10</v>
      </c>
      <c r="G84" s="311">
        <v>0</v>
      </c>
      <c r="H84" s="233">
        <f>F84*AM84</f>
        <v>0</v>
      </c>
      <c r="I84" s="233">
        <f>F84*AN84</f>
        <v>0</v>
      </c>
      <c r="J84" s="233">
        <f>F84*G84</f>
        <v>0</v>
      </c>
      <c r="K84" s="233">
        <v>0.43625000000000003</v>
      </c>
      <c r="L84" s="233">
        <f>F84*K84</f>
        <v>4.3625000000000007</v>
      </c>
      <c r="M84" s="240" t="s">
        <v>472</v>
      </c>
      <c r="X84" s="233">
        <f>IF(AO84="5",BH84,0)</f>
        <v>0</v>
      </c>
      <c r="Z84" s="233">
        <f>IF(AO84="1",BF84,0)</f>
        <v>0</v>
      </c>
      <c r="AA84" s="233">
        <f>IF(AO84="1",BG84,0)</f>
        <v>0</v>
      </c>
      <c r="AB84" s="233">
        <f>IF(AO84="7",BF84,0)</f>
        <v>0</v>
      </c>
      <c r="AC84" s="233">
        <f>IF(AO84="7",BG84,0)</f>
        <v>0</v>
      </c>
      <c r="AD84" s="233">
        <f>IF(AO84="2",BF84,0)</f>
        <v>0</v>
      </c>
      <c r="AE84" s="233">
        <f>IF(AO84="2",BG84,0)</f>
        <v>0</v>
      </c>
      <c r="AF84" s="233">
        <f>IF(AO84="0",BH84,0)</f>
        <v>0</v>
      </c>
      <c r="AG84" s="229" t="s">
        <v>154</v>
      </c>
      <c r="AH84" s="233">
        <f>IF(AL84=0,J84,0)</f>
        <v>0</v>
      </c>
      <c r="AI84" s="233">
        <f>IF(AL84=15,J84,0)</f>
        <v>0</v>
      </c>
      <c r="AJ84" s="233">
        <f>IF(AL84=21,J84,0)</f>
        <v>0</v>
      </c>
      <c r="AL84" s="233">
        <v>21</v>
      </c>
      <c r="AM84" s="233">
        <f>G84*0.447203746</f>
        <v>0</v>
      </c>
      <c r="AN84" s="233">
        <f>G84*(1-0.447203746)</f>
        <v>0</v>
      </c>
      <c r="AO84" s="234" t="s">
        <v>157</v>
      </c>
      <c r="AT84" s="233">
        <f>AU84+AV84</f>
        <v>0</v>
      </c>
      <c r="AU84" s="233">
        <f>F84*AM84</f>
        <v>0</v>
      </c>
      <c r="AV84" s="233">
        <f>F84*AN84</f>
        <v>0</v>
      </c>
      <c r="AW84" s="234" t="s">
        <v>288</v>
      </c>
      <c r="AX84" s="234" t="s">
        <v>289</v>
      </c>
      <c r="AY84" s="229" t="s">
        <v>164</v>
      </c>
      <c r="BA84" s="233">
        <f>AU84+AV84</f>
        <v>0</v>
      </c>
      <c r="BB84" s="233">
        <f>G84/(100-BC84)*100</f>
        <v>0</v>
      </c>
      <c r="BC84" s="233">
        <v>0</v>
      </c>
      <c r="BD84" s="233">
        <f>L84</f>
        <v>4.3625000000000007</v>
      </c>
      <c r="BF84" s="233">
        <f>F84*AM84</f>
        <v>0</v>
      </c>
      <c r="BG84" s="233">
        <f>F84*AN84</f>
        <v>0</v>
      </c>
      <c r="BH84" s="233">
        <f>F84*G84</f>
        <v>0</v>
      </c>
      <c r="BI84" s="233"/>
      <c r="BJ84" s="233">
        <v>21</v>
      </c>
      <c r="BU84" s="233" t="e">
        <f>#REF!</f>
        <v>#REF!</v>
      </c>
      <c r="BV84" s="225" t="s">
        <v>292</v>
      </c>
    </row>
    <row r="85" spans="1:74" ht="27" customHeight="1" x14ac:dyDescent="0.3">
      <c r="A85" s="241"/>
      <c r="B85" s="242" t="s">
        <v>165</v>
      </c>
      <c r="C85" s="530" t="s">
        <v>1425</v>
      </c>
      <c r="D85" s="531"/>
      <c r="E85" s="531"/>
      <c r="F85" s="531"/>
      <c r="G85" s="531"/>
      <c r="H85" s="531"/>
      <c r="I85" s="531"/>
      <c r="J85" s="531"/>
      <c r="K85" s="531"/>
      <c r="L85" s="531"/>
      <c r="M85" s="532"/>
    </row>
    <row r="86" spans="1:74" ht="14.4" x14ac:dyDescent="0.3">
      <c r="A86" s="239" t="s">
        <v>154</v>
      </c>
      <c r="B86" s="224" t="s">
        <v>318</v>
      </c>
      <c r="C86" s="526" t="s">
        <v>508</v>
      </c>
      <c r="D86" s="527"/>
      <c r="E86" s="223" t="s">
        <v>114</v>
      </c>
      <c r="F86" s="223" t="s">
        <v>114</v>
      </c>
      <c r="G86" s="223" t="s">
        <v>114</v>
      </c>
      <c r="H86" s="235">
        <f>SUM(H87:H89)</f>
        <v>0</v>
      </c>
      <c r="I86" s="235">
        <f>SUM(I87:I89)</f>
        <v>0</v>
      </c>
      <c r="J86" s="235">
        <f>SUM(J87:J89)</f>
        <v>0</v>
      </c>
      <c r="K86" s="230" t="s">
        <v>154</v>
      </c>
      <c r="L86" s="235">
        <f>SUM(L87:L89)</f>
        <v>1.8000000000000002E-2</v>
      </c>
      <c r="M86" s="243" t="s">
        <v>154</v>
      </c>
      <c r="AG86" s="229" t="s">
        <v>154</v>
      </c>
      <c r="AQ86" s="222">
        <f>SUM(AH87:AH89)</f>
        <v>0</v>
      </c>
      <c r="AR86" s="222">
        <f>SUM(AI87:AI89)</f>
        <v>0</v>
      </c>
      <c r="AS86" s="222">
        <f>SUM(AJ87:AJ89)</f>
        <v>0</v>
      </c>
    </row>
    <row r="87" spans="1:74" ht="14.4" x14ac:dyDescent="0.3">
      <c r="A87" s="239" t="s">
        <v>281</v>
      </c>
      <c r="B87" s="223" t="s">
        <v>509</v>
      </c>
      <c r="C87" s="521" t="s">
        <v>510</v>
      </c>
      <c r="D87" s="519"/>
      <c r="E87" s="223" t="s">
        <v>365</v>
      </c>
      <c r="F87" s="233">
        <v>4</v>
      </c>
      <c r="G87" s="311">
        <v>0</v>
      </c>
      <c r="H87" s="233">
        <f>F87*AM87</f>
        <v>0</v>
      </c>
      <c r="I87" s="233">
        <f>F87*AN87</f>
        <v>0</v>
      </c>
      <c r="J87" s="233">
        <f>F87*G87</f>
        <v>0</v>
      </c>
      <c r="K87" s="233">
        <v>3.0000000000000001E-3</v>
      </c>
      <c r="L87" s="233">
        <f>F87*K87</f>
        <v>1.2E-2</v>
      </c>
      <c r="M87" s="240" t="s">
        <v>472</v>
      </c>
      <c r="X87" s="233">
        <f>IF(AO87="5",BH87,0)</f>
        <v>0</v>
      </c>
      <c r="Z87" s="233">
        <f>IF(AO87="1",BF87,0)</f>
        <v>0</v>
      </c>
      <c r="AA87" s="233">
        <f>IF(AO87="1",BG87,0)</f>
        <v>0</v>
      </c>
      <c r="AB87" s="233">
        <f>IF(AO87="7",BF87,0)</f>
        <v>0</v>
      </c>
      <c r="AC87" s="233">
        <f>IF(AO87="7",BG87,0)</f>
        <v>0</v>
      </c>
      <c r="AD87" s="233">
        <f>IF(AO87="2",BF87,0)</f>
        <v>0</v>
      </c>
      <c r="AE87" s="233">
        <f>IF(AO87="2",BG87,0)</f>
        <v>0</v>
      </c>
      <c r="AF87" s="233">
        <f>IF(AO87="0",BH87,0)</f>
        <v>0</v>
      </c>
      <c r="AG87" s="229" t="s">
        <v>154</v>
      </c>
      <c r="AH87" s="233">
        <f>IF(AL87=0,J87,0)</f>
        <v>0</v>
      </c>
      <c r="AI87" s="233">
        <f>IF(AL87=15,J87,0)</f>
        <v>0</v>
      </c>
      <c r="AJ87" s="233">
        <f>IF(AL87=21,J87,0)</f>
        <v>0</v>
      </c>
      <c r="AL87" s="233">
        <v>21</v>
      </c>
      <c r="AM87" s="233">
        <f>G87*0.01186457</f>
        <v>0</v>
      </c>
      <c r="AN87" s="233">
        <f>G87*(1-0.01186457)</f>
        <v>0</v>
      </c>
      <c r="AO87" s="234" t="s">
        <v>157</v>
      </c>
      <c r="AT87" s="233">
        <f>AU87+AV87</f>
        <v>0</v>
      </c>
      <c r="AU87" s="233">
        <f>F87*AM87</f>
        <v>0</v>
      </c>
      <c r="AV87" s="233">
        <f>F87*AN87</f>
        <v>0</v>
      </c>
      <c r="AW87" s="234" t="s">
        <v>511</v>
      </c>
      <c r="AX87" s="234" t="s">
        <v>304</v>
      </c>
      <c r="AY87" s="229" t="s">
        <v>164</v>
      </c>
      <c r="BA87" s="233">
        <f>AU87+AV87</f>
        <v>0</v>
      </c>
      <c r="BB87" s="233">
        <f>G87/(100-BC87)*100</f>
        <v>0</v>
      </c>
      <c r="BC87" s="233">
        <v>0</v>
      </c>
      <c r="BD87" s="233">
        <f>L87</f>
        <v>1.2E-2</v>
      </c>
      <c r="BF87" s="233">
        <f>F87*AM87</f>
        <v>0</v>
      </c>
      <c r="BG87" s="233">
        <f>F87*AN87</f>
        <v>0</v>
      </c>
      <c r="BH87" s="233">
        <f>F87*G87</f>
        <v>0</v>
      </c>
      <c r="BI87" s="233"/>
      <c r="BJ87" s="233">
        <v>42</v>
      </c>
      <c r="BU87" s="233" t="e">
        <f>#REF!</f>
        <v>#REF!</v>
      </c>
      <c r="BV87" s="225" t="s">
        <v>510</v>
      </c>
    </row>
    <row r="88" spans="1:74" ht="13.5" customHeight="1" x14ac:dyDescent="0.3">
      <c r="A88" s="241"/>
      <c r="B88" s="242" t="s">
        <v>165</v>
      </c>
      <c r="C88" s="530" t="s">
        <v>512</v>
      </c>
      <c r="D88" s="531"/>
      <c r="E88" s="531"/>
      <c r="F88" s="531"/>
      <c r="G88" s="531"/>
      <c r="H88" s="531"/>
      <c r="I88" s="531"/>
      <c r="J88" s="531"/>
      <c r="K88" s="531"/>
      <c r="L88" s="531"/>
      <c r="M88" s="532"/>
    </row>
    <row r="89" spans="1:74" ht="14.4" x14ac:dyDescent="0.3">
      <c r="A89" s="239" t="s">
        <v>285</v>
      </c>
      <c r="B89" s="223" t="s">
        <v>509</v>
      </c>
      <c r="C89" s="521" t="s">
        <v>510</v>
      </c>
      <c r="D89" s="519"/>
      <c r="E89" s="223" t="s">
        <v>365</v>
      </c>
      <c r="F89" s="233">
        <v>2</v>
      </c>
      <c r="G89" s="311">
        <v>0</v>
      </c>
      <c r="H89" s="233">
        <f>F89*AM89</f>
        <v>0</v>
      </c>
      <c r="I89" s="233">
        <f>F89*AN89</f>
        <v>0</v>
      </c>
      <c r="J89" s="233">
        <f>F89*G89</f>
        <v>0</v>
      </c>
      <c r="K89" s="233">
        <v>3.0000000000000001E-3</v>
      </c>
      <c r="L89" s="233">
        <f>F89*K89</f>
        <v>6.0000000000000001E-3</v>
      </c>
      <c r="M89" s="240" t="s">
        <v>472</v>
      </c>
      <c r="X89" s="233">
        <f>IF(AO89="5",BH89,0)</f>
        <v>0</v>
      </c>
      <c r="Z89" s="233">
        <f>IF(AO89="1",BF89,0)</f>
        <v>0</v>
      </c>
      <c r="AA89" s="233">
        <f>IF(AO89="1",BG89,0)</f>
        <v>0</v>
      </c>
      <c r="AB89" s="233">
        <f>IF(AO89="7",BF89,0)</f>
        <v>0</v>
      </c>
      <c r="AC89" s="233">
        <f>IF(AO89="7",BG89,0)</f>
        <v>0</v>
      </c>
      <c r="AD89" s="233">
        <f>IF(AO89="2",BF89,0)</f>
        <v>0</v>
      </c>
      <c r="AE89" s="233">
        <f>IF(AO89="2",BG89,0)</f>
        <v>0</v>
      </c>
      <c r="AF89" s="233">
        <f>IF(AO89="0",BH89,0)</f>
        <v>0</v>
      </c>
      <c r="AG89" s="229" t="s">
        <v>154</v>
      </c>
      <c r="AH89" s="233">
        <f>IF(AL89=0,J89,0)</f>
        <v>0</v>
      </c>
      <c r="AI89" s="233">
        <f>IF(AL89=15,J89,0)</f>
        <v>0</v>
      </c>
      <c r="AJ89" s="233">
        <f>IF(AL89=21,J89,0)</f>
        <v>0</v>
      </c>
      <c r="AL89" s="233">
        <v>21</v>
      </c>
      <c r="AM89" s="233">
        <f>G89*0.01186457</f>
        <v>0</v>
      </c>
      <c r="AN89" s="233">
        <f>G89*(1-0.01186457)</f>
        <v>0</v>
      </c>
      <c r="AO89" s="234" t="s">
        <v>157</v>
      </c>
      <c r="AT89" s="233">
        <f>AU89+AV89</f>
        <v>0</v>
      </c>
      <c r="AU89" s="233">
        <f>F89*AM89</f>
        <v>0</v>
      </c>
      <c r="AV89" s="233">
        <f>F89*AN89</f>
        <v>0</v>
      </c>
      <c r="AW89" s="234" t="s">
        <v>511</v>
      </c>
      <c r="AX89" s="234" t="s">
        <v>304</v>
      </c>
      <c r="AY89" s="229" t="s">
        <v>164</v>
      </c>
      <c r="BA89" s="233">
        <f>AU89+AV89</f>
        <v>0</v>
      </c>
      <c r="BB89" s="233">
        <f>G89/(100-BC89)*100</f>
        <v>0</v>
      </c>
      <c r="BC89" s="233">
        <v>0</v>
      </c>
      <c r="BD89" s="233">
        <f>L89</f>
        <v>6.0000000000000001E-3</v>
      </c>
      <c r="BF89" s="233">
        <f>F89*AM89</f>
        <v>0</v>
      </c>
      <c r="BG89" s="233">
        <f>F89*AN89</f>
        <v>0</v>
      </c>
      <c r="BH89" s="233">
        <f>F89*G89</f>
        <v>0</v>
      </c>
      <c r="BI89" s="233"/>
      <c r="BJ89" s="233">
        <v>42</v>
      </c>
      <c r="BU89" s="233" t="e">
        <f>#REF!</f>
        <v>#REF!</v>
      </c>
      <c r="BV89" s="225" t="s">
        <v>510</v>
      </c>
    </row>
    <row r="90" spans="1:74" ht="13.5" customHeight="1" x14ac:dyDescent="0.3">
      <c r="A90" s="241"/>
      <c r="B90" s="242" t="s">
        <v>165</v>
      </c>
      <c r="C90" s="530" t="s">
        <v>513</v>
      </c>
      <c r="D90" s="531"/>
      <c r="E90" s="531"/>
      <c r="F90" s="531"/>
      <c r="G90" s="531"/>
      <c r="H90" s="531"/>
      <c r="I90" s="531"/>
      <c r="J90" s="531"/>
      <c r="K90" s="531"/>
      <c r="L90" s="531"/>
      <c r="M90" s="532"/>
    </row>
    <row r="91" spans="1:74" ht="14.4" x14ac:dyDescent="0.3">
      <c r="A91" s="239" t="s">
        <v>154</v>
      </c>
      <c r="B91" s="224" t="s">
        <v>298</v>
      </c>
      <c r="C91" s="526" t="s">
        <v>299</v>
      </c>
      <c r="D91" s="527"/>
      <c r="E91" s="223" t="s">
        <v>114</v>
      </c>
      <c r="F91" s="223" t="s">
        <v>114</v>
      </c>
      <c r="G91" s="223" t="s">
        <v>114</v>
      </c>
      <c r="H91" s="235">
        <f>SUM(H92:H92)</f>
        <v>0</v>
      </c>
      <c r="I91" s="235">
        <f>SUM(I92:I92)</f>
        <v>0</v>
      </c>
      <c r="J91" s="235">
        <f>SUM(J92:J92)</f>
        <v>0</v>
      </c>
      <c r="K91" s="230" t="s">
        <v>154</v>
      </c>
      <c r="L91" s="235">
        <f>SUM(L92:L92)</f>
        <v>12.6303436</v>
      </c>
      <c r="M91" s="243" t="s">
        <v>154</v>
      </c>
      <c r="AG91" s="229" t="s">
        <v>154</v>
      </c>
      <c r="AQ91" s="222">
        <f>SUM(AH92:AH92)</f>
        <v>0</v>
      </c>
      <c r="AR91" s="222">
        <f>SUM(AI92:AI92)</f>
        <v>0</v>
      </c>
      <c r="AS91" s="222">
        <f>SUM(AJ92:AJ92)</f>
        <v>0</v>
      </c>
    </row>
    <row r="92" spans="1:74" ht="14.4" x14ac:dyDescent="0.3">
      <c r="A92" s="239" t="s">
        <v>290</v>
      </c>
      <c r="B92" s="223" t="s">
        <v>301</v>
      </c>
      <c r="C92" s="521" t="s">
        <v>302</v>
      </c>
      <c r="D92" s="519"/>
      <c r="E92" s="223" t="s">
        <v>196</v>
      </c>
      <c r="F92" s="233">
        <v>6.68</v>
      </c>
      <c r="G92" s="311">
        <v>0</v>
      </c>
      <c r="H92" s="233">
        <f>F92*AM92</f>
        <v>0</v>
      </c>
      <c r="I92" s="233">
        <f>F92*AN92</f>
        <v>0</v>
      </c>
      <c r="J92" s="233">
        <f>F92*G92</f>
        <v>0</v>
      </c>
      <c r="K92" s="233">
        <v>1.8907700000000001</v>
      </c>
      <c r="L92" s="233">
        <f>F92*K92</f>
        <v>12.6303436</v>
      </c>
      <c r="M92" s="240" t="s">
        <v>472</v>
      </c>
      <c r="X92" s="233">
        <f>IF(AO92="5",BH92,0)</f>
        <v>0</v>
      </c>
      <c r="Z92" s="233">
        <f>IF(AO92="1",BF92,0)</f>
        <v>0</v>
      </c>
      <c r="AA92" s="233">
        <f>IF(AO92="1",BG92,0)</f>
        <v>0</v>
      </c>
      <c r="AB92" s="233">
        <f>IF(AO92="7",BF92,0)</f>
        <v>0</v>
      </c>
      <c r="AC92" s="233">
        <f>IF(AO92="7",BG92,0)</f>
        <v>0</v>
      </c>
      <c r="AD92" s="233">
        <f>IF(AO92="2",BF92,0)</f>
        <v>0</v>
      </c>
      <c r="AE92" s="233">
        <f>IF(AO92="2",BG92,0)</f>
        <v>0</v>
      </c>
      <c r="AF92" s="233">
        <f>IF(AO92="0",BH92,0)</f>
        <v>0</v>
      </c>
      <c r="AG92" s="229" t="s">
        <v>154</v>
      </c>
      <c r="AH92" s="233">
        <f>IF(AL92=0,J92,0)</f>
        <v>0</v>
      </c>
      <c r="AI92" s="233">
        <f>IF(AL92=15,J92,0)</f>
        <v>0</v>
      </c>
      <c r="AJ92" s="233">
        <f>IF(AL92=21,J92,0)</f>
        <v>0</v>
      </c>
      <c r="AL92" s="233">
        <v>21</v>
      </c>
      <c r="AM92" s="233">
        <f>G92*0.492383016</f>
        <v>0</v>
      </c>
      <c r="AN92" s="233">
        <f>G92*(1-0.492383016)</f>
        <v>0</v>
      </c>
      <c r="AO92" s="234" t="s">
        <v>157</v>
      </c>
      <c r="AT92" s="233">
        <f>AU92+AV92</f>
        <v>0</v>
      </c>
      <c r="AU92" s="233">
        <f>F92*AM92</f>
        <v>0</v>
      </c>
      <c r="AV92" s="233">
        <f>F92*AN92</f>
        <v>0</v>
      </c>
      <c r="AW92" s="234" t="s">
        <v>303</v>
      </c>
      <c r="AX92" s="234" t="s">
        <v>304</v>
      </c>
      <c r="AY92" s="229" t="s">
        <v>164</v>
      </c>
      <c r="BA92" s="233">
        <f>AU92+AV92</f>
        <v>0</v>
      </c>
      <c r="BB92" s="233">
        <f>G92/(100-BC92)*100</f>
        <v>0</v>
      </c>
      <c r="BC92" s="233">
        <v>0</v>
      </c>
      <c r="BD92" s="233">
        <f>L92</f>
        <v>12.6303436</v>
      </c>
      <c r="BF92" s="233">
        <f>F92*AM92</f>
        <v>0</v>
      </c>
      <c r="BG92" s="233">
        <f>F92*AN92</f>
        <v>0</v>
      </c>
      <c r="BH92" s="233">
        <f>F92*G92</f>
        <v>0</v>
      </c>
      <c r="BI92" s="233"/>
      <c r="BJ92" s="233">
        <v>45</v>
      </c>
      <c r="BU92" s="233" t="e">
        <f>#REF!</f>
        <v>#REF!</v>
      </c>
      <c r="BV92" s="225" t="s">
        <v>302</v>
      </c>
    </row>
    <row r="93" spans="1:74" ht="54" customHeight="1" x14ac:dyDescent="0.3">
      <c r="A93" s="241"/>
      <c r="B93" s="242" t="s">
        <v>165</v>
      </c>
      <c r="C93" s="530" t="s">
        <v>1510</v>
      </c>
      <c r="D93" s="531"/>
      <c r="E93" s="531"/>
      <c r="F93" s="531"/>
      <c r="G93" s="531"/>
      <c r="H93" s="531"/>
      <c r="I93" s="531"/>
      <c r="J93" s="531"/>
      <c r="K93" s="531"/>
      <c r="L93" s="531"/>
      <c r="M93" s="532"/>
    </row>
    <row r="94" spans="1:74" ht="14.4" x14ac:dyDescent="0.3">
      <c r="A94" s="239" t="s">
        <v>154</v>
      </c>
      <c r="B94" s="224" t="s">
        <v>305</v>
      </c>
      <c r="C94" s="526" t="s">
        <v>306</v>
      </c>
      <c r="D94" s="527"/>
      <c r="E94" s="223" t="s">
        <v>114</v>
      </c>
      <c r="F94" s="223" t="s">
        <v>114</v>
      </c>
      <c r="G94" s="223" t="s">
        <v>114</v>
      </c>
      <c r="H94" s="235">
        <f>SUM(H95:H115)</f>
        <v>0</v>
      </c>
      <c r="I94" s="235">
        <f>SUM(I95:I115)</f>
        <v>0</v>
      </c>
      <c r="J94" s="235">
        <f>SUM(J95:J115)</f>
        <v>0</v>
      </c>
      <c r="K94" s="230" t="s">
        <v>154</v>
      </c>
      <c r="L94" s="235">
        <f>SUM(L95:L115)</f>
        <v>142.95034509999996</v>
      </c>
      <c r="M94" s="243" t="s">
        <v>154</v>
      </c>
      <c r="AG94" s="229" t="s">
        <v>154</v>
      </c>
      <c r="AQ94" s="222">
        <f>SUM(AH95:AH115)</f>
        <v>0</v>
      </c>
      <c r="AR94" s="222">
        <f>SUM(AI95:AI115)</f>
        <v>0</v>
      </c>
      <c r="AS94" s="222">
        <f>SUM(AJ95:AJ115)</f>
        <v>0</v>
      </c>
    </row>
    <row r="95" spans="1:74" ht="14.4" x14ac:dyDescent="0.3">
      <c r="A95" s="239" t="s">
        <v>294</v>
      </c>
      <c r="B95" s="223" t="s">
        <v>308</v>
      </c>
      <c r="C95" s="521" t="s">
        <v>309</v>
      </c>
      <c r="D95" s="519"/>
      <c r="E95" s="223" t="s">
        <v>180</v>
      </c>
      <c r="F95" s="233">
        <v>42.45</v>
      </c>
      <c r="G95" s="311">
        <v>0</v>
      </c>
      <c r="H95" s="233">
        <f>F95*AM95</f>
        <v>0</v>
      </c>
      <c r="I95" s="233">
        <f>F95*AN95</f>
        <v>0</v>
      </c>
      <c r="J95" s="233">
        <f>F95*G95</f>
        <v>0</v>
      </c>
      <c r="K95" s="233">
        <v>0.4284</v>
      </c>
      <c r="L95" s="233">
        <f>F95*K95</f>
        <v>18.185580000000002</v>
      </c>
      <c r="M95" s="240" t="s">
        <v>472</v>
      </c>
      <c r="X95" s="233">
        <f>IF(AO95="5",BH95,0)</f>
        <v>0</v>
      </c>
      <c r="Z95" s="233">
        <f>IF(AO95="1",BF95,0)</f>
        <v>0</v>
      </c>
      <c r="AA95" s="233">
        <f>IF(AO95="1",BG95,0)</f>
        <v>0</v>
      </c>
      <c r="AB95" s="233">
        <f>IF(AO95="7",BF95,0)</f>
        <v>0</v>
      </c>
      <c r="AC95" s="233">
        <f>IF(AO95="7",BG95,0)</f>
        <v>0</v>
      </c>
      <c r="AD95" s="233">
        <f>IF(AO95="2",BF95,0)</f>
        <v>0</v>
      </c>
      <c r="AE95" s="233">
        <f>IF(AO95="2",BG95,0)</f>
        <v>0</v>
      </c>
      <c r="AF95" s="233">
        <f>IF(AO95="0",BH95,0)</f>
        <v>0</v>
      </c>
      <c r="AG95" s="229" t="s">
        <v>154</v>
      </c>
      <c r="AH95" s="233">
        <f>IF(AL95=0,J95,0)</f>
        <v>0</v>
      </c>
      <c r="AI95" s="233">
        <f>IF(AL95=15,J95,0)</f>
        <v>0</v>
      </c>
      <c r="AJ95" s="233">
        <f>IF(AL95=21,J95,0)</f>
        <v>0</v>
      </c>
      <c r="AL95" s="233">
        <v>21</v>
      </c>
      <c r="AM95" s="233">
        <f>G95*0.847970172</f>
        <v>0</v>
      </c>
      <c r="AN95" s="233">
        <f>G95*(1-0.847970172)</f>
        <v>0</v>
      </c>
      <c r="AO95" s="234" t="s">
        <v>157</v>
      </c>
      <c r="AT95" s="233">
        <f>AU95+AV95</f>
        <v>0</v>
      </c>
      <c r="AU95" s="233">
        <f>F95*AM95</f>
        <v>0</v>
      </c>
      <c r="AV95" s="233">
        <f>F95*AN95</f>
        <v>0</v>
      </c>
      <c r="AW95" s="234" t="s">
        <v>310</v>
      </c>
      <c r="AX95" s="234" t="s">
        <v>311</v>
      </c>
      <c r="AY95" s="229" t="s">
        <v>164</v>
      </c>
      <c r="BA95" s="233">
        <f>AU95+AV95</f>
        <v>0</v>
      </c>
      <c r="BB95" s="233">
        <f>G95/(100-BC95)*100</f>
        <v>0</v>
      </c>
      <c r="BC95" s="233">
        <v>0</v>
      </c>
      <c r="BD95" s="233">
        <f>L95</f>
        <v>18.185580000000002</v>
      </c>
      <c r="BF95" s="233">
        <f>F95*AM95</f>
        <v>0</v>
      </c>
      <c r="BG95" s="233">
        <f>F95*AN95</f>
        <v>0</v>
      </c>
      <c r="BH95" s="233">
        <f>F95*G95</f>
        <v>0</v>
      </c>
      <c r="BI95" s="233"/>
      <c r="BJ95" s="233">
        <v>56</v>
      </c>
      <c r="BU95" s="233" t="e">
        <f>#REF!</f>
        <v>#REF!</v>
      </c>
      <c r="BV95" s="225" t="s">
        <v>309</v>
      </c>
    </row>
    <row r="96" spans="1:74" ht="40.5" customHeight="1" x14ac:dyDescent="0.3">
      <c r="A96" s="241"/>
      <c r="B96" s="242" t="s">
        <v>165</v>
      </c>
      <c r="C96" s="530" t="s">
        <v>1511</v>
      </c>
      <c r="D96" s="531"/>
      <c r="E96" s="531"/>
      <c r="F96" s="531"/>
      <c r="G96" s="531"/>
      <c r="H96" s="531"/>
      <c r="I96" s="531"/>
      <c r="J96" s="531"/>
      <c r="K96" s="531"/>
      <c r="L96" s="531"/>
      <c r="M96" s="532"/>
    </row>
    <row r="97" spans="1:74" ht="14.4" x14ac:dyDescent="0.3">
      <c r="A97" s="239" t="s">
        <v>300</v>
      </c>
      <c r="B97" s="223" t="s">
        <v>313</v>
      </c>
      <c r="C97" s="521" t="s">
        <v>314</v>
      </c>
      <c r="D97" s="519"/>
      <c r="E97" s="223" t="s">
        <v>180</v>
      </c>
      <c r="F97" s="233">
        <v>49.66</v>
      </c>
      <c r="G97" s="311">
        <v>0</v>
      </c>
      <c r="H97" s="233">
        <f>F97*AM97</f>
        <v>0</v>
      </c>
      <c r="I97" s="233">
        <f>F97*AN97</f>
        <v>0</v>
      </c>
      <c r="J97" s="233">
        <f>F97*G97</f>
        <v>0</v>
      </c>
      <c r="K97" s="233">
        <v>0.60104000000000002</v>
      </c>
      <c r="L97" s="233">
        <f>F97*K97</f>
        <v>29.847646399999999</v>
      </c>
      <c r="M97" s="240" t="s">
        <v>472</v>
      </c>
      <c r="X97" s="233">
        <f>IF(AO97="5",BH97,0)</f>
        <v>0</v>
      </c>
      <c r="Z97" s="233">
        <f>IF(AO97="1",BF97,0)</f>
        <v>0</v>
      </c>
      <c r="AA97" s="233">
        <f>IF(AO97="1",BG97,0)</f>
        <v>0</v>
      </c>
      <c r="AB97" s="233">
        <f>IF(AO97="7",BF97,0)</f>
        <v>0</v>
      </c>
      <c r="AC97" s="233">
        <f>IF(AO97="7",BG97,0)</f>
        <v>0</v>
      </c>
      <c r="AD97" s="233">
        <f>IF(AO97="2",BF97,0)</f>
        <v>0</v>
      </c>
      <c r="AE97" s="233">
        <f>IF(AO97="2",BG97,0)</f>
        <v>0</v>
      </c>
      <c r="AF97" s="233">
        <f>IF(AO97="0",BH97,0)</f>
        <v>0</v>
      </c>
      <c r="AG97" s="229" t="s">
        <v>154</v>
      </c>
      <c r="AH97" s="233">
        <f>IF(AL97=0,J97,0)</f>
        <v>0</v>
      </c>
      <c r="AI97" s="233">
        <f>IF(AL97=15,J97,0)</f>
        <v>0</v>
      </c>
      <c r="AJ97" s="233">
        <f>IF(AL97=21,J97,0)</f>
        <v>0</v>
      </c>
      <c r="AL97" s="233">
        <v>21</v>
      </c>
      <c r="AM97" s="233">
        <f>G97*0.832421422</f>
        <v>0</v>
      </c>
      <c r="AN97" s="233">
        <f>G97*(1-0.832421422)</f>
        <v>0</v>
      </c>
      <c r="AO97" s="234" t="s">
        <v>157</v>
      </c>
      <c r="AT97" s="233">
        <f>AU97+AV97</f>
        <v>0</v>
      </c>
      <c r="AU97" s="233">
        <f>F97*AM97</f>
        <v>0</v>
      </c>
      <c r="AV97" s="233">
        <f>F97*AN97</f>
        <v>0</v>
      </c>
      <c r="AW97" s="234" t="s">
        <v>310</v>
      </c>
      <c r="AX97" s="234" t="s">
        <v>311</v>
      </c>
      <c r="AY97" s="229" t="s">
        <v>164</v>
      </c>
      <c r="BA97" s="233">
        <f>AU97+AV97</f>
        <v>0</v>
      </c>
      <c r="BB97" s="233">
        <f>G97/(100-BC97)*100</f>
        <v>0</v>
      </c>
      <c r="BC97" s="233">
        <v>0</v>
      </c>
      <c r="BD97" s="233">
        <f>L97</f>
        <v>29.847646399999999</v>
      </c>
      <c r="BF97" s="233">
        <f>F97*AM97</f>
        <v>0</v>
      </c>
      <c r="BG97" s="233">
        <f>F97*AN97</f>
        <v>0</v>
      </c>
      <c r="BH97" s="233">
        <f>F97*G97</f>
        <v>0</v>
      </c>
      <c r="BI97" s="233"/>
      <c r="BJ97" s="233">
        <v>56</v>
      </c>
      <c r="BU97" s="233" t="e">
        <f>#REF!</f>
        <v>#REF!</v>
      </c>
      <c r="BV97" s="225" t="s">
        <v>314</v>
      </c>
    </row>
    <row r="98" spans="1:74" ht="40.5" customHeight="1" x14ac:dyDescent="0.3">
      <c r="A98" s="241"/>
      <c r="B98" s="242" t="s">
        <v>165</v>
      </c>
      <c r="C98" s="530" t="s">
        <v>1512</v>
      </c>
      <c r="D98" s="531"/>
      <c r="E98" s="531"/>
      <c r="F98" s="531"/>
      <c r="G98" s="531"/>
      <c r="H98" s="531"/>
      <c r="I98" s="531"/>
      <c r="J98" s="531"/>
      <c r="K98" s="531"/>
      <c r="L98" s="531"/>
      <c r="M98" s="532"/>
    </row>
    <row r="99" spans="1:74" ht="14.4" x14ac:dyDescent="0.3">
      <c r="A99" s="239" t="s">
        <v>307</v>
      </c>
      <c r="B99" s="223" t="s">
        <v>316</v>
      </c>
      <c r="C99" s="521" t="s">
        <v>317</v>
      </c>
      <c r="D99" s="519"/>
      <c r="E99" s="223" t="s">
        <v>180</v>
      </c>
      <c r="F99" s="233">
        <v>49.66</v>
      </c>
      <c r="G99" s="311">
        <v>0</v>
      </c>
      <c r="H99" s="233">
        <f>F99*AM99</f>
        <v>0</v>
      </c>
      <c r="I99" s="233">
        <f>F99*AN99</f>
        <v>0</v>
      </c>
      <c r="J99" s="233">
        <f>F99*G99</f>
        <v>0</v>
      </c>
      <c r="K99" s="233">
        <v>0.48574000000000001</v>
      </c>
      <c r="L99" s="233">
        <f>F99*K99</f>
        <v>24.121848399999998</v>
      </c>
      <c r="M99" s="240" t="s">
        <v>472</v>
      </c>
      <c r="X99" s="233">
        <f>IF(AO99="5",BH99,0)</f>
        <v>0</v>
      </c>
      <c r="Z99" s="233">
        <f>IF(AO99="1",BF99,0)</f>
        <v>0</v>
      </c>
      <c r="AA99" s="233">
        <f>IF(AO99="1",BG99,0)</f>
        <v>0</v>
      </c>
      <c r="AB99" s="233">
        <f>IF(AO99="7",BF99,0)</f>
        <v>0</v>
      </c>
      <c r="AC99" s="233">
        <f>IF(AO99="7",BG99,0)</f>
        <v>0</v>
      </c>
      <c r="AD99" s="233">
        <f>IF(AO99="2",BF99,0)</f>
        <v>0</v>
      </c>
      <c r="AE99" s="233">
        <f>IF(AO99="2",BG99,0)</f>
        <v>0</v>
      </c>
      <c r="AF99" s="233">
        <f>IF(AO99="0",BH99,0)</f>
        <v>0</v>
      </c>
      <c r="AG99" s="229" t="s">
        <v>154</v>
      </c>
      <c r="AH99" s="233">
        <f>IF(AL99=0,J99,0)</f>
        <v>0</v>
      </c>
      <c r="AI99" s="233">
        <f>IF(AL99=15,J99,0)</f>
        <v>0</v>
      </c>
      <c r="AJ99" s="233">
        <f>IF(AL99=21,J99,0)</f>
        <v>0</v>
      </c>
      <c r="AL99" s="233">
        <v>21</v>
      </c>
      <c r="AM99" s="233">
        <f>G99*0.812875761</f>
        <v>0</v>
      </c>
      <c r="AN99" s="233">
        <f>G99*(1-0.812875761)</f>
        <v>0</v>
      </c>
      <c r="AO99" s="234" t="s">
        <v>157</v>
      </c>
      <c r="AT99" s="233">
        <f>AU99+AV99</f>
        <v>0</v>
      </c>
      <c r="AU99" s="233">
        <f>F99*AM99</f>
        <v>0</v>
      </c>
      <c r="AV99" s="233">
        <f>F99*AN99</f>
        <v>0</v>
      </c>
      <c r="AW99" s="234" t="s">
        <v>310</v>
      </c>
      <c r="AX99" s="234" t="s">
        <v>311</v>
      </c>
      <c r="AY99" s="229" t="s">
        <v>164</v>
      </c>
      <c r="BA99" s="233">
        <f>AU99+AV99</f>
        <v>0</v>
      </c>
      <c r="BB99" s="233">
        <f>G99/(100-BC99)*100</f>
        <v>0</v>
      </c>
      <c r="BC99" s="233">
        <v>0</v>
      </c>
      <c r="BD99" s="233">
        <f>L99</f>
        <v>24.121848399999998</v>
      </c>
      <c r="BF99" s="233">
        <f>F99*AM99</f>
        <v>0</v>
      </c>
      <c r="BG99" s="233">
        <f>F99*AN99</f>
        <v>0</v>
      </c>
      <c r="BH99" s="233">
        <f>F99*G99</f>
        <v>0</v>
      </c>
      <c r="BI99" s="233"/>
      <c r="BJ99" s="233">
        <v>56</v>
      </c>
      <c r="BU99" s="233" t="e">
        <f>#REF!</f>
        <v>#REF!</v>
      </c>
      <c r="BV99" s="225" t="s">
        <v>317</v>
      </c>
    </row>
    <row r="100" spans="1:74" ht="40.5" customHeight="1" x14ac:dyDescent="0.3">
      <c r="A100" s="241"/>
      <c r="B100" s="242" t="s">
        <v>165</v>
      </c>
      <c r="C100" s="530" t="s">
        <v>1513</v>
      </c>
      <c r="D100" s="531"/>
      <c r="E100" s="531"/>
      <c r="F100" s="531"/>
      <c r="G100" s="531"/>
      <c r="H100" s="531"/>
      <c r="I100" s="531"/>
      <c r="J100" s="531"/>
      <c r="K100" s="531"/>
      <c r="L100" s="531"/>
      <c r="M100" s="532"/>
    </row>
    <row r="101" spans="1:74" ht="14.4" x14ac:dyDescent="0.3">
      <c r="A101" s="239" t="s">
        <v>312</v>
      </c>
      <c r="B101" s="223" t="s">
        <v>316</v>
      </c>
      <c r="C101" s="521" t="s">
        <v>317</v>
      </c>
      <c r="D101" s="519"/>
      <c r="E101" s="223" t="s">
        <v>180</v>
      </c>
      <c r="F101" s="233">
        <v>49.66</v>
      </c>
      <c r="G101" s="311">
        <v>0</v>
      </c>
      <c r="H101" s="233">
        <f>F101*AM101</f>
        <v>0</v>
      </c>
      <c r="I101" s="233">
        <f>F101*AN101</f>
        <v>0</v>
      </c>
      <c r="J101" s="233">
        <f>F101*G101</f>
        <v>0</v>
      </c>
      <c r="K101" s="233">
        <v>0.48574000000000001</v>
      </c>
      <c r="L101" s="233">
        <f>F101*K101</f>
        <v>24.121848399999998</v>
      </c>
      <c r="M101" s="240" t="s">
        <v>472</v>
      </c>
      <c r="X101" s="233">
        <f>IF(AO101="5",BH101,0)</f>
        <v>0</v>
      </c>
      <c r="Z101" s="233">
        <f>IF(AO101="1",BF101,0)</f>
        <v>0</v>
      </c>
      <c r="AA101" s="233">
        <f>IF(AO101="1",BG101,0)</f>
        <v>0</v>
      </c>
      <c r="AB101" s="233">
        <f>IF(AO101="7",BF101,0)</f>
        <v>0</v>
      </c>
      <c r="AC101" s="233">
        <f>IF(AO101="7",BG101,0)</f>
        <v>0</v>
      </c>
      <c r="AD101" s="233">
        <f>IF(AO101="2",BF101,0)</f>
        <v>0</v>
      </c>
      <c r="AE101" s="233">
        <f>IF(AO101="2",BG101,0)</f>
        <v>0</v>
      </c>
      <c r="AF101" s="233">
        <f>IF(AO101="0",BH101,0)</f>
        <v>0</v>
      </c>
      <c r="AG101" s="229" t="s">
        <v>154</v>
      </c>
      <c r="AH101" s="233">
        <f>IF(AL101=0,J101,0)</f>
        <v>0</v>
      </c>
      <c r="AI101" s="233">
        <f>IF(AL101=15,J101,0)</f>
        <v>0</v>
      </c>
      <c r="AJ101" s="233">
        <f>IF(AL101=21,J101,0)</f>
        <v>0</v>
      </c>
      <c r="AL101" s="233">
        <v>21</v>
      </c>
      <c r="AM101" s="233">
        <f>G101*0.812875761</f>
        <v>0</v>
      </c>
      <c r="AN101" s="233">
        <f>G101*(1-0.812875761)</f>
        <v>0</v>
      </c>
      <c r="AO101" s="234" t="s">
        <v>157</v>
      </c>
      <c r="AT101" s="233">
        <f>AU101+AV101</f>
        <v>0</v>
      </c>
      <c r="AU101" s="233">
        <f>F101*AM101</f>
        <v>0</v>
      </c>
      <c r="AV101" s="233">
        <f>F101*AN101</f>
        <v>0</v>
      </c>
      <c r="AW101" s="234" t="s">
        <v>310</v>
      </c>
      <c r="AX101" s="234" t="s">
        <v>311</v>
      </c>
      <c r="AY101" s="229" t="s">
        <v>164</v>
      </c>
      <c r="BA101" s="233">
        <f>AU101+AV101</f>
        <v>0</v>
      </c>
      <c r="BB101" s="233">
        <f>G101/(100-BC101)*100</f>
        <v>0</v>
      </c>
      <c r="BC101" s="233">
        <v>0</v>
      </c>
      <c r="BD101" s="233">
        <f>L101</f>
        <v>24.121848399999998</v>
      </c>
      <c r="BF101" s="233">
        <f>F101*AM101</f>
        <v>0</v>
      </c>
      <c r="BG101" s="233">
        <f>F101*AN101</f>
        <v>0</v>
      </c>
      <c r="BH101" s="233">
        <f>F101*G101</f>
        <v>0</v>
      </c>
      <c r="BI101" s="233"/>
      <c r="BJ101" s="233">
        <v>56</v>
      </c>
      <c r="BU101" s="233" t="e">
        <f>#REF!</f>
        <v>#REF!</v>
      </c>
      <c r="BV101" s="225" t="s">
        <v>317</v>
      </c>
    </row>
    <row r="102" spans="1:74" ht="40.5" customHeight="1" x14ac:dyDescent="0.3">
      <c r="A102" s="241"/>
      <c r="B102" s="242" t="s">
        <v>165</v>
      </c>
      <c r="C102" s="530" t="s">
        <v>1513</v>
      </c>
      <c r="D102" s="531"/>
      <c r="E102" s="531"/>
      <c r="F102" s="531"/>
      <c r="G102" s="531"/>
      <c r="H102" s="531"/>
      <c r="I102" s="531"/>
      <c r="J102" s="531"/>
      <c r="K102" s="531"/>
      <c r="L102" s="531"/>
      <c r="M102" s="532"/>
    </row>
    <row r="103" spans="1:74" ht="14.4" x14ac:dyDescent="0.3">
      <c r="A103" s="239" t="s">
        <v>315</v>
      </c>
      <c r="B103" s="223" t="s">
        <v>320</v>
      </c>
      <c r="C103" s="521" t="s">
        <v>321</v>
      </c>
      <c r="D103" s="519"/>
      <c r="E103" s="223" t="s">
        <v>180</v>
      </c>
      <c r="F103" s="233">
        <v>49.1</v>
      </c>
      <c r="G103" s="311">
        <v>0</v>
      </c>
      <c r="H103" s="233">
        <f>F103*AM103</f>
        <v>0</v>
      </c>
      <c r="I103" s="233">
        <f>F103*AN103</f>
        <v>0</v>
      </c>
      <c r="J103" s="233">
        <f>F103*G103</f>
        <v>0</v>
      </c>
      <c r="K103" s="233">
        <v>0.4536</v>
      </c>
      <c r="L103" s="233">
        <f>F103*K103</f>
        <v>22.27176</v>
      </c>
      <c r="M103" s="240" t="s">
        <v>472</v>
      </c>
      <c r="X103" s="233">
        <f>IF(AO103="5",BH103,0)</f>
        <v>0</v>
      </c>
      <c r="Z103" s="233">
        <f>IF(AO103="1",BF103,0)</f>
        <v>0</v>
      </c>
      <c r="AA103" s="233">
        <f>IF(AO103="1",BG103,0)</f>
        <v>0</v>
      </c>
      <c r="AB103" s="233">
        <f>IF(AO103="7",BF103,0)</f>
        <v>0</v>
      </c>
      <c r="AC103" s="233">
        <f>IF(AO103="7",BG103,0)</f>
        <v>0</v>
      </c>
      <c r="AD103" s="233">
        <f>IF(AO103="2",BF103,0)</f>
        <v>0</v>
      </c>
      <c r="AE103" s="233">
        <f>IF(AO103="2",BG103,0)</f>
        <v>0</v>
      </c>
      <c r="AF103" s="233">
        <f>IF(AO103="0",BH103,0)</f>
        <v>0</v>
      </c>
      <c r="AG103" s="229" t="s">
        <v>154</v>
      </c>
      <c r="AH103" s="233">
        <f>IF(AL103=0,J103,0)</f>
        <v>0</v>
      </c>
      <c r="AI103" s="233">
        <f>IF(AL103=15,J103,0)</f>
        <v>0</v>
      </c>
      <c r="AJ103" s="233">
        <f>IF(AL103=21,J103,0)</f>
        <v>0</v>
      </c>
      <c r="AL103" s="233">
        <v>21</v>
      </c>
      <c r="AM103" s="233">
        <f>G103*0.842955665</f>
        <v>0</v>
      </c>
      <c r="AN103" s="233">
        <f>G103*(1-0.842955665)</f>
        <v>0</v>
      </c>
      <c r="AO103" s="234" t="s">
        <v>157</v>
      </c>
      <c r="AT103" s="233">
        <f>AU103+AV103</f>
        <v>0</v>
      </c>
      <c r="AU103" s="233">
        <f>F103*AM103</f>
        <v>0</v>
      </c>
      <c r="AV103" s="233">
        <f>F103*AN103</f>
        <v>0</v>
      </c>
      <c r="AW103" s="234" t="s">
        <v>310</v>
      </c>
      <c r="AX103" s="234" t="s">
        <v>311</v>
      </c>
      <c r="AY103" s="229" t="s">
        <v>164</v>
      </c>
      <c r="BA103" s="233">
        <f>AU103+AV103</f>
        <v>0</v>
      </c>
      <c r="BB103" s="233">
        <f>G103/(100-BC103)*100</f>
        <v>0</v>
      </c>
      <c r="BC103" s="233">
        <v>0</v>
      </c>
      <c r="BD103" s="233">
        <f>L103</f>
        <v>22.27176</v>
      </c>
      <c r="BF103" s="233">
        <f>F103*AM103</f>
        <v>0</v>
      </c>
      <c r="BG103" s="233">
        <f>F103*AN103</f>
        <v>0</v>
      </c>
      <c r="BH103" s="233">
        <f>F103*G103</f>
        <v>0</v>
      </c>
      <c r="BI103" s="233"/>
      <c r="BJ103" s="233">
        <v>56</v>
      </c>
      <c r="BU103" s="233" t="e">
        <f>#REF!</f>
        <v>#REF!</v>
      </c>
      <c r="BV103" s="225" t="s">
        <v>321</v>
      </c>
    </row>
    <row r="104" spans="1:74" ht="40.5" customHeight="1" x14ac:dyDescent="0.3">
      <c r="A104" s="241"/>
      <c r="B104" s="242" t="s">
        <v>165</v>
      </c>
      <c r="C104" s="530" t="s">
        <v>1514</v>
      </c>
      <c r="D104" s="531"/>
      <c r="E104" s="531"/>
      <c r="F104" s="531"/>
      <c r="G104" s="531"/>
      <c r="H104" s="531"/>
      <c r="I104" s="531"/>
      <c r="J104" s="531"/>
      <c r="K104" s="531"/>
      <c r="L104" s="531"/>
      <c r="M104" s="532"/>
    </row>
    <row r="105" spans="1:74" ht="14.4" x14ac:dyDescent="0.3">
      <c r="A105" s="239" t="s">
        <v>318</v>
      </c>
      <c r="B105" s="223" t="s">
        <v>323</v>
      </c>
      <c r="C105" s="521" t="s">
        <v>324</v>
      </c>
      <c r="D105" s="519"/>
      <c r="E105" s="223" t="s">
        <v>180</v>
      </c>
      <c r="F105" s="233">
        <v>49.1</v>
      </c>
      <c r="G105" s="311">
        <v>0</v>
      </c>
      <c r="H105" s="233">
        <f>F105*AM105</f>
        <v>0</v>
      </c>
      <c r="I105" s="233">
        <f>F105*AN105</f>
        <v>0</v>
      </c>
      <c r="J105" s="233">
        <f>F105*G105</f>
        <v>0</v>
      </c>
      <c r="K105" s="233">
        <v>0.21099999999999999</v>
      </c>
      <c r="L105" s="233">
        <f>F105*K105</f>
        <v>10.360099999999999</v>
      </c>
      <c r="M105" s="240" t="s">
        <v>472</v>
      </c>
      <c r="X105" s="233">
        <f>IF(AO105="5",BH105,0)</f>
        <v>0</v>
      </c>
      <c r="Z105" s="233">
        <f>IF(AO105="1",BF105,0)</f>
        <v>0</v>
      </c>
      <c r="AA105" s="233">
        <f>IF(AO105="1",BG105,0)</f>
        <v>0</v>
      </c>
      <c r="AB105" s="233">
        <f>IF(AO105="7",BF105,0)</f>
        <v>0</v>
      </c>
      <c r="AC105" s="233">
        <f>IF(AO105="7",BG105,0)</f>
        <v>0</v>
      </c>
      <c r="AD105" s="233">
        <f>IF(AO105="2",BF105,0)</f>
        <v>0</v>
      </c>
      <c r="AE105" s="233">
        <f>IF(AO105="2",BG105,0)</f>
        <v>0</v>
      </c>
      <c r="AF105" s="233">
        <f>IF(AO105="0",BH105,0)</f>
        <v>0</v>
      </c>
      <c r="AG105" s="229" t="s">
        <v>154</v>
      </c>
      <c r="AH105" s="233">
        <f>IF(AL105=0,J105,0)</f>
        <v>0</v>
      </c>
      <c r="AI105" s="233">
        <f>IF(AL105=15,J105,0)</f>
        <v>0</v>
      </c>
      <c r="AJ105" s="233">
        <f>IF(AL105=21,J105,0)</f>
        <v>0</v>
      </c>
      <c r="AL105" s="233">
        <v>21</v>
      </c>
      <c r="AM105" s="233">
        <f>G105*0.593949483</f>
        <v>0</v>
      </c>
      <c r="AN105" s="233">
        <f>G105*(1-0.593949483)</f>
        <v>0</v>
      </c>
      <c r="AO105" s="234" t="s">
        <v>157</v>
      </c>
      <c r="AT105" s="233">
        <f>AU105+AV105</f>
        <v>0</v>
      </c>
      <c r="AU105" s="233">
        <f>F105*AM105</f>
        <v>0</v>
      </c>
      <c r="AV105" s="233">
        <f>F105*AN105</f>
        <v>0</v>
      </c>
      <c r="AW105" s="234" t="s">
        <v>310</v>
      </c>
      <c r="AX105" s="234" t="s">
        <v>311</v>
      </c>
      <c r="AY105" s="229" t="s">
        <v>164</v>
      </c>
      <c r="BA105" s="233">
        <f>AU105+AV105</f>
        <v>0</v>
      </c>
      <c r="BB105" s="233">
        <f>G105/(100-BC105)*100</f>
        <v>0</v>
      </c>
      <c r="BC105" s="233">
        <v>0</v>
      </c>
      <c r="BD105" s="233">
        <f>L105</f>
        <v>10.360099999999999</v>
      </c>
      <c r="BF105" s="233">
        <f>F105*AM105</f>
        <v>0</v>
      </c>
      <c r="BG105" s="233">
        <f>F105*AN105</f>
        <v>0</v>
      </c>
      <c r="BH105" s="233">
        <f>F105*G105</f>
        <v>0</v>
      </c>
      <c r="BI105" s="233"/>
      <c r="BJ105" s="233">
        <v>56</v>
      </c>
      <c r="BU105" s="233" t="e">
        <f>#REF!</f>
        <v>#REF!</v>
      </c>
      <c r="BV105" s="225" t="s">
        <v>324</v>
      </c>
    </row>
    <row r="106" spans="1:74" ht="40.5" customHeight="1" x14ac:dyDescent="0.3">
      <c r="A106" s="241"/>
      <c r="B106" s="242" t="s">
        <v>165</v>
      </c>
      <c r="C106" s="530" t="s">
        <v>1515</v>
      </c>
      <c r="D106" s="531"/>
      <c r="E106" s="531"/>
      <c r="F106" s="531"/>
      <c r="G106" s="531"/>
      <c r="H106" s="531"/>
      <c r="I106" s="531"/>
      <c r="J106" s="531"/>
      <c r="K106" s="531"/>
      <c r="L106" s="531"/>
      <c r="M106" s="532"/>
    </row>
    <row r="107" spans="1:74" ht="14.4" x14ac:dyDescent="0.3">
      <c r="A107" s="239" t="s">
        <v>319</v>
      </c>
      <c r="B107" s="223" t="s">
        <v>325</v>
      </c>
      <c r="C107" s="521" t="s">
        <v>326</v>
      </c>
      <c r="D107" s="519"/>
      <c r="E107" s="223" t="s">
        <v>180</v>
      </c>
      <c r="F107" s="233">
        <v>8.69</v>
      </c>
      <c r="G107" s="311">
        <v>0</v>
      </c>
      <c r="H107" s="233">
        <f>F107*AM107</f>
        <v>0</v>
      </c>
      <c r="I107" s="233">
        <f>F107*AN107</f>
        <v>0</v>
      </c>
      <c r="J107" s="233">
        <f>F107*G107</f>
        <v>0</v>
      </c>
      <c r="K107" s="233">
        <v>0.55125000000000002</v>
      </c>
      <c r="L107" s="233">
        <f>F107*K107</f>
        <v>4.7903624999999996</v>
      </c>
      <c r="M107" s="240" t="s">
        <v>472</v>
      </c>
      <c r="X107" s="233">
        <f>IF(AO107="5",BH107,0)</f>
        <v>0</v>
      </c>
      <c r="Z107" s="233">
        <f>IF(AO107="1",BF107,0)</f>
        <v>0</v>
      </c>
      <c r="AA107" s="233">
        <f>IF(AO107="1",BG107,0)</f>
        <v>0</v>
      </c>
      <c r="AB107" s="233">
        <f>IF(AO107="7",BF107,0)</f>
        <v>0</v>
      </c>
      <c r="AC107" s="233">
        <f>IF(AO107="7",BG107,0)</f>
        <v>0</v>
      </c>
      <c r="AD107" s="233">
        <f>IF(AO107="2",BF107,0)</f>
        <v>0</v>
      </c>
      <c r="AE107" s="233">
        <f>IF(AO107="2",BG107,0)</f>
        <v>0</v>
      </c>
      <c r="AF107" s="233">
        <f>IF(AO107="0",BH107,0)</f>
        <v>0</v>
      </c>
      <c r="AG107" s="229" t="s">
        <v>154</v>
      </c>
      <c r="AH107" s="233">
        <f>IF(AL107=0,J107,0)</f>
        <v>0</v>
      </c>
      <c r="AI107" s="233">
        <f>IF(AL107=15,J107,0)</f>
        <v>0</v>
      </c>
      <c r="AJ107" s="233">
        <f>IF(AL107=21,J107,0)</f>
        <v>0</v>
      </c>
      <c r="AL107" s="233">
        <v>21</v>
      </c>
      <c r="AM107" s="233">
        <f>G107*0.875292096</f>
        <v>0</v>
      </c>
      <c r="AN107" s="233">
        <f>G107*(1-0.875292096)</f>
        <v>0</v>
      </c>
      <c r="AO107" s="234" t="s">
        <v>157</v>
      </c>
      <c r="AT107" s="233">
        <f>AU107+AV107</f>
        <v>0</v>
      </c>
      <c r="AU107" s="233">
        <f>F107*AM107</f>
        <v>0</v>
      </c>
      <c r="AV107" s="233">
        <f>F107*AN107</f>
        <v>0</v>
      </c>
      <c r="AW107" s="234" t="s">
        <v>310</v>
      </c>
      <c r="AX107" s="234" t="s">
        <v>311</v>
      </c>
      <c r="AY107" s="229" t="s">
        <v>164</v>
      </c>
      <c r="BA107" s="233">
        <f>AU107+AV107</f>
        <v>0</v>
      </c>
      <c r="BB107" s="233">
        <f>G107/(100-BC107)*100</f>
        <v>0</v>
      </c>
      <c r="BC107" s="233">
        <v>0</v>
      </c>
      <c r="BD107" s="233">
        <f>L107</f>
        <v>4.7903624999999996</v>
      </c>
      <c r="BF107" s="233">
        <f>F107*AM107</f>
        <v>0</v>
      </c>
      <c r="BG107" s="233">
        <f>F107*AN107</f>
        <v>0</v>
      </c>
      <c r="BH107" s="233">
        <f>F107*G107</f>
        <v>0</v>
      </c>
      <c r="BI107" s="233"/>
      <c r="BJ107" s="233">
        <v>56</v>
      </c>
      <c r="BU107" s="233" t="e">
        <f>#REF!</f>
        <v>#REF!</v>
      </c>
      <c r="BV107" s="225" t="s">
        <v>326</v>
      </c>
    </row>
    <row r="108" spans="1:74" ht="40.5" customHeight="1" x14ac:dyDescent="0.3">
      <c r="A108" s="241"/>
      <c r="B108" s="242" t="s">
        <v>165</v>
      </c>
      <c r="C108" s="530" t="s">
        <v>1516</v>
      </c>
      <c r="D108" s="531"/>
      <c r="E108" s="531"/>
      <c r="F108" s="531"/>
      <c r="G108" s="531"/>
      <c r="H108" s="531"/>
      <c r="I108" s="531"/>
      <c r="J108" s="531"/>
      <c r="K108" s="531"/>
      <c r="L108" s="531"/>
      <c r="M108" s="532"/>
    </row>
    <row r="109" spans="1:74" ht="14.4" x14ac:dyDescent="0.3">
      <c r="A109" s="239" t="s">
        <v>322</v>
      </c>
      <c r="B109" s="223" t="s">
        <v>316</v>
      </c>
      <c r="C109" s="521" t="s">
        <v>328</v>
      </c>
      <c r="D109" s="519"/>
      <c r="E109" s="223" t="s">
        <v>180</v>
      </c>
      <c r="F109" s="233">
        <v>8.69</v>
      </c>
      <c r="G109" s="311">
        <v>0</v>
      </c>
      <c r="H109" s="233">
        <f>F109*AM109</f>
        <v>0</v>
      </c>
      <c r="I109" s="233">
        <f>F109*AN109</f>
        <v>0</v>
      </c>
      <c r="J109" s="233">
        <f>F109*G109</f>
        <v>0</v>
      </c>
      <c r="K109" s="233">
        <v>0.48574000000000001</v>
      </c>
      <c r="L109" s="233">
        <f>F109*K109</f>
        <v>4.2210805999999996</v>
      </c>
      <c r="M109" s="240" t="s">
        <v>472</v>
      </c>
      <c r="X109" s="233">
        <f>IF(AO109="5",BH109,0)</f>
        <v>0</v>
      </c>
      <c r="Z109" s="233">
        <f>IF(AO109="1",BF109,0)</f>
        <v>0</v>
      </c>
      <c r="AA109" s="233">
        <f>IF(AO109="1",BG109,0)</f>
        <v>0</v>
      </c>
      <c r="AB109" s="233">
        <f>IF(AO109="7",BF109,0)</f>
        <v>0</v>
      </c>
      <c r="AC109" s="233">
        <f>IF(AO109="7",BG109,0)</f>
        <v>0</v>
      </c>
      <c r="AD109" s="233">
        <f>IF(AO109="2",BF109,0)</f>
        <v>0</v>
      </c>
      <c r="AE109" s="233">
        <f>IF(AO109="2",BG109,0)</f>
        <v>0</v>
      </c>
      <c r="AF109" s="233">
        <f>IF(AO109="0",BH109,0)</f>
        <v>0</v>
      </c>
      <c r="AG109" s="229" t="s">
        <v>154</v>
      </c>
      <c r="AH109" s="233">
        <f>IF(AL109=0,J109,0)</f>
        <v>0</v>
      </c>
      <c r="AI109" s="233">
        <f>IF(AL109=15,J109,0)</f>
        <v>0</v>
      </c>
      <c r="AJ109" s="233">
        <f>IF(AL109=21,J109,0)</f>
        <v>0</v>
      </c>
      <c r="AL109" s="233">
        <v>21</v>
      </c>
      <c r="AM109" s="233">
        <f>G109*0.812875042</f>
        <v>0</v>
      </c>
      <c r="AN109" s="233">
        <f>G109*(1-0.812875042)</f>
        <v>0</v>
      </c>
      <c r="AO109" s="234" t="s">
        <v>157</v>
      </c>
      <c r="AT109" s="233">
        <f>AU109+AV109</f>
        <v>0</v>
      </c>
      <c r="AU109" s="233">
        <f>F109*AM109</f>
        <v>0</v>
      </c>
      <c r="AV109" s="233">
        <f>F109*AN109</f>
        <v>0</v>
      </c>
      <c r="AW109" s="234" t="s">
        <v>310</v>
      </c>
      <c r="AX109" s="234" t="s">
        <v>311</v>
      </c>
      <c r="AY109" s="229" t="s">
        <v>164</v>
      </c>
      <c r="BA109" s="233">
        <f>AU109+AV109</f>
        <v>0</v>
      </c>
      <c r="BB109" s="233">
        <f>G109/(100-BC109)*100</f>
        <v>0</v>
      </c>
      <c r="BC109" s="233">
        <v>0</v>
      </c>
      <c r="BD109" s="233">
        <f>L109</f>
        <v>4.2210805999999996</v>
      </c>
      <c r="BF109" s="233">
        <f>F109*AM109</f>
        <v>0</v>
      </c>
      <c r="BG109" s="233">
        <f>F109*AN109</f>
        <v>0</v>
      </c>
      <c r="BH109" s="233">
        <f>F109*G109</f>
        <v>0</v>
      </c>
      <c r="BI109" s="233"/>
      <c r="BJ109" s="233">
        <v>56</v>
      </c>
      <c r="BU109" s="233" t="e">
        <f>#REF!</f>
        <v>#REF!</v>
      </c>
      <c r="BV109" s="225" t="s">
        <v>328</v>
      </c>
    </row>
    <row r="110" spans="1:74" ht="40.5" customHeight="1" x14ac:dyDescent="0.3">
      <c r="A110" s="241"/>
      <c r="B110" s="242" t="s">
        <v>165</v>
      </c>
      <c r="C110" s="530" t="s">
        <v>1517</v>
      </c>
      <c r="D110" s="531"/>
      <c r="E110" s="531"/>
      <c r="F110" s="531"/>
      <c r="G110" s="531"/>
      <c r="H110" s="531"/>
      <c r="I110" s="531"/>
      <c r="J110" s="531"/>
      <c r="K110" s="531"/>
      <c r="L110" s="531"/>
      <c r="M110" s="532"/>
    </row>
    <row r="111" spans="1:74" ht="14.4" x14ac:dyDescent="0.3">
      <c r="A111" s="239" t="s">
        <v>298</v>
      </c>
      <c r="B111" s="223" t="s">
        <v>330</v>
      </c>
      <c r="C111" s="521" t="s">
        <v>331</v>
      </c>
      <c r="D111" s="519"/>
      <c r="E111" s="223" t="s">
        <v>180</v>
      </c>
      <c r="F111" s="233">
        <v>9.3800000000000008</v>
      </c>
      <c r="G111" s="311">
        <v>0</v>
      </c>
      <c r="H111" s="233">
        <f>F111*AM111</f>
        <v>0</v>
      </c>
      <c r="I111" s="233">
        <f>F111*AN111</f>
        <v>0</v>
      </c>
      <c r="J111" s="233">
        <f>F111*G111</f>
        <v>0</v>
      </c>
      <c r="K111" s="233">
        <v>0.378</v>
      </c>
      <c r="L111" s="233">
        <f>F111*K111</f>
        <v>3.5456400000000001</v>
      </c>
      <c r="M111" s="240" t="s">
        <v>472</v>
      </c>
      <c r="X111" s="233">
        <f>IF(AO111="5",BH111,0)</f>
        <v>0</v>
      </c>
      <c r="Z111" s="233">
        <f>IF(AO111="1",BF111,0)</f>
        <v>0</v>
      </c>
      <c r="AA111" s="233">
        <f>IF(AO111="1",BG111,0)</f>
        <v>0</v>
      </c>
      <c r="AB111" s="233">
        <f>IF(AO111="7",BF111,0)</f>
        <v>0</v>
      </c>
      <c r="AC111" s="233">
        <f>IF(AO111="7",BG111,0)</f>
        <v>0</v>
      </c>
      <c r="AD111" s="233">
        <f>IF(AO111="2",BF111,0)</f>
        <v>0</v>
      </c>
      <c r="AE111" s="233">
        <f>IF(AO111="2",BG111,0)</f>
        <v>0</v>
      </c>
      <c r="AF111" s="233">
        <f>IF(AO111="0",BH111,0)</f>
        <v>0</v>
      </c>
      <c r="AG111" s="229" t="s">
        <v>154</v>
      </c>
      <c r="AH111" s="233">
        <f>IF(AL111=0,J111,0)</f>
        <v>0</v>
      </c>
      <c r="AI111" s="233">
        <f>IF(AL111=15,J111,0)</f>
        <v>0</v>
      </c>
      <c r="AJ111" s="233">
        <f>IF(AL111=21,J111,0)</f>
        <v>0</v>
      </c>
      <c r="AL111" s="233">
        <v>21</v>
      </c>
      <c r="AM111" s="233">
        <f>G111*0.825275362</f>
        <v>0</v>
      </c>
      <c r="AN111" s="233">
        <f>G111*(1-0.825275362)</f>
        <v>0</v>
      </c>
      <c r="AO111" s="234" t="s">
        <v>157</v>
      </c>
      <c r="AT111" s="233">
        <f>AU111+AV111</f>
        <v>0</v>
      </c>
      <c r="AU111" s="233">
        <f>F111*AM111</f>
        <v>0</v>
      </c>
      <c r="AV111" s="233">
        <f>F111*AN111</f>
        <v>0</v>
      </c>
      <c r="AW111" s="234" t="s">
        <v>310</v>
      </c>
      <c r="AX111" s="234" t="s">
        <v>311</v>
      </c>
      <c r="AY111" s="229" t="s">
        <v>164</v>
      </c>
      <c r="BA111" s="233">
        <f>AU111+AV111</f>
        <v>0</v>
      </c>
      <c r="BB111" s="233">
        <f>G111/(100-BC111)*100</f>
        <v>0</v>
      </c>
      <c r="BC111" s="233">
        <v>0</v>
      </c>
      <c r="BD111" s="233">
        <f>L111</f>
        <v>3.5456400000000001</v>
      </c>
      <c r="BF111" s="233">
        <f>F111*AM111</f>
        <v>0</v>
      </c>
      <c r="BG111" s="233">
        <f>F111*AN111</f>
        <v>0</v>
      </c>
      <c r="BH111" s="233">
        <f>F111*G111</f>
        <v>0</v>
      </c>
      <c r="BI111" s="233"/>
      <c r="BJ111" s="233">
        <v>56</v>
      </c>
      <c r="BU111" s="233" t="e">
        <f>#REF!</f>
        <v>#REF!</v>
      </c>
      <c r="BV111" s="225" t="s">
        <v>331</v>
      </c>
    </row>
    <row r="112" spans="1:74" ht="40.5" customHeight="1" x14ac:dyDescent="0.3">
      <c r="A112" s="244"/>
      <c r="B112" s="245" t="s">
        <v>165</v>
      </c>
      <c r="C112" s="540" t="s">
        <v>1518</v>
      </c>
      <c r="D112" s="541"/>
      <c r="E112" s="541"/>
      <c r="F112" s="541"/>
      <c r="G112" s="541"/>
      <c r="H112" s="541"/>
      <c r="I112" s="541"/>
      <c r="J112" s="541"/>
      <c r="K112" s="541"/>
      <c r="L112" s="541"/>
      <c r="M112" s="542"/>
    </row>
    <row r="113" spans="1:74" ht="14.4" x14ac:dyDescent="0.3">
      <c r="A113" s="237" t="s">
        <v>327</v>
      </c>
      <c r="B113" s="238" t="s">
        <v>333</v>
      </c>
      <c r="C113" s="543" t="s">
        <v>334</v>
      </c>
      <c r="D113" s="544"/>
      <c r="E113" s="238" t="s">
        <v>180</v>
      </c>
      <c r="F113" s="258">
        <v>9.3800000000000008</v>
      </c>
      <c r="G113" s="311">
        <v>0</v>
      </c>
      <c r="H113" s="258">
        <f>F113*AM113</f>
        <v>0</v>
      </c>
      <c r="I113" s="258">
        <f>F113*AN113</f>
        <v>0</v>
      </c>
      <c r="J113" s="258">
        <f>F113*G113</f>
        <v>0</v>
      </c>
      <c r="K113" s="258">
        <v>0.15826000000000001</v>
      </c>
      <c r="L113" s="258">
        <f>F113*K113</f>
        <v>1.4844788000000002</v>
      </c>
      <c r="M113" s="259" t="s">
        <v>472</v>
      </c>
      <c r="X113" s="233">
        <f>IF(AO113="5",BH113,0)</f>
        <v>0</v>
      </c>
      <c r="Z113" s="233">
        <f>IF(AO113="1",BF113,0)</f>
        <v>0</v>
      </c>
      <c r="AA113" s="233">
        <f>IF(AO113="1",BG113,0)</f>
        <v>0</v>
      </c>
      <c r="AB113" s="233">
        <f>IF(AO113="7",BF113,0)</f>
        <v>0</v>
      </c>
      <c r="AC113" s="233">
        <f>IF(AO113="7",BG113,0)</f>
        <v>0</v>
      </c>
      <c r="AD113" s="233">
        <f>IF(AO113="2",BF113,0)</f>
        <v>0</v>
      </c>
      <c r="AE113" s="233">
        <f>IF(AO113="2",BG113,0)</f>
        <v>0</v>
      </c>
      <c r="AF113" s="233">
        <f>IF(AO113="0",BH113,0)</f>
        <v>0</v>
      </c>
      <c r="AG113" s="229" t="s">
        <v>154</v>
      </c>
      <c r="AH113" s="233">
        <f>IF(AL113=0,J113,0)</f>
        <v>0</v>
      </c>
      <c r="AI113" s="233">
        <f>IF(AL113=15,J113,0)</f>
        <v>0</v>
      </c>
      <c r="AJ113" s="233">
        <f>IF(AL113=21,J113,0)</f>
        <v>0</v>
      </c>
      <c r="AL113" s="233">
        <v>21</v>
      </c>
      <c r="AM113" s="233">
        <f>G113*0.800346087</f>
        <v>0</v>
      </c>
      <c r="AN113" s="233">
        <f>G113*(1-0.800346087)</f>
        <v>0</v>
      </c>
      <c r="AO113" s="234" t="s">
        <v>157</v>
      </c>
      <c r="AT113" s="233">
        <f>AU113+AV113</f>
        <v>0</v>
      </c>
      <c r="AU113" s="233">
        <f>F113*AM113</f>
        <v>0</v>
      </c>
      <c r="AV113" s="233">
        <f>F113*AN113</f>
        <v>0</v>
      </c>
      <c r="AW113" s="234" t="s">
        <v>310</v>
      </c>
      <c r="AX113" s="234" t="s">
        <v>311</v>
      </c>
      <c r="AY113" s="229" t="s">
        <v>164</v>
      </c>
      <c r="BA113" s="233">
        <f>AU113+AV113</f>
        <v>0</v>
      </c>
      <c r="BB113" s="233">
        <f>G113/(100-BC113)*100</f>
        <v>0</v>
      </c>
      <c r="BC113" s="233">
        <v>0</v>
      </c>
      <c r="BD113" s="233">
        <f>L113</f>
        <v>1.4844788000000002</v>
      </c>
      <c r="BF113" s="233">
        <f>F113*AM113</f>
        <v>0</v>
      </c>
      <c r="BG113" s="233">
        <f>F113*AN113</f>
        <v>0</v>
      </c>
      <c r="BH113" s="233">
        <f>F113*G113</f>
        <v>0</v>
      </c>
      <c r="BI113" s="233"/>
      <c r="BJ113" s="233">
        <v>56</v>
      </c>
      <c r="BU113" s="233" t="e">
        <f>#REF!</f>
        <v>#REF!</v>
      </c>
      <c r="BV113" s="225" t="s">
        <v>334</v>
      </c>
    </row>
    <row r="114" spans="1:74" ht="40.5" customHeight="1" x14ac:dyDescent="0.3">
      <c r="A114" s="241"/>
      <c r="B114" s="242" t="s">
        <v>165</v>
      </c>
      <c r="C114" s="530" t="s">
        <v>1519</v>
      </c>
      <c r="D114" s="531"/>
      <c r="E114" s="531"/>
      <c r="F114" s="531"/>
      <c r="G114" s="531"/>
      <c r="H114" s="531"/>
      <c r="I114" s="531"/>
      <c r="J114" s="531"/>
      <c r="K114" s="531"/>
      <c r="L114" s="531"/>
      <c r="M114" s="532"/>
    </row>
    <row r="115" spans="1:74" ht="14.4" x14ac:dyDescent="0.3">
      <c r="A115" s="239" t="s">
        <v>329</v>
      </c>
      <c r="B115" s="223" t="s">
        <v>1436</v>
      </c>
      <c r="C115" s="521" t="s">
        <v>1437</v>
      </c>
      <c r="D115" s="519"/>
      <c r="E115" s="223" t="s">
        <v>180</v>
      </c>
      <c r="F115" s="233">
        <v>49.66</v>
      </c>
      <c r="G115" s="311">
        <v>0</v>
      </c>
      <c r="H115" s="233">
        <f>F115*AM115</f>
        <v>0</v>
      </c>
      <c r="I115" s="233">
        <f>F115*AN115</f>
        <v>0</v>
      </c>
      <c r="J115" s="233">
        <f>F115*G115</f>
        <v>0</v>
      </c>
      <c r="K115" s="233">
        <v>0</v>
      </c>
      <c r="L115" s="233">
        <f>F115*K115</f>
        <v>0</v>
      </c>
      <c r="M115" s="240" t="s">
        <v>472</v>
      </c>
      <c r="X115" s="233">
        <f>IF(AO115="5",BH115,0)</f>
        <v>0</v>
      </c>
      <c r="Z115" s="233">
        <f>IF(AO115="1",BF115,0)</f>
        <v>0</v>
      </c>
      <c r="AA115" s="233">
        <f>IF(AO115="1",BG115,0)</f>
        <v>0</v>
      </c>
      <c r="AB115" s="233">
        <f>IF(AO115="7",BF115,0)</f>
        <v>0</v>
      </c>
      <c r="AC115" s="233">
        <f>IF(AO115="7",BG115,0)</f>
        <v>0</v>
      </c>
      <c r="AD115" s="233">
        <f>IF(AO115="2",BF115,0)</f>
        <v>0</v>
      </c>
      <c r="AE115" s="233">
        <f>IF(AO115="2",BG115,0)</f>
        <v>0</v>
      </c>
      <c r="AF115" s="233">
        <f>IF(AO115="0",BH115,0)</f>
        <v>0</v>
      </c>
      <c r="AG115" s="229" t="s">
        <v>154</v>
      </c>
      <c r="AH115" s="233">
        <f>IF(AL115=0,J115,0)</f>
        <v>0</v>
      </c>
      <c r="AI115" s="233">
        <f>IF(AL115=15,J115,0)</f>
        <v>0</v>
      </c>
      <c r="AJ115" s="233">
        <f>IF(AL115=21,J115,0)</f>
        <v>0</v>
      </c>
      <c r="AL115" s="233">
        <v>21</v>
      </c>
      <c r="AM115" s="233">
        <f>G115*0.898973843</f>
        <v>0</v>
      </c>
      <c r="AN115" s="233">
        <f>G115*(1-0.898973843)</f>
        <v>0</v>
      </c>
      <c r="AO115" s="234" t="s">
        <v>157</v>
      </c>
      <c r="AT115" s="233">
        <f>AU115+AV115</f>
        <v>0</v>
      </c>
      <c r="AU115" s="233">
        <f>F115*AM115</f>
        <v>0</v>
      </c>
      <c r="AV115" s="233">
        <f>F115*AN115</f>
        <v>0</v>
      </c>
      <c r="AW115" s="234" t="s">
        <v>310</v>
      </c>
      <c r="AX115" s="234" t="s">
        <v>311</v>
      </c>
      <c r="AY115" s="229" t="s">
        <v>164</v>
      </c>
      <c r="BA115" s="233">
        <f>AU115+AV115</f>
        <v>0</v>
      </c>
      <c r="BB115" s="233">
        <f>G115/(100-BC115)*100</f>
        <v>0</v>
      </c>
      <c r="BC115" s="233">
        <v>0</v>
      </c>
      <c r="BD115" s="233">
        <f>L115</f>
        <v>0</v>
      </c>
      <c r="BF115" s="233">
        <f>F115*AM115</f>
        <v>0</v>
      </c>
      <c r="BG115" s="233">
        <f>F115*AN115</f>
        <v>0</v>
      </c>
      <c r="BH115" s="233">
        <f>F115*G115</f>
        <v>0</v>
      </c>
      <c r="BI115" s="233"/>
      <c r="BJ115" s="233">
        <v>56</v>
      </c>
      <c r="BU115" s="233" t="e">
        <f>#REF!</f>
        <v>#REF!</v>
      </c>
      <c r="BV115" s="225" t="s">
        <v>1437</v>
      </c>
    </row>
    <row r="116" spans="1:74" ht="40.5" customHeight="1" x14ac:dyDescent="0.3">
      <c r="A116" s="241"/>
      <c r="B116" s="242" t="s">
        <v>165</v>
      </c>
      <c r="C116" s="530" t="s">
        <v>1520</v>
      </c>
      <c r="D116" s="531"/>
      <c r="E116" s="531"/>
      <c r="F116" s="531"/>
      <c r="G116" s="531"/>
      <c r="H116" s="531"/>
      <c r="I116" s="531"/>
      <c r="J116" s="531"/>
      <c r="K116" s="531"/>
      <c r="L116" s="531"/>
      <c r="M116" s="532"/>
    </row>
    <row r="117" spans="1:74" ht="14.4" x14ac:dyDescent="0.3">
      <c r="A117" s="239" t="s">
        <v>154</v>
      </c>
      <c r="B117" s="224" t="s">
        <v>335</v>
      </c>
      <c r="C117" s="526" t="s">
        <v>336</v>
      </c>
      <c r="D117" s="527"/>
      <c r="E117" s="223" t="s">
        <v>114</v>
      </c>
      <c r="F117" s="223" t="s">
        <v>114</v>
      </c>
      <c r="G117" s="223" t="s">
        <v>114</v>
      </c>
      <c r="H117" s="235">
        <f>SUM(H118:H120)</f>
        <v>0</v>
      </c>
      <c r="I117" s="235">
        <f>SUM(I118:I120)</f>
        <v>0</v>
      </c>
      <c r="J117" s="235">
        <f>SUM(J118:J120)</f>
        <v>0</v>
      </c>
      <c r="K117" s="230" t="s">
        <v>154</v>
      </c>
      <c r="L117" s="235">
        <f>SUM(L118:L120)</f>
        <v>4.0936E-2</v>
      </c>
      <c r="M117" s="243" t="s">
        <v>154</v>
      </c>
      <c r="AG117" s="229" t="s">
        <v>154</v>
      </c>
      <c r="AQ117" s="222">
        <f>SUM(AH118:AH120)</f>
        <v>0</v>
      </c>
      <c r="AR117" s="222">
        <f>SUM(AI118:AI120)</f>
        <v>0</v>
      </c>
      <c r="AS117" s="222">
        <f>SUM(AJ118:AJ120)</f>
        <v>0</v>
      </c>
    </row>
    <row r="118" spans="1:74" ht="14.4" x14ac:dyDescent="0.3">
      <c r="A118" s="239" t="s">
        <v>332</v>
      </c>
      <c r="B118" s="223" t="s">
        <v>342</v>
      </c>
      <c r="C118" s="521" t="s">
        <v>427</v>
      </c>
      <c r="D118" s="519"/>
      <c r="E118" s="223" t="s">
        <v>180</v>
      </c>
      <c r="F118" s="233">
        <v>49.1</v>
      </c>
      <c r="G118" s="311">
        <v>0</v>
      </c>
      <c r="H118" s="233">
        <f>F118*AM118</f>
        <v>0</v>
      </c>
      <c r="I118" s="233">
        <f>F118*AN118</f>
        <v>0</v>
      </c>
      <c r="J118" s="233">
        <f>F118*G118</f>
        <v>0</v>
      </c>
      <c r="K118" s="233">
        <v>6.9999999999999999E-4</v>
      </c>
      <c r="L118" s="233">
        <f>F118*K118</f>
        <v>3.4369999999999998E-2</v>
      </c>
      <c r="M118" s="240" t="s">
        <v>472</v>
      </c>
      <c r="X118" s="233">
        <f>IF(AO118="5",BH118,0)</f>
        <v>0</v>
      </c>
      <c r="Z118" s="233">
        <f>IF(AO118="1",BF118,0)</f>
        <v>0</v>
      </c>
      <c r="AA118" s="233">
        <f>IF(AO118="1",BG118,0)</f>
        <v>0</v>
      </c>
      <c r="AB118" s="233">
        <f>IF(AO118="7",BF118,0)</f>
        <v>0</v>
      </c>
      <c r="AC118" s="233">
        <f>IF(AO118="7",BG118,0)</f>
        <v>0</v>
      </c>
      <c r="AD118" s="233">
        <f>IF(AO118="2",BF118,0)</f>
        <v>0</v>
      </c>
      <c r="AE118" s="233">
        <f>IF(AO118="2",BG118,0)</f>
        <v>0</v>
      </c>
      <c r="AF118" s="233">
        <f>IF(AO118="0",BH118,0)</f>
        <v>0</v>
      </c>
      <c r="AG118" s="229" t="s">
        <v>154</v>
      </c>
      <c r="AH118" s="233">
        <f>IF(AL118=0,J118,0)</f>
        <v>0</v>
      </c>
      <c r="AI118" s="233">
        <f>IF(AL118=15,J118,0)</f>
        <v>0</v>
      </c>
      <c r="AJ118" s="233">
        <f>IF(AL118=21,J118,0)</f>
        <v>0</v>
      </c>
      <c r="AL118" s="233">
        <v>21</v>
      </c>
      <c r="AM118" s="233">
        <f>G118*0.931527094</f>
        <v>0</v>
      </c>
      <c r="AN118" s="233">
        <f>G118*(1-0.931527094)</f>
        <v>0</v>
      </c>
      <c r="AO118" s="234" t="s">
        <v>157</v>
      </c>
      <c r="AT118" s="233">
        <f>AU118+AV118</f>
        <v>0</v>
      </c>
      <c r="AU118" s="233">
        <f>F118*AM118</f>
        <v>0</v>
      </c>
      <c r="AV118" s="233">
        <f>F118*AN118</f>
        <v>0</v>
      </c>
      <c r="AW118" s="234" t="s">
        <v>340</v>
      </c>
      <c r="AX118" s="234" t="s">
        <v>311</v>
      </c>
      <c r="AY118" s="229" t="s">
        <v>164</v>
      </c>
      <c r="BA118" s="233">
        <f>AU118+AV118</f>
        <v>0</v>
      </c>
      <c r="BB118" s="233">
        <f>G118/(100-BC118)*100</f>
        <v>0</v>
      </c>
      <c r="BC118" s="233">
        <v>0</v>
      </c>
      <c r="BD118" s="233">
        <f>L118</f>
        <v>3.4369999999999998E-2</v>
      </c>
      <c r="BF118" s="233">
        <f>F118*AM118</f>
        <v>0</v>
      </c>
      <c r="BG118" s="233">
        <f>F118*AN118</f>
        <v>0</v>
      </c>
      <c r="BH118" s="233">
        <f>F118*G118</f>
        <v>0</v>
      </c>
      <c r="BI118" s="233"/>
      <c r="BJ118" s="233">
        <v>57</v>
      </c>
      <c r="BU118" s="233" t="e">
        <f>#REF!</f>
        <v>#REF!</v>
      </c>
      <c r="BV118" s="225" t="s">
        <v>427</v>
      </c>
    </row>
    <row r="119" spans="1:74" ht="40.5" customHeight="1" x14ac:dyDescent="0.3">
      <c r="A119" s="241"/>
      <c r="B119" s="242" t="s">
        <v>165</v>
      </c>
      <c r="C119" s="530" t="s">
        <v>1521</v>
      </c>
      <c r="D119" s="531"/>
      <c r="E119" s="531"/>
      <c r="F119" s="531"/>
      <c r="G119" s="531"/>
      <c r="H119" s="531"/>
      <c r="I119" s="531"/>
      <c r="J119" s="531"/>
      <c r="K119" s="531"/>
      <c r="L119" s="531"/>
      <c r="M119" s="532"/>
    </row>
    <row r="120" spans="1:74" ht="14.4" x14ac:dyDescent="0.3">
      <c r="A120" s="239" t="s">
        <v>337</v>
      </c>
      <c r="B120" s="223" t="s">
        <v>342</v>
      </c>
      <c r="C120" s="521" t="s">
        <v>343</v>
      </c>
      <c r="D120" s="519"/>
      <c r="E120" s="223" t="s">
        <v>180</v>
      </c>
      <c r="F120" s="233">
        <v>9.3800000000000008</v>
      </c>
      <c r="G120" s="311">
        <v>0</v>
      </c>
      <c r="H120" s="233">
        <f>F120*AM120</f>
        <v>0</v>
      </c>
      <c r="I120" s="233">
        <f>F120*AN120</f>
        <v>0</v>
      </c>
      <c r="J120" s="233">
        <f>F120*G120</f>
        <v>0</v>
      </c>
      <c r="K120" s="233">
        <v>6.9999999999999999E-4</v>
      </c>
      <c r="L120" s="233">
        <f>F120*K120</f>
        <v>6.5660000000000007E-3</v>
      </c>
      <c r="M120" s="240" t="s">
        <v>472</v>
      </c>
      <c r="X120" s="233">
        <f>IF(AO120="5",BH120,0)</f>
        <v>0</v>
      </c>
      <c r="Z120" s="233">
        <f>IF(AO120="1",BF120,0)</f>
        <v>0</v>
      </c>
      <c r="AA120" s="233">
        <f>IF(AO120="1",BG120,0)</f>
        <v>0</v>
      </c>
      <c r="AB120" s="233">
        <f>IF(AO120="7",BF120,0)</f>
        <v>0</v>
      </c>
      <c r="AC120" s="233">
        <f>IF(AO120="7",BG120,0)</f>
        <v>0</v>
      </c>
      <c r="AD120" s="233">
        <f>IF(AO120="2",BF120,0)</f>
        <v>0</v>
      </c>
      <c r="AE120" s="233">
        <f>IF(AO120="2",BG120,0)</f>
        <v>0</v>
      </c>
      <c r="AF120" s="233">
        <f>IF(AO120="0",BH120,0)</f>
        <v>0</v>
      </c>
      <c r="AG120" s="229" t="s">
        <v>154</v>
      </c>
      <c r="AH120" s="233">
        <f>IF(AL120=0,J120,0)</f>
        <v>0</v>
      </c>
      <c r="AI120" s="233">
        <f>IF(AL120=15,J120,0)</f>
        <v>0</v>
      </c>
      <c r="AJ120" s="233">
        <f>IF(AL120=21,J120,0)</f>
        <v>0</v>
      </c>
      <c r="AL120" s="233">
        <v>21</v>
      </c>
      <c r="AM120" s="233">
        <f>G120*0.931546662</f>
        <v>0</v>
      </c>
      <c r="AN120" s="233">
        <f>G120*(1-0.931546662)</f>
        <v>0</v>
      </c>
      <c r="AO120" s="234" t="s">
        <v>157</v>
      </c>
      <c r="AT120" s="233">
        <f>AU120+AV120</f>
        <v>0</v>
      </c>
      <c r="AU120" s="233">
        <f>F120*AM120</f>
        <v>0</v>
      </c>
      <c r="AV120" s="233">
        <f>F120*AN120</f>
        <v>0</v>
      </c>
      <c r="AW120" s="234" t="s">
        <v>340</v>
      </c>
      <c r="AX120" s="234" t="s">
        <v>311</v>
      </c>
      <c r="AY120" s="229" t="s">
        <v>164</v>
      </c>
      <c r="BA120" s="233">
        <f>AU120+AV120</f>
        <v>0</v>
      </c>
      <c r="BB120" s="233">
        <f>G120/(100-BC120)*100</f>
        <v>0</v>
      </c>
      <c r="BC120" s="233">
        <v>0</v>
      </c>
      <c r="BD120" s="233">
        <f>L120</f>
        <v>6.5660000000000007E-3</v>
      </c>
      <c r="BF120" s="233">
        <f>F120*AM120</f>
        <v>0</v>
      </c>
      <c r="BG120" s="233">
        <f>F120*AN120</f>
        <v>0</v>
      </c>
      <c r="BH120" s="233">
        <f>F120*G120</f>
        <v>0</v>
      </c>
      <c r="BI120" s="233"/>
      <c r="BJ120" s="233">
        <v>57</v>
      </c>
      <c r="BU120" s="233" t="e">
        <f>#REF!</f>
        <v>#REF!</v>
      </c>
      <c r="BV120" s="225" t="s">
        <v>343</v>
      </c>
    </row>
    <row r="121" spans="1:74" ht="40.5" customHeight="1" x14ac:dyDescent="0.3">
      <c r="A121" s="241"/>
      <c r="B121" s="242" t="s">
        <v>165</v>
      </c>
      <c r="C121" s="530" t="s">
        <v>1522</v>
      </c>
      <c r="D121" s="531"/>
      <c r="E121" s="531"/>
      <c r="F121" s="531"/>
      <c r="G121" s="531"/>
      <c r="H121" s="531"/>
      <c r="I121" s="531"/>
      <c r="J121" s="531"/>
      <c r="K121" s="531"/>
      <c r="L121" s="531"/>
      <c r="M121" s="532"/>
    </row>
    <row r="122" spans="1:74" ht="14.4" x14ac:dyDescent="0.3">
      <c r="A122" s="239" t="s">
        <v>154</v>
      </c>
      <c r="B122" s="224" t="s">
        <v>517</v>
      </c>
      <c r="C122" s="526" t="s">
        <v>518</v>
      </c>
      <c r="D122" s="527"/>
      <c r="E122" s="223" t="s">
        <v>114</v>
      </c>
      <c r="F122" s="223" t="s">
        <v>114</v>
      </c>
      <c r="G122" s="223" t="s">
        <v>114</v>
      </c>
      <c r="H122" s="235">
        <f>SUM(H123:H123)</f>
        <v>0</v>
      </c>
      <c r="I122" s="235">
        <f>SUM(I123:I123)</f>
        <v>0</v>
      </c>
      <c r="J122" s="235">
        <f>SUM(J123:J123)</f>
        <v>0</v>
      </c>
      <c r="K122" s="230" t="s">
        <v>154</v>
      </c>
      <c r="L122" s="235">
        <f>SUM(L123:L123)</f>
        <v>1.6000000000000001E-4</v>
      </c>
      <c r="M122" s="243" t="s">
        <v>154</v>
      </c>
      <c r="AG122" s="229" t="s">
        <v>154</v>
      </c>
      <c r="AQ122" s="222">
        <f>SUM(AH123:AH123)</f>
        <v>0</v>
      </c>
      <c r="AR122" s="222">
        <f>SUM(AI123:AI123)</f>
        <v>0</v>
      </c>
      <c r="AS122" s="222">
        <f>SUM(AJ123:AJ123)</f>
        <v>0</v>
      </c>
    </row>
    <row r="123" spans="1:74" ht="14.4" x14ac:dyDescent="0.3">
      <c r="A123" s="239" t="s">
        <v>341</v>
      </c>
      <c r="B123" s="223" t="s">
        <v>519</v>
      </c>
      <c r="C123" s="521" t="s">
        <v>520</v>
      </c>
      <c r="D123" s="519"/>
      <c r="E123" s="223" t="s">
        <v>365</v>
      </c>
      <c r="F123" s="233">
        <v>2</v>
      </c>
      <c r="G123" s="311">
        <v>0</v>
      </c>
      <c r="H123" s="233">
        <f>F123*AM123</f>
        <v>0</v>
      </c>
      <c r="I123" s="233">
        <f>F123*AN123</f>
        <v>0</v>
      </c>
      <c r="J123" s="233">
        <f>F123*G123</f>
        <v>0</v>
      </c>
      <c r="K123" s="233">
        <v>8.0000000000000007E-5</v>
      </c>
      <c r="L123" s="233">
        <f>F123*K123</f>
        <v>1.6000000000000001E-4</v>
      </c>
      <c r="M123" s="240" t="s">
        <v>472</v>
      </c>
      <c r="X123" s="233">
        <f>IF(AO123="5",BH123,0)</f>
        <v>0</v>
      </c>
      <c r="Z123" s="233">
        <f>IF(AO123="1",BF123,0)</f>
        <v>0</v>
      </c>
      <c r="AA123" s="233">
        <f>IF(AO123="1",BG123,0)</f>
        <v>0</v>
      </c>
      <c r="AB123" s="233">
        <f>IF(AO123="7",BF123,0)</f>
        <v>0</v>
      </c>
      <c r="AC123" s="233">
        <f>IF(AO123="7",BG123,0)</f>
        <v>0</v>
      </c>
      <c r="AD123" s="233">
        <f>IF(AO123="2",BF123,0)</f>
        <v>0</v>
      </c>
      <c r="AE123" s="233">
        <f>IF(AO123="2",BG123,0)</f>
        <v>0</v>
      </c>
      <c r="AF123" s="233">
        <f>IF(AO123="0",BH123,0)</f>
        <v>0</v>
      </c>
      <c r="AG123" s="229" t="s">
        <v>154</v>
      </c>
      <c r="AH123" s="233">
        <f>IF(AL123=0,J123,0)</f>
        <v>0</v>
      </c>
      <c r="AI123" s="233">
        <f>IF(AL123=15,J123,0)</f>
        <v>0</v>
      </c>
      <c r="AJ123" s="233">
        <f>IF(AL123=21,J123,0)</f>
        <v>0</v>
      </c>
      <c r="AL123" s="233">
        <v>21</v>
      </c>
      <c r="AM123" s="233">
        <f>G123*0.004936975</f>
        <v>0</v>
      </c>
      <c r="AN123" s="233">
        <f>G123*(1-0.004936975)</f>
        <v>0</v>
      </c>
      <c r="AO123" s="234" t="s">
        <v>184</v>
      </c>
      <c r="AT123" s="233">
        <f>AU123+AV123</f>
        <v>0</v>
      </c>
      <c r="AU123" s="233">
        <f>F123*AM123</f>
        <v>0</v>
      </c>
      <c r="AV123" s="233">
        <f>F123*AN123</f>
        <v>0</v>
      </c>
      <c r="AW123" s="234" t="s">
        <v>521</v>
      </c>
      <c r="AX123" s="234" t="s">
        <v>522</v>
      </c>
      <c r="AY123" s="229" t="s">
        <v>164</v>
      </c>
      <c r="BA123" s="233">
        <f>AU123+AV123</f>
        <v>0</v>
      </c>
      <c r="BB123" s="233">
        <f>G123/(100-BC123)*100</f>
        <v>0</v>
      </c>
      <c r="BC123" s="233">
        <v>0</v>
      </c>
      <c r="BD123" s="233">
        <f>L123</f>
        <v>1.6000000000000001E-4</v>
      </c>
      <c r="BF123" s="233">
        <f>F123*AM123</f>
        <v>0</v>
      </c>
      <c r="BG123" s="233">
        <f>F123*AN123</f>
        <v>0</v>
      </c>
      <c r="BH123" s="233">
        <f>F123*G123</f>
        <v>0</v>
      </c>
      <c r="BI123" s="233"/>
      <c r="BJ123" s="233">
        <v>733</v>
      </c>
      <c r="BU123" s="233" t="e">
        <f>#REF!</f>
        <v>#REF!</v>
      </c>
      <c r="BV123" s="225" t="s">
        <v>520</v>
      </c>
    </row>
    <row r="124" spans="1:74" ht="40.5" customHeight="1" x14ac:dyDescent="0.3">
      <c r="A124" s="241"/>
      <c r="B124" s="242" t="s">
        <v>165</v>
      </c>
      <c r="C124" s="530" t="s">
        <v>1442</v>
      </c>
      <c r="D124" s="531"/>
      <c r="E124" s="531"/>
      <c r="F124" s="531"/>
      <c r="G124" s="531"/>
      <c r="H124" s="531"/>
      <c r="I124" s="531"/>
      <c r="J124" s="531"/>
      <c r="K124" s="531"/>
      <c r="L124" s="531"/>
      <c r="M124" s="532"/>
    </row>
    <row r="125" spans="1:74" ht="14.4" x14ac:dyDescent="0.3">
      <c r="A125" s="239" t="s">
        <v>154</v>
      </c>
      <c r="B125" s="224" t="s">
        <v>539</v>
      </c>
      <c r="C125" s="526" t="s">
        <v>540</v>
      </c>
      <c r="D125" s="527"/>
      <c r="E125" s="223" t="s">
        <v>114</v>
      </c>
      <c r="F125" s="223" t="s">
        <v>114</v>
      </c>
      <c r="G125" s="223" t="s">
        <v>114</v>
      </c>
      <c r="H125" s="235">
        <f>SUM(H126:H128)</f>
        <v>0</v>
      </c>
      <c r="I125" s="235">
        <f>SUM(I126:I128)</f>
        <v>0</v>
      </c>
      <c r="J125" s="235">
        <f>SUM(J126:J128)</f>
        <v>0</v>
      </c>
      <c r="K125" s="230" t="s">
        <v>154</v>
      </c>
      <c r="L125" s="235">
        <f>SUM(L126:L128)</f>
        <v>0</v>
      </c>
      <c r="M125" s="243" t="s">
        <v>154</v>
      </c>
      <c r="AG125" s="229" t="s">
        <v>154</v>
      </c>
      <c r="AQ125" s="222">
        <f>SUM(AH126:AH128)</f>
        <v>0</v>
      </c>
      <c r="AR125" s="222">
        <f>SUM(AI126:AI128)</f>
        <v>0</v>
      </c>
      <c r="AS125" s="222">
        <f>SUM(AJ126:AJ128)</f>
        <v>0</v>
      </c>
    </row>
    <row r="126" spans="1:74" ht="14.4" x14ac:dyDescent="0.3">
      <c r="A126" s="239" t="s">
        <v>346</v>
      </c>
      <c r="B126" s="223" t="s">
        <v>549</v>
      </c>
      <c r="C126" s="521" t="s">
        <v>550</v>
      </c>
      <c r="D126" s="519"/>
      <c r="E126" s="223" t="s">
        <v>160</v>
      </c>
      <c r="F126" s="233">
        <v>43</v>
      </c>
      <c r="G126" s="311">
        <v>0</v>
      </c>
      <c r="H126" s="233">
        <f>F126*AM126</f>
        <v>0</v>
      </c>
      <c r="I126" s="233">
        <f>F126*AN126</f>
        <v>0</v>
      </c>
      <c r="J126" s="233">
        <f>F126*G126</f>
        <v>0</v>
      </c>
      <c r="K126" s="233">
        <v>0</v>
      </c>
      <c r="L126" s="233">
        <f>F126*K126</f>
        <v>0</v>
      </c>
      <c r="M126" s="240" t="s">
        <v>472</v>
      </c>
      <c r="X126" s="233">
        <f>IF(AO126="5",BH126,0)</f>
        <v>0</v>
      </c>
      <c r="Z126" s="233">
        <f>IF(AO126="1",BF126,0)</f>
        <v>0</v>
      </c>
      <c r="AA126" s="233">
        <f>IF(AO126="1",BG126,0)</f>
        <v>0</v>
      </c>
      <c r="AB126" s="233">
        <f>IF(AO126="7",BF126,0)</f>
        <v>0</v>
      </c>
      <c r="AC126" s="233">
        <f>IF(AO126="7",BG126,0)</f>
        <v>0</v>
      </c>
      <c r="AD126" s="233">
        <f>IF(AO126="2",BF126,0)</f>
        <v>0</v>
      </c>
      <c r="AE126" s="233">
        <f>IF(AO126="2",BG126,0)</f>
        <v>0</v>
      </c>
      <c r="AF126" s="233">
        <f>IF(AO126="0",BH126,0)</f>
        <v>0</v>
      </c>
      <c r="AG126" s="229" t="s">
        <v>154</v>
      </c>
      <c r="AH126" s="233">
        <f>IF(AL126=0,J126,0)</f>
        <v>0</v>
      </c>
      <c r="AI126" s="233">
        <f>IF(AL126=15,J126,0)</f>
        <v>0</v>
      </c>
      <c r="AJ126" s="233">
        <f>IF(AL126=21,J126,0)</f>
        <v>0</v>
      </c>
      <c r="AL126" s="233">
        <v>21</v>
      </c>
      <c r="AM126" s="233">
        <f>G126*0</f>
        <v>0</v>
      </c>
      <c r="AN126" s="233">
        <f>G126*(1-0)</f>
        <v>0</v>
      </c>
      <c r="AO126" s="234" t="s">
        <v>157</v>
      </c>
      <c r="AT126" s="233">
        <f>AU126+AV126</f>
        <v>0</v>
      </c>
      <c r="AU126" s="233">
        <f>F126*AM126</f>
        <v>0</v>
      </c>
      <c r="AV126" s="233">
        <f>F126*AN126</f>
        <v>0</v>
      </c>
      <c r="AW126" s="234" t="s">
        <v>543</v>
      </c>
      <c r="AX126" s="234" t="s">
        <v>356</v>
      </c>
      <c r="AY126" s="229" t="s">
        <v>164</v>
      </c>
      <c r="BA126" s="233">
        <f>AU126+AV126</f>
        <v>0</v>
      </c>
      <c r="BB126" s="233">
        <f>G126/(100-BC126)*100</f>
        <v>0</v>
      </c>
      <c r="BC126" s="233">
        <v>0</v>
      </c>
      <c r="BD126" s="233">
        <f>L126</f>
        <v>0</v>
      </c>
      <c r="BF126" s="233">
        <f>F126*AM126</f>
        <v>0</v>
      </c>
      <c r="BG126" s="233">
        <f>F126*AN126</f>
        <v>0</v>
      </c>
      <c r="BH126" s="233">
        <f>F126*G126</f>
        <v>0</v>
      </c>
      <c r="BI126" s="233"/>
      <c r="BJ126" s="233">
        <v>87</v>
      </c>
      <c r="BU126" s="233" t="e">
        <f>#REF!</f>
        <v>#REF!</v>
      </c>
      <c r="BV126" s="225" t="s">
        <v>550</v>
      </c>
    </row>
    <row r="127" spans="1:74" ht="54" customHeight="1" x14ac:dyDescent="0.3">
      <c r="A127" s="241"/>
      <c r="B127" s="242" t="s">
        <v>165</v>
      </c>
      <c r="C127" s="530" t="s">
        <v>1523</v>
      </c>
      <c r="D127" s="531"/>
      <c r="E127" s="531"/>
      <c r="F127" s="531"/>
      <c r="G127" s="531"/>
      <c r="H127" s="531"/>
      <c r="I127" s="531"/>
      <c r="J127" s="531"/>
      <c r="K127" s="531"/>
      <c r="L127" s="531"/>
      <c r="M127" s="532"/>
    </row>
    <row r="128" spans="1:74" ht="14.4" x14ac:dyDescent="0.3">
      <c r="A128" s="239" t="s">
        <v>352</v>
      </c>
      <c r="B128" s="223" t="s">
        <v>556</v>
      </c>
      <c r="C128" s="521" t="s">
        <v>557</v>
      </c>
      <c r="D128" s="519"/>
      <c r="E128" s="223" t="s">
        <v>365</v>
      </c>
      <c r="F128" s="233">
        <v>6</v>
      </c>
      <c r="G128" s="311">
        <v>0</v>
      </c>
      <c r="H128" s="233">
        <f>F128*AM128</f>
        <v>0</v>
      </c>
      <c r="I128" s="233">
        <f>F128*AN128</f>
        <v>0</v>
      </c>
      <c r="J128" s="233">
        <f>F128*G128</f>
        <v>0</v>
      </c>
      <c r="K128" s="233">
        <v>0</v>
      </c>
      <c r="L128" s="233">
        <f>F128*K128</f>
        <v>0</v>
      </c>
      <c r="M128" s="240" t="s">
        <v>472</v>
      </c>
      <c r="X128" s="233">
        <f>IF(AO128="5",BH128,0)</f>
        <v>0</v>
      </c>
      <c r="Z128" s="233">
        <f>IF(AO128="1",BF128,0)</f>
        <v>0</v>
      </c>
      <c r="AA128" s="233">
        <f>IF(AO128="1",BG128,0)</f>
        <v>0</v>
      </c>
      <c r="AB128" s="233">
        <f>IF(AO128="7",BF128,0)</f>
        <v>0</v>
      </c>
      <c r="AC128" s="233">
        <f>IF(AO128="7",BG128,0)</f>
        <v>0</v>
      </c>
      <c r="AD128" s="233">
        <f>IF(AO128="2",BF128,0)</f>
        <v>0</v>
      </c>
      <c r="AE128" s="233">
        <f>IF(AO128="2",BG128,0)</f>
        <v>0</v>
      </c>
      <c r="AF128" s="233">
        <f>IF(AO128="0",BH128,0)</f>
        <v>0</v>
      </c>
      <c r="AG128" s="229" t="s">
        <v>154</v>
      </c>
      <c r="AH128" s="233">
        <f>IF(AL128=0,J128,0)</f>
        <v>0</v>
      </c>
      <c r="AI128" s="233">
        <f>IF(AL128=15,J128,0)</f>
        <v>0</v>
      </c>
      <c r="AJ128" s="233">
        <f>IF(AL128=21,J128,0)</f>
        <v>0</v>
      </c>
      <c r="AL128" s="233">
        <v>21</v>
      </c>
      <c r="AM128" s="233">
        <f>G128*0</f>
        <v>0</v>
      </c>
      <c r="AN128" s="233">
        <f>G128*(1-0)</f>
        <v>0</v>
      </c>
      <c r="AO128" s="234" t="s">
        <v>157</v>
      </c>
      <c r="AT128" s="233">
        <f>AU128+AV128</f>
        <v>0</v>
      </c>
      <c r="AU128" s="233">
        <f>F128*AM128</f>
        <v>0</v>
      </c>
      <c r="AV128" s="233">
        <f>F128*AN128</f>
        <v>0</v>
      </c>
      <c r="AW128" s="234" t="s">
        <v>543</v>
      </c>
      <c r="AX128" s="234" t="s">
        <v>356</v>
      </c>
      <c r="AY128" s="229" t="s">
        <v>164</v>
      </c>
      <c r="BA128" s="233">
        <f>AU128+AV128</f>
        <v>0</v>
      </c>
      <c r="BB128" s="233">
        <f>G128/(100-BC128)*100</f>
        <v>0</v>
      </c>
      <c r="BC128" s="233">
        <v>0</v>
      </c>
      <c r="BD128" s="233">
        <f>L128</f>
        <v>0</v>
      </c>
      <c r="BF128" s="233">
        <f>F128*AM128</f>
        <v>0</v>
      </c>
      <c r="BG128" s="233">
        <f>F128*AN128</f>
        <v>0</v>
      </c>
      <c r="BH128" s="233">
        <f>F128*G128</f>
        <v>0</v>
      </c>
      <c r="BI128" s="233"/>
      <c r="BJ128" s="233">
        <v>87</v>
      </c>
      <c r="BU128" s="233" t="e">
        <f>#REF!</f>
        <v>#REF!</v>
      </c>
      <c r="BV128" s="225" t="s">
        <v>557</v>
      </c>
    </row>
    <row r="129" spans="1:74" ht="27" customHeight="1" x14ac:dyDescent="0.3">
      <c r="A129" s="241"/>
      <c r="B129" s="242" t="s">
        <v>165</v>
      </c>
      <c r="C129" s="530" t="s">
        <v>1451</v>
      </c>
      <c r="D129" s="531"/>
      <c r="E129" s="531"/>
      <c r="F129" s="531"/>
      <c r="G129" s="531"/>
      <c r="H129" s="531"/>
      <c r="I129" s="531"/>
      <c r="J129" s="531"/>
      <c r="K129" s="531"/>
      <c r="L129" s="531"/>
      <c r="M129" s="532"/>
    </row>
    <row r="130" spans="1:74" ht="14.4" x14ac:dyDescent="0.3">
      <c r="A130" s="239" t="s">
        <v>154</v>
      </c>
      <c r="B130" s="224" t="s">
        <v>360</v>
      </c>
      <c r="C130" s="526" t="s">
        <v>361</v>
      </c>
      <c r="D130" s="527"/>
      <c r="E130" s="223" t="s">
        <v>114</v>
      </c>
      <c r="F130" s="223" t="s">
        <v>114</v>
      </c>
      <c r="G130" s="223" t="s">
        <v>114</v>
      </c>
      <c r="H130" s="235">
        <f>SUM(H131:H147)</f>
        <v>0</v>
      </c>
      <c r="I130" s="235">
        <f>SUM(I131:I147)</f>
        <v>0</v>
      </c>
      <c r="J130" s="235">
        <f>SUM(J131:J147)</f>
        <v>0</v>
      </c>
      <c r="K130" s="230" t="s">
        <v>154</v>
      </c>
      <c r="L130" s="235">
        <f>SUM(L131:L147)</f>
        <v>0.23544999999999999</v>
      </c>
      <c r="M130" s="243" t="s">
        <v>154</v>
      </c>
      <c r="AG130" s="229" t="s">
        <v>154</v>
      </c>
      <c r="AQ130" s="222">
        <f>SUM(AH131:AH147)</f>
        <v>0</v>
      </c>
      <c r="AR130" s="222">
        <f>SUM(AI131:AI147)</f>
        <v>0</v>
      </c>
      <c r="AS130" s="222">
        <f>SUM(AJ131:AJ147)</f>
        <v>0</v>
      </c>
    </row>
    <row r="131" spans="1:74" ht="14.4" x14ac:dyDescent="0.3">
      <c r="A131" s="239" t="s">
        <v>357</v>
      </c>
      <c r="B131" s="223" t="s">
        <v>571</v>
      </c>
      <c r="C131" s="521" t="s">
        <v>572</v>
      </c>
      <c r="D131" s="519"/>
      <c r="E131" s="223" t="s">
        <v>160</v>
      </c>
      <c r="F131" s="233">
        <v>43</v>
      </c>
      <c r="G131" s="311">
        <v>0</v>
      </c>
      <c r="H131" s="233">
        <f>F131*AM131</f>
        <v>0</v>
      </c>
      <c r="I131" s="233">
        <f>F131*AN131</f>
        <v>0</v>
      </c>
      <c r="J131" s="233">
        <f>F131*G131</f>
        <v>0</v>
      </c>
      <c r="K131" s="233">
        <v>0</v>
      </c>
      <c r="L131" s="233">
        <f>F131*K131</f>
        <v>0</v>
      </c>
      <c r="M131" s="240" t="s">
        <v>472</v>
      </c>
      <c r="X131" s="233">
        <f>IF(AO131="5",BH131,0)</f>
        <v>0</v>
      </c>
      <c r="Z131" s="233">
        <f>IF(AO131="1",BF131,0)</f>
        <v>0</v>
      </c>
      <c r="AA131" s="233">
        <f>IF(AO131="1",BG131,0)</f>
        <v>0</v>
      </c>
      <c r="AB131" s="233">
        <f>IF(AO131="7",BF131,0)</f>
        <v>0</v>
      </c>
      <c r="AC131" s="233">
        <f>IF(AO131="7",BG131,0)</f>
        <v>0</v>
      </c>
      <c r="AD131" s="233">
        <f>IF(AO131="2",BF131,0)</f>
        <v>0</v>
      </c>
      <c r="AE131" s="233">
        <f>IF(AO131="2",BG131,0)</f>
        <v>0</v>
      </c>
      <c r="AF131" s="233">
        <f>IF(AO131="0",BH131,0)</f>
        <v>0</v>
      </c>
      <c r="AG131" s="229" t="s">
        <v>154</v>
      </c>
      <c r="AH131" s="233">
        <f>IF(AL131=0,J131,0)</f>
        <v>0</v>
      </c>
      <c r="AI131" s="233">
        <f>IF(AL131=15,J131,0)</f>
        <v>0</v>
      </c>
      <c r="AJ131" s="233">
        <f>IF(AL131=21,J131,0)</f>
        <v>0</v>
      </c>
      <c r="AL131" s="233">
        <v>21</v>
      </c>
      <c r="AM131" s="233">
        <f>G131*0.030871434</f>
        <v>0</v>
      </c>
      <c r="AN131" s="233">
        <f>G131*(1-0.030871434)</f>
        <v>0</v>
      </c>
      <c r="AO131" s="234" t="s">
        <v>157</v>
      </c>
      <c r="AT131" s="233">
        <f>AU131+AV131</f>
        <v>0</v>
      </c>
      <c r="AU131" s="233">
        <f>F131*AM131</f>
        <v>0</v>
      </c>
      <c r="AV131" s="233">
        <f>F131*AN131</f>
        <v>0</v>
      </c>
      <c r="AW131" s="234" t="s">
        <v>366</v>
      </c>
      <c r="AX131" s="234" t="s">
        <v>356</v>
      </c>
      <c r="AY131" s="229" t="s">
        <v>164</v>
      </c>
      <c r="BA131" s="233">
        <f>AU131+AV131</f>
        <v>0</v>
      </c>
      <c r="BB131" s="233">
        <f>G131/(100-BC131)*100</f>
        <v>0</v>
      </c>
      <c r="BC131" s="233">
        <v>0</v>
      </c>
      <c r="BD131" s="233">
        <f>L131</f>
        <v>0</v>
      </c>
      <c r="BF131" s="233">
        <f>F131*AM131</f>
        <v>0</v>
      </c>
      <c r="BG131" s="233">
        <f>F131*AN131</f>
        <v>0</v>
      </c>
      <c r="BH131" s="233">
        <f>F131*G131</f>
        <v>0</v>
      </c>
      <c r="BI131" s="233"/>
      <c r="BJ131" s="233">
        <v>89</v>
      </c>
      <c r="BU131" s="233" t="e">
        <f>#REF!</f>
        <v>#REF!</v>
      </c>
      <c r="BV131" s="225" t="s">
        <v>572</v>
      </c>
    </row>
    <row r="132" spans="1:74" ht="40.5" customHeight="1" x14ac:dyDescent="0.3">
      <c r="A132" s="241"/>
      <c r="B132" s="242" t="s">
        <v>165</v>
      </c>
      <c r="C132" s="530" t="s">
        <v>1524</v>
      </c>
      <c r="D132" s="531"/>
      <c r="E132" s="531"/>
      <c r="F132" s="531"/>
      <c r="G132" s="531"/>
      <c r="H132" s="531"/>
      <c r="I132" s="531"/>
      <c r="J132" s="531"/>
      <c r="K132" s="531"/>
      <c r="L132" s="531"/>
      <c r="M132" s="532"/>
    </row>
    <row r="133" spans="1:74" ht="14.4" x14ac:dyDescent="0.3">
      <c r="A133" s="239" t="s">
        <v>362</v>
      </c>
      <c r="B133" s="223" t="s">
        <v>574</v>
      </c>
      <c r="C133" s="521" t="s">
        <v>575</v>
      </c>
      <c r="D133" s="519"/>
      <c r="E133" s="223" t="s">
        <v>160</v>
      </c>
      <c r="F133" s="233">
        <v>43</v>
      </c>
      <c r="G133" s="311">
        <v>0</v>
      </c>
      <c r="H133" s="233">
        <f>F133*AM133</f>
        <v>0</v>
      </c>
      <c r="I133" s="233">
        <f>F133*AN133</f>
        <v>0</v>
      </c>
      <c r="J133" s="233">
        <f>F133*G133</f>
        <v>0</v>
      </c>
      <c r="K133" s="233">
        <v>0</v>
      </c>
      <c r="L133" s="233">
        <f>F133*K133</f>
        <v>0</v>
      </c>
      <c r="M133" s="240" t="s">
        <v>472</v>
      </c>
      <c r="X133" s="233">
        <f>IF(AO133="5",BH133,0)</f>
        <v>0</v>
      </c>
      <c r="Z133" s="233">
        <f>IF(AO133="1",BF133,0)</f>
        <v>0</v>
      </c>
      <c r="AA133" s="233">
        <f>IF(AO133="1",BG133,0)</f>
        <v>0</v>
      </c>
      <c r="AB133" s="233">
        <f>IF(AO133="7",BF133,0)</f>
        <v>0</v>
      </c>
      <c r="AC133" s="233">
        <f>IF(AO133="7",BG133,0)</f>
        <v>0</v>
      </c>
      <c r="AD133" s="233">
        <f>IF(AO133="2",BF133,0)</f>
        <v>0</v>
      </c>
      <c r="AE133" s="233">
        <f>IF(AO133="2",BG133,0)</f>
        <v>0</v>
      </c>
      <c r="AF133" s="233">
        <f>IF(AO133="0",BH133,0)</f>
        <v>0</v>
      </c>
      <c r="AG133" s="229" t="s">
        <v>154</v>
      </c>
      <c r="AH133" s="233">
        <f>IF(AL133=0,J133,0)</f>
        <v>0</v>
      </c>
      <c r="AI133" s="233">
        <f>IF(AL133=15,J133,0)</f>
        <v>0</v>
      </c>
      <c r="AJ133" s="233">
        <f>IF(AL133=21,J133,0)</f>
        <v>0</v>
      </c>
      <c r="AL133" s="233">
        <v>21</v>
      </c>
      <c r="AM133" s="233">
        <f>G133*0.025632653</f>
        <v>0</v>
      </c>
      <c r="AN133" s="233">
        <f>G133*(1-0.025632653)</f>
        <v>0</v>
      </c>
      <c r="AO133" s="234" t="s">
        <v>157</v>
      </c>
      <c r="AT133" s="233">
        <f>AU133+AV133</f>
        <v>0</v>
      </c>
      <c r="AU133" s="233">
        <f>F133*AM133</f>
        <v>0</v>
      </c>
      <c r="AV133" s="233">
        <f>F133*AN133</f>
        <v>0</v>
      </c>
      <c r="AW133" s="234" t="s">
        <v>366</v>
      </c>
      <c r="AX133" s="234" t="s">
        <v>356</v>
      </c>
      <c r="AY133" s="229" t="s">
        <v>164</v>
      </c>
      <c r="BA133" s="233">
        <f>AU133+AV133</f>
        <v>0</v>
      </c>
      <c r="BB133" s="233">
        <f>G133/(100-BC133)*100</f>
        <v>0</v>
      </c>
      <c r="BC133" s="233">
        <v>0</v>
      </c>
      <c r="BD133" s="233">
        <f>L133</f>
        <v>0</v>
      </c>
      <c r="BF133" s="233">
        <f>F133*AM133</f>
        <v>0</v>
      </c>
      <c r="BG133" s="233">
        <f>F133*AN133</f>
        <v>0</v>
      </c>
      <c r="BH133" s="233">
        <f>F133*G133</f>
        <v>0</v>
      </c>
      <c r="BI133" s="233"/>
      <c r="BJ133" s="233">
        <v>89</v>
      </c>
      <c r="BU133" s="233" t="e">
        <f>#REF!</f>
        <v>#REF!</v>
      </c>
      <c r="BV133" s="225" t="s">
        <v>575</v>
      </c>
    </row>
    <row r="134" spans="1:74" ht="40.5" customHeight="1" x14ac:dyDescent="0.3">
      <c r="A134" s="241"/>
      <c r="B134" s="242" t="s">
        <v>165</v>
      </c>
      <c r="C134" s="530" t="s">
        <v>1525</v>
      </c>
      <c r="D134" s="531"/>
      <c r="E134" s="531"/>
      <c r="F134" s="531"/>
      <c r="G134" s="531"/>
      <c r="H134" s="531"/>
      <c r="I134" s="531"/>
      <c r="J134" s="531"/>
      <c r="K134" s="531"/>
      <c r="L134" s="531"/>
      <c r="M134" s="532"/>
    </row>
    <row r="135" spans="1:74" ht="14.4" x14ac:dyDescent="0.3">
      <c r="A135" s="239" t="s">
        <v>367</v>
      </c>
      <c r="B135" s="223" t="s">
        <v>438</v>
      </c>
      <c r="C135" s="521" t="s">
        <v>439</v>
      </c>
      <c r="D135" s="519"/>
      <c r="E135" s="223" t="s">
        <v>160</v>
      </c>
      <c r="F135" s="233">
        <v>47.3</v>
      </c>
      <c r="G135" s="311">
        <v>0</v>
      </c>
      <c r="H135" s="233">
        <f>F135*AM135</f>
        <v>0</v>
      </c>
      <c r="I135" s="233">
        <f>F135*AN135</f>
        <v>0</v>
      </c>
      <c r="J135" s="233">
        <f>F135*G135</f>
        <v>0</v>
      </c>
      <c r="K135" s="233">
        <v>0</v>
      </c>
      <c r="L135" s="233">
        <f>F135*K135</f>
        <v>0</v>
      </c>
      <c r="M135" s="240" t="s">
        <v>472</v>
      </c>
      <c r="X135" s="233">
        <f>IF(AO135="5",BH135,0)</f>
        <v>0</v>
      </c>
      <c r="Z135" s="233">
        <f>IF(AO135="1",BF135,0)</f>
        <v>0</v>
      </c>
      <c r="AA135" s="233">
        <f>IF(AO135="1",BG135,0)</f>
        <v>0</v>
      </c>
      <c r="AB135" s="233">
        <f>IF(AO135="7",BF135,0)</f>
        <v>0</v>
      </c>
      <c r="AC135" s="233">
        <f>IF(AO135="7",BG135,0)</f>
        <v>0</v>
      </c>
      <c r="AD135" s="233">
        <f>IF(AO135="2",BF135,0)</f>
        <v>0</v>
      </c>
      <c r="AE135" s="233">
        <f>IF(AO135="2",BG135,0)</f>
        <v>0</v>
      </c>
      <c r="AF135" s="233">
        <f>IF(AO135="0",BH135,0)</f>
        <v>0</v>
      </c>
      <c r="AG135" s="229" t="s">
        <v>154</v>
      </c>
      <c r="AH135" s="233">
        <f>IF(AL135=0,J135,0)</f>
        <v>0</v>
      </c>
      <c r="AI135" s="233">
        <f>IF(AL135=15,J135,0)</f>
        <v>0</v>
      </c>
      <c r="AJ135" s="233">
        <f>IF(AL135=21,J135,0)</f>
        <v>0</v>
      </c>
      <c r="AL135" s="233">
        <v>21</v>
      </c>
      <c r="AM135" s="233">
        <f>G135*0.353993437</f>
        <v>0</v>
      </c>
      <c r="AN135" s="233">
        <f>G135*(1-0.353993437)</f>
        <v>0</v>
      </c>
      <c r="AO135" s="234" t="s">
        <v>157</v>
      </c>
      <c r="AT135" s="233">
        <f>AU135+AV135</f>
        <v>0</v>
      </c>
      <c r="AU135" s="233">
        <f>F135*AM135</f>
        <v>0</v>
      </c>
      <c r="AV135" s="233">
        <f>F135*AN135</f>
        <v>0</v>
      </c>
      <c r="AW135" s="234" t="s">
        <v>366</v>
      </c>
      <c r="AX135" s="234" t="s">
        <v>356</v>
      </c>
      <c r="AY135" s="229" t="s">
        <v>164</v>
      </c>
      <c r="BA135" s="233">
        <f>AU135+AV135</f>
        <v>0</v>
      </c>
      <c r="BB135" s="233">
        <f>G135/(100-BC135)*100</f>
        <v>0</v>
      </c>
      <c r="BC135" s="233">
        <v>0</v>
      </c>
      <c r="BD135" s="233">
        <f>L135</f>
        <v>0</v>
      </c>
      <c r="BF135" s="233">
        <f>F135*AM135</f>
        <v>0</v>
      </c>
      <c r="BG135" s="233">
        <f>F135*AN135</f>
        <v>0</v>
      </c>
      <c r="BH135" s="233">
        <f>F135*G135</f>
        <v>0</v>
      </c>
      <c r="BI135" s="233"/>
      <c r="BJ135" s="233">
        <v>89</v>
      </c>
      <c r="BU135" s="233" t="e">
        <f>#REF!</f>
        <v>#REF!</v>
      </c>
      <c r="BV135" s="225" t="s">
        <v>439</v>
      </c>
    </row>
    <row r="136" spans="1:74" ht="40.5" customHeight="1" x14ac:dyDescent="0.3">
      <c r="A136" s="241"/>
      <c r="B136" s="242" t="s">
        <v>165</v>
      </c>
      <c r="C136" s="530" t="s">
        <v>1526</v>
      </c>
      <c r="D136" s="531"/>
      <c r="E136" s="531"/>
      <c r="F136" s="531"/>
      <c r="G136" s="531"/>
      <c r="H136" s="531"/>
      <c r="I136" s="531"/>
      <c r="J136" s="531"/>
      <c r="K136" s="531"/>
      <c r="L136" s="531"/>
      <c r="M136" s="532"/>
    </row>
    <row r="137" spans="1:74" ht="14.4" x14ac:dyDescent="0.3">
      <c r="A137" s="239" t="s">
        <v>305</v>
      </c>
      <c r="B137" s="223" t="s">
        <v>586</v>
      </c>
      <c r="C137" s="521" t="s">
        <v>587</v>
      </c>
      <c r="D137" s="519"/>
      <c r="E137" s="223" t="s">
        <v>365</v>
      </c>
      <c r="F137" s="233">
        <v>1</v>
      </c>
      <c r="G137" s="311">
        <v>0</v>
      </c>
      <c r="H137" s="233">
        <f>F137*AM137</f>
        <v>0</v>
      </c>
      <c r="I137" s="233">
        <f>F137*AN137</f>
        <v>0</v>
      </c>
      <c r="J137" s="233">
        <f>F137*G137</f>
        <v>0</v>
      </c>
      <c r="K137" s="233">
        <v>2.1000000000000001E-4</v>
      </c>
      <c r="L137" s="233">
        <f>F137*K137</f>
        <v>2.1000000000000001E-4</v>
      </c>
      <c r="M137" s="240" t="s">
        <v>472</v>
      </c>
      <c r="X137" s="233">
        <f>IF(AO137="5",BH137,0)</f>
        <v>0</v>
      </c>
      <c r="Z137" s="233">
        <f>IF(AO137="1",BF137,0)</f>
        <v>0</v>
      </c>
      <c r="AA137" s="233">
        <f>IF(AO137="1",BG137,0)</f>
        <v>0</v>
      </c>
      <c r="AB137" s="233">
        <f>IF(AO137="7",BF137,0)</f>
        <v>0</v>
      </c>
      <c r="AC137" s="233">
        <f>IF(AO137="7",BG137,0)</f>
        <v>0</v>
      </c>
      <c r="AD137" s="233">
        <f>IF(AO137="2",BF137,0)</f>
        <v>0</v>
      </c>
      <c r="AE137" s="233">
        <f>IF(AO137="2",BG137,0)</f>
        <v>0</v>
      </c>
      <c r="AF137" s="233">
        <f>IF(AO137="0",BH137,0)</f>
        <v>0</v>
      </c>
      <c r="AG137" s="229" t="s">
        <v>154</v>
      </c>
      <c r="AH137" s="233">
        <f>IF(AL137=0,J137,0)</f>
        <v>0</v>
      </c>
      <c r="AI137" s="233">
        <f>IF(AL137=15,J137,0)</f>
        <v>0</v>
      </c>
      <c r="AJ137" s="233">
        <f>IF(AL137=21,J137,0)</f>
        <v>0</v>
      </c>
      <c r="AL137" s="233">
        <v>21</v>
      </c>
      <c r="AM137" s="233">
        <f>G137*0.340900901</f>
        <v>0</v>
      </c>
      <c r="AN137" s="233">
        <f>G137*(1-0.340900901)</f>
        <v>0</v>
      </c>
      <c r="AO137" s="234" t="s">
        <v>157</v>
      </c>
      <c r="AT137" s="233">
        <f>AU137+AV137</f>
        <v>0</v>
      </c>
      <c r="AU137" s="233">
        <f>F137*AM137</f>
        <v>0</v>
      </c>
      <c r="AV137" s="233">
        <f>F137*AN137</f>
        <v>0</v>
      </c>
      <c r="AW137" s="234" t="s">
        <v>366</v>
      </c>
      <c r="AX137" s="234" t="s">
        <v>356</v>
      </c>
      <c r="AY137" s="229" t="s">
        <v>164</v>
      </c>
      <c r="BA137" s="233">
        <f>AU137+AV137</f>
        <v>0</v>
      </c>
      <c r="BB137" s="233">
        <f>G137/(100-BC137)*100</f>
        <v>0</v>
      </c>
      <c r="BC137" s="233">
        <v>0</v>
      </c>
      <c r="BD137" s="233">
        <f>L137</f>
        <v>2.1000000000000001E-4</v>
      </c>
      <c r="BF137" s="233">
        <f>F137*AM137</f>
        <v>0</v>
      </c>
      <c r="BG137" s="233">
        <f>F137*AN137</f>
        <v>0</v>
      </c>
      <c r="BH137" s="233">
        <f>F137*G137</f>
        <v>0</v>
      </c>
      <c r="BI137" s="233"/>
      <c r="BJ137" s="233">
        <v>89</v>
      </c>
      <c r="BU137" s="233" t="e">
        <f>#REF!</f>
        <v>#REF!</v>
      </c>
      <c r="BV137" s="225" t="s">
        <v>587</v>
      </c>
    </row>
    <row r="138" spans="1:74" ht="27" customHeight="1" x14ac:dyDescent="0.3">
      <c r="A138" s="241"/>
      <c r="B138" s="242" t="s">
        <v>165</v>
      </c>
      <c r="C138" s="530" t="s">
        <v>1459</v>
      </c>
      <c r="D138" s="531"/>
      <c r="E138" s="531"/>
      <c r="F138" s="531"/>
      <c r="G138" s="531"/>
      <c r="H138" s="531"/>
      <c r="I138" s="531"/>
      <c r="J138" s="531"/>
      <c r="K138" s="531"/>
      <c r="L138" s="531"/>
      <c r="M138" s="532"/>
    </row>
    <row r="139" spans="1:74" ht="14.4" x14ac:dyDescent="0.3">
      <c r="A139" s="239" t="s">
        <v>335</v>
      </c>
      <c r="B139" s="223" t="s">
        <v>594</v>
      </c>
      <c r="C139" s="521" t="s">
        <v>595</v>
      </c>
      <c r="D139" s="519"/>
      <c r="E139" s="223" t="s">
        <v>365</v>
      </c>
      <c r="F139" s="233">
        <v>1</v>
      </c>
      <c r="G139" s="311">
        <v>0</v>
      </c>
      <c r="H139" s="233">
        <f>F139*AM139</f>
        <v>0</v>
      </c>
      <c r="I139" s="233">
        <f>F139*AN139</f>
        <v>0</v>
      </c>
      <c r="J139" s="233">
        <f>F139*G139</f>
        <v>0</v>
      </c>
      <c r="K139" s="233">
        <v>4.0999999999999999E-4</v>
      </c>
      <c r="L139" s="233">
        <f>F139*K139</f>
        <v>4.0999999999999999E-4</v>
      </c>
      <c r="M139" s="240" t="s">
        <v>472</v>
      </c>
      <c r="X139" s="233">
        <f>IF(AO139="5",BH139,0)</f>
        <v>0</v>
      </c>
      <c r="Z139" s="233">
        <f>IF(AO139="1",BF139,0)</f>
        <v>0</v>
      </c>
      <c r="AA139" s="233">
        <f>IF(AO139="1",BG139,0)</f>
        <v>0</v>
      </c>
      <c r="AB139" s="233">
        <f>IF(AO139="7",BF139,0)</f>
        <v>0</v>
      </c>
      <c r="AC139" s="233">
        <f>IF(AO139="7",BG139,0)</f>
        <v>0</v>
      </c>
      <c r="AD139" s="233">
        <f>IF(AO139="2",BF139,0)</f>
        <v>0</v>
      </c>
      <c r="AE139" s="233">
        <f>IF(AO139="2",BG139,0)</f>
        <v>0</v>
      </c>
      <c r="AF139" s="233">
        <f>IF(AO139="0",BH139,0)</f>
        <v>0</v>
      </c>
      <c r="AG139" s="229" t="s">
        <v>154</v>
      </c>
      <c r="AH139" s="233">
        <f>IF(AL139=0,J139,0)</f>
        <v>0</v>
      </c>
      <c r="AI139" s="233">
        <f>IF(AL139=15,J139,0)</f>
        <v>0</v>
      </c>
      <c r="AJ139" s="233">
        <f>IF(AL139=21,J139,0)</f>
        <v>0</v>
      </c>
      <c r="AL139" s="233">
        <v>21</v>
      </c>
      <c r="AM139" s="233">
        <f>G139*0.158899007</f>
        <v>0</v>
      </c>
      <c r="AN139" s="233">
        <f>G139*(1-0.158899007)</f>
        <v>0</v>
      </c>
      <c r="AO139" s="234" t="s">
        <v>157</v>
      </c>
      <c r="AT139" s="233">
        <f>AU139+AV139</f>
        <v>0</v>
      </c>
      <c r="AU139" s="233">
        <f>F139*AM139</f>
        <v>0</v>
      </c>
      <c r="AV139" s="233">
        <f>F139*AN139</f>
        <v>0</v>
      </c>
      <c r="AW139" s="234" t="s">
        <v>366</v>
      </c>
      <c r="AX139" s="234" t="s">
        <v>356</v>
      </c>
      <c r="AY139" s="229" t="s">
        <v>164</v>
      </c>
      <c r="BA139" s="233">
        <f>AU139+AV139</f>
        <v>0</v>
      </c>
      <c r="BB139" s="233">
        <f>G139/(100-BC139)*100</f>
        <v>0</v>
      </c>
      <c r="BC139" s="233">
        <v>0</v>
      </c>
      <c r="BD139" s="233">
        <f>L139</f>
        <v>4.0999999999999999E-4</v>
      </c>
      <c r="BF139" s="233">
        <f>F139*AM139</f>
        <v>0</v>
      </c>
      <c r="BG139" s="233">
        <f>F139*AN139</f>
        <v>0</v>
      </c>
      <c r="BH139" s="233">
        <f>F139*G139</f>
        <v>0</v>
      </c>
      <c r="BI139" s="233"/>
      <c r="BJ139" s="233">
        <v>89</v>
      </c>
      <c r="BU139" s="233" t="e">
        <f>#REF!</f>
        <v>#REF!</v>
      </c>
      <c r="BV139" s="225" t="s">
        <v>595</v>
      </c>
    </row>
    <row r="140" spans="1:74" ht="13.5" customHeight="1" x14ac:dyDescent="0.3">
      <c r="A140" s="241"/>
      <c r="B140" s="242" t="s">
        <v>165</v>
      </c>
      <c r="C140" s="530" t="s">
        <v>596</v>
      </c>
      <c r="D140" s="531"/>
      <c r="E140" s="531"/>
      <c r="F140" s="531"/>
      <c r="G140" s="531"/>
      <c r="H140" s="531"/>
      <c r="I140" s="531"/>
      <c r="J140" s="531"/>
      <c r="K140" s="531"/>
      <c r="L140" s="531"/>
      <c r="M140" s="532"/>
    </row>
    <row r="141" spans="1:74" ht="14.4" x14ac:dyDescent="0.3">
      <c r="A141" s="239" t="s">
        <v>384</v>
      </c>
      <c r="B141" s="223" t="s">
        <v>567</v>
      </c>
      <c r="C141" s="521" t="s">
        <v>568</v>
      </c>
      <c r="D141" s="519"/>
      <c r="E141" s="223" t="s">
        <v>365</v>
      </c>
      <c r="F141" s="233">
        <v>1</v>
      </c>
      <c r="G141" s="311">
        <v>0</v>
      </c>
      <c r="H141" s="233">
        <f>F141*AM141</f>
        <v>0</v>
      </c>
      <c r="I141" s="233">
        <f>F141*AN141</f>
        <v>0</v>
      </c>
      <c r="J141" s="233">
        <f>F141*G141</f>
        <v>0</v>
      </c>
      <c r="K141" s="233">
        <v>0.11178</v>
      </c>
      <c r="L141" s="233">
        <f>F141*K141</f>
        <v>0.11178</v>
      </c>
      <c r="M141" s="240" t="s">
        <v>472</v>
      </c>
      <c r="X141" s="233">
        <f>IF(AO141="5",BH141,0)</f>
        <v>0</v>
      </c>
      <c r="Z141" s="233">
        <f>IF(AO141="1",BF141,0)</f>
        <v>0</v>
      </c>
      <c r="AA141" s="233">
        <f>IF(AO141="1",BG141,0)</f>
        <v>0</v>
      </c>
      <c r="AB141" s="233">
        <f>IF(AO141="7",BF141,0)</f>
        <v>0</v>
      </c>
      <c r="AC141" s="233">
        <f>IF(AO141="7",BG141,0)</f>
        <v>0</v>
      </c>
      <c r="AD141" s="233">
        <f>IF(AO141="2",BF141,0)</f>
        <v>0</v>
      </c>
      <c r="AE141" s="233">
        <f>IF(AO141="2",BG141,0)</f>
        <v>0</v>
      </c>
      <c r="AF141" s="233">
        <f>IF(AO141="0",BH141,0)</f>
        <v>0</v>
      </c>
      <c r="AG141" s="229" t="s">
        <v>154</v>
      </c>
      <c r="AH141" s="233">
        <f>IF(AL141=0,J141,0)</f>
        <v>0</v>
      </c>
      <c r="AI141" s="233">
        <f>IF(AL141=15,J141,0)</f>
        <v>0</v>
      </c>
      <c r="AJ141" s="233">
        <f>IF(AL141=21,J141,0)</f>
        <v>0</v>
      </c>
      <c r="AL141" s="233">
        <v>21</v>
      </c>
      <c r="AM141" s="233">
        <f>G141*0.428929987</f>
        <v>0</v>
      </c>
      <c r="AN141" s="233">
        <f>G141*(1-0.428929987)</f>
        <v>0</v>
      </c>
      <c r="AO141" s="234" t="s">
        <v>157</v>
      </c>
      <c r="AT141" s="233">
        <f>AU141+AV141</f>
        <v>0</v>
      </c>
      <c r="AU141" s="233">
        <f>F141*AM141</f>
        <v>0</v>
      </c>
      <c r="AV141" s="233">
        <f>F141*AN141</f>
        <v>0</v>
      </c>
      <c r="AW141" s="234" t="s">
        <v>366</v>
      </c>
      <c r="AX141" s="234" t="s">
        <v>356</v>
      </c>
      <c r="AY141" s="229" t="s">
        <v>164</v>
      </c>
      <c r="BA141" s="233">
        <f>AU141+AV141</f>
        <v>0</v>
      </c>
      <c r="BB141" s="233">
        <f>G141/(100-BC141)*100</f>
        <v>0</v>
      </c>
      <c r="BC141" s="233">
        <v>0</v>
      </c>
      <c r="BD141" s="233">
        <f>L141</f>
        <v>0.11178</v>
      </c>
      <c r="BF141" s="233">
        <f>F141*AM141</f>
        <v>0</v>
      </c>
      <c r="BG141" s="233">
        <f>F141*AN141</f>
        <v>0</v>
      </c>
      <c r="BH141" s="233">
        <f>F141*G141</f>
        <v>0</v>
      </c>
      <c r="BI141" s="233"/>
      <c r="BJ141" s="233">
        <v>89</v>
      </c>
      <c r="BU141" s="233" t="e">
        <f>#REF!</f>
        <v>#REF!</v>
      </c>
      <c r="BV141" s="225" t="s">
        <v>568</v>
      </c>
    </row>
    <row r="142" spans="1:74" ht="13.5" customHeight="1" x14ac:dyDescent="0.3">
      <c r="A142" s="241"/>
      <c r="B142" s="242" t="s">
        <v>165</v>
      </c>
      <c r="C142" s="530" t="s">
        <v>600</v>
      </c>
      <c r="D142" s="531"/>
      <c r="E142" s="531"/>
      <c r="F142" s="531"/>
      <c r="G142" s="531"/>
      <c r="H142" s="531"/>
      <c r="I142" s="531"/>
      <c r="J142" s="531"/>
      <c r="K142" s="531"/>
      <c r="L142" s="531"/>
      <c r="M142" s="532"/>
    </row>
    <row r="143" spans="1:74" ht="14.4" x14ac:dyDescent="0.3">
      <c r="A143" s="239" t="s">
        <v>344</v>
      </c>
      <c r="B143" s="223" t="s">
        <v>608</v>
      </c>
      <c r="C143" s="521" t="s">
        <v>609</v>
      </c>
      <c r="D143" s="519"/>
      <c r="E143" s="223" t="s">
        <v>365</v>
      </c>
      <c r="F143" s="233">
        <v>1</v>
      </c>
      <c r="G143" s="311">
        <v>0</v>
      </c>
      <c r="H143" s="233">
        <f>F143*AM143</f>
        <v>0</v>
      </c>
      <c r="I143" s="233">
        <f>F143*AN143</f>
        <v>0</v>
      </c>
      <c r="J143" s="233">
        <f>F143*G143</f>
        <v>0</v>
      </c>
      <c r="K143" s="233">
        <v>0</v>
      </c>
      <c r="L143" s="233">
        <f>F143*K143</f>
        <v>0</v>
      </c>
      <c r="M143" s="240" t="s">
        <v>472</v>
      </c>
      <c r="X143" s="233">
        <f>IF(AO143="5",BH143,0)</f>
        <v>0</v>
      </c>
      <c r="Z143" s="233">
        <f>IF(AO143="1",BF143,0)</f>
        <v>0</v>
      </c>
      <c r="AA143" s="233">
        <f>IF(AO143="1",BG143,0)</f>
        <v>0</v>
      </c>
      <c r="AB143" s="233">
        <f>IF(AO143="7",BF143,0)</f>
        <v>0</v>
      </c>
      <c r="AC143" s="233">
        <f>IF(AO143="7",BG143,0)</f>
        <v>0</v>
      </c>
      <c r="AD143" s="233">
        <f>IF(AO143="2",BF143,0)</f>
        <v>0</v>
      </c>
      <c r="AE143" s="233">
        <f>IF(AO143="2",BG143,0)</f>
        <v>0</v>
      </c>
      <c r="AF143" s="233">
        <f>IF(AO143="0",BH143,0)</f>
        <v>0</v>
      </c>
      <c r="AG143" s="229" t="s">
        <v>154</v>
      </c>
      <c r="AH143" s="233">
        <f>IF(AL143=0,J143,0)</f>
        <v>0</v>
      </c>
      <c r="AI143" s="233">
        <f>IF(AL143=15,J143,0)</f>
        <v>0</v>
      </c>
      <c r="AJ143" s="233">
        <f>IF(AL143=21,J143,0)</f>
        <v>0</v>
      </c>
      <c r="AL143" s="233">
        <v>21</v>
      </c>
      <c r="AM143" s="233">
        <f>G143*0</f>
        <v>0</v>
      </c>
      <c r="AN143" s="233">
        <f>G143*(1-0)</f>
        <v>0</v>
      </c>
      <c r="AO143" s="234" t="s">
        <v>157</v>
      </c>
      <c r="AT143" s="233">
        <f>AU143+AV143</f>
        <v>0</v>
      </c>
      <c r="AU143" s="233">
        <f>F143*AM143</f>
        <v>0</v>
      </c>
      <c r="AV143" s="233">
        <f>F143*AN143</f>
        <v>0</v>
      </c>
      <c r="AW143" s="234" t="s">
        <v>366</v>
      </c>
      <c r="AX143" s="234" t="s">
        <v>356</v>
      </c>
      <c r="AY143" s="229" t="s">
        <v>164</v>
      </c>
      <c r="BA143" s="233">
        <f>AU143+AV143</f>
        <v>0</v>
      </c>
      <c r="BB143" s="233">
        <f>G143/(100-BC143)*100</f>
        <v>0</v>
      </c>
      <c r="BC143" s="233">
        <v>0</v>
      </c>
      <c r="BD143" s="233">
        <f>L143</f>
        <v>0</v>
      </c>
      <c r="BF143" s="233">
        <f>F143*AM143</f>
        <v>0</v>
      </c>
      <c r="BG143" s="233">
        <f>F143*AN143</f>
        <v>0</v>
      </c>
      <c r="BH143" s="233">
        <f>F143*G143</f>
        <v>0</v>
      </c>
      <c r="BI143" s="233"/>
      <c r="BJ143" s="233">
        <v>89</v>
      </c>
      <c r="BU143" s="233" t="e">
        <f>#REF!</f>
        <v>#REF!</v>
      </c>
      <c r="BV143" s="225" t="s">
        <v>609</v>
      </c>
    </row>
    <row r="144" spans="1:74" ht="13.5" customHeight="1" x14ac:dyDescent="0.3">
      <c r="A144" s="241"/>
      <c r="B144" s="242" t="s">
        <v>165</v>
      </c>
      <c r="C144" s="530" t="s">
        <v>610</v>
      </c>
      <c r="D144" s="531"/>
      <c r="E144" s="531"/>
      <c r="F144" s="531"/>
      <c r="G144" s="531"/>
      <c r="H144" s="531"/>
      <c r="I144" s="531"/>
      <c r="J144" s="531"/>
      <c r="K144" s="531"/>
      <c r="L144" s="531"/>
      <c r="M144" s="532"/>
    </row>
    <row r="145" spans="1:74" ht="14.4" x14ac:dyDescent="0.3">
      <c r="A145" s="239" t="s">
        <v>390</v>
      </c>
      <c r="B145" s="223" t="s">
        <v>611</v>
      </c>
      <c r="C145" s="521" t="s">
        <v>612</v>
      </c>
      <c r="D145" s="519"/>
      <c r="E145" s="223" t="s">
        <v>365</v>
      </c>
      <c r="F145" s="233">
        <v>1</v>
      </c>
      <c r="G145" s="311">
        <v>0</v>
      </c>
      <c r="H145" s="233">
        <f>F145*AM145</f>
        <v>0</v>
      </c>
      <c r="I145" s="233">
        <f>F145*AN145</f>
        <v>0</v>
      </c>
      <c r="J145" s="233">
        <f>F145*G145</f>
        <v>0</v>
      </c>
      <c r="K145" s="233">
        <v>2.0000000000000002E-5</v>
      </c>
      <c r="L145" s="233">
        <f>F145*K145</f>
        <v>2.0000000000000002E-5</v>
      </c>
      <c r="M145" s="240" t="s">
        <v>472</v>
      </c>
      <c r="X145" s="233">
        <f>IF(AO145="5",BH145,0)</f>
        <v>0</v>
      </c>
      <c r="Z145" s="233">
        <f>IF(AO145="1",BF145,0)</f>
        <v>0</v>
      </c>
      <c r="AA145" s="233">
        <f>IF(AO145="1",BG145,0)</f>
        <v>0</v>
      </c>
      <c r="AB145" s="233">
        <f>IF(AO145="7",BF145,0)</f>
        <v>0</v>
      </c>
      <c r="AC145" s="233">
        <f>IF(AO145="7",BG145,0)</f>
        <v>0</v>
      </c>
      <c r="AD145" s="233">
        <f>IF(AO145="2",BF145,0)</f>
        <v>0</v>
      </c>
      <c r="AE145" s="233">
        <f>IF(AO145="2",BG145,0)</f>
        <v>0</v>
      </c>
      <c r="AF145" s="233">
        <f>IF(AO145="0",BH145,0)</f>
        <v>0</v>
      </c>
      <c r="AG145" s="229" t="s">
        <v>154</v>
      </c>
      <c r="AH145" s="233">
        <f>IF(AL145=0,J145,0)</f>
        <v>0</v>
      </c>
      <c r="AI145" s="233">
        <f>IF(AL145=15,J145,0)</f>
        <v>0</v>
      </c>
      <c r="AJ145" s="233">
        <f>IF(AL145=21,J145,0)</f>
        <v>0</v>
      </c>
      <c r="AL145" s="233">
        <v>21</v>
      </c>
      <c r="AM145" s="233">
        <f>G145*0.019909502</f>
        <v>0</v>
      </c>
      <c r="AN145" s="233">
        <f>G145*(1-0.019909502)</f>
        <v>0</v>
      </c>
      <c r="AO145" s="234" t="s">
        <v>157</v>
      </c>
      <c r="AT145" s="233">
        <f>AU145+AV145</f>
        <v>0</v>
      </c>
      <c r="AU145" s="233">
        <f>F145*AM145</f>
        <v>0</v>
      </c>
      <c r="AV145" s="233">
        <f>F145*AN145</f>
        <v>0</v>
      </c>
      <c r="AW145" s="234" t="s">
        <v>366</v>
      </c>
      <c r="AX145" s="234" t="s">
        <v>356</v>
      </c>
      <c r="AY145" s="229" t="s">
        <v>164</v>
      </c>
      <c r="BA145" s="233">
        <f>AU145+AV145</f>
        <v>0</v>
      </c>
      <c r="BB145" s="233">
        <f>G145/(100-BC145)*100</f>
        <v>0</v>
      </c>
      <c r="BC145" s="233">
        <v>0</v>
      </c>
      <c r="BD145" s="233">
        <f>L145</f>
        <v>2.0000000000000002E-5</v>
      </c>
      <c r="BF145" s="233">
        <f>F145*AM145</f>
        <v>0</v>
      </c>
      <c r="BG145" s="233">
        <f>F145*AN145</f>
        <v>0</v>
      </c>
      <c r="BH145" s="233">
        <f>F145*G145</f>
        <v>0</v>
      </c>
      <c r="BI145" s="233"/>
      <c r="BJ145" s="233">
        <v>89</v>
      </c>
      <c r="BU145" s="233" t="e">
        <f>#REF!</f>
        <v>#REF!</v>
      </c>
      <c r="BV145" s="225" t="s">
        <v>612</v>
      </c>
    </row>
    <row r="146" spans="1:74" ht="13.5" customHeight="1" x14ac:dyDescent="0.3">
      <c r="A146" s="241"/>
      <c r="B146" s="242" t="s">
        <v>165</v>
      </c>
      <c r="C146" s="530" t="s">
        <v>596</v>
      </c>
      <c r="D146" s="531"/>
      <c r="E146" s="531"/>
      <c r="F146" s="531"/>
      <c r="G146" s="531"/>
      <c r="H146" s="531"/>
      <c r="I146" s="531"/>
      <c r="J146" s="531"/>
      <c r="K146" s="531"/>
      <c r="L146" s="531"/>
      <c r="M146" s="532"/>
    </row>
    <row r="147" spans="1:74" ht="14.4" x14ac:dyDescent="0.3">
      <c r="A147" s="239" t="s">
        <v>393</v>
      </c>
      <c r="B147" s="223" t="s">
        <v>567</v>
      </c>
      <c r="C147" s="521" t="s">
        <v>568</v>
      </c>
      <c r="D147" s="519"/>
      <c r="E147" s="223" t="s">
        <v>365</v>
      </c>
      <c r="F147" s="233">
        <v>1</v>
      </c>
      <c r="G147" s="311">
        <v>0</v>
      </c>
      <c r="H147" s="233">
        <f>F147*AM147</f>
        <v>0</v>
      </c>
      <c r="I147" s="233">
        <f>F147*AN147</f>
        <v>0</v>
      </c>
      <c r="J147" s="233">
        <f>F147*G147</f>
        <v>0</v>
      </c>
      <c r="K147" s="233">
        <v>0.12303</v>
      </c>
      <c r="L147" s="233">
        <f>F147*K147</f>
        <v>0.12303</v>
      </c>
      <c r="M147" s="240" t="s">
        <v>472</v>
      </c>
      <c r="X147" s="233">
        <f>IF(AO147="5",BH147,0)</f>
        <v>0</v>
      </c>
      <c r="Z147" s="233">
        <f>IF(AO147="1",BF147,0)</f>
        <v>0</v>
      </c>
      <c r="AA147" s="233">
        <f>IF(AO147="1",BG147,0)</f>
        <v>0</v>
      </c>
      <c r="AB147" s="233">
        <f>IF(AO147="7",BF147,0)</f>
        <v>0</v>
      </c>
      <c r="AC147" s="233">
        <f>IF(AO147="7",BG147,0)</f>
        <v>0</v>
      </c>
      <c r="AD147" s="233">
        <f>IF(AO147="2",BF147,0)</f>
        <v>0</v>
      </c>
      <c r="AE147" s="233">
        <f>IF(AO147="2",BG147,0)</f>
        <v>0</v>
      </c>
      <c r="AF147" s="233">
        <f>IF(AO147="0",BH147,0)</f>
        <v>0</v>
      </c>
      <c r="AG147" s="229" t="s">
        <v>154</v>
      </c>
      <c r="AH147" s="233">
        <f>IF(AL147=0,J147,0)</f>
        <v>0</v>
      </c>
      <c r="AI147" s="233">
        <f>IF(AL147=15,J147,0)</f>
        <v>0</v>
      </c>
      <c r="AJ147" s="233">
        <f>IF(AL147=21,J147,0)</f>
        <v>0</v>
      </c>
      <c r="AL147" s="233">
        <v>21</v>
      </c>
      <c r="AM147" s="233">
        <f>G147*0.428929987</f>
        <v>0</v>
      </c>
      <c r="AN147" s="233">
        <f>G147*(1-0.428929987)</f>
        <v>0</v>
      </c>
      <c r="AO147" s="234" t="s">
        <v>157</v>
      </c>
      <c r="AT147" s="233">
        <f>AU147+AV147</f>
        <v>0</v>
      </c>
      <c r="AU147" s="233">
        <f>F147*AM147</f>
        <v>0</v>
      </c>
      <c r="AV147" s="233">
        <f>F147*AN147</f>
        <v>0</v>
      </c>
      <c r="AW147" s="234" t="s">
        <v>366</v>
      </c>
      <c r="AX147" s="234" t="s">
        <v>356</v>
      </c>
      <c r="AY147" s="229" t="s">
        <v>164</v>
      </c>
      <c r="BA147" s="233">
        <f>AU147+AV147</f>
        <v>0</v>
      </c>
      <c r="BB147" s="233">
        <f>G147/(100-BC147)*100</f>
        <v>0</v>
      </c>
      <c r="BC147" s="233">
        <v>0</v>
      </c>
      <c r="BD147" s="233">
        <f>L147</f>
        <v>0.12303</v>
      </c>
      <c r="BF147" s="233">
        <f>F147*AM147</f>
        <v>0</v>
      </c>
      <c r="BG147" s="233">
        <f>F147*AN147</f>
        <v>0</v>
      </c>
      <c r="BH147" s="233">
        <f>F147*G147</f>
        <v>0</v>
      </c>
      <c r="BI147" s="233"/>
      <c r="BJ147" s="233">
        <v>89</v>
      </c>
      <c r="BU147" s="233" t="e">
        <f>#REF!</f>
        <v>#REF!</v>
      </c>
      <c r="BV147" s="225" t="s">
        <v>568</v>
      </c>
    </row>
    <row r="148" spans="1:74" ht="13.5" customHeight="1" x14ac:dyDescent="0.3">
      <c r="A148" s="241"/>
      <c r="B148" s="242" t="s">
        <v>165</v>
      </c>
      <c r="C148" s="530" t="s">
        <v>614</v>
      </c>
      <c r="D148" s="531"/>
      <c r="E148" s="531"/>
      <c r="F148" s="531"/>
      <c r="G148" s="531"/>
      <c r="H148" s="531"/>
      <c r="I148" s="531"/>
      <c r="J148" s="531"/>
      <c r="K148" s="531"/>
      <c r="L148" s="531"/>
      <c r="M148" s="532"/>
    </row>
    <row r="149" spans="1:74" ht="14.4" x14ac:dyDescent="0.3">
      <c r="A149" s="239" t="s">
        <v>154</v>
      </c>
      <c r="B149" s="224" t="s">
        <v>376</v>
      </c>
      <c r="C149" s="526" t="s">
        <v>377</v>
      </c>
      <c r="D149" s="527"/>
      <c r="E149" s="223" t="s">
        <v>114</v>
      </c>
      <c r="F149" s="223" t="s">
        <v>114</v>
      </c>
      <c r="G149" s="223" t="s">
        <v>114</v>
      </c>
      <c r="H149" s="235">
        <f>SUM(H150:H150)</f>
        <v>0</v>
      </c>
      <c r="I149" s="235">
        <f>SUM(I150:I150)</f>
        <v>0</v>
      </c>
      <c r="J149" s="235">
        <f>SUM(J150:J150)</f>
        <v>0</v>
      </c>
      <c r="K149" s="230" t="s">
        <v>154</v>
      </c>
      <c r="L149" s="235">
        <f>SUM(L150:L150)</f>
        <v>0</v>
      </c>
      <c r="M149" s="243" t="s">
        <v>154</v>
      </c>
      <c r="AG149" s="229" t="s">
        <v>154</v>
      </c>
      <c r="AQ149" s="222">
        <f>SUM(AH150:AH150)</f>
        <v>0</v>
      </c>
      <c r="AR149" s="222">
        <f>SUM(AI150:AI150)</f>
        <v>0</v>
      </c>
      <c r="AS149" s="222">
        <f>SUM(AJ150:AJ150)</f>
        <v>0</v>
      </c>
    </row>
    <row r="150" spans="1:74" ht="14.4" x14ac:dyDescent="0.3">
      <c r="A150" s="239" t="s">
        <v>396</v>
      </c>
      <c r="B150" s="223" t="s">
        <v>378</v>
      </c>
      <c r="C150" s="521" t="s">
        <v>379</v>
      </c>
      <c r="D150" s="519"/>
      <c r="E150" s="223" t="s">
        <v>380</v>
      </c>
      <c r="F150" s="233">
        <v>58.37</v>
      </c>
      <c r="G150" s="311">
        <v>0</v>
      </c>
      <c r="H150" s="233">
        <f>F150*AM150</f>
        <v>0</v>
      </c>
      <c r="I150" s="233">
        <f>F150*AN150</f>
        <v>0</v>
      </c>
      <c r="J150" s="233">
        <f>F150*G150</f>
        <v>0</v>
      </c>
      <c r="K150" s="233">
        <v>0</v>
      </c>
      <c r="L150" s="233">
        <f>F150*K150</f>
        <v>0</v>
      </c>
      <c r="M150" s="240" t="s">
        <v>472</v>
      </c>
      <c r="X150" s="233">
        <f>IF(AO150="5",BH150,0)</f>
        <v>0</v>
      </c>
      <c r="Z150" s="233">
        <f>IF(AO150="1",BF150,0)</f>
        <v>0</v>
      </c>
      <c r="AA150" s="233">
        <f>IF(AO150="1",BG150,0)</f>
        <v>0</v>
      </c>
      <c r="AB150" s="233">
        <f>IF(AO150="7",BF150,0)</f>
        <v>0</v>
      </c>
      <c r="AC150" s="233">
        <f>IF(AO150="7",BG150,0)</f>
        <v>0</v>
      </c>
      <c r="AD150" s="233">
        <f>IF(AO150="2",BF150,0)</f>
        <v>0</v>
      </c>
      <c r="AE150" s="233">
        <f>IF(AO150="2",BG150,0)</f>
        <v>0</v>
      </c>
      <c r="AF150" s="233">
        <f>IF(AO150="0",BH150,0)</f>
        <v>0</v>
      </c>
      <c r="AG150" s="229" t="s">
        <v>154</v>
      </c>
      <c r="AH150" s="233">
        <f>IF(AL150=0,J150,0)</f>
        <v>0</v>
      </c>
      <c r="AI150" s="233">
        <f>IF(AL150=15,J150,0)</f>
        <v>0</v>
      </c>
      <c r="AJ150" s="233">
        <f>IF(AL150=21,J150,0)</f>
        <v>0</v>
      </c>
      <c r="AL150" s="233">
        <v>21</v>
      </c>
      <c r="AM150" s="233">
        <f>G150*0</f>
        <v>0</v>
      </c>
      <c r="AN150" s="233">
        <f>G150*(1-0)</f>
        <v>0</v>
      </c>
      <c r="AO150" s="234" t="s">
        <v>157</v>
      </c>
      <c r="AT150" s="233">
        <f>AU150+AV150</f>
        <v>0</v>
      </c>
      <c r="AU150" s="233">
        <f>F150*AM150</f>
        <v>0</v>
      </c>
      <c r="AV150" s="233">
        <f>F150*AN150</f>
        <v>0</v>
      </c>
      <c r="AW150" s="234" t="s">
        <v>381</v>
      </c>
      <c r="AX150" s="234" t="s">
        <v>375</v>
      </c>
      <c r="AY150" s="229" t="s">
        <v>164</v>
      </c>
      <c r="BA150" s="233">
        <f>AU150+AV150</f>
        <v>0</v>
      </c>
      <c r="BB150" s="233">
        <f>G150/(100-BC150)*100</f>
        <v>0</v>
      </c>
      <c r="BC150" s="233">
        <v>0</v>
      </c>
      <c r="BD150" s="233">
        <f>L150</f>
        <v>0</v>
      </c>
      <c r="BF150" s="233">
        <f>F150*AM150</f>
        <v>0</v>
      </c>
      <c r="BG150" s="233">
        <f>F150*AN150</f>
        <v>0</v>
      </c>
      <c r="BH150" s="233">
        <f>F150*G150</f>
        <v>0</v>
      </c>
      <c r="BI150" s="233"/>
      <c r="BJ150" s="233">
        <v>97</v>
      </c>
      <c r="BU150" s="233" t="e">
        <f>#REF!</f>
        <v>#REF!</v>
      </c>
      <c r="BV150" s="225" t="s">
        <v>379</v>
      </c>
    </row>
    <row r="151" spans="1:74" ht="27" customHeight="1" x14ac:dyDescent="0.3">
      <c r="A151" s="244"/>
      <c r="B151" s="245" t="s">
        <v>165</v>
      </c>
      <c r="C151" s="540" t="s">
        <v>1527</v>
      </c>
      <c r="D151" s="541"/>
      <c r="E151" s="541"/>
      <c r="F151" s="541"/>
      <c r="G151" s="541"/>
      <c r="H151" s="541"/>
      <c r="I151" s="541"/>
      <c r="J151" s="541"/>
      <c r="K151" s="541"/>
      <c r="L151" s="541"/>
      <c r="M151" s="542"/>
    </row>
    <row r="152" spans="1:74" ht="14.4" x14ac:dyDescent="0.3">
      <c r="A152" s="237" t="s">
        <v>154</v>
      </c>
      <c r="B152" s="260" t="s">
        <v>382</v>
      </c>
      <c r="C152" s="545" t="s">
        <v>383</v>
      </c>
      <c r="D152" s="546"/>
      <c r="E152" s="238" t="s">
        <v>114</v>
      </c>
      <c r="F152" s="238" t="s">
        <v>114</v>
      </c>
      <c r="G152" s="238" t="s">
        <v>114</v>
      </c>
      <c r="H152" s="261">
        <f>SUM(H153:H158)</f>
        <v>0</v>
      </c>
      <c r="I152" s="261">
        <f>SUM(I153:I158)</f>
        <v>0</v>
      </c>
      <c r="J152" s="261">
        <f>SUM(J153:J158)</f>
        <v>0</v>
      </c>
      <c r="K152" s="262" t="s">
        <v>154</v>
      </c>
      <c r="L152" s="261">
        <f>SUM(L153:L158)</f>
        <v>0</v>
      </c>
      <c r="M152" s="263" t="s">
        <v>154</v>
      </c>
      <c r="AG152" s="229" t="s">
        <v>154</v>
      </c>
      <c r="AQ152" s="222">
        <f>SUM(AH153:AH158)</f>
        <v>0</v>
      </c>
      <c r="AR152" s="222">
        <f>SUM(AI153:AI158)</f>
        <v>0</v>
      </c>
      <c r="AS152" s="222">
        <f>SUM(AJ153:AJ158)</f>
        <v>0</v>
      </c>
    </row>
    <row r="153" spans="1:74" ht="14.4" x14ac:dyDescent="0.3">
      <c r="A153" s="239" t="s">
        <v>401</v>
      </c>
      <c r="B153" s="223" t="s">
        <v>385</v>
      </c>
      <c r="C153" s="521" t="s">
        <v>386</v>
      </c>
      <c r="D153" s="519"/>
      <c r="E153" s="223" t="s">
        <v>380</v>
      </c>
      <c r="F153" s="233">
        <v>77.83</v>
      </c>
      <c r="G153" s="311">
        <v>0</v>
      </c>
      <c r="H153" s="233">
        <f>F153*AM153</f>
        <v>0</v>
      </c>
      <c r="I153" s="233">
        <f>F153*AN153</f>
        <v>0</v>
      </c>
      <c r="J153" s="233">
        <f>F153*G153</f>
        <v>0</v>
      </c>
      <c r="K153" s="233">
        <v>0</v>
      </c>
      <c r="L153" s="233">
        <f>F153*K153</f>
        <v>0</v>
      </c>
      <c r="M153" s="240" t="s">
        <v>472</v>
      </c>
      <c r="X153" s="233">
        <f>IF(AO153="5",BH153,0)</f>
        <v>0</v>
      </c>
      <c r="Z153" s="233">
        <f>IF(AO153="1",BF153,0)</f>
        <v>0</v>
      </c>
      <c r="AA153" s="233">
        <f>IF(AO153="1",BG153,0)</f>
        <v>0</v>
      </c>
      <c r="AB153" s="233">
        <f>IF(AO153="7",BF153,0)</f>
        <v>0</v>
      </c>
      <c r="AC153" s="233">
        <f>IF(AO153="7",BG153,0)</f>
        <v>0</v>
      </c>
      <c r="AD153" s="233">
        <f>IF(AO153="2",BF153,0)</f>
        <v>0</v>
      </c>
      <c r="AE153" s="233">
        <f>IF(AO153="2",BG153,0)</f>
        <v>0</v>
      </c>
      <c r="AF153" s="233">
        <f>IF(AO153="0",BH153,0)</f>
        <v>0</v>
      </c>
      <c r="AG153" s="229" t="s">
        <v>154</v>
      </c>
      <c r="AH153" s="233">
        <f>IF(AL153=0,J153,0)</f>
        <v>0</v>
      </c>
      <c r="AI153" s="233">
        <f>IF(AL153=15,J153,0)</f>
        <v>0</v>
      </c>
      <c r="AJ153" s="233">
        <f>IF(AL153=21,J153,0)</f>
        <v>0</v>
      </c>
      <c r="AL153" s="233">
        <v>21</v>
      </c>
      <c r="AM153" s="233">
        <f>G153*0</f>
        <v>0</v>
      </c>
      <c r="AN153" s="233">
        <f>G153*(1-0)</f>
        <v>0</v>
      </c>
      <c r="AO153" s="234" t="s">
        <v>177</v>
      </c>
      <c r="AT153" s="233">
        <f>AU153+AV153</f>
        <v>0</v>
      </c>
      <c r="AU153" s="233">
        <f>F153*AM153</f>
        <v>0</v>
      </c>
      <c r="AV153" s="233">
        <f>F153*AN153</f>
        <v>0</v>
      </c>
      <c r="AW153" s="234" t="s">
        <v>387</v>
      </c>
      <c r="AX153" s="234" t="s">
        <v>375</v>
      </c>
      <c r="AY153" s="229" t="s">
        <v>164</v>
      </c>
      <c r="BA153" s="233">
        <f>AU153+AV153</f>
        <v>0</v>
      </c>
      <c r="BB153" s="233">
        <f>G153/(100-BC153)*100</f>
        <v>0</v>
      </c>
      <c r="BC153" s="233">
        <v>0</v>
      </c>
      <c r="BD153" s="233">
        <f>L153</f>
        <v>0</v>
      </c>
      <c r="BF153" s="233">
        <f>F153*AM153</f>
        <v>0</v>
      </c>
      <c r="BG153" s="233">
        <f>F153*AN153</f>
        <v>0</v>
      </c>
      <c r="BH153" s="233">
        <f>F153*G153</f>
        <v>0</v>
      </c>
      <c r="BI153" s="233"/>
      <c r="BJ153" s="233"/>
      <c r="BU153" s="233" t="e">
        <f>#REF!</f>
        <v>#REF!</v>
      </c>
      <c r="BV153" s="225" t="s">
        <v>386</v>
      </c>
    </row>
    <row r="154" spans="1:74" ht="14.4" x14ac:dyDescent="0.3">
      <c r="A154" s="239" t="s">
        <v>405</v>
      </c>
      <c r="B154" s="223" t="s">
        <v>388</v>
      </c>
      <c r="C154" s="521" t="s">
        <v>389</v>
      </c>
      <c r="D154" s="519"/>
      <c r="E154" s="223" t="s">
        <v>380</v>
      </c>
      <c r="F154" s="233">
        <v>1342.57</v>
      </c>
      <c r="G154" s="311">
        <v>0</v>
      </c>
      <c r="H154" s="233">
        <f>F154*AM154</f>
        <v>0</v>
      </c>
      <c r="I154" s="233">
        <f>F154*AN154</f>
        <v>0</v>
      </c>
      <c r="J154" s="233">
        <f>F154*G154</f>
        <v>0</v>
      </c>
      <c r="K154" s="233">
        <v>0</v>
      </c>
      <c r="L154" s="233">
        <f>F154*K154</f>
        <v>0</v>
      </c>
      <c r="M154" s="240" t="s">
        <v>472</v>
      </c>
      <c r="X154" s="233">
        <f>IF(AO154="5",BH154,0)</f>
        <v>0</v>
      </c>
      <c r="Z154" s="233">
        <f>IF(AO154="1",BF154,0)</f>
        <v>0</v>
      </c>
      <c r="AA154" s="233">
        <f>IF(AO154="1",BG154,0)</f>
        <v>0</v>
      </c>
      <c r="AB154" s="233">
        <f>IF(AO154="7",BF154,0)</f>
        <v>0</v>
      </c>
      <c r="AC154" s="233">
        <f>IF(AO154="7",BG154,0)</f>
        <v>0</v>
      </c>
      <c r="AD154" s="233">
        <f>IF(AO154="2",BF154,0)</f>
        <v>0</v>
      </c>
      <c r="AE154" s="233">
        <f>IF(AO154="2",BG154,0)</f>
        <v>0</v>
      </c>
      <c r="AF154" s="233">
        <f>IF(AO154="0",BH154,0)</f>
        <v>0</v>
      </c>
      <c r="AG154" s="229" t="s">
        <v>154</v>
      </c>
      <c r="AH154" s="233">
        <f>IF(AL154=0,J154,0)</f>
        <v>0</v>
      </c>
      <c r="AI154" s="233">
        <f>IF(AL154=15,J154,0)</f>
        <v>0</v>
      </c>
      <c r="AJ154" s="233">
        <f>IF(AL154=21,J154,0)</f>
        <v>0</v>
      </c>
      <c r="AL154" s="233">
        <v>21</v>
      </c>
      <c r="AM154" s="233">
        <f>G154*0</f>
        <v>0</v>
      </c>
      <c r="AN154" s="233">
        <f>G154*(1-0)</f>
        <v>0</v>
      </c>
      <c r="AO154" s="234" t="s">
        <v>177</v>
      </c>
      <c r="AT154" s="233">
        <f>AU154+AV154</f>
        <v>0</v>
      </c>
      <c r="AU154" s="233">
        <f>F154*AM154</f>
        <v>0</v>
      </c>
      <c r="AV154" s="233">
        <f>F154*AN154</f>
        <v>0</v>
      </c>
      <c r="AW154" s="234" t="s">
        <v>387</v>
      </c>
      <c r="AX154" s="234" t="s">
        <v>375</v>
      </c>
      <c r="AY154" s="229" t="s">
        <v>164</v>
      </c>
      <c r="BA154" s="233">
        <f>AU154+AV154</f>
        <v>0</v>
      </c>
      <c r="BB154" s="233">
        <f>G154/(100-BC154)*100</f>
        <v>0</v>
      </c>
      <c r="BC154" s="233">
        <v>0</v>
      </c>
      <c r="BD154" s="233">
        <f>L154</f>
        <v>0</v>
      </c>
      <c r="BF154" s="233">
        <f>F154*AM154</f>
        <v>0</v>
      </c>
      <c r="BG154" s="233">
        <f>F154*AN154</f>
        <v>0</v>
      </c>
      <c r="BH154" s="233">
        <f>F154*G154</f>
        <v>0</v>
      </c>
      <c r="BI154" s="233"/>
      <c r="BJ154" s="233"/>
      <c r="BU154" s="233" t="e">
        <f>#REF!</f>
        <v>#REF!</v>
      </c>
      <c r="BV154" s="225" t="s">
        <v>389</v>
      </c>
    </row>
    <row r="155" spans="1:74" ht="40.5" customHeight="1" x14ac:dyDescent="0.3">
      <c r="A155" s="241"/>
      <c r="B155" s="242" t="s">
        <v>165</v>
      </c>
      <c r="C155" s="530" t="s">
        <v>1528</v>
      </c>
      <c r="D155" s="531"/>
      <c r="E155" s="531"/>
      <c r="F155" s="531"/>
      <c r="G155" s="531"/>
      <c r="H155" s="531"/>
      <c r="I155" s="531"/>
      <c r="J155" s="531"/>
      <c r="K155" s="531"/>
      <c r="L155" s="531"/>
      <c r="M155" s="532"/>
    </row>
    <row r="156" spans="1:74" ht="14.4" x14ac:dyDescent="0.3">
      <c r="A156" s="239" t="s">
        <v>408</v>
      </c>
      <c r="B156" s="223" t="s">
        <v>391</v>
      </c>
      <c r="C156" s="521" t="s">
        <v>392</v>
      </c>
      <c r="D156" s="519"/>
      <c r="E156" s="223" t="s">
        <v>380</v>
      </c>
      <c r="F156" s="233">
        <v>19.46</v>
      </c>
      <c r="G156" s="311">
        <v>0</v>
      </c>
      <c r="H156" s="233">
        <f>F156*AM156</f>
        <v>0</v>
      </c>
      <c r="I156" s="233">
        <f>F156*AN156</f>
        <v>0</v>
      </c>
      <c r="J156" s="233">
        <f>F156*G156</f>
        <v>0</v>
      </c>
      <c r="K156" s="233">
        <v>0</v>
      </c>
      <c r="L156" s="233">
        <f>F156*K156</f>
        <v>0</v>
      </c>
      <c r="M156" s="240" t="s">
        <v>472</v>
      </c>
      <c r="X156" s="233">
        <f>IF(AO156="5",BH156,0)</f>
        <v>0</v>
      </c>
      <c r="Z156" s="233">
        <f>IF(AO156="1",BF156,0)</f>
        <v>0</v>
      </c>
      <c r="AA156" s="233">
        <f>IF(AO156="1",BG156,0)</f>
        <v>0</v>
      </c>
      <c r="AB156" s="233">
        <f>IF(AO156="7",BF156,0)</f>
        <v>0</v>
      </c>
      <c r="AC156" s="233">
        <f>IF(AO156="7",BG156,0)</f>
        <v>0</v>
      </c>
      <c r="AD156" s="233">
        <f>IF(AO156="2",BF156,0)</f>
        <v>0</v>
      </c>
      <c r="AE156" s="233">
        <f>IF(AO156="2",BG156,0)</f>
        <v>0</v>
      </c>
      <c r="AF156" s="233">
        <f>IF(AO156="0",BH156,0)</f>
        <v>0</v>
      </c>
      <c r="AG156" s="229" t="s">
        <v>154</v>
      </c>
      <c r="AH156" s="233">
        <f>IF(AL156=0,J156,0)</f>
        <v>0</v>
      </c>
      <c r="AI156" s="233">
        <f>IF(AL156=15,J156,0)</f>
        <v>0</v>
      </c>
      <c r="AJ156" s="233">
        <f>IF(AL156=21,J156,0)</f>
        <v>0</v>
      </c>
      <c r="AL156" s="233">
        <v>21</v>
      </c>
      <c r="AM156" s="233">
        <f>G156*0</f>
        <v>0</v>
      </c>
      <c r="AN156" s="233">
        <f>G156*(1-0)</f>
        <v>0</v>
      </c>
      <c r="AO156" s="234" t="s">
        <v>177</v>
      </c>
      <c r="AT156" s="233">
        <f>AU156+AV156</f>
        <v>0</v>
      </c>
      <c r="AU156" s="233">
        <f>F156*AM156</f>
        <v>0</v>
      </c>
      <c r="AV156" s="233">
        <f>F156*AN156</f>
        <v>0</v>
      </c>
      <c r="AW156" s="234" t="s">
        <v>387</v>
      </c>
      <c r="AX156" s="234" t="s">
        <v>375</v>
      </c>
      <c r="AY156" s="229" t="s">
        <v>164</v>
      </c>
      <c r="BA156" s="233">
        <f>AU156+AV156</f>
        <v>0</v>
      </c>
      <c r="BB156" s="233">
        <f>G156/(100-BC156)*100</f>
        <v>0</v>
      </c>
      <c r="BC156" s="233">
        <v>0</v>
      </c>
      <c r="BD156" s="233">
        <f>L156</f>
        <v>0</v>
      </c>
      <c r="BF156" s="233">
        <f>F156*AM156</f>
        <v>0</v>
      </c>
      <c r="BG156" s="233">
        <f>F156*AN156</f>
        <v>0</v>
      </c>
      <c r="BH156" s="233">
        <f>F156*G156</f>
        <v>0</v>
      </c>
      <c r="BI156" s="233"/>
      <c r="BJ156" s="233"/>
      <c r="BU156" s="233" t="e">
        <f>#REF!</f>
        <v>#REF!</v>
      </c>
      <c r="BV156" s="225" t="s">
        <v>392</v>
      </c>
    </row>
    <row r="157" spans="1:74" ht="40.5" customHeight="1" x14ac:dyDescent="0.3">
      <c r="A157" s="241"/>
      <c r="B157" s="242" t="s">
        <v>165</v>
      </c>
      <c r="C157" s="530" t="s">
        <v>1529</v>
      </c>
      <c r="D157" s="531"/>
      <c r="E157" s="531"/>
      <c r="F157" s="531"/>
      <c r="G157" s="531"/>
      <c r="H157" s="531"/>
      <c r="I157" s="531"/>
      <c r="J157" s="531"/>
      <c r="K157" s="531"/>
      <c r="L157" s="531"/>
      <c r="M157" s="532"/>
    </row>
    <row r="158" spans="1:74" ht="26.4" x14ac:dyDescent="0.3">
      <c r="A158" s="239" t="s">
        <v>413</v>
      </c>
      <c r="B158" s="223" t="s">
        <v>385</v>
      </c>
      <c r="C158" s="521" t="s">
        <v>443</v>
      </c>
      <c r="D158" s="519"/>
      <c r="E158" s="223" t="s">
        <v>380</v>
      </c>
      <c r="F158" s="233">
        <v>142.99</v>
      </c>
      <c r="G158" s="311">
        <v>0</v>
      </c>
      <c r="H158" s="233">
        <f>F158*AM158</f>
        <v>0</v>
      </c>
      <c r="I158" s="233">
        <f>F158*AN158</f>
        <v>0</v>
      </c>
      <c r="J158" s="233">
        <f>F158*G158</f>
        <v>0</v>
      </c>
      <c r="K158" s="233">
        <v>0</v>
      </c>
      <c r="L158" s="233">
        <f>F158*K158</f>
        <v>0</v>
      </c>
      <c r="M158" s="240" t="s">
        <v>472</v>
      </c>
      <c r="X158" s="233">
        <f>IF(AO158="5",BH158,0)</f>
        <v>0</v>
      </c>
      <c r="Z158" s="233">
        <f>IF(AO158="1",BF158,0)</f>
        <v>0</v>
      </c>
      <c r="AA158" s="233">
        <f>IF(AO158="1",BG158,0)</f>
        <v>0</v>
      </c>
      <c r="AB158" s="233">
        <f>IF(AO158="7",BF158,0)</f>
        <v>0</v>
      </c>
      <c r="AC158" s="233">
        <f>IF(AO158="7",BG158,0)</f>
        <v>0</v>
      </c>
      <c r="AD158" s="233">
        <f>IF(AO158="2",BF158,0)</f>
        <v>0</v>
      </c>
      <c r="AE158" s="233">
        <f>IF(AO158="2",BG158,0)</f>
        <v>0</v>
      </c>
      <c r="AF158" s="233">
        <f>IF(AO158="0",BH158,0)</f>
        <v>0</v>
      </c>
      <c r="AG158" s="229" t="s">
        <v>154</v>
      </c>
      <c r="AH158" s="233">
        <f>IF(AL158=0,J158,0)</f>
        <v>0</v>
      </c>
      <c r="AI158" s="233">
        <f>IF(AL158=15,J158,0)</f>
        <v>0</v>
      </c>
      <c r="AJ158" s="233">
        <f>IF(AL158=21,J158,0)</f>
        <v>0</v>
      </c>
      <c r="AL158" s="233">
        <v>21</v>
      </c>
      <c r="AM158" s="233">
        <f>G158*0</f>
        <v>0</v>
      </c>
      <c r="AN158" s="233">
        <f>G158*(1-0)</f>
        <v>0</v>
      </c>
      <c r="AO158" s="234" t="s">
        <v>177</v>
      </c>
      <c r="AT158" s="233">
        <f>AU158+AV158</f>
        <v>0</v>
      </c>
      <c r="AU158" s="233">
        <f>F158*AM158</f>
        <v>0</v>
      </c>
      <c r="AV158" s="233">
        <f>F158*AN158</f>
        <v>0</v>
      </c>
      <c r="AW158" s="234" t="s">
        <v>387</v>
      </c>
      <c r="AX158" s="234" t="s">
        <v>375</v>
      </c>
      <c r="AY158" s="229" t="s">
        <v>164</v>
      </c>
      <c r="BA158" s="233">
        <f>AU158+AV158</f>
        <v>0</v>
      </c>
      <c r="BB158" s="233">
        <f>G158/(100-BC158)*100</f>
        <v>0</v>
      </c>
      <c r="BC158" s="233">
        <v>0</v>
      </c>
      <c r="BD158" s="233">
        <f>L158</f>
        <v>0</v>
      </c>
      <c r="BF158" s="233">
        <f>F158*AM158</f>
        <v>0</v>
      </c>
      <c r="BG158" s="233">
        <f>F158*AN158</f>
        <v>0</v>
      </c>
      <c r="BH158" s="233">
        <f>F158*G158</f>
        <v>0</v>
      </c>
      <c r="BI158" s="233"/>
      <c r="BJ158" s="233"/>
      <c r="BU158" s="233" t="e">
        <f>#REF!</f>
        <v>#REF!</v>
      </c>
      <c r="BV158" s="225" t="s">
        <v>443</v>
      </c>
    </row>
    <row r="159" spans="1:74" ht="14.4" x14ac:dyDescent="0.3">
      <c r="A159" s="239" t="s">
        <v>154</v>
      </c>
      <c r="B159" s="224" t="s">
        <v>399</v>
      </c>
      <c r="C159" s="526" t="s">
        <v>400</v>
      </c>
      <c r="D159" s="527"/>
      <c r="E159" s="223" t="s">
        <v>114</v>
      </c>
      <c r="F159" s="223" t="s">
        <v>114</v>
      </c>
      <c r="G159" s="223" t="s">
        <v>114</v>
      </c>
      <c r="H159" s="235">
        <f>SUM(H160:H161)</f>
        <v>0</v>
      </c>
      <c r="I159" s="235">
        <f>SUM(I160:I161)</f>
        <v>0</v>
      </c>
      <c r="J159" s="235">
        <f>SUM(J160:J161)</f>
        <v>0</v>
      </c>
      <c r="K159" s="230" t="s">
        <v>154</v>
      </c>
      <c r="L159" s="235">
        <f>SUM(L160:L161)</f>
        <v>0</v>
      </c>
      <c r="M159" s="243" t="s">
        <v>154</v>
      </c>
      <c r="AG159" s="229" t="s">
        <v>154</v>
      </c>
      <c r="AQ159" s="222">
        <f>SUM(AH160:AH161)</f>
        <v>0</v>
      </c>
      <c r="AR159" s="222">
        <f>SUM(AI160:AI161)</f>
        <v>0</v>
      </c>
      <c r="AS159" s="222">
        <f>SUM(AJ160:AJ161)</f>
        <v>0</v>
      </c>
    </row>
    <row r="160" spans="1:74" ht="14.4" x14ac:dyDescent="0.3">
      <c r="A160" s="239" t="s">
        <v>419</v>
      </c>
      <c r="B160" s="223" t="s">
        <v>402</v>
      </c>
      <c r="C160" s="521" t="s">
        <v>403</v>
      </c>
      <c r="D160" s="519"/>
      <c r="E160" s="223" t="s">
        <v>380</v>
      </c>
      <c r="F160" s="233">
        <v>0.18</v>
      </c>
      <c r="G160" s="311">
        <v>0</v>
      </c>
      <c r="H160" s="233">
        <f>F160*AM160</f>
        <v>0</v>
      </c>
      <c r="I160" s="233">
        <f>F160*AN160</f>
        <v>0</v>
      </c>
      <c r="J160" s="233">
        <f>F160*G160</f>
        <v>0</v>
      </c>
      <c r="K160" s="233">
        <v>0</v>
      </c>
      <c r="L160" s="233">
        <f>F160*K160</f>
        <v>0</v>
      </c>
      <c r="M160" s="240" t="s">
        <v>472</v>
      </c>
      <c r="X160" s="233">
        <f>IF(AO160="5",BH160,0)</f>
        <v>0</v>
      </c>
      <c r="Z160" s="233">
        <f>IF(AO160="1",BF160,0)</f>
        <v>0</v>
      </c>
      <c r="AA160" s="233">
        <f>IF(AO160="1",BG160,0)</f>
        <v>0</v>
      </c>
      <c r="AB160" s="233">
        <f>IF(AO160="7",BF160,0)</f>
        <v>0</v>
      </c>
      <c r="AC160" s="233">
        <f>IF(AO160="7",BG160,0)</f>
        <v>0</v>
      </c>
      <c r="AD160" s="233">
        <f>IF(AO160="2",BF160,0)</f>
        <v>0</v>
      </c>
      <c r="AE160" s="233">
        <f>IF(AO160="2",BG160,0)</f>
        <v>0</v>
      </c>
      <c r="AF160" s="233">
        <f>IF(AO160="0",BH160,0)</f>
        <v>0</v>
      </c>
      <c r="AG160" s="229" t="s">
        <v>154</v>
      </c>
      <c r="AH160" s="233">
        <f>IF(AL160=0,J160,0)</f>
        <v>0</v>
      </c>
      <c r="AI160" s="233">
        <f>IF(AL160=15,J160,0)</f>
        <v>0</v>
      </c>
      <c r="AJ160" s="233">
        <f>IF(AL160=21,J160,0)</f>
        <v>0</v>
      </c>
      <c r="AL160" s="233">
        <v>21</v>
      </c>
      <c r="AM160" s="233">
        <f>G160*0</f>
        <v>0</v>
      </c>
      <c r="AN160" s="233">
        <f>G160*(1-0)</f>
        <v>0</v>
      </c>
      <c r="AO160" s="234" t="s">
        <v>177</v>
      </c>
      <c r="AT160" s="233">
        <f>AU160+AV160</f>
        <v>0</v>
      </c>
      <c r="AU160" s="233">
        <f>F160*AM160</f>
        <v>0</v>
      </c>
      <c r="AV160" s="233">
        <f>F160*AN160</f>
        <v>0</v>
      </c>
      <c r="AW160" s="234" t="s">
        <v>404</v>
      </c>
      <c r="AX160" s="234" t="s">
        <v>375</v>
      </c>
      <c r="AY160" s="229" t="s">
        <v>164</v>
      </c>
      <c r="BA160" s="233">
        <f>AU160+AV160</f>
        <v>0</v>
      </c>
      <c r="BB160" s="233">
        <f>G160/(100-BC160)*100</f>
        <v>0</v>
      </c>
      <c r="BC160" s="233">
        <v>0</v>
      </c>
      <c r="BD160" s="233">
        <f>L160</f>
        <v>0</v>
      </c>
      <c r="BF160" s="233">
        <f>F160*AM160</f>
        <v>0</v>
      </c>
      <c r="BG160" s="233">
        <f>F160*AN160</f>
        <v>0</v>
      </c>
      <c r="BH160" s="233">
        <f>F160*G160</f>
        <v>0</v>
      </c>
      <c r="BI160" s="233"/>
      <c r="BJ160" s="233"/>
      <c r="BU160" s="233" t="e">
        <f>#REF!</f>
        <v>#REF!</v>
      </c>
      <c r="BV160" s="225" t="s">
        <v>403</v>
      </c>
    </row>
    <row r="161" spans="1:74" ht="14.4" x14ac:dyDescent="0.3">
      <c r="A161" s="239" t="s">
        <v>548</v>
      </c>
      <c r="B161" s="223" t="s">
        <v>406</v>
      </c>
      <c r="C161" s="521" t="s">
        <v>407</v>
      </c>
      <c r="D161" s="519"/>
      <c r="E161" s="223" t="s">
        <v>380</v>
      </c>
      <c r="F161" s="233">
        <v>44.17</v>
      </c>
      <c r="G161" s="311">
        <v>0</v>
      </c>
      <c r="H161" s="233">
        <f>F161*AM161</f>
        <v>0</v>
      </c>
      <c r="I161" s="233">
        <f>F161*AN161</f>
        <v>0</v>
      </c>
      <c r="J161" s="233">
        <f>F161*G161</f>
        <v>0</v>
      </c>
      <c r="K161" s="233">
        <v>0</v>
      </c>
      <c r="L161" s="233">
        <f>F161*K161</f>
        <v>0</v>
      </c>
      <c r="M161" s="240" t="s">
        <v>472</v>
      </c>
      <c r="X161" s="233">
        <f>IF(AO161="5",BH161,0)</f>
        <v>0</v>
      </c>
      <c r="Z161" s="233">
        <f>IF(AO161="1",BF161,0)</f>
        <v>0</v>
      </c>
      <c r="AA161" s="233">
        <f>IF(AO161="1",BG161,0)</f>
        <v>0</v>
      </c>
      <c r="AB161" s="233">
        <f>IF(AO161="7",BF161,0)</f>
        <v>0</v>
      </c>
      <c r="AC161" s="233">
        <f>IF(AO161="7",BG161,0)</f>
        <v>0</v>
      </c>
      <c r="AD161" s="233">
        <f>IF(AO161="2",BF161,0)</f>
        <v>0</v>
      </c>
      <c r="AE161" s="233">
        <f>IF(AO161="2",BG161,0)</f>
        <v>0</v>
      </c>
      <c r="AF161" s="233">
        <f>IF(AO161="0",BH161,0)</f>
        <v>0</v>
      </c>
      <c r="AG161" s="229" t="s">
        <v>154</v>
      </c>
      <c r="AH161" s="233">
        <f>IF(AL161=0,J161,0)</f>
        <v>0</v>
      </c>
      <c r="AI161" s="233">
        <f>IF(AL161=15,J161,0)</f>
        <v>0</v>
      </c>
      <c r="AJ161" s="233">
        <f>IF(AL161=21,J161,0)</f>
        <v>0</v>
      </c>
      <c r="AL161" s="233">
        <v>21</v>
      </c>
      <c r="AM161" s="233">
        <f>G161*0</f>
        <v>0</v>
      </c>
      <c r="AN161" s="233">
        <f>G161*(1-0)</f>
        <v>0</v>
      </c>
      <c r="AO161" s="234" t="s">
        <v>177</v>
      </c>
      <c r="AT161" s="233">
        <f>AU161+AV161</f>
        <v>0</v>
      </c>
      <c r="AU161" s="233">
        <f>F161*AM161</f>
        <v>0</v>
      </c>
      <c r="AV161" s="233">
        <f>F161*AN161</f>
        <v>0</v>
      </c>
      <c r="AW161" s="234" t="s">
        <v>404</v>
      </c>
      <c r="AX161" s="234" t="s">
        <v>375</v>
      </c>
      <c r="AY161" s="229" t="s">
        <v>164</v>
      </c>
      <c r="BA161" s="233">
        <f>AU161+AV161</f>
        <v>0</v>
      </c>
      <c r="BB161" s="233">
        <f>G161/(100-BC161)*100</f>
        <v>0</v>
      </c>
      <c r="BC161" s="233">
        <v>0</v>
      </c>
      <c r="BD161" s="233">
        <f>L161</f>
        <v>0</v>
      </c>
      <c r="BF161" s="233">
        <f>F161*AM161</f>
        <v>0</v>
      </c>
      <c r="BG161" s="233">
        <f>F161*AN161</f>
        <v>0</v>
      </c>
      <c r="BH161" s="233">
        <f>F161*G161</f>
        <v>0</v>
      </c>
      <c r="BI161" s="233"/>
      <c r="BJ161" s="233"/>
      <c r="BU161" s="233" t="e">
        <f>#REF!</f>
        <v>#REF!</v>
      </c>
      <c r="BV161" s="225" t="s">
        <v>407</v>
      </c>
    </row>
    <row r="162" spans="1:74" ht="14.4" x14ac:dyDescent="0.3">
      <c r="A162" s="239" t="s">
        <v>154</v>
      </c>
      <c r="B162" s="224" t="s">
        <v>444</v>
      </c>
      <c r="C162" s="526" t="s">
        <v>445</v>
      </c>
      <c r="D162" s="527"/>
      <c r="E162" s="223" t="s">
        <v>114</v>
      </c>
      <c r="F162" s="223" t="s">
        <v>114</v>
      </c>
      <c r="G162" s="223" t="s">
        <v>114</v>
      </c>
      <c r="H162" s="235">
        <f>SUM(H163:H163)</f>
        <v>0</v>
      </c>
      <c r="I162" s="235">
        <f>SUM(I163:I163)</f>
        <v>0</v>
      </c>
      <c r="J162" s="235">
        <f>SUM(J163:J163)</f>
        <v>0</v>
      </c>
      <c r="K162" s="230" t="s">
        <v>154</v>
      </c>
      <c r="L162" s="235">
        <f>SUM(L163:L163)</f>
        <v>0</v>
      </c>
      <c r="M162" s="243" t="s">
        <v>154</v>
      </c>
      <c r="AG162" s="229" t="s">
        <v>154</v>
      </c>
      <c r="AQ162" s="222">
        <f>SUM(AH163:AH163)</f>
        <v>0</v>
      </c>
      <c r="AR162" s="222">
        <f>SUM(AI163:AI163)</f>
        <v>0</v>
      </c>
      <c r="AS162" s="222">
        <f>SUM(AJ163:AJ163)</f>
        <v>0</v>
      </c>
    </row>
    <row r="163" spans="1:74" ht="14.4" x14ac:dyDescent="0.3">
      <c r="A163" s="239" t="s">
        <v>551</v>
      </c>
      <c r="B163" s="223" t="s">
        <v>446</v>
      </c>
      <c r="C163" s="521" t="s">
        <v>447</v>
      </c>
      <c r="D163" s="519"/>
      <c r="E163" s="223" t="s">
        <v>380</v>
      </c>
      <c r="F163" s="233">
        <v>0.01</v>
      </c>
      <c r="G163" s="311">
        <v>0</v>
      </c>
      <c r="H163" s="233">
        <f>F163*AM163</f>
        <v>0</v>
      </c>
      <c r="I163" s="233">
        <f>F163*AN163</f>
        <v>0</v>
      </c>
      <c r="J163" s="233">
        <f>F163*G163</f>
        <v>0</v>
      </c>
      <c r="K163" s="233">
        <v>0</v>
      </c>
      <c r="L163" s="233">
        <f>F163*K163</f>
        <v>0</v>
      </c>
      <c r="M163" s="240" t="s">
        <v>472</v>
      </c>
      <c r="X163" s="233">
        <f>IF(AO163="5",BH163,0)</f>
        <v>0</v>
      </c>
      <c r="Z163" s="233">
        <f>IF(AO163="1",BF163,0)</f>
        <v>0</v>
      </c>
      <c r="AA163" s="233">
        <f>IF(AO163="1",BG163,0)</f>
        <v>0</v>
      </c>
      <c r="AB163" s="233">
        <f>IF(AO163="7",BF163,0)</f>
        <v>0</v>
      </c>
      <c r="AC163" s="233">
        <f>IF(AO163="7",BG163,0)</f>
        <v>0</v>
      </c>
      <c r="AD163" s="233">
        <f>IF(AO163="2",BF163,0)</f>
        <v>0</v>
      </c>
      <c r="AE163" s="233">
        <f>IF(AO163="2",BG163,0)</f>
        <v>0</v>
      </c>
      <c r="AF163" s="233">
        <f>IF(AO163="0",BH163,0)</f>
        <v>0</v>
      </c>
      <c r="AG163" s="229" t="s">
        <v>154</v>
      </c>
      <c r="AH163" s="233">
        <f>IF(AL163=0,J163,0)</f>
        <v>0</v>
      </c>
      <c r="AI163" s="233">
        <f>IF(AL163=15,J163,0)</f>
        <v>0</v>
      </c>
      <c r="AJ163" s="233">
        <f>IF(AL163=21,J163,0)</f>
        <v>0</v>
      </c>
      <c r="AL163" s="233">
        <v>21</v>
      </c>
      <c r="AM163" s="233">
        <f>G163*0</f>
        <v>0</v>
      </c>
      <c r="AN163" s="233">
        <f>G163*(1-0)</f>
        <v>0</v>
      </c>
      <c r="AO163" s="234" t="s">
        <v>177</v>
      </c>
      <c r="AT163" s="233">
        <f>AU163+AV163</f>
        <v>0</v>
      </c>
      <c r="AU163" s="233">
        <f>F163*AM163</f>
        <v>0</v>
      </c>
      <c r="AV163" s="233">
        <f>F163*AN163</f>
        <v>0</v>
      </c>
      <c r="AW163" s="234" t="s">
        <v>448</v>
      </c>
      <c r="AX163" s="234" t="s">
        <v>375</v>
      </c>
      <c r="AY163" s="229" t="s">
        <v>164</v>
      </c>
      <c r="BA163" s="233">
        <f>AU163+AV163</f>
        <v>0</v>
      </c>
      <c r="BB163" s="233">
        <f>G163/(100-BC163)*100</f>
        <v>0</v>
      </c>
      <c r="BC163" s="233">
        <v>0</v>
      </c>
      <c r="BD163" s="233">
        <f>L163</f>
        <v>0</v>
      </c>
      <c r="BF163" s="233">
        <f>F163*AM163</f>
        <v>0</v>
      </c>
      <c r="BG163" s="233">
        <f>F163*AN163</f>
        <v>0</v>
      </c>
      <c r="BH163" s="233">
        <f>F163*G163</f>
        <v>0</v>
      </c>
      <c r="BI163" s="233"/>
      <c r="BJ163" s="233"/>
      <c r="BU163" s="233" t="e">
        <f>#REF!</f>
        <v>#REF!</v>
      </c>
      <c r="BV163" s="225" t="s">
        <v>447</v>
      </c>
    </row>
    <row r="164" spans="1:74" ht="14.4" x14ac:dyDescent="0.3">
      <c r="A164" s="239" t="s">
        <v>154</v>
      </c>
      <c r="B164" s="224" t="s">
        <v>411</v>
      </c>
      <c r="C164" s="526" t="s">
        <v>412</v>
      </c>
      <c r="D164" s="527"/>
      <c r="E164" s="223" t="s">
        <v>114</v>
      </c>
      <c r="F164" s="223" t="s">
        <v>114</v>
      </c>
      <c r="G164" s="223" t="s">
        <v>114</v>
      </c>
      <c r="H164" s="235">
        <f>SUM(H165:H165)</f>
        <v>0</v>
      </c>
      <c r="I164" s="235">
        <f>SUM(I165:I165)</f>
        <v>0</v>
      </c>
      <c r="J164" s="235">
        <f>SUM(J165:J165)</f>
        <v>0</v>
      </c>
      <c r="K164" s="230" t="s">
        <v>154</v>
      </c>
      <c r="L164" s="235">
        <f>SUM(L165:L165)</f>
        <v>0</v>
      </c>
      <c r="M164" s="243" t="s">
        <v>154</v>
      </c>
      <c r="AG164" s="229" t="s">
        <v>154</v>
      </c>
      <c r="AQ164" s="222">
        <f>SUM(AH165:AH165)</f>
        <v>0</v>
      </c>
      <c r="AR164" s="222">
        <f>SUM(AI165:AI165)</f>
        <v>0</v>
      </c>
      <c r="AS164" s="222">
        <f>SUM(AJ165:AJ165)</f>
        <v>0</v>
      </c>
    </row>
    <row r="165" spans="1:74" ht="14.4" x14ac:dyDescent="0.3">
      <c r="A165" s="239" t="s">
        <v>555</v>
      </c>
      <c r="B165" s="223" t="s">
        <v>414</v>
      </c>
      <c r="C165" s="521" t="s">
        <v>415</v>
      </c>
      <c r="D165" s="519"/>
      <c r="E165" s="223" t="s">
        <v>380</v>
      </c>
      <c r="F165" s="233">
        <v>4.3600000000000003</v>
      </c>
      <c r="G165" s="311">
        <v>0</v>
      </c>
      <c r="H165" s="233">
        <f>F165*AM165</f>
        <v>0</v>
      </c>
      <c r="I165" s="233">
        <f>F165*AN165</f>
        <v>0</v>
      </c>
      <c r="J165" s="233">
        <f>F165*G165</f>
        <v>0</v>
      </c>
      <c r="K165" s="233">
        <v>0</v>
      </c>
      <c r="L165" s="233">
        <f>F165*K165</f>
        <v>0</v>
      </c>
      <c r="M165" s="240" t="s">
        <v>472</v>
      </c>
      <c r="X165" s="233">
        <f>IF(AO165="5",BH165,0)</f>
        <v>0</v>
      </c>
      <c r="Z165" s="233">
        <f>IF(AO165="1",BF165,0)</f>
        <v>0</v>
      </c>
      <c r="AA165" s="233">
        <f>IF(AO165="1",BG165,0)</f>
        <v>0</v>
      </c>
      <c r="AB165" s="233">
        <f>IF(AO165="7",BF165,0)</f>
        <v>0</v>
      </c>
      <c r="AC165" s="233">
        <f>IF(AO165="7",BG165,0)</f>
        <v>0</v>
      </c>
      <c r="AD165" s="233">
        <f>IF(AO165="2",BF165,0)</f>
        <v>0</v>
      </c>
      <c r="AE165" s="233">
        <f>IF(AO165="2",BG165,0)</f>
        <v>0</v>
      </c>
      <c r="AF165" s="233">
        <f>IF(AO165="0",BH165,0)</f>
        <v>0</v>
      </c>
      <c r="AG165" s="229" t="s">
        <v>154</v>
      </c>
      <c r="AH165" s="233">
        <f>IF(AL165=0,J165,0)</f>
        <v>0</v>
      </c>
      <c r="AI165" s="233">
        <f>IF(AL165=15,J165,0)</f>
        <v>0</v>
      </c>
      <c r="AJ165" s="233">
        <f>IF(AL165=21,J165,0)</f>
        <v>0</v>
      </c>
      <c r="AL165" s="233">
        <v>21</v>
      </c>
      <c r="AM165" s="233">
        <f>G165*0</f>
        <v>0</v>
      </c>
      <c r="AN165" s="233">
        <f>G165*(1-0)</f>
        <v>0</v>
      </c>
      <c r="AO165" s="234" t="s">
        <v>177</v>
      </c>
      <c r="AT165" s="233">
        <f>AU165+AV165</f>
        <v>0</v>
      </c>
      <c r="AU165" s="233">
        <f>F165*AM165</f>
        <v>0</v>
      </c>
      <c r="AV165" s="233">
        <f>F165*AN165</f>
        <v>0</v>
      </c>
      <c r="AW165" s="234" t="s">
        <v>416</v>
      </c>
      <c r="AX165" s="234" t="s">
        <v>375</v>
      </c>
      <c r="AY165" s="229" t="s">
        <v>164</v>
      </c>
      <c r="BA165" s="233">
        <f>AU165+AV165</f>
        <v>0</v>
      </c>
      <c r="BB165" s="233">
        <f>G165/(100-BC165)*100</f>
        <v>0</v>
      </c>
      <c r="BC165" s="233">
        <v>0</v>
      </c>
      <c r="BD165" s="233">
        <f>L165</f>
        <v>0</v>
      </c>
      <c r="BF165" s="233">
        <f>F165*AM165</f>
        <v>0</v>
      </c>
      <c r="BG165" s="233">
        <f>F165*AN165</f>
        <v>0</v>
      </c>
      <c r="BH165" s="233">
        <f>F165*G165</f>
        <v>0</v>
      </c>
      <c r="BI165" s="233"/>
      <c r="BJ165" s="233"/>
      <c r="BU165" s="233" t="e">
        <f>#REF!</f>
        <v>#REF!</v>
      </c>
      <c r="BV165" s="225" t="s">
        <v>415</v>
      </c>
    </row>
    <row r="166" spans="1:74" ht="14.4" x14ac:dyDescent="0.3">
      <c r="A166" s="239" t="s">
        <v>154</v>
      </c>
      <c r="B166" s="224" t="s">
        <v>621</v>
      </c>
      <c r="C166" s="526" t="s">
        <v>622</v>
      </c>
      <c r="D166" s="527"/>
      <c r="E166" s="223" t="s">
        <v>114</v>
      </c>
      <c r="F166" s="223" t="s">
        <v>114</v>
      </c>
      <c r="G166" s="223" t="s">
        <v>114</v>
      </c>
      <c r="H166" s="235">
        <f>SUM(H167:H167)</f>
        <v>0</v>
      </c>
      <c r="I166" s="235">
        <f>SUM(I167:I167)</f>
        <v>0</v>
      </c>
      <c r="J166" s="235">
        <f>SUM(J167:J167)</f>
        <v>0</v>
      </c>
      <c r="K166" s="230" t="s">
        <v>154</v>
      </c>
      <c r="L166" s="235">
        <f>SUM(L167:L167)</f>
        <v>0</v>
      </c>
      <c r="M166" s="243" t="s">
        <v>154</v>
      </c>
      <c r="AG166" s="229" t="s">
        <v>154</v>
      </c>
      <c r="AQ166" s="222">
        <f>SUM(AH167:AH167)</f>
        <v>0</v>
      </c>
      <c r="AR166" s="222">
        <f>SUM(AI167:AI167)</f>
        <v>0</v>
      </c>
      <c r="AS166" s="222">
        <f>SUM(AJ167:AJ167)</f>
        <v>0</v>
      </c>
    </row>
    <row r="167" spans="1:74" ht="14.4" x14ac:dyDescent="0.3">
      <c r="A167" s="239" t="s">
        <v>559</v>
      </c>
      <c r="B167" s="223" t="s">
        <v>624</v>
      </c>
      <c r="C167" s="521" t="s">
        <v>625</v>
      </c>
      <c r="D167" s="519"/>
      <c r="E167" s="223" t="s">
        <v>160</v>
      </c>
      <c r="F167" s="233">
        <v>43</v>
      </c>
      <c r="G167" s="311">
        <v>0</v>
      </c>
      <c r="H167" s="233">
        <f>F167*AM167</f>
        <v>0</v>
      </c>
      <c r="I167" s="233">
        <f>F167*AN167</f>
        <v>0</v>
      </c>
      <c r="J167" s="233">
        <f>F167*G167</f>
        <v>0</v>
      </c>
      <c r="K167" s="233">
        <v>0</v>
      </c>
      <c r="L167" s="233">
        <f>F167*K167</f>
        <v>0</v>
      </c>
      <c r="M167" s="240" t="s">
        <v>472</v>
      </c>
      <c r="X167" s="233">
        <f>IF(AO167="5",BH167,0)</f>
        <v>0</v>
      </c>
      <c r="Z167" s="233">
        <f>IF(AO167="1",BF167,0)</f>
        <v>0</v>
      </c>
      <c r="AA167" s="233">
        <f>IF(AO167="1",BG167,0)</f>
        <v>0</v>
      </c>
      <c r="AB167" s="233">
        <f>IF(AO167="7",BF167,0)</f>
        <v>0</v>
      </c>
      <c r="AC167" s="233">
        <f>IF(AO167="7",BG167,0)</f>
        <v>0</v>
      </c>
      <c r="AD167" s="233">
        <f>IF(AO167="2",BF167,0)</f>
        <v>0</v>
      </c>
      <c r="AE167" s="233">
        <f>IF(AO167="2",BG167,0)</f>
        <v>0</v>
      </c>
      <c r="AF167" s="233">
        <f>IF(AO167="0",BH167,0)</f>
        <v>0</v>
      </c>
      <c r="AG167" s="229" t="s">
        <v>154</v>
      </c>
      <c r="AH167" s="233">
        <f>IF(AL167=0,J167,0)</f>
        <v>0</v>
      </c>
      <c r="AI167" s="233">
        <f>IF(AL167=15,J167,0)</f>
        <v>0</v>
      </c>
      <c r="AJ167" s="233">
        <f>IF(AL167=21,J167,0)</f>
        <v>0</v>
      </c>
      <c r="AL167" s="233">
        <v>21</v>
      </c>
      <c r="AM167" s="233">
        <f>G167*0</f>
        <v>0</v>
      </c>
      <c r="AN167" s="233">
        <f>G167*(1-0)</f>
        <v>0</v>
      </c>
      <c r="AO167" s="234" t="s">
        <v>166</v>
      </c>
      <c r="AT167" s="233">
        <f>AU167+AV167</f>
        <v>0</v>
      </c>
      <c r="AU167" s="233">
        <f>F167*AM167</f>
        <v>0</v>
      </c>
      <c r="AV167" s="233">
        <f>F167*AN167</f>
        <v>0</v>
      </c>
      <c r="AW167" s="234" t="s">
        <v>626</v>
      </c>
      <c r="AX167" s="234" t="s">
        <v>375</v>
      </c>
      <c r="AY167" s="229" t="s">
        <v>164</v>
      </c>
      <c r="BA167" s="233">
        <f>AU167+AV167</f>
        <v>0</v>
      </c>
      <c r="BB167" s="233">
        <f>G167/(100-BC167)*100</f>
        <v>0</v>
      </c>
      <c r="BC167" s="233">
        <v>0</v>
      </c>
      <c r="BD167" s="233">
        <f>L167</f>
        <v>0</v>
      </c>
      <c r="BF167" s="233">
        <f>F167*AM167</f>
        <v>0</v>
      </c>
      <c r="BG167" s="233">
        <f>F167*AN167</f>
        <v>0</v>
      </c>
      <c r="BH167" s="233">
        <f>F167*G167</f>
        <v>0</v>
      </c>
      <c r="BI167" s="233"/>
      <c r="BJ167" s="233"/>
      <c r="BU167" s="233" t="e">
        <f>#REF!</f>
        <v>#REF!</v>
      </c>
      <c r="BV167" s="225" t="s">
        <v>625</v>
      </c>
    </row>
    <row r="168" spans="1:74" ht="27" customHeight="1" x14ac:dyDescent="0.3">
      <c r="A168" s="241"/>
      <c r="B168" s="242" t="s">
        <v>165</v>
      </c>
      <c r="C168" s="530" t="s">
        <v>1530</v>
      </c>
      <c r="D168" s="531"/>
      <c r="E168" s="531"/>
      <c r="F168" s="531"/>
      <c r="G168" s="531"/>
      <c r="H168" s="531"/>
      <c r="I168" s="531"/>
      <c r="J168" s="531"/>
      <c r="K168" s="531"/>
      <c r="L168" s="531"/>
      <c r="M168" s="532"/>
    </row>
    <row r="169" spans="1:74" ht="14.4" x14ac:dyDescent="0.3">
      <c r="A169" s="239" t="s">
        <v>154</v>
      </c>
      <c r="B169" s="224" t="s">
        <v>627</v>
      </c>
      <c r="C169" s="526" t="s">
        <v>628</v>
      </c>
      <c r="D169" s="527"/>
      <c r="E169" s="223" t="s">
        <v>114</v>
      </c>
      <c r="F169" s="223" t="s">
        <v>114</v>
      </c>
      <c r="G169" s="223" t="s">
        <v>114</v>
      </c>
      <c r="H169" s="235">
        <f>SUM(H170:H170)</f>
        <v>0</v>
      </c>
      <c r="I169" s="235">
        <f>SUM(I170:I170)</f>
        <v>0</v>
      </c>
      <c r="J169" s="235">
        <f>SUM(J170:J170)</f>
        <v>0</v>
      </c>
      <c r="K169" s="230" t="s">
        <v>154</v>
      </c>
      <c r="L169" s="235">
        <f>SUM(L170:L170)</f>
        <v>0</v>
      </c>
      <c r="M169" s="243" t="s">
        <v>154</v>
      </c>
      <c r="AG169" s="229" t="s">
        <v>154</v>
      </c>
      <c r="AQ169" s="222">
        <f>SUM(AH170:AH170)</f>
        <v>0</v>
      </c>
      <c r="AR169" s="222">
        <f>SUM(AI170:AI170)</f>
        <v>0</v>
      </c>
      <c r="AS169" s="222">
        <f>SUM(AJ170:AJ170)</f>
        <v>0</v>
      </c>
    </row>
    <row r="170" spans="1:74" ht="14.4" x14ac:dyDescent="0.3">
      <c r="A170" s="239" t="s">
        <v>562</v>
      </c>
      <c r="B170" s="223" t="s">
        <v>643</v>
      </c>
      <c r="C170" s="521" t="s">
        <v>644</v>
      </c>
      <c r="D170" s="519"/>
      <c r="E170" s="223" t="s">
        <v>365</v>
      </c>
      <c r="F170" s="233">
        <v>4</v>
      </c>
      <c r="G170" s="311">
        <v>0</v>
      </c>
      <c r="H170" s="233">
        <f>F170*AM170</f>
        <v>0</v>
      </c>
      <c r="I170" s="233">
        <f>F170*AN170</f>
        <v>0</v>
      </c>
      <c r="J170" s="233">
        <f>F170*G170</f>
        <v>0</v>
      </c>
      <c r="K170" s="233">
        <v>0</v>
      </c>
      <c r="L170" s="233">
        <f>F170*K170</f>
        <v>0</v>
      </c>
      <c r="M170" s="240" t="s">
        <v>472</v>
      </c>
      <c r="X170" s="233">
        <f>IF(AO170="5",BH170,0)</f>
        <v>0</v>
      </c>
      <c r="Z170" s="233">
        <f>IF(AO170="1",BF170,0)</f>
        <v>0</v>
      </c>
      <c r="AA170" s="233">
        <f>IF(AO170="1",BG170,0)</f>
        <v>0</v>
      </c>
      <c r="AB170" s="233">
        <f>IF(AO170="7",BF170,0)</f>
        <v>0</v>
      </c>
      <c r="AC170" s="233">
        <f>IF(AO170="7",BG170,0)</f>
        <v>0</v>
      </c>
      <c r="AD170" s="233">
        <f>IF(AO170="2",BF170,0)</f>
        <v>0</v>
      </c>
      <c r="AE170" s="233">
        <f>IF(AO170="2",BG170,0)</f>
        <v>0</v>
      </c>
      <c r="AF170" s="233">
        <f>IF(AO170="0",BH170,0)</f>
        <v>0</v>
      </c>
      <c r="AG170" s="229" t="s">
        <v>154</v>
      </c>
      <c r="AH170" s="233">
        <f>IF(AL170=0,J170,0)</f>
        <v>0</v>
      </c>
      <c r="AI170" s="233">
        <f>IF(AL170=15,J170,0)</f>
        <v>0</v>
      </c>
      <c r="AJ170" s="233">
        <f>IF(AL170=21,J170,0)</f>
        <v>0</v>
      </c>
      <c r="AL170" s="233">
        <v>21</v>
      </c>
      <c r="AM170" s="233">
        <f>G170*0</f>
        <v>0</v>
      </c>
      <c r="AN170" s="233">
        <f>G170*(1-0)</f>
        <v>0</v>
      </c>
      <c r="AO170" s="234" t="s">
        <v>166</v>
      </c>
      <c r="AT170" s="233">
        <f>AU170+AV170</f>
        <v>0</v>
      </c>
      <c r="AU170" s="233">
        <f>F170*AM170</f>
        <v>0</v>
      </c>
      <c r="AV170" s="233">
        <f>F170*AN170</f>
        <v>0</v>
      </c>
      <c r="AW170" s="234" t="s">
        <v>632</v>
      </c>
      <c r="AX170" s="234" t="s">
        <v>375</v>
      </c>
      <c r="AY170" s="229" t="s">
        <v>164</v>
      </c>
      <c r="BA170" s="233">
        <f>AU170+AV170</f>
        <v>0</v>
      </c>
      <c r="BB170" s="233">
        <f>G170/(100-BC170)*100</f>
        <v>0</v>
      </c>
      <c r="BC170" s="233">
        <v>0</v>
      </c>
      <c r="BD170" s="233">
        <f>L170</f>
        <v>0</v>
      </c>
      <c r="BF170" s="233">
        <f>F170*AM170</f>
        <v>0</v>
      </c>
      <c r="BG170" s="233">
        <f>F170*AN170</f>
        <v>0</v>
      </c>
      <c r="BH170" s="233">
        <f>F170*G170</f>
        <v>0</v>
      </c>
      <c r="BI170" s="233"/>
      <c r="BJ170" s="233"/>
      <c r="BU170" s="233" t="e">
        <f>#REF!</f>
        <v>#REF!</v>
      </c>
      <c r="BV170" s="225" t="s">
        <v>644</v>
      </c>
    </row>
    <row r="171" spans="1:74" ht="27" customHeight="1" x14ac:dyDescent="0.3">
      <c r="A171" s="241"/>
      <c r="B171" s="242" t="s">
        <v>165</v>
      </c>
      <c r="C171" s="530" t="s">
        <v>1468</v>
      </c>
      <c r="D171" s="531"/>
      <c r="E171" s="531"/>
      <c r="F171" s="531"/>
      <c r="G171" s="531"/>
      <c r="H171" s="531"/>
      <c r="I171" s="531"/>
      <c r="J171" s="531"/>
      <c r="K171" s="531"/>
      <c r="L171" s="531"/>
      <c r="M171" s="532"/>
    </row>
    <row r="172" spans="1:74" ht="14.4" x14ac:dyDescent="0.3">
      <c r="A172" s="239" t="s">
        <v>154</v>
      </c>
      <c r="B172" s="224" t="s">
        <v>1383</v>
      </c>
      <c r="C172" s="526" t="s">
        <v>449</v>
      </c>
      <c r="D172" s="527"/>
      <c r="E172" s="223" t="s">
        <v>114</v>
      </c>
      <c r="F172" s="223" t="s">
        <v>114</v>
      </c>
      <c r="G172" s="223" t="s">
        <v>114</v>
      </c>
      <c r="H172" s="235">
        <f>SUM(H173:H200)</f>
        <v>0</v>
      </c>
      <c r="I172" s="235">
        <f>SUM(I173:I200)</f>
        <v>0</v>
      </c>
      <c r="J172" s="235">
        <f>SUM(J173:J200)</f>
        <v>0</v>
      </c>
      <c r="K172" s="230" t="s">
        <v>154</v>
      </c>
      <c r="L172" s="235">
        <f>SUM(L173:L200)</f>
        <v>0.41609400000000002</v>
      </c>
      <c r="M172" s="243" t="s">
        <v>154</v>
      </c>
      <c r="AG172" s="229" t="s">
        <v>154</v>
      </c>
      <c r="AQ172" s="222">
        <f>SUM(AH173:AH200)</f>
        <v>0</v>
      </c>
      <c r="AR172" s="222">
        <f>SUM(AI173:AI200)</f>
        <v>0</v>
      </c>
      <c r="AS172" s="222">
        <f>SUM(AJ173:AJ200)</f>
        <v>0</v>
      </c>
    </row>
    <row r="173" spans="1:74" ht="14.4" x14ac:dyDescent="0.3">
      <c r="A173" s="239" t="s">
        <v>566</v>
      </c>
      <c r="B173" s="223" t="s">
        <v>678</v>
      </c>
      <c r="C173" s="521" t="s">
        <v>679</v>
      </c>
      <c r="D173" s="519"/>
      <c r="E173" s="223" t="s">
        <v>160</v>
      </c>
      <c r="F173" s="233">
        <v>47.3</v>
      </c>
      <c r="G173" s="311">
        <v>0</v>
      </c>
      <c r="H173" s="233">
        <f>F173*AM173</f>
        <v>0</v>
      </c>
      <c r="I173" s="233">
        <f>F173*AN173</f>
        <v>0</v>
      </c>
      <c r="J173" s="233">
        <f>F173*G173</f>
        <v>0</v>
      </c>
      <c r="K173" s="233">
        <v>3.7000000000000002E-3</v>
      </c>
      <c r="L173" s="233">
        <f>F173*K173</f>
        <v>0.17501</v>
      </c>
      <c r="M173" s="240" t="s">
        <v>472</v>
      </c>
      <c r="X173" s="233">
        <f>IF(AO173="5",BH173,0)</f>
        <v>0</v>
      </c>
      <c r="Z173" s="233">
        <f>IF(AO173="1",BF173,0)</f>
        <v>0</v>
      </c>
      <c r="AA173" s="233">
        <f>IF(AO173="1",BG173,0)</f>
        <v>0</v>
      </c>
      <c r="AB173" s="233">
        <f>IF(AO173="7",BF173,0)</f>
        <v>0</v>
      </c>
      <c r="AC173" s="233">
        <f>IF(AO173="7",BG173,0)</f>
        <v>0</v>
      </c>
      <c r="AD173" s="233">
        <f>IF(AO173="2",BF173,0)</f>
        <v>0</v>
      </c>
      <c r="AE173" s="233">
        <f>IF(AO173="2",BG173,0)</f>
        <v>0</v>
      </c>
      <c r="AF173" s="233">
        <f>IF(AO173="0",BH173,0)</f>
        <v>0</v>
      </c>
      <c r="AG173" s="229" t="s">
        <v>154</v>
      </c>
      <c r="AH173" s="233">
        <f>IF(AL173=0,J173,0)</f>
        <v>0</v>
      </c>
      <c r="AI173" s="233">
        <f>IF(AL173=15,J173,0)</f>
        <v>0</v>
      </c>
      <c r="AJ173" s="233">
        <f>IF(AL173=21,J173,0)</f>
        <v>0</v>
      </c>
      <c r="AL173" s="233">
        <v>21</v>
      </c>
      <c r="AM173" s="233">
        <f>G173*1</f>
        <v>0</v>
      </c>
      <c r="AN173" s="233">
        <f>G173*(1-1)</f>
        <v>0</v>
      </c>
      <c r="AO173" s="234" t="s">
        <v>453</v>
      </c>
      <c r="AT173" s="233">
        <f>AU173+AV173</f>
        <v>0</v>
      </c>
      <c r="AU173" s="233">
        <f>F173*AM173</f>
        <v>0</v>
      </c>
      <c r="AV173" s="233">
        <f>F173*AN173</f>
        <v>0</v>
      </c>
      <c r="AW173" s="234" t="s">
        <v>454</v>
      </c>
      <c r="AX173" s="234" t="s">
        <v>455</v>
      </c>
      <c r="AY173" s="229" t="s">
        <v>164</v>
      </c>
      <c r="BA173" s="233">
        <f>AU173+AV173</f>
        <v>0</v>
      </c>
      <c r="BB173" s="233">
        <f>G173/(100-BC173)*100</f>
        <v>0</v>
      </c>
      <c r="BC173" s="233">
        <v>0</v>
      </c>
      <c r="BD173" s="233">
        <f>L173</f>
        <v>0.17501</v>
      </c>
      <c r="BF173" s="233">
        <f>F173*AM173</f>
        <v>0</v>
      </c>
      <c r="BG173" s="233">
        <f>F173*AN173</f>
        <v>0</v>
      </c>
      <c r="BH173" s="233">
        <f>F173*G173</f>
        <v>0</v>
      </c>
      <c r="BI173" s="233"/>
      <c r="BJ173" s="233"/>
      <c r="BU173" s="233" t="e">
        <f>#REF!</f>
        <v>#REF!</v>
      </c>
      <c r="BV173" s="225" t="s">
        <v>679</v>
      </c>
    </row>
    <row r="174" spans="1:74" ht="67.5" customHeight="1" x14ac:dyDescent="0.3">
      <c r="A174" s="241"/>
      <c r="B174" s="242" t="s">
        <v>165</v>
      </c>
      <c r="C174" s="530" t="s">
        <v>1531</v>
      </c>
      <c r="D174" s="531"/>
      <c r="E174" s="531"/>
      <c r="F174" s="531"/>
      <c r="G174" s="531"/>
      <c r="H174" s="531"/>
      <c r="I174" s="531"/>
      <c r="J174" s="531"/>
      <c r="K174" s="531"/>
      <c r="L174" s="531"/>
      <c r="M174" s="532"/>
    </row>
    <row r="175" spans="1:74" ht="14.4" x14ac:dyDescent="0.3">
      <c r="A175" s="239" t="s">
        <v>570</v>
      </c>
      <c r="B175" s="223" t="s">
        <v>681</v>
      </c>
      <c r="C175" s="521" t="s">
        <v>682</v>
      </c>
      <c r="D175" s="519"/>
      <c r="E175" s="223" t="s">
        <v>471</v>
      </c>
      <c r="F175" s="233">
        <v>2</v>
      </c>
      <c r="G175" s="311">
        <v>0</v>
      </c>
      <c r="H175" s="233">
        <f>F175*AM175</f>
        <v>0</v>
      </c>
      <c r="I175" s="233">
        <f>F175*AN175</f>
        <v>0</v>
      </c>
      <c r="J175" s="233">
        <f>F175*G175</f>
        <v>0</v>
      </c>
      <c r="K175" s="233">
        <v>0</v>
      </c>
      <c r="L175" s="233">
        <f>F175*K175</f>
        <v>0</v>
      </c>
      <c r="M175" s="240" t="s">
        <v>472</v>
      </c>
      <c r="X175" s="233">
        <f>IF(AO175="5",BH175,0)</f>
        <v>0</v>
      </c>
      <c r="Z175" s="233">
        <f>IF(AO175="1",BF175,0)</f>
        <v>0</v>
      </c>
      <c r="AA175" s="233">
        <f>IF(AO175="1",BG175,0)</f>
        <v>0</v>
      </c>
      <c r="AB175" s="233">
        <f>IF(AO175="7",BF175,0)</f>
        <v>0</v>
      </c>
      <c r="AC175" s="233">
        <f>IF(AO175="7",BG175,0)</f>
        <v>0</v>
      </c>
      <c r="AD175" s="233">
        <f>IF(AO175="2",BF175,0)</f>
        <v>0</v>
      </c>
      <c r="AE175" s="233">
        <f>IF(AO175="2",BG175,0)</f>
        <v>0</v>
      </c>
      <c r="AF175" s="233">
        <f>IF(AO175="0",BH175,0)</f>
        <v>0</v>
      </c>
      <c r="AG175" s="229" t="s">
        <v>154</v>
      </c>
      <c r="AH175" s="233">
        <f>IF(AL175=0,J175,0)</f>
        <v>0</v>
      </c>
      <c r="AI175" s="233">
        <f>IF(AL175=15,J175,0)</f>
        <v>0</v>
      </c>
      <c r="AJ175" s="233">
        <f>IF(AL175=21,J175,0)</f>
        <v>0</v>
      </c>
      <c r="AL175" s="233">
        <v>21</v>
      </c>
      <c r="AM175" s="233">
        <f>G175*1</f>
        <v>0</v>
      </c>
      <c r="AN175" s="233">
        <f>G175*(1-1)</f>
        <v>0</v>
      </c>
      <c r="AO175" s="234" t="s">
        <v>453</v>
      </c>
      <c r="AT175" s="233">
        <f>AU175+AV175</f>
        <v>0</v>
      </c>
      <c r="AU175" s="233">
        <f>F175*AM175</f>
        <v>0</v>
      </c>
      <c r="AV175" s="233">
        <f>F175*AN175</f>
        <v>0</v>
      </c>
      <c r="AW175" s="234" t="s">
        <v>454</v>
      </c>
      <c r="AX175" s="234" t="s">
        <v>455</v>
      </c>
      <c r="AY175" s="229" t="s">
        <v>164</v>
      </c>
      <c r="BA175" s="233">
        <f>AU175+AV175</f>
        <v>0</v>
      </c>
      <c r="BB175" s="233">
        <f>G175/(100-BC175)*100</f>
        <v>0</v>
      </c>
      <c r="BC175" s="233">
        <v>0</v>
      </c>
      <c r="BD175" s="233">
        <f>L175</f>
        <v>0</v>
      </c>
      <c r="BF175" s="233">
        <f>F175*AM175</f>
        <v>0</v>
      </c>
      <c r="BG175" s="233">
        <f>F175*AN175</f>
        <v>0</v>
      </c>
      <c r="BH175" s="233">
        <f>F175*G175</f>
        <v>0</v>
      </c>
      <c r="BI175" s="233"/>
      <c r="BJ175" s="233"/>
      <c r="BU175" s="233" t="e">
        <f>#REF!</f>
        <v>#REF!</v>
      </c>
      <c r="BV175" s="225" t="s">
        <v>682</v>
      </c>
    </row>
    <row r="176" spans="1:74" ht="13.5" customHeight="1" x14ac:dyDescent="0.3">
      <c r="A176" s="241"/>
      <c r="B176" s="242" t="s">
        <v>165</v>
      </c>
      <c r="C176" s="530" t="s">
        <v>683</v>
      </c>
      <c r="D176" s="531"/>
      <c r="E176" s="531"/>
      <c r="F176" s="531"/>
      <c r="G176" s="531"/>
      <c r="H176" s="531"/>
      <c r="I176" s="531"/>
      <c r="J176" s="531"/>
      <c r="K176" s="531"/>
      <c r="L176" s="531"/>
      <c r="M176" s="532"/>
    </row>
    <row r="177" spans="1:74" ht="14.4" x14ac:dyDescent="0.3">
      <c r="A177" s="239" t="s">
        <v>573</v>
      </c>
      <c r="B177" s="223" t="s">
        <v>681</v>
      </c>
      <c r="C177" s="521" t="s">
        <v>682</v>
      </c>
      <c r="D177" s="519"/>
      <c r="E177" s="223" t="s">
        <v>471</v>
      </c>
      <c r="F177" s="233">
        <v>4</v>
      </c>
      <c r="G177" s="311">
        <v>0</v>
      </c>
      <c r="H177" s="233">
        <f>F177*AM177</f>
        <v>0</v>
      </c>
      <c r="I177" s="233">
        <f>F177*AN177</f>
        <v>0</v>
      </c>
      <c r="J177" s="233">
        <f>F177*G177</f>
        <v>0</v>
      </c>
      <c r="K177" s="233">
        <v>0</v>
      </c>
      <c r="L177" s="233">
        <f>F177*K177</f>
        <v>0</v>
      </c>
      <c r="M177" s="240" t="s">
        <v>472</v>
      </c>
      <c r="X177" s="233">
        <f>IF(AO177="5",BH177,0)</f>
        <v>0</v>
      </c>
      <c r="Z177" s="233">
        <f>IF(AO177="1",BF177,0)</f>
        <v>0</v>
      </c>
      <c r="AA177" s="233">
        <f>IF(AO177="1",BG177,0)</f>
        <v>0</v>
      </c>
      <c r="AB177" s="233">
        <f>IF(AO177="7",BF177,0)</f>
        <v>0</v>
      </c>
      <c r="AC177" s="233">
        <f>IF(AO177="7",BG177,0)</f>
        <v>0</v>
      </c>
      <c r="AD177" s="233">
        <f>IF(AO177="2",BF177,0)</f>
        <v>0</v>
      </c>
      <c r="AE177" s="233">
        <f>IF(AO177="2",BG177,0)</f>
        <v>0</v>
      </c>
      <c r="AF177" s="233">
        <f>IF(AO177="0",BH177,0)</f>
        <v>0</v>
      </c>
      <c r="AG177" s="229" t="s">
        <v>154</v>
      </c>
      <c r="AH177" s="233">
        <f>IF(AL177=0,J177,0)</f>
        <v>0</v>
      </c>
      <c r="AI177" s="233">
        <f>IF(AL177=15,J177,0)</f>
        <v>0</v>
      </c>
      <c r="AJ177" s="233">
        <f>IF(AL177=21,J177,0)</f>
        <v>0</v>
      </c>
      <c r="AL177" s="233">
        <v>21</v>
      </c>
      <c r="AM177" s="233">
        <f>G177*1</f>
        <v>0</v>
      </c>
      <c r="AN177" s="233">
        <f>G177*(1-1)</f>
        <v>0</v>
      </c>
      <c r="AO177" s="234" t="s">
        <v>453</v>
      </c>
      <c r="AT177" s="233">
        <f>AU177+AV177</f>
        <v>0</v>
      </c>
      <c r="AU177" s="233">
        <f>F177*AM177</f>
        <v>0</v>
      </c>
      <c r="AV177" s="233">
        <f>F177*AN177</f>
        <v>0</v>
      </c>
      <c r="AW177" s="234" t="s">
        <v>454</v>
      </c>
      <c r="AX177" s="234" t="s">
        <v>455</v>
      </c>
      <c r="AY177" s="229" t="s">
        <v>164</v>
      </c>
      <c r="BA177" s="233">
        <f>AU177+AV177</f>
        <v>0</v>
      </c>
      <c r="BB177" s="233">
        <f>G177/(100-BC177)*100</f>
        <v>0</v>
      </c>
      <c r="BC177" s="233">
        <v>0</v>
      </c>
      <c r="BD177" s="233">
        <f>L177</f>
        <v>0</v>
      </c>
      <c r="BF177" s="233">
        <f>F177*AM177</f>
        <v>0</v>
      </c>
      <c r="BG177" s="233">
        <f>F177*AN177</f>
        <v>0</v>
      </c>
      <c r="BH177" s="233">
        <f>F177*G177</f>
        <v>0</v>
      </c>
      <c r="BI177" s="233"/>
      <c r="BJ177" s="233"/>
      <c r="BU177" s="233" t="e">
        <f>#REF!</f>
        <v>#REF!</v>
      </c>
      <c r="BV177" s="225" t="s">
        <v>682</v>
      </c>
    </row>
    <row r="178" spans="1:74" ht="13.5" customHeight="1" x14ac:dyDescent="0.3">
      <c r="A178" s="241"/>
      <c r="B178" s="242" t="s">
        <v>165</v>
      </c>
      <c r="C178" s="530" t="s">
        <v>685</v>
      </c>
      <c r="D178" s="531"/>
      <c r="E178" s="531"/>
      <c r="F178" s="531"/>
      <c r="G178" s="531"/>
      <c r="H178" s="531"/>
      <c r="I178" s="531"/>
      <c r="J178" s="531"/>
      <c r="K178" s="531"/>
      <c r="L178" s="531"/>
      <c r="M178" s="532"/>
    </row>
    <row r="179" spans="1:74" ht="14.4" x14ac:dyDescent="0.3">
      <c r="A179" s="239" t="s">
        <v>576</v>
      </c>
      <c r="B179" s="223" t="s">
        <v>709</v>
      </c>
      <c r="C179" s="521" t="s">
        <v>710</v>
      </c>
      <c r="D179" s="519"/>
      <c r="E179" s="223" t="s">
        <v>471</v>
      </c>
      <c r="F179" s="233">
        <v>2</v>
      </c>
      <c r="G179" s="311">
        <v>0</v>
      </c>
      <c r="H179" s="233">
        <f t="shared" ref="H179:H189" si="0">F179*AM179</f>
        <v>0</v>
      </c>
      <c r="I179" s="233">
        <f t="shared" ref="I179:I189" si="1">F179*AN179</f>
        <v>0</v>
      </c>
      <c r="J179" s="233">
        <f t="shared" ref="J179:J189" si="2">F179*G179</f>
        <v>0</v>
      </c>
      <c r="K179" s="233">
        <v>0</v>
      </c>
      <c r="L179" s="233">
        <f t="shared" ref="L179:L189" si="3">F179*K179</f>
        <v>0</v>
      </c>
      <c r="M179" s="240" t="s">
        <v>154</v>
      </c>
      <c r="X179" s="233">
        <f t="shared" ref="X179:X189" si="4">IF(AO179="5",BH179,0)</f>
        <v>0</v>
      </c>
      <c r="Z179" s="233">
        <f t="shared" ref="Z179:Z189" si="5">IF(AO179="1",BF179,0)</f>
        <v>0</v>
      </c>
      <c r="AA179" s="233">
        <f t="shared" ref="AA179:AA189" si="6">IF(AO179="1",BG179,0)</f>
        <v>0</v>
      </c>
      <c r="AB179" s="233">
        <f t="shared" ref="AB179:AB189" si="7">IF(AO179="7",BF179,0)</f>
        <v>0</v>
      </c>
      <c r="AC179" s="233">
        <f t="shared" ref="AC179:AC189" si="8">IF(AO179="7",BG179,0)</f>
        <v>0</v>
      </c>
      <c r="AD179" s="233">
        <f t="shared" ref="AD179:AD189" si="9">IF(AO179="2",BF179,0)</f>
        <v>0</v>
      </c>
      <c r="AE179" s="233">
        <f t="shared" ref="AE179:AE189" si="10">IF(AO179="2",BG179,0)</f>
        <v>0</v>
      </c>
      <c r="AF179" s="233">
        <f t="shared" ref="AF179:AF189" si="11">IF(AO179="0",BH179,0)</f>
        <v>0</v>
      </c>
      <c r="AG179" s="229" t="s">
        <v>154</v>
      </c>
      <c r="AH179" s="233">
        <f t="shared" ref="AH179:AH189" si="12">IF(AL179=0,J179,0)</f>
        <v>0</v>
      </c>
      <c r="AI179" s="233">
        <f t="shared" ref="AI179:AI189" si="13">IF(AL179=15,J179,0)</f>
        <v>0</v>
      </c>
      <c r="AJ179" s="233">
        <f t="shared" ref="AJ179:AJ189" si="14">IF(AL179=21,J179,0)</f>
        <v>0</v>
      </c>
      <c r="AL179" s="233">
        <v>21</v>
      </c>
      <c r="AM179" s="233">
        <f t="shared" ref="AM179:AM189" si="15">G179*1</f>
        <v>0</v>
      </c>
      <c r="AN179" s="233">
        <f t="shared" ref="AN179:AN189" si="16">G179*(1-1)</f>
        <v>0</v>
      </c>
      <c r="AO179" s="234" t="s">
        <v>453</v>
      </c>
      <c r="AT179" s="233">
        <f t="shared" ref="AT179:AT189" si="17">AU179+AV179</f>
        <v>0</v>
      </c>
      <c r="AU179" s="233">
        <f t="shared" ref="AU179:AU189" si="18">F179*AM179</f>
        <v>0</v>
      </c>
      <c r="AV179" s="233">
        <f t="shared" ref="AV179:AV189" si="19">F179*AN179</f>
        <v>0</v>
      </c>
      <c r="AW179" s="234" t="s">
        <v>454</v>
      </c>
      <c r="AX179" s="234" t="s">
        <v>455</v>
      </c>
      <c r="AY179" s="229" t="s">
        <v>164</v>
      </c>
      <c r="BA179" s="233">
        <f t="shared" ref="BA179:BA189" si="20">AU179+AV179</f>
        <v>0</v>
      </c>
      <c r="BB179" s="233">
        <f t="shared" ref="BB179:BB189" si="21">G179/(100-BC179)*100</f>
        <v>0</v>
      </c>
      <c r="BC179" s="233">
        <v>0</v>
      </c>
      <c r="BD179" s="233">
        <f t="shared" ref="BD179:BD189" si="22">L179</f>
        <v>0</v>
      </c>
      <c r="BF179" s="233">
        <f t="shared" ref="BF179:BF189" si="23">F179*AM179</f>
        <v>0</v>
      </c>
      <c r="BG179" s="233">
        <f t="shared" ref="BG179:BG189" si="24">F179*AN179</f>
        <v>0</v>
      </c>
      <c r="BH179" s="233">
        <f t="shared" ref="BH179:BH189" si="25">F179*G179</f>
        <v>0</v>
      </c>
      <c r="BI179" s="233"/>
      <c r="BJ179" s="233"/>
      <c r="BU179" s="233" t="e">
        <f>#REF!</f>
        <v>#REF!</v>
      </c>
      <c r="BV179" s="225" t="s">
        <v>710</v>
      </c>
    </row>
    <row r="180" spans="1:74" ht="14.4" x14ac:dyDescent="0.3">
      <c r="A180" s="239" t="s">
        <v>580</v>
      </c>
      <c r="B180" s="223" t="s">
        <v>715</v>
      </c>
      <c r="C180" s="521" t="s">
        <v>716</v>
      </c>
      <c r="D180" s="519"/>
      <c r="E180" s="223" t="s">
        <v>471</v>
      </c>
      <c r="F180" s="233">
        <v>2</v>
      </c>
      <c r="G180" s="311">
        <v>0</v>
      </c>
      <c r="H180" s="233">
        <f t="shared" si="0"/>
        <v>0</v>
      </c>
      <c r="I180" s="233">
        <f t="shared" si="1"/>
        <v>0</v>
      </c>
      <c r="J180" s="233">
        <f t="shared" si="2"/>
        <v>0</v>
      </c>
      <c r="K180" s="233">
        <v>0</v>
      </c>
      <c r="L180" s="233">
        <f t="shared" si="3"/>
        <v>0</v>
      </c>
      <c r="M180" s="240" t="s">
        <v>154</v>
      </c>
      <c r="X180" s="233">
        <f t="shared" si="4"/>
        <v>0</v>
      </c>
      <c r="Z180" s="233">
        <f t="shared" si="5"/>
        <v>0</v>
      </c>
      <c r="AA180" s="233">
        <f t="shared" si="6"/>
        <v>0</v>
      </c>
      <c r="AB180" s="233">
        <f t="shared" si="7"/>
        <v>0</v>
      </c>
      <c r="AC180" s="233">
        <f t="shared" si="8"/>
        <v>0</v>
      </c>
      <c r="AD180" s="233">
        <f t="shared" si="9"/>
        <v>0</v>
      </c>
      <c r="AE180" s="233">
        <f t="shared" si="10"/>
        <v>0</v>
      </c>
      <c r="AF180" s="233">
        <f t="shared" si="11"/>
        <v>0</v>
      </c>
      <c r="AG180" s="229" t="s">
        <v>154</v>
      </c>
      <c r="AH180" s="233">
        <f t="shared" si="12"/>
        <v>0</v>
      </c>
      <c r="AI180" s="233">
        <f t="shared" si="13"/>
        <v>0</v>
      </c>
      <c r="AJ180" s="233">
        <f t="shared" si="14"/>
        <v>0</v>
      </c>
      <c r="AL180" s="233">
        <v>21</v>
      </c>
      <c r="AM180" s="233">
        <f t="shared" si="15"/>
        <v>0</v>
      </c>
      <c r="AN180" s="233">
        <f t="shared" si="16"/>
        <v>0</v>
      </c>
      <c r="AO180" s="234" t="s">
        <v>453</v>
      </c>
      <c r="AT180" s="233">
        <f t="shared" si="17"/>
        <v>0</v>
      </c>
      <c r="AU180" s="233">
        <f t="shared" si="18"/>
        <v>0</v>
      </c>
      <c r="AV180" s="233">
        <f t="shared" si="19"/>
        <v>0</v>
      </c>
      <c r="AW180" s="234" t="s">
        <v>454</v>
      </c>
      <c r="AX180" s="234" t="s">
        <v>455</v>
      </c>
      <c r="AY180" s="229" t="s">
        <v>164</v>
      </c>
      <c r="BA180" s="233">
        <f t="shared" si="20"/>
        <v>0</v>
      </c>
      <c r="BB180" s="233">
        <f t="shared" si="21"/>
        <v>0</v>
      </c>
      <c r="BC180" s="233">
        <v>0</v>
      </c>
      <c r="BD180" s="233">
        <f t="shared" si="22"/>
        <v>0</v>
      </c>
      <c r="BF180" s="233">
        <f t="shared" si="23"/>
        <v>0</v>
      </c>
      <c r="BG180" s="233">
        <f t="shared" si="24"/>
        <v>0</v>
      </c>
      <c r="BH180" s="233">
        <f t="shared" si="25"/>
        <v>0</v>
      </c>
      <c r="BI180" s="233"/>
      <c r="BJ180" s="233"/>
      <c r="BU180" s="233" t="e">
        <f>#REF!</f>
        <v>#REF!</v>
      </c>
      <c r="BV180" s="225" t="s">
        <v>716</v>
      </c>
    </row>
    <row r="181" spans="1:74" ht="14.4" x14ac:dyDescent="0.3">
      <c r="A181" s="239" t="s">
        <v>584</v>
      </c>
      <c r="B181" s="223" t="s">
        <v>721</v>
      </c>
      <c r="C181" s="521" t="s">
        <v>722</v>
      </c>
      <c r="D181" s="519"/>
      <c r="E181" s="223" t="s">
        <v>471</v>
      </c>
      <c r="F181" s="233">
        <v>2</v>
      </c>
      <c r="G181" s="311">
        <v>0</v>
      </c>
      <c r="H181" s="233">
        <f t="shared" si="0"/>
        <v>0</v>
      </c>
      <c r="I181" s="233">
        <f t="shared" si="1"/>
        <v>0</v>
      </c>
      <c r="J181" s="233">
        <f t="shared" si="2"/>
        <v>0</v>
      </c>
      <c r="K181" s="233">
        <v>0</v>
      </c>
      <c r="L181" s="233">
        <f t="shared" si="3"/>
        <v>0</v>
      </c>
      <c r="M181" s="240" t="s">
        <v>154</v>
      </c>
      <c r="X181" s="233">
        <f t="shared" si="4"/>
        <v>0</v>
      </c>
      <c r="Z181" s="233">
        <f t="shared" si="5"/>
        <v>0</v>
      </c>
      <c r="AA181" s="233">
        <f t="shared" si="6"/>
        <v>0</v>
      </c>
      <c r="AB181" s="233">
        <f t="shared" si="7"/>
        <v>0</v>
      </c>
      <c r="AC181" s="233">
        <f t="shared" si="8"/>
        <v>0</v>
      </c>
      <c r="AD181" s="233">
        <f t="shared" si="9"/>
        <v>0</v>
      </c>
      <c r="AE181" s="233">
        <f t="shared" si="10"/>
        <v>0</v>
      </c>
      <c r="AF181" s="233">
        <f t="shared" si="11"/>
        <v>0</v>
      </c>
      <c r="AG181" s="229" t="s">
        <v>154</v>
      </c>
      <c r="AH181" s="233">
        <f t="shared" si="12"/>
        <v>0</v>
      </c>
      <c r="AI181" s="233">
        <f t="shared" si="13"/>
        <v>0</v>
      </c>
      <c r="AJ181" s="233">
        <f t="shared" si="14"/>
        <v>0</v>
      </c>
      <c r="AL181" s="233">
        <v>21</v>
      </c>
      <c r="AM181" s="233">
        <f t="shared" si="15"/>
        <v>0</v>
      </c>
      <c r="AN181" s="233">
        <f t="shared" si="16"/>
        <v>0</v>
      </c>
      <c r="AO181" s="234" t="s">
        <v>453</v>
      </c>
      <c r="AT181" s="233">
        <f t="shared" si="17"/>
        <v>0</v>
      </c>
      <c r="AU181" s="233">
        <f t="shared" si="18"/>
        <v>0</v>
      </c>
      <c r="AV181" s="233">
        <f t="shared" si="19"/>
        <v>0</v>
      </c>
      <c r="AW181" s="234" t="s">
        <v>454</v>
      </c>
      <c r="AX181" s="234" t="s">
        <v>455</v>
      </c>
      <c r="AY181" s="229" t="s">
        <v>164</v>
      </c>
      <c r="BA181" s="233">
        <f t="shared" si="20"/>
        <v>0</v>
      </c>
      <c r="BB181" s="233">
        <f t="shared" si="21"/>
        <v>0</v>
      </c>
      <c r="BC181" s="233">
        <v>0</v>
      </c>
      <c r="BD181" s="233">
        <f t="shared" si="22"/>
        <v>0</v>
      </c>
      <c r="BF181" s="233">
        <f t="shared" si="23"/>
        <v>0</v>
      </c>
      <c r="BG181" s="233">
        <f t="shared" si="24"/>
        <v>0</v>
      </c>
      <c r="BH181" s="233">
        <f t="shared" si="25"/>
        <v>0</v>
      </c>
      <c r="BI181" s="233"/>
      <c r="BJ181" s="233"/>
      <c r="BU181" s="233" t="e">
        <f>#REF!</f>
        <v>#REF!</v>
      </c>
      <c r="BV181" s="225" t="s">
        <v>722</v>
      </c>
    </row>
    <row r="182" spans="1:74" ht="14.4" x14ac:dyDescent="0.3">
      <c r="A182" s="239" t="s">
        <v>585</v>
      </c>
      <c r="B182" s="223" t="s">
        <v>791</v>
      </c>
      <c r="C182" s="521" t="s">
        <v>792</v>
      </c>
      <c r="D182" s="519"/>
      <c r="E182" s="223" t="s">
        <v>471</v>
      </c>
      <c r="F182" s="233">
        <v>1</v>
      </c>
      <c r="G182" s="311">
        <v>0</v>
      </c>
      <c r="H182" s="233">
        <f t="shared" si="0"/>
        <v>0</v>
      </c>
      <c r="I182" s="233">
        <f t="shared" si="1"/>
        <v>0</v>
      </c>
      <c r="J182" s="233">
        <f t="shared" si="2"/>
        <v>0</v>
      </c>
      <c r="K182" s="233">
        <v>2.4500000000000001E-2</v>
      </c>
      <c r="L182" s="233">
        <f t="shared" si="3"/>
        <v>2.4500000000000001E-2</v>
      </c>
      <c r="M182" s="240" t="s">
        <v>472</v>
      </c>
      <c r="X182" s="233">
        <f t="shared" si="4"/>
        <v>0</v>
      </c>
      <c r="Z182" s="233">
        <f t="shared" si="5"/>
        <v>0</v>
      </c>
      <c r="AA182" s="233">
        <f t="shared" si="6"/>
        <v>0</v>
      </c>
      <c r="AB182" s="233">
        <f t="shared" si="7"/>
        <v>0</v>
      </c>
      <c r="AC182" s="233">
        <f t="shared" si="8"/>
        <v>0</v>
      </c>
      <c r="AD182" s="233">
        <f t="shared" si="9"/>
        <v>0</v>
      </c>
      <c r="AE182" s="233">
        <f t="shared" si="10"/>
        <v>0</v>
      </c>
      <c r="AF182" s="233">
        <f t="shared" si="11"/>
        <v>0</v>
      </c>
      <c r="AG182" s="229" t="s">
        <v>154</v>
      </c>
      <c r="AH182" s="233">
        <f t="shared" si="12"/>
        <v>0</v>
      </c>
      <c r="AI182" s="233">
        <f t="shared" si="13"/>
        <v>0</v>
      </c>
      <c r="AJ182" s="233">
        <f t="shared" si="14"/>
        <v>0</v>
      </c>
      <c r="AL182" s="233">
        <v>21</v>
      </c>
      <c r="AM182" s="233">
        <f t="shared" si="15"/>
        <v>0</v>
      </c>
      <c r="AN182" s="233">
        <f t="shared" si="16"/>
        <v>0</v>
      </c>
      <c r="AO182" s="234" t="s">
        <v>453</v>
      </c>
      <c r="AT182" s="233">
        <f t="shared" si="17"/>
        <v>0</v>
      </c>
      <c r="AU182" s="233">
        <f t="shared" si="18"/>
        <v>0</v>
      </c>
      <c r="AV182" s="233">
        <f t="shared" si="19"/>
        <v>0</v>
      </c>
      <c r="AW182" s="234" t="s">
        <v>454</v>
      </c>
      <c r="AX182" s="234" t="s">
        <v>455</v>
      </c>
      <c r="AY182" s="229" t="s">
        <v>164</v>
      </c>
      <c r="BA182" s="233">
        <f t="shared" si="20"/>
        <v>0</v>
      </c>
      <c r="BB182" s="233">
        <f t="shared" si="21"/>
        <v>0</v>
      </c>
      <c r="BC182" s="233">
        <v>0</v>
      </c>
      <c r="BD182" s="233">
        <f t="shared" si="22"/>
        <v>2.4500000000000001E-2</v>
      </c>
      <c r="BF182" s="233">
        <f t="shared" si="23"/>
        <v>0</v>
      </c>
      <c r="BG182" s="233">
        <f t="shared" si="24"/>
        <v>0</v>
      </c>
      <c r="BH182" s="233">
        <f t="shared" si="25"/>
        <v>0</v>
      </c>
      <c r="BI182" s="233"/>
      <c r="BJ182" s="233"/>
      <c r="BU182" s="233" t="e">
        <f>#REF!</f>
        <v>#REF!</v>
      </c>
      <c r="BV182" s="225" t="s">
        <v>792</v>
      </c>
    </row>
    <row r="183" spans="1:74" ht="14.4" x14ac:dyDescent="0.3">
      <c r="A183" s="239" t="s">
        <v>589</v>
      </c>
      <c r="B183" s="223" t="s">
        <v>739</v>
      </c>
      <c r="C183" s="521" t="s">
        <v>740</v>
      </c>
      <c r="D183" s="519"/>
      <c r="E183" s="223" t="s">
        <v>471</v>
      </c>
      <c r="F183" s="233">
        <v>1</v>
      </c>
      <c r="G183" s="311">
        <v>0</v>
      </c>
      <c r="H183" s="233">
        <f t="shared" si="0"/>
        <v>0</v>
      </c>
      <c r="I183" s="233">
        <f t="shared" si="1"/>
        <v>0</v>
      </c>
      <c r="J183" s="233">
        <f t="shared" si="2"/>
        <v>0</v>
      </c>
      <c r="K183" s="233">
        <v>0</v>
      </c>
      <c r="L183" s="233">
        <f t="shared" si="3"/>
        <v>0</v>
      </c>
      <c r="M183" s="240" t="s">
        <v>154</v>
      </c>
      <c r="X183" s="233">
        <f t="shared" si="4"/>
        <v>0</v>
      </c>
      <c r="Z183" s="233">
        <f t="shared" si="5"/>
        <v>0</v>
      </c>
      <c r="AA183" s="233">
        <f t="shared" si="6"/>
        <v>0</v>
      </c>
      <c r="AB183" s="233">
        <f t="shared" si="7"/>
        <v>0</v>
      </c>
      <c r="AC183" s="233">
        <f t="shared" si="8"/>
        <v>0</v>
      </c>
      <c r="AD183" s="233">
        <f t="shared" si="9"/>
        <v>0</v>
      </c>
      <c r="AE183" s="233">
        <f t="shared" si="10"/>
        <v>0</v>
      </c>
      <c r="AF183" s="233">
        <f t="shared" si="11"/>
        <v>0</v>
      </c>
      <c r="AG183" s="229" t="s">
        <v>154</v>
      </c>
      <c r="AH183" s="233">
        <f t="shared" si="12"/>
        <v>0</v>
      </c>
      <c r="AI183" s="233">
        <f t="shared" si="13"/>
        <v>0</v>
      </c>
      <c r="AJ183" s="233">
        <f t="shared" si="14"/>
        <v>0</v>
      </c>
      <c r="AL183" s="233">
        <v>21</v>
      </c>
      <c r="AM183" s="233">
        <f t="shared" si="15"/>
        <v>0</v>
      </c>
      <c r="AN183" s="233">
        <f t="shared" si="16"/>
        <v>0</v>
      </c>
      <c r="AO183" s="234" t="s">
        <v>453</v>
      </c>
      <c r="AT183" s="233">
        <f t="shared" si="17"/>
        <v>0</v>
      </c>
      <c r="AU183" s="233">
        <f t="shared" si="18"/>
        <v>0</v>
      </c>
      <c r="AV183" s="233">
        <f t="shared" si="19"/>
        <v>0</v>
      </c>
      <c r="AW183" s="234" t="s">
        <v>454</v>
      </c>
      <c r="AX183" s="234" t="s">
        <v>455</v>
      </c>
      <c r="AY183" s="229" t="s">
        <v>164</v>
      </c>
      <c r="BA183" s="233">
        <f t="shared" si="20"/>
        <v>0</v>
      </c>
      <c r="BB183" s="233">
        <f t="shared" si="21"/>
        <v>0</v>
      </c>
      <c r="BC183" s="233">
        <v>0</v>
      </c>
      <c r="BD183" s="233">
        <f t="shared" si="22"/>
        <v>0</v>
      </c>
      <c r="BF183" s="233">
        <f t="shared" si="23"/>
        <v>0</v>
      </c>
      <c r="BG183" s="233">
        <f t="shared" si="24"/>
        <v>0</v>
      </c>
      <c r="BH183" s="233">
        <f t="shared" si="25"/>
        <v>0</v>
      </c>
      <c r="BI183" s="233"/>
      <c r="BJ183" s="233"/>
      <c r="BU183" s="233" t="e">
        <f>#REF!</f>
        <v>#REF!</v>
      </c>
      <c r="BV183" s="225" t="s">
        <v>740</v>
      </c>
    </row>
    <row r="184" spans="1:74" ht="14.4" x14ac:dyDescent="0.3">
      <c r="A184" s="239" t="s">
        <v>593</v>
      </c>
      <c r="B184" s="223" t="s">
        <v>742</v>
      </c>
      <c r="C184" s="521" t="s">
        <v>743</v>
      </c>
      <c r="D184" s="519"/>
      <c r="E184" s="223" t="s">
        <v>471</v>
      </c>
      <c r="F184" s="233">
        <v>1</v>
      </c>
      <c r="G184" s="311">
        <v>0</v>
      </c>
      <c r="H184" s="233">
        <f t="shared" si="0"/>
        <v>0</v>
      </c>
      <c r="I184" s="233">
        <f t="shared" si="1"/>
        <v>0</v>
      </c>
      <c r="J184" s="233">
        <f t="shared" si="2"/>
        <v>0</v>
      </c>
      <c r="K184" s="233">
        <v>0</v>
      </c>
      <c r="L184" s="233">
        <f t="shared" si="3"/>
        <v>0</v>
      </c>
      <c r="M184" s="240" t="s">
        <v>154</v>
      </c>
      <c r="X184" s="233">
        <f t="shared" si="4"/>
        <v>0</v>
      </c>
      <c r="Z184" s="233">
        <f t="shared" si="5"/>
        <v>0</v>
      </c>
      <c r="AA184" s="233">
        <f t="shared" si="6"/>
        <v>0</v>
      </c>
      <c r="AB184" s="233">
        <f t="shared" si="7"/>
        <v>0</v>
      </c>
      <c r="AC184" s="233">
        <f t="shared" si="8"/>
        <v>0</v>
      </c>
      <c r="AD184" s="233">
        <f t="shared" si="9"/>
        <v>0</v>
      </c>
      <c r="AE184" s="233">
        <f t="shared" si="10"/>
        <v>0</v>
      </c>
      <c r="AF184" s="233">
        <f t="shared" si="11"/>
        <v>0</v>
      </c>
      <c r="AG184" s="229" t="s">
        <v>154</v>
      </c>
      <c r="AH184" s="233">
        <f t="shared" si="12"/>
        <v>0</v>
      </c>
      <c r="AI184" s="233">
        <f t="shared" si="13"/>
        <v>0</v>
      </c>
      <c r="AJ184" s="233">
        <f t="shared" si="14"/>
        <v>0</v>
      </c>
      <c r="AL184" s="233">
        <v>21</v>
      </c>
      <c r="AM184" s="233">
        <f t="shared" si="15"/>
        <v>0</v>
      </c>
      <c r="AN184" s="233">
        <f t="shared" si="16"/>
        <v>0</v>
      </c>
      <c r="AO184" s="234" t="s">
        <v>453</v>
      </c>
      <c r="AT184" s="233">
        <f t="shared" si="17"/>
        <v>0</v>
      </c>
      <c r="AU184" s="233">
        <f t="shared" si="18"/>
        <v>0</v>
      </c>
      <c r="AV184" s="233">
        <f t="shared" si="19"/>
        <v>0</v>
      </c>
      <c r="AW184" s="234" t="s">
        <v>454</v>
      </c>
      <c r="AX184" s="234" t="s">
        <v>455</v>
      </c>
      <c r="AY184" s="229" t="s">
        <v>164</v>
      </c>
      <c r="BA184" s="233">
        <f t="shared" si="20"/>
        <v>0</v>
      </c>
      <c r="BB184" s="233">
        <f t="shared" si="21"/>
        <v>0</v>
      </c>
      <c r="BC184" s="233">
        <v>0</v>
      </c>
      <c r="BD184" s="233">
        <f t="shared" si="22"/>
        <v>0</v>
      </c>
      <c r="BF184" s="233">
        <f t="shared" si="23"/>
        <v>0</v>
      </c>
      <c r="BG184" s="233">
        <f t="shared" si="24"/>
        <v>0</v>
      </c>
      <c r="BH184" s="233">
        <f t="shared" si="25"/>
        <v>0</v>
      </c>
      <c r="BI184" s="233"/>
      <c r="BJ184" s="233"/>
      <c r="BU184" s="233" t="e">
        <f>#REF!</f>
        <v>#REF!</v>
      </c>
      <c r="BV184" s="225" t="s">
        <v>743</v>
      </c>
    </row>
    <row r="185" spans="1:74" ht="14.4" x14ac:dyDescent="0.3">
      <c r="A185" s="239" t="s">
        <v>597</v>
      </c>
      <c r="B185" s="223" t="s">
        <v>745</v>
      </c>
      <c r="C185" s="521" t="s">
        <v>746</v>
      </c>
      <c r="D185" s="519"/>
      <c r="E185" s="223" t="s">
        <v>471</v>
      </c>
      <c r="F185" s="233">
        <v>1</v>
      </c>
      <c r="G185" s="311">
        <v>0</v>
      </c>
      <c r="H185" s="233">
        <f t="shared" si="0"/>
        <v>0</v>
      </c>
      <c r="I185" s="233">
        <f t="shared" si="1"/>
        <v>0</v>
      </c>
      <c r="J185" s="233">
        <f t="shared" si="2"/>
        <v>0</v>
      </c>
      <c r="K185" s="233">
        <v>0</v>
      </c>
      <c r="L185" s="233">
        <f t="shared" si="3"/>
        <v>0</v>
      </c>
      <c r="M185" s="240" t="s">
        <v>154</v>
      </c>
      <c r="X185" s="233">
        <f t="shared" si="4"/>
        <v>0</v>
      </c>
      <c r="Z185" s="233">
        <f t="shared" si="5"/>
        <v>0</v>
      </c>
      <c r="AA185" s="233">
        <f t="shared" si="6"/>
        <v>0</v>
      </c>
      <c r="AB185" s="233">
        <f t="shared" si="7"/>
        <v>0</v>
      </c>
      <c r="AC185" s="233">
        <f t="shared" si="8"/>
        <v>0</v>
      </c>
      <c r="AD185" s="233">
        <f t="shared" si="9"/>
        <v>0</v>
      </c>
      <c r="AE185" s="233">
        <f t="shared" si="10"/>
        <v>0</v>
      </c>
      <c r="AF185" s="233">
        <f t="shared" si="11"/>
        <v>0</v>
      </c>
      <c r="AG185" s="229" t="s">
        <v>154</v>
      </c>
      <c r="AH185" s="233">
        <f t="shared" si="12"/>
        <v>0</v>
      </c>
      <c r="AI185" s="233">
        <f t="shared" si="13"/>
        <v>0</v>
      </c>
      <c r="AJ185" s="233">
        <f t="shared" si="14"/>
        <v>0</v>
      </c>
      <c r="AL185" s="233">
        <v>21</v>
      </c>
      <c r="AM185" s="233">
        <f t="shared" si="15"/>
        <v>0</v>
      </c>
      <c r="AN185" s="233">
        <f t="shared" si="16"/>
        <v>0</v>
      </c>
      <c r="AO185" s="234" t="s">
        <v>453</v>
      </c>
      <c r="AT185" s="233">
        <f t="shared" si="17"/>
        <v>0</v>
      </c>
      <c r="AU185" s="233">
        <f t="shared" si="18"/>
        <v>0</v>
      </c>
      <c r="AV185" s="233">
        <f t="shared" si="19"/>
        <v>0</v>
      </c>
      <c r="AW185" s="234" t="s">
        <v>454</v>
      </c>
      <c r="AX185" s="234" t="s">
        <v>455</v>
      </c>
      <c r="AY185" s="229" t="s">
        <v>164</v>
      </c>
      <c r="BA185" s="233">
        <f t="shared" si="20"/>
        <v>0</v>
      </c>
      <c r="BB185" s="233">
        <f t="shared" si="21"/>
        <v>0</v>
      </c>
      <c r="BC185" s="233">
        <v>0</v>
      </c>
      <c r="BD185" s="233">
        <f t="shared" si="22"/>
        <v>0</v>
      </c>
      <c r="BF185" s="233">
        <f t="shared" si="23"/>
        <v>0</v>
      </c>
      <c r="BG185" s="233">
        <f t="shared" si="24"/>
        <v>0</v>
      </c>
      <c r="BH185" s="233">
        <f t="shared" si="25"/>
        <v>0</v>
      </c>
      <c r="BI185" s="233"/>
      <c r="BJ185" s="233"/>
      <c r="BU185" s="233" t="e">
        <f>#REF!</f>
        <v>#REF!</v>
      </c>
      <c r="BV185" s="225" t="s">
        <v>746</v>
      </c>
    </row>
    <row r="186" spans="1:74" ht="14.4" x14ac:dyDescent="0.3">
      <c r="A186" s="239" t="s">
        <v>350</v>
      </c>
      <c r="B186" s="223" t="s">
        <v>793</v>
      </c>
      <c r="C186" s="521" t="s">
        <v>794</v>
      </c>
      <c r="D186" s="519"/>
      <c r="E186" s="223" t="s">
        <v>365</v>
      </c>
      <c r="F186" s="233">
        <v>1</v>
      </c>
      <c r="G186" s="311">
        <v>0</v>
      </c>
      <c r="H186" s="233">
        <f t="shared" si="0"/>
        <v>0</v>
      </c>
      <c r="I186" s="233">
        <f t="shared" si="1"/>
        <v>0</v>
      </c>
      <c r="J186" s="233">
        <f t="shared" si="2"/>
        <v>0</v>
      </c>
      <c r="K186" s="233">
        <v>1.0800000000000001E-2</v>
      </c>
      <c r="L186" s="233">
        <f t="shared" si="3"/>
        <v>1.0800000000000001E-2</v>
      </c>
      <c r="M186" s="240" t="s">
        <v>472</v>
      </c>
      <c r="X186" s="233">
        <f t="shared" si="4"/>
        <v>0</v>
      </c>
      <c r="Z186" s="233">
        <f t="shared" si="5"/>
        <v>0</v>
      </c>
      <c r="AA186" s="233">
        <f t="shared" si="6"/>
        <v>0</v>
      </c>
      <c r="AB186" s="233">
        <f t="shared" si="7"/>
        <v>0</v>
      </c>
      <c r="AC186" s="233">
        <f t="shared" si="8"/>
        <v>0</v>
      </c>
      <c r="AD186" s="233">
        <f t="shared" si="9"/>
        <v>0</v>
      </c>
      <c r="AE186" s="233">
        <f t="shared" si="10"/>
        <v>0</v>
      </c>
      <c r="AF186" s="233">
        <f t="shared" si="11"/>
        <v>0</v>
      </c>
      <c r="AG186" s="229" t="s">
        <v>154</v>
      </c>
      <c r="AH186" s="233">
        <f t="shared" si="12"/>
        <v>0</v>
      </c>
      <c r="AI186" s="233">
        <f t="shared" si="13"/>
        <v>0</v>
      </c>
      <c r="AJ186" s="233">
        <f t="shared" si="14"/>
        <v>0</v>
      </c>
      <c r="AL186" s="233">
        <v>21</v>
      </c>
      <c r="AM186" s="233">
        <f t="shared" si="15"/>
        <v>0</v>
      </c>
      <c r="AN186" s="233">
        <f t="shared" si="16"/>
        <v>0</v>
      </c>
      <c r="AO186" s="234" t="s">
        <v>453</v>
      </c>
      <c r="AT186" s="233">
        <f t="shared" si="17"/>
        <v>0</v>
      </c>
      <c r="AU186" s="233">
        <f t="shared" si="18"/>
        <v>0</v>
      </c>
      <c r="AV186" s="233">
        <f t="shared" si="19"/>
        <v>0</v>
      </c>
      <c r="AW186" s="234" t="s">
        <v>454</v>
      </c>
      <c r="AX186" s="234" t="s">
        <v>455</v>
      </c>
      <c r="AY186" s="229" t="s">
        <v>164</v>
      </c>
      <c r="BA186" s="233">
        <f t="shared" si="20"/>
        <v>0</v>
      </c>
      <c r="BB186" s="233">
        <f t="shared" si="21"/>
        <v>0</v>
      </c>
      <c r="BC186" s="233">
        <v>0</v>
      </c>
      <c r="BD186" s="233">
        <f t="shared" si="22"/>
        <v>1.0800000000000001E-2</v>
      </c>
      <c r="BF186" s="233">
        <f t="shared" si="23"/>
        <v>0</v>
      </c>
      <c r="BG186" s="233">
        <f t="shared" si="24"/>
        <v>0</v>
      </c>
      <c r="BH186" s="233">
        <f t="shared" si="25"/>
        <v>0</v>
      </c>
      <c r="BI186" s="233"/>
      <c r="BJ186" s="233"/>
      <c r="BU186" s="233" t="e">
        <f>#REF!</f>
        <v>#REF!</v>
      </c>
      <c r="BV186" s="225" t="s">
        <v>794</v>
      </c>
    </row>
    <row r="187" spans="1:74" ht="14.4" x14ac:dyDescent="0.3">
      <c r="A187" s="239" t="s">
        <v>601</v>
      </c>
      <c r="B187" s="223" t="s">
        <v>757</v>
      </c>
      <c r="C187" s="521" t="s">
        <v>758</v>
      </c>
      <c r="D187" s="519"/>
      <c r="E187" s="223" t="s">
        <v>471</v>
      </c>
      <c r="F187" s="233">
        <v>1</v>
      </c>
      <c r="G187" s="311">
        <v>0</v>
      </c>
      <c r="H187" s="233">
        <f t="shared" si="0"/>
        <v>0</v>
      </c>
      <c r="I187" s="233">
        <f t="shared" si="1"/>
        <v>0</v>
      </c>
      <c r="J187" s="233">
        <f t="shared" si="2"/>
        <v>0</v>
      </c>
      <c r="K187" s="233">
        <v>0</v>
      </c>
      <c r="L187" s="233">
        <f t="shared" si="3"/>
        <v>0</v>
      </c>
      <c r="M187" s="240" t="s">
        <v>154</v>
      </c>
      <c r="X187" s="233">
        <f t="shared" si="4"/>
        <v>0</v>
      </c>
      <c r="Z187" s="233">
        <f t="shared" si="5"/>
        <v>0</v>
      </c>
      <c r="AA187" s="233">
        <f t="shared" si="6"/>
        <v>0</v>
      </c>
      <c r="AB187" s="233">
        <f t="shared" si="7"/>
        <v>0</v>
      </c>
      <c r="AC187" s="233">
        <f t="shared" si="8"/>
        <v>0</v>
      </c>
      <c r="AD187" s="233">
        <f t="shared" si="9"/>
        <v>0</v>
      </c>
      <c r="AE187" s="233">
        <f t="shared" si="10"/>
        <v>0</v>
      </c>
      <c r="AF187" s="233">
        <f t="shared" si="11"/>
        <v>0</v>
      </c>
      <c r="AG187" s="229" t="s">
        <v>154</v>
      </c>
      <c r="AH187" s="233">
        <f t="shared" si="12"/>
        <v>0</v>
      </c>
      <c r="AI187" s="233">
        <f t="shared" si="13"/>
        <v>0</v>
      </c>
      <c r="AJ187" s="233">
        <f t="shared" si="14"/>
        <v>0</v>
      </c>
      <c r="AL187" s="233">
        <v>21</v>
      </c>
      <c r="AM187" s="233">
        <f t="shared" si="15"/>
        <v>0</v>
      </c>
      <c r="AN187" s="233">
        <f t="shared" si="16"/>
        <v>0</v>
      </c>
      <c r="AO187" s="234" t="s">
        <v>453</v>
      </c>
      <c r="AT187" s="233">
        <f t="shared" si="17"/>
        <v>0</v>
      </c>
      <c r="AU187" s="233">
        <f t="shared" si="18"/>
        <v>0</v>
      </c>
      <c r="AV187" s="233">
        <f t="shared" si="19"/>
        <v>0</v>
      </c>
      <c r="AW187" s="234" t="s">
        <v>454</v>
      </c>
      <c r="AX187" s="234" t="s">
        <v>455</v>
      </c>
      <c r="AY187" s="229" t="s">
        <v>164</v>
      </c>
      <c r="BA187" s="233">
        <f t="shared" si="20"/>
        <v>0</v>
      </c>
      <c r="BB187" s="233">
        <f t="shared" si="21"/>
        <v>0</v>
      </c>
      <c r="BC187" s="233">
        <v>0</v>
      </c>
      <c r="BD187" s="233">
        <f t="shared" si="22"/>
        <v>0</v>
      </c>
      <c r="BF187" s="233">
        <f t="shared" si="23"/>
        <v>0</v>
      </c>
      <c r="BG187" s="233">
        <f t="shared" si="24"/>
        <v>0</v>
      </c>
      <c r="BH187" s="233">
        <f t="shared" si="25"/>
        <v>0</v>
      </c>
      <c r="BI187" s="233"/>
      <c r="BJ187" s="233"/>
      <c r="BU187" s="233" t="e">
        <f>#REF!</f>
        <v>#REF!</v>
      </c>
      <c r="BV187" s="225" t="s">
        <v>758</v>
      </c>
    </row>
    <row r="188" spans="1:74" ht="14.4" x14ac:dyDescent="0.3">
      <c r="A188" s="239" t="s">
        <v>529</v>
      </c>
      <c r="B188" s="223" t="s">
        <v>760</v>
      </c>
      <c r="C188" s="521" t="s">
        <v>761</v>
      </c>
      <c r="D188" s="519"/>
      <c r="E188" s="223" t="s">
        <v>471</v>
      </c>
      <c r="F188" s="233">
        <v>1</v>
      </c>
      <c r="G188" s="311">
        <v>0</v>
      </c>
      <c r="H188" s="233">
        <f t="shared" si="0"/>
        <v>0</v>
      </c>
      <c r="I188" s="233">
        <f t="shared" si="1"/>
        <v>0</v>
      </c>
      <c r="J188" s="233">
        <f t="shared" si="2"/>
        <v>0</v>
      </c>
      <c r="K188" s="233">
        <v>0</v>
      </c>
      <c r="L188" s="233">
        <f t="shared" si="3"/>
        <v>0</v>
      </c>
      <c r="M188" s="240" t="s">
        <v>154</v>
      </c>
      <c r="X188" s="233">
        <f t="shared" si="4"/>
        <v>0</v>
      </c>
      <c r="Z188" s="233">
        <f t="shared" si="5"/>
        <v>0</v>
      </c>
      <c r="AA188" s="233">
        <f t="shared" si="6"/>
        <v>0</v>
      </c>
      <c r="AB188" s="233">
        <f t="shared" si="7"/>
        <v>0</v>
      </c>
      <c r="AC188" s="233">
        <f t="shared" si="8"/>
        <v>0</v>
      </c>
      <c r="AD188" s="233">
        <f t="shared" si="9"/>
        <v>0</v>
      </c>
      <c r="AE188" s="233">
        <f t="shared" si="10"/>
        <v>0</v>
      </c>
      <c r="AF188" s="233">
        <f t="shared" si="11"/>
        <v>0</v>
      </c>
      <c r="AG188" s="229" t="s">
        <v>154</v>
      </c>
      <c r="AH188" s="233">
        <f t="shared" si="12"/>
        <v>0</v>
      </c>
      <c r="AI188" s="233">
        <f t="shared" si="13"/>
        <v>0</v>
      </c>
      <c r="AJ188" s="233">
        <f t="shared" si="14"/>
        <v>0</v>
      </c>
      <c r="AL188" s="233">
        <v>21</v>
      </c>
      <c r="AM188" s="233">
        <f t="shared" si="15"/>
        <v>0</v>
      </c>
      <c r="AN188" s="233">
        <f t="shared" si="16"/>
        <v>0</v>
      </c>
      <c r="AO188" s="234" t="s">
        <v>453</v>
      </c>
      <c r="AT188" s="233">
        <f t="shared" si="17"/>
        <v>0</v>
      </c>
      <c r="AU188" s="233">
        <f t="shared" si="18"/>
        <v>0</v>
      </c>
      <c r="AV188" s="233">
        <f t="shared" si="19"/>
        <v>0</v>
      </c>
      <c r="AW188" s="234" t="s">
        <v>454</v>
      </c>
      <c r="AX188" s="234" t="s">
        <v>455</v>
      </c>
      <c r="AY188" s="229" t="s">
        <v>164</v>
      </c>
      <c r="BA188" s="233">
        <f t="shared" si="20"/>
        <v>0</v>
      </c>
      <c r="BB188" s="233">
        <f t="shared" si="21"/>
        <v>0</v>
      </c>
      <c r="BC188" s="233">
        <v>0</v>
      </c>
      <c r="BD188" s="233">
        <f t="shared" si="22"/>
        <v>0</v>
      </c>
      <c r="BF188" s="233">
        <f t="shared" si="23"/>
        <v>0</v>
      </c>
      <c r="BG188" s="233">
        <f t="shared" si="24"/>
        <v>0</v>
      </c>
      <c r="BH188" s="233">
        <f t="shared" si="25"/>
        <v>0</v>
      </c>
      <c r="BI188" s="233"/>
      <c r="BJ188" s="233"/>
      <c r="BU188" s="233" t="e">
        <f>#REF!</f>
        <v>#REF!</v>
      </c>
      <c r="BV188" s="225" t="s">
        <v>761</v>
      </c>
    </row>
    <row r="189" spans="1:74" ht="14.4" x14ac:dyDescent="0.3">
      <c r="A189" s="239" t="s">
        <v>607</v>
      </c>
      <c r="B189" s="223" t="s">
        <v>763</v>
      </c>
      <c r="C189" s="521" t="s">
        <v>764</v>
      </c>
      <c r="D189" s="519"/>
      <c r="E189" s="223" t="s">
        <v>471</v>
      </c>
      <c r="F189" s="233">
        <v>1</v>
      </c>
      <c r="G189" s="311">
        <v>0</v>
      </c>
      <c r="H189" s="233">
        <f t="shared" si="0"/>
        <v>0</v>
      </c>
      <c r="I189" s="233">
        <f t="shared" si="1"/>
        <v>0</v>
      </c>
      <c r="J189" s="233">
        <f t="shared" si="2"/>
        <v>0</v>
      </c>
      <c r="K189" s="233">
        <v>0.01</v>
      </c>
      <c r="L189" s="233">
        <f t="shared" si="3"/>
        <v>0.01</v>
      </c>
      <c r="M189" s="240" t="s">
        <v>472</v>
      </c>
      <c r="X189" s="233">
        <f t="shared" si="4"/>
        <v>0</v>
      </c>
      <c r="Z189" s="233">
        <f t="shared" si="5"/>
        <v>0</v>
      </c>
      <c r="AA189" s="233">
        <f t="shared" si="6"/>
        <v>0</v>
      </c>
      <c r="AB189" s="233">
        <f t="shared" si="7"/>
        <v>0</v>
      </c>
      <c r="AC189" s="233">
        <f t="shared" si="8"/>
        <v>0</v>
      </c>
      <c r="AD189" s="233">
        <f t="shared" si="9"/>
        <v>0</v>
      </c>
      <c r="AE189" s="233">
        <f t="shared" si="10"/>
        <v>0</v>
      </c>
      <c r="AF189" s="233">
        <f t="shared" si="11"/>
        <v>0</v>
      </c>
      <c r="AG189" s="229" t="s">
        <v>154</v>
      </c>
      <c r="AH189" s="233">
        <f t="shared" si="12"/>
        <v>0</v>
      </c>
      <c r="AI189" s="233">
        <f t="shared" si="13"/>
        <v>0</v>
      </c>
      <c r="AJ189" s="233">
        <f t="shared" si="14"/>
        <v>0</v>
      </c>
      <c r="AL189" s="233">
        <v>21</v>
      </c>
      <c r="AM189" s="233">
        <f t="shared" si="15"/>
        <v>0</v>
      </c>
      <c r="AN189" s="233">
        <f t="shared" si="16"/>
        <v>0</v>
      </c>
      <c r="AO189" s="234" t="s">
        <v>453</v>
      </c>
      <c r="AT189" s="233">
        <f t="shared" si="17"/>
        <v>0</v>
      </c>
      <c r="AU189" s="233">
        <f t="shared" si="18"/>
        <v>0</v>
      </c>
      <c r="AV189" s="233">
        <f t="shared" si="19"/>
        <v>0</v>
      </c>
      <c r="AW189" s="234" t="s">
        <v>454</v>
      </c>
      <c r="AX189" s="234" t="s">
        <v>455</v>
      </c>
      <c r="AY189" s="229" t="s">
        <v>164</v>
      </c>
      <c r="BA189" s="233">
        <f t="shared" si="20"/>
        <v>0</v>
      </c>
      <c r="BB189" s="233">
        <f t="shared" si="21"/>
        <v>0</v>
      </c>
      <c r="BC189" s="233">
        <v>0</v>
      </c>
      <c r="BD189" s="233">
        <f t="shared" si="22"/>
        <v>0.01</v>
      </c>
      <c r="BF189" s="233">
        <f t="shared" si="23"/>
        <v>0</v>
      </c>
      <c r="BG189" s="233">
        <f t="shared" si="24"/>
        <v>0</v>
      </c>
      <c r="BH189" s="233">
        <f t="shared" si="25"/>
        <v>0</v>
      </c>
      <c r="BI189" s="233"/>
      <c r="BJ189" s="233"/>
      <c r="BU189" s="233" t="e">
        <f>#REF!</f>
        <v>#REF!</v>
      </c>
      <c r="BV189" s="225" t="s">
        <v>764</v>
      </c>
    </row>
    <row r="190" spans="1:74" ht="40.5" customHeight="1" x14ac:dyDescent="0.3">
      <c r="A190" s="241"/>
      <c r="B190" s="242" t="s">
        <v>165</v>
      </c>
      <c r="C190" s="530" t="s">
        <v>1532</v>
      </c>
      <c r="D190" s="531"/>
      <c r="E190" s="531"/>
      <c r="F190" s="531"/>
      <c r="G190" s="531"/>
      <c r="H190" s="531"/>
      <c r="I190" s="531"/>
      <c r="J190" s="531"/>
      <c r="K190" s="531"/>
      <c r="L190" s="531"/>
      <c r="M190" s="532"/>
    </row>
    <row r="191" spans="1:74" ht="14.4" x14ac:dyDescent="0.3">
      <c r="A191" s="239" t="s">
        <v>539</v>
      </c>
      <c r="B191" s="223" t="s">
        <v>766</v>
      </c>
      <c r="C191" s="521" t="s">
        <v>767</v>
      </c>
      <c r="D191" s="519"/>
      <c r="E191" s="223" t="s">
        <v>471</v>
      </c>
      <c r="F191" s="233">
        <v>1</v>
      </c>
      <c r="G191" s="311">
        <v>0</v>
      </c>
      <c r="H191" s="233">
        <f>F191*AM191</f>
        <v>0</v>
      </c>
      <c r="I191" s="233">
        <f>F191*AN191</f>
        <v>0</v>
      </c>
      <c r="J191" s="233">
        <f>F191*G191</f>
        <v>0</v>
      </c>
      <c r="K191" s="233">
        <v>0</v>
      </c>
      <c r="L191" s="233">
        <f>F191*K191</f>
        <v>0</v>
      </c>
      <c r="M191" s="240" t="s">
        <v>154</v>
      </c>
      <c r="X191" s="233">
        <f>IF(AO191="5",BH191,0)</f>
        <v>0</v>
      </c>
      <c r="Z191" s="233">
        <f>IF(AO191="1",BF191,0)</f>
        <v>0</v>
      </c>
      <c r="AA191" s="233">
        <f>IF(AO191="1",BG191,0)</f>
        <v>0</v>
      </c>
      <c r="AB191" s="233">
        <f>IF(AO191="7",BF191,0)</f>
        <v>0</v>
      </c>
      <c r="AC191" s="233">
        <f>IF(AO191="7",BG191,0)</f>
        <v>0</v>
      </c>
      <c r="AD191" s="233">
        <f>IF(AO191="2",BF191,0)</f>
        <v>0</v>
      </c>
      <c r="AE191" s="233">
        <f>IF(AO191="2",BG191,0)</f>
        <v>0</v>
      </c>
      <c r="AF191" s="233">
        <f>IF(AO191="0",BH191,0)</f>
        <v>0</v>
      </c>
      <c r="AG191" s="229" t="s">
        <v>154</v>
      </c>
      <c r="AH191" s="233">
        <f>IF(AL191=0,J191,0)</f>
        <v>0</v>
      </c>
      <c r="AI191" s="233">
        <f>IF(AL191=15,J191,0)</f>
        <v>0</v>
      </c>
      <c r="AJ191" s="233">
        <f>IF(AL191=21,J191,0)</f>
        <v>0</v>
      </c>
      <c r="AL191" s="233">
        <v>21</v>
      </c>
      <c r="AM191" s="233">
        <f>G191*1</f>
        <v>0</v>
      </c>
      <c r="AN191" s="233">
        <f>G191*(1-1)</f>
        <v>0</v>
      </c>
      <c r="AO191" s="234" t="s">
        <v>453</v>
      </c>
      <c r="AT191" s="233">
        <f>AU191+AV191</f>
        <v>0</v>
      </c>
      <c r="AU191" s="233">
        <f>F191*AM191</f>
        <v>0</v>
      </c>
      <c r="AV191" s="233">
        <f>F191*AN191</f>
        <v>0</v>
      </c>
      <c r="AW191" s="234" t="s">
        <v>454</v>
      </c>
      <c r="AX191" s="234" t="s">
        <v>455</v>
      </c>
      <c r="AY191" s="229" t="s">
        <v>164</v>
      </c>
      <c r="BA191" s="233">
        <f>AU191+AV191</f>
        <v>0</v>
      </c>
      <c r="BB191" s="233">
        <f>G191/(100-BC191)*100</f>
        <v>0</v>
      </c>
      <c r="BC191" s="233">
        <v>0</v>
      </c>
      <c r="BD191" s="233">
        <f>L191</f>
        <v>0</v>
      </c>
      <c r="BF191" s="233">
        <f>F191*AM191</f>
        <v>0</v>
      </c>
      <c r="BG191" s="233">
        <f>F191*AN191</f>
        <v>0</v>
      </c>
      <c r="BH191" s="233">
        <f>F191*G191</f>
        <v>0</v>
      </c>
      <c r="BI191" s="233"/>
      <c r="BJ191" s="233"/>
      <c r="BU191" s="233" t="e">
        <f>#REF!</f>
        <v>#REF!</v>
      </c>
      <c r="BV191" s="225" t="s">
        <v>767</v>
      </c>
    </row>
    <row r="192" spans="1:74" ht="14.4" x14ac:dyDescent="0.3">
      <c r="A192" s="239" t="s">
        <v>613</v>
      </c>
      <c r="B192" s="223" t="s">
        <v>745</v>
      </c>
      <c r="C192" s="521" t="s">
        <v>769</v>
      </c>
      <c r="D192" s="519"/>
      <c r="E192" s="223" t="s">
        <v>471</v>
      </c>
      <c r="F192" s="233">
        <v>1</v>
      </c>
      <c r="G192" s="311">
        <v>0</v>
      </c>
      <c r="H192" s="233">
        <f>F192*AM192</f>
        <v>0</v>
      </c>
      <c r="I192" s="233">
        <f>F192*AN192</f>
        <v>0</v>
      </c>
      <c r="J192" s="233">
        <f>F192*G192</f>
        <v>0</v>
      </c>
      <c r="K192" s="233">
        <v>0</v>
      </c>
      <c r="L192" s="233">
        <f>F192*K192</f>
        <v>0</v>
      </c>
      <c r="M192" s="240" t="s">
        <v>154</v>
      </c>
      <c r="X192" s="233">
        <f>IF(AO192="5",BH192,0)</f>
        <v>0</v>
      </c>
      <c r="Z192" s="233">
        <f>IF(AO192="1",BF192,0)</f>
        <v>0</v>
      </c>
      <c r="AA192" s="233">
        <f>IF(AO192="1",BG192,0)</f>
        <v>0</v>
      </c>
      <c r="AB192" s="233">
        <f>IF(AO192="7",BF192,0)</f>
        <v>0</v>
      </c>
      <c r="AC192" s="233">
        <f>IF(AO192="7",BG192,0)</f>
        <v>0</v>
      </c>
      <c r="AD192" s="233">
        <f>IF(AO192="2",BF192,0)</f>
        <v>0</v>
      </c>
      <c r="AE192" s="233">
        <f>IF(AO192="2",BG192,0)</f>
        <v>0</v>
      </c>
      <c r="AF192" s="233">
        <f>IF(AO192="0",BH192,0)</f>
        <v>0</v>
      </c>
      <c r="AG192" s="229" t="s">
        <v>154</v>
      </c>
      <c r="AH192" s="233">
        <f>IF(AL192=0,J192,0)</f>
        <v>0</v>
      </c>
      <c r="AI192" s="233">
        <f>IF(AL192=15,J192,0)</f>
        <v>0</v>
      </c>
      <c r="AJ192" s="233">
        <f>IF(AL192=21,J192,0)</f>
        <v>0</v>
      </c>
      <c r="AL192" s="233">
        <v>21</v>
      </c>
      <c r="AM192" s="233">
        <f>G192*1</f>
        <v>0</v>
      </c>
      <c r="AN192" s="233">
        <f>G192*(1-1)</f>
        <v>0</v>
      </c>
      <c r="AO192" s="234" t="s">
        <v>453</v>
      </c>
      <c r="AT192" s="233">
        <f>AU192+AV192</f>
        <v>0</v>
      </c>
      <c r="AU192" s="233">
        <f>F192*AM192</f>
        <v>0</v>
      </c>
      <c r="AV192" s="233">
        <f>F192*AN192</f>
        <v>0</v>
      </c>
      <c r="AW192" s="234" t="s">
        <v>454</v>
      </c>
      <c r="AX192" s="234" t="s">
        <v>455</v>
      </c>
      <c r="AY192" s="229" t="s">
        <v>164</v>
      </c>
      <c r="BA192" s="233">
        <f>AU192+AV192</f>
        <v>0</v>
      </c>
      <c r="BB192" s="233">
        <f>G192/(100-BC192)*100</f>
        <v>0</v>
      </c>
      <c r="BC192" s="233">
        <v>0</v>
      </c>
      <c r="BD192" s="233">
        <f>L192</f>
        <v>0</v>
      </c>
      <c r="BF192" s="233">
        <f>F192*AM192</f>
        <v>0</v>
      </c>
      <c r="BG192" s="233">
        <f>F192*AN192</f>
        <v>0</v>
      </c>
      <c r="BH192" s="233">
        <f>F192*G192</f>
        <v>0</v>
      </c>
      <c r="BI192" s="233"/>
      <c r="BJ192" s="233"/>
      <c r="BU192" s="233" t="e">
        <f>#REF!</f>
        <v>#REF!</v>
      </c>
      <c r="BV192" s="225" t="s">
        <v>769</v>
      </c>
    </row>
    <row r="193" spans="1:74" ht="14.4" x14ac:dyDescent="0.3">
      <c r="A193" s="264" t="s">
        <v>360</v>
      </c>
      <c r="B193" s="265" t="s">
        <v>771</v>
      </c>
      <c r="C193" s="547" t="s">
        <v>772</v>
      </c>
      <c r="D193" s="548"/>
      <c r="E193" s="265" t="s">
        <v>365</v>
      </c>
      <c r="F193" s="266">
        <v>1</v>
      </c>
      <c r="G193" s="311">
        <v>0</v>
      </c>
      <c r="H193" s="266">
        <f>F193*AM193</f>
        <v>0</v>
      </c>
      <c r="I193" s="266">
        <f>F193*AN193</f>
        <v>0</v>
      </c>
      <c r="J193" s="266">
        <f>F193*G193</f>
        <v>0</v>
      </c>
      <c r="K193" s="266">
        <v>6.4999999999999997E-3</v>
      </c>
      <c r="L193" s="266">
        <f>F193*K193</f>
        <v>6.4999999999999997E-3</v>
      </c>
      <c r="M193" s="267" t="s">
        <v>472</v>
      </c>
      <c r="X193" s="233">
        <f>IF(AO193="5",BH193,0)</f>
        <v>0</v>
      </c>
      <c r="Z193" s="233">
        <f>IF(AO193="1",BF193,0)</f>
        <v>0</v>
      </c>
      <c r="AA193" s="233">
        <f>IF(AO193="1",BG193,0)</f>
        <v>0</v>
      </c>
      <c r="AB193" s="233">
        <f>IF(AO193="7",BF193,0)</f>
        <v>0</v>
      </c>
      <c r="AC193" s="233">
        <f>IF(AO193="7",BG193,0)</f>
        <v>0</v>
      </c>
      <c r="AD193" s="233">
        <f>IF(AO193="2",BF193,0)</f>
        <v>0</v>
      </c>
      <c r="AE193" s="233">
        <f>IF(AO193="2",BG193,0)</f>
        <v>0</v>
      </c>
      <c r="AF193" s="233">
        <f>IF(AO193="0",BH193,0)</f>
        <v>0</v>
      </c>
      <c r="AG193" s="229" t="s">
        <v>154</v>
      </c>
      <c r="AH193" s="233">
        <f>IF(AL193=0,J193,0)</f>
        <v>0</v>
      </c>
      <c r="AI193" s="233">
        <f>IF(AL193=15,J193,0)</f>
        <v>0</v>
      </c>
      <c r="AJ193" s="233">
        <f>IF(AL193=21,J193,0)</f>
        <v>0</v>
      </c>
      <c r="AL193" s="233">
        <v>21</v>
      </c>
      <c r="AM193" s="233">
        <f>G193*1</f>
        <v>0</v>
      </c>
      <c r="AN193" s="233">
        <f>G193*(1-1)</f>
        <v>0</v>
      </c>
      <c r="AO193" s="234" t="s">
        <v>453</v>
      </c>
      <c r="AT193" s="233">
        <f>AU193+AV193</f>
        <v>0</v>
      </c>
      <c r="AU193" s="233">
        <f>F193*AM193</f>
        <v>0</v>
      </c>
      <c r="AV193" s="233">
        <f>F193*AN193</f>
        <v>0</v>
      </c>
      <c r="AW193" s="234" t="s">
        <v>454</v>
      </c>
      <c r="AX193" s="234" t="s">
        <v>455</v>
      </c>
      <c r="AY193" s="229" t="s">
        <v>164</v>
      </c>
      <c r="BA193" s="233">
        <f>AU193+AV193</f>
        <v>0</v>
      </c>
      <c r="BB193" s="233">
        <f>G193/(100-BC193)*100</f>
        <v>0</v>
      </c>
      <c r="BC193" s="233">
        <v>0</v>
      </c>
      <c r="BD193" s="233">
        <f>L193</f>
        <v>6.4999999999999997E-3</v>
      </c>
      <c r="BF193" s="233">
        <f>F193*AM193</f>
        <v>0</v>
      </c>
      <c r="BG193" s="233">
        <f>F193*AN193</f>
        <v>0</v>
      </c>
      <c r="BH193" s="233">
        <f>F193*G193</f>
        <v>0</v>
      </c>
      <c r="BI193" s="233"/>
      <c r="BJ193" s="233"/>
      <c r="BU193" s="233" t="e">
        <f>#REF!</f>
        <v>#REF!</v>
      </c>
      <c r="BV193" s="225" t="s">
        <v>772</v>
      </c>
    </row>
    <row r="194" spans="1:74" ht="14.4" x14ac:dyDescent="0.3">
      <c r="A194" s="237" t="s">
        <v>615</v>
      </c>
      <c r="B194" s="238" t="s">
        <v>778</v>
      </c>
      <c r="C194" s="543" t="s">
        <v>779</v>
      </c>
      <c r="D194" s="544"/>
      <c r="E194" s="238" t="s">
        <v>160</v>
      </c>
      <c r="F194" s="258">
        <v>47.3</v>
      </c>
      <c r="G194" s="311">
        <v>0</v>
      </c>
      <c r="H194" s="258">
        <f>F194*AM194</f>
        <v>0</v>
      </c>
      <c r="I194" s="258">
        <f>F194*AN194</f>
        <v>0</v>
      </c>
      <c r="J194" s="258">
        <f>F194*G194</f>
        <v>0</v>
      </c>
      <c r="K194" s="258">
        <v>8.0000000000000007E-5</v>
      </c>
      <c r="L194" s="258">
        <f>F194*K194</f>
        <v>3.784E-3</v>
      </c>
      <c r="M194" s="259" t="s">
        <v>472</v>
      </c>
      <c r="X194" s="233">
        <f>IF(AO194="5",BH194,0)</f>
        <v>0</v>
      </c>
      <c r="Z194" s="233">
        <f>IF(AO194="1",BF194,0)</f>
        <v>0</v>
      </c>
      <c r="AA194" s="233">
        <f>IF(AO194="1",BG194,0)</f>
        <v>0</v>
      </c>
      <c r="AB194" s="233">
        <f>IF(AO194="7",BF194,0)</f>
        <v>0</v>
      </c>
      <c r="AC194" s="233">
        <f>IF(AO194="7",BG194,0)</f>
        <v>0</v>
      </c>
      <c r="AD194" s="233">
        <f>IF(AO194="2",BF194,0)</f>
        <v>0</v>
      </c>
      <c r="AE194" s="233">
        <f>IF(AO194="2",BG194,0)</f>
        <v>0</v>
      </c>
      <c r="AF194" s="233">
        <f>IF(AO194="0",BH194,0)</f>
        <v>0</v>
      </c>
      <c r="AG194" s="229" t="s">
        <v>154</v>
      </c>
      <c r="AH194" s="233">
        <f>IF(AL194=0,J194,0)</f>
        <v>0</v>
      </c>
      <c r="AI194" s="233">
        <f>IF(AL194=15,J194,0)</f>
        <v>0</v>
      </c>
      <c r="AJ194" s="233">
        <f>IF(AL194=21,J194,0)</f>
        <v>0</v>
      </c>
      <c r="AL194" s="233">
        <v>21</v>
      </c>
      <c r="AM194" s="233">
        <f>G194*1</f>
        <v>0</v>
      </c>
      <c r="AN194" s="233">
        <f>G194*(1-1)</f>
        <v>0</v>
      </c>
      <c r="AO194" s="234" t="s">
        <v>453</v>
      </c>
      <c r="AT194" s="233">
        <f>AU194+AV194</f>
        <v>0</v>
      </c>
      <c r="AU194" s="233">
        <f>F194*AM194</f>
        <v>0</v>
      </c>
      <c r="AV194" s="233">
        <f>F194*AN194</f>
        <v>0</v>
      </c>
      <c r="AW194" s="234" t="s">
        <v>454</v>
      </c>
      <c r="AX194" s="234" t="s">
        <v>455</v>
      </c>
      <c r="AY194" s="229" t="s">
        <v>164</v>
      </c>
      <c r="BA194" s="233">
        <f>AU194+AV194</f>
        <v>0</v>
      </c>
      <c r="BB194" s="233">
        <f>G194/(100-BC194)*100</f>
        <v>0</v>
      </c>
      <c r="BC194" s="233">
        <v>0</v>
      </c>
      <c r="BD194" s="233">
        <f>L194</f>
        <v>3.784E-3</v>
      </c>
      <c r="BF194" s="233">
        <f>F194*AM194</f>
        <v>0</v>
      </c>
      <c r="BG194" s="233">
        <f>F194*AN194</f>
        <v>0</v>
      </c>
      <c r="BH194" s="233">
        <f>F194*G194</f>
        <v>0</v>
      </c>
      <c r="BI194" s="233"/>
      <c r="BJ194" s="233"/>
      <c r="BU194" s="233" t="e">
        <f>#REF!</f>
        <v>#REF!</v>
      </c>
      <c r="BV194" s="225" t="s">
        <v>779</v>
      </c>
    </row>
    <row r="195" spans="1:74" ht="40.5" customHeight="1" x14ac:dyDescent="0.3">
      <c r="A195" s="241"/>
      <c r="B195" s="242" t="s">
        <v>165</v>
      </c>
      <c r="C195" s="530" t="s">
        <v>1533</v>
      </c>
      <c r="D195" s="531"/>
      <c r="E195" s="531"/>
      <c r="F195" s="531"/>
      <c r="G195" s="531"/>
      <c r="H195" s="531"/>
      <c r="I195" s="531"/>
      <c r="J195" s="531"/>
      <c r="K195" s="531"/>
      <c r="L195" s="531"/>
      <c r="M195" s="532"/>
    </row>
    <row r="196" spans="1:74" ht="14.4" x14ac:dyDescent="0.3">
      <c r="A196" s="239" t="s">
        <v>616</v>
      </c>
      <c r="B196" s="223" t="s">
        <v>781</v>
      </c>
      <c r="C196" s="521" t="s">
        <v>782</v>
      </c>
      <c r="D196" s="519"/>
      <c r="E196" s="223" t="s">
        <v>452</v>
      </c>
      <c r="F196" s="233">
        <v>1</v>
      </c>
      <c r="G196" s="311">
        <v>0</v>
      </c>
      <c r="H196" s="233">
        <f>F196*AM196</f>
        <v>0</v>
      </c>
      <c r="I196" s="233">
        <f>F196*AN196</f>
        <v>0</v>
      </c>
      <c r="J196" s="233">
        <f>F196*G196</f>
        <v>0</v>
      </c>
      <c r="K196" s="233">
        <v>0</v>
      </c>
      <c r="L196" s="233">
        <f>F196*K196</f>
        <v>0</v>
      </c>
      <c r="M196" s="240" t="s">
        <v>472</v>
      </c>
      <c r="X196" s="233">
        <f>IF(AO196="5",BH196,0)</f>
        <v>0</v>
      </c>
      <c r="Z196" s="233">
        <f>IF(AO196="1",BF196,0)</f>
        <v>0</v>
      </c>
      <c r="AA196" s="233">
        <f>IF(AO196="1",BG196,0)</f>
        <v>0</v>
      </c>
      <c r="AB196" s="233">
        <f>IF(AO196="7",BF196,0)</f>
        <v>0</v>
      </c>
      <c r="AC196" s="233">
        <f>IF(AO196="7",BG196,0)</f>
        <v>0</v>
      </c>
      <c r="AD196" s="233">
        <f>IF(AO196="2",BF196,0)</f>
        <v>0</v>
      </c>
      <c r="AE196" s="233">
        <f>IF(AO196="2",BG196,0)</f>
        <v>0</v>
      </c>
      <c r="AF196" s="233">
        <f>IF(AO196="0",BH196,0)</f>
        <v>0</v>
      </c>
      <c r="AG196" s="229" t="s">
        <v>154</v>
      </c>
      <c r="AH196" s="233">
        <f>IF(AL196=0,J196,0)</f>
        <v>0</v>
      </c>
      <c r="AI196" s="233">
        <f>IF(AL196=15,J196,0)</f>
        <v>0</v>
      </c>
      <c r="AJ196" s="233">
        <f>IF(AL196=21,J196,0)</f>
        <v>0</v>
      </c>
      <c r="AL196" s="233">
        <v>21</v>
      </c>
      <c r="AM196" s="233">
        <f>G196*1</f>
        <v>0</v>
      </c>
      <c r="AN196" s="233">
        <f>G196*(1-1)</f>
        <v>0</v>
      </c>
      <c r="AO196" s="234" t="s">
        <v>453</v>
      </c>
      <c r="AT196" s="233">
        <f>AU196+AV196</f>
        <v>0</v>
      </c>
      <c r="AU196" s="233">
        <f>F196*AM196</f>
        <v>0</v>
      </c>
      <c r="AV196" s="233">
        <f>F196*AN196</f>
        <v>0</v>
      </c>
      <c r="AW196" s="234" t="s">
        <v>454</v>
      </c>
      <c r="AX196" s="234" t="s">
        <v>455</v>
      </c>
      <c r="AY196" s="229" t="s">
        <v>164</v>
      </c>
      <c r="BA196" s="233">
        <f>AU196+AV196</f>
        <v>0</v>
      </c>
      <c r="BB196" s="233">
        <f>G196/(100-BC196)*100</f>
        <v>0</v>
      </c>
      <c r="BC196" s="233">
        <v>0</v>
      </c>
      <c r="BD196" s="233">
        <f>L196</f>
        <v>0</v>
      </c>
      <c r="BF196" s="233">
        <f>F196*AM196</f>
        <v>0</v>
      </c>
      <c r="BG196" s="233">
        <f>F196*AN196</f>
        <v>0</v>
      </c>
      <c r="BH196" s="233">
        <f>F196*G196</f>
        <v>0</v>
      </c>
      <c r="BI196" s="233"/>
      <c r="BJ196" s="233"/>
      <c r="BU196" s="233" t="e">
        <f>#REF!</f>
        <v>#REF!</v>
      </c>
      <c r="BV196" s="225" t="s">
        <v>782</v>
      </c>
    </row>
    <row r="197" spans="1:74" ht="27" customHeight="1" x14ac:dyDescent="0.3">
      <c r="A197" s="241"/>
      <c r="B197" s="242" t="s">
        <v>165</v>
      </c>
      <c r="C197" s="530" t="s">
        <v>1480</v>
      </c>
      <c r="D197" s="531"/>
      <c r="E197" s="531"/>
      <c r="F197" s="531"/>
      <c r="G197" s="531"/>
      <c r="H197" s="531"/>
      <c r="I197" s="531"/>
      <c r="J197" s="531"/>
      <c r="K197" s="531"/>
      <c r="L197" s="531"/>
      <c r="M197" s="532"/>
    </row>
    <row r="198" spans="1:74" ht="14.4" x14ac:dyDescent="0.3">
      <c r="A198" s="239" t="s">
        <v>617</v>
      </c>
      <c r="B198" s="223" t="s">
        <v>784</v>
      </c>
      <c r="C198" s="521" t="s">
        <v>785</v>
      </c>
      <c r="D198" s="519"/>
      <c r="E198" s="223" t="s">
        <v>365</v>
      </c>
      <c r="F198" s="233">
        <v>4</v>
      </c>
      <c r="G198" s="311">
        <v>0</v>
      </c>
      <c r="H198" s="233">
        <f>F198*AM198</f>
        <v>0</v>
      </c>
      <c r="I198" s="233">
        <f>F198*AN198</f>
        <v>0</v>
      </c>
      <c r="J198" s="233">
        <f>F198*G198</f>
        <v>0</v>
      </c>
      <c r="K198" s="233">
        <v>4.4999999999999998E-2</v>
      </c>
      <c r="L198" s="233">
        <f>F198*K198</f>
        <v>0.18</v>
      </c>
      <c r="M198" s="240" t="s">
        <v>472</v>
      </c>
      <c r="X198" s="233">
        <f>IF(AO198="5",BH198,0)</f>
        <v>0</v>
      </c>
      <c r="Z198" s="233">
        <f>IF(AO198="1",BF198,0)</f>
        <v>0</v>
      </c>
      <c r="AA198" s="233">
        <f>IF(AO198="1",BG198,0)</f>
        <v>0</v>
      </c>
      <c r="AB198" s="233">
        <f>IF(AO198="7",BF198,0)</f>
        <v>0</v>
      </c>
      <c r="AC198" s="233">
        <f>IF(AO198="7",BG198,0)</f>
        <v>0</v>
      </c>
      <c r="AD198" s="233">
        <f>IF(AO198="2",BF198,0)</f>
        <v>0</v>
      </c>
      <c r="AE198" s="233">
        <f>IF(AO198="2",BG198,0)</f>
        <v>0</v>
      </c>
      <c r="AF198" s="233">
        <f>IF(AO198="0",BH198,0)</f>
        <v>0</v>
      </c>
      <c r="AG198" s="229" t="s">
        <v>154</v>
      </c>
      <c r="AH198" s="233">
        <f>IF(AL198=0,J198,0)</f>
        <v>0</v>
      </c>
      <c r="AI198" s="233">
        <f>IF(AL198=15,J198,0)</f>
        <v>0</v>
      </c>
      <c r="AJ198" s="233">
        <f>IF(AL198=21,J198,0)</f>
        <v>0</v>
      </c>
      <c r="AL198" s="233">
        <v>21</v>
      </c>
      <c r="AM198" s="233">
        <f>G198*1</f>
        <v>0</v>
      </c>
      <c r="AN198" s="233">
        <f>G198*(1-1)</f>
        <v>0</v>
      </c>
      <c r="AO198" s="234" t="s">
        <v>453</v>
      </c>
      <c r="AT198" s="233">
        <f>AU198+AV198</f>
        <v>0</v>
      </c>
      <c r="AU198" s="233">
        <f>F198*AM198</f>
        <v>0</v>
      </c>
      <c r="AV198" s="233">
        <f>F198*AN198</f>
        <v>0</v>
      </c>
      <c r="AW198" s="234" t="s">
        <v>454</v>
      </c>
      <c r="AX198" s="234" t="s">
        <v>455</v>
      </c>
      <c r="AY198" s="229" t="s">
        <v>164</v>
      </c>
      <c r="BA198" s="233">
        <f>AU198+AV198</f>
        <v>0</v>
      </c>
      <c r="BB198" s="233">
        <f>G198/(100-BC198)*100</f>
        <v>0</v>
      </c>
      <c r="BC198" s="233">
        <v>0</v>
      </c>
      <c r="BD198" s="233">
        <f>L198</f>
        <v>0.18</v>
      </c>
      <c r="BF198" s="233">
        <f>F198*AM198</f>
        <v>0</v>
      </c>
      <c r="BG198" s="233">
        <f>F198*AN198</f>
        <v>0</v>
      </c>
      <c r="BH198" s="233">
        <f>F198*G198</f>
        <v>0</v>
      </c>
      <c r="BI198" s="233"/>
      <c r="BJ198" s="233"/>
      <c r="BU198" s="233" t="e">
        <f>#REF!</f>
        <v>#REF!</v>
      </c>
      <c r="BV198" s="225" t="s">
        <v>785</v>
      </c>
    </row>
    <row r="199" spans="1:74" ht="81" customHeight="1" x14ac:dyDescent="0.3">
      <c r="A199" s="241"/>
      <c r="B199" s="242" t="s">
        <v>165</v>
      </c>
      <c r="C199" s="530" t="s">
        <v>1534</v>
      </c>
      <c r="D199" s="531"/>
      <c r="E199" s="531"/>
      <c r="F199" s="531"/>
      <c r="G199" s="531"/>
      <c r="H199" s="531"/>
      <c r="I199" s="531"/>
      <c r="J199" s="531"/>
      <c r="K199" s="531"/>
      <c r="L199" s="531"/>
      <c r="M199" s="532"/>
    </row>
    <row r="200" spans="1:74" ht="14.4" x14ac:dyDescent="0.3">
      <c r="A200" s="239" t="s">
        <v>370</v>
      </c>
      <c r="B200" s="223" t="s">
        <v>787</v>
      </c>
      <c r="C200" s="521" t="s">
        <v>788</v>
      </c>
      <c r="D200" s="519"/>
      <c r="E200" s="223" t="s">
        <v>196</v>
      </c>
      <c r="F200" s="233">
        <v>0.01</v>
      </c>
      <c r="G200" s="311">
        <v>0</v>
      </c>
      <c r="H200" s="233">
        <f>F200*AM200</f>
        <v>0</v>
      </c>
      <c r="I200" s="233">
        <f>F200*AN200</f>
        <v>0</v>
      </c>
      <c r="J200" s="233">
        <f>F200*G200</f>
        <v>0</v>
      </c>
      <c r="K200" s="233">
        <v>0.55000000000000004</v>
      </c>
      <c r="L200" s="233">
        <f>F200*K200</f>
        <v>5.5000000000000005E-3</v>
      </c>
      <c r="M200" s="240" t="s">
        <v>472</v>
      </c>
      <c r="X200" s="233">
        <f>IF(AO200="5",BH200,0)</f>
        <v>0</v>
      </c>
      <c r="Z200" s="233">
        <f>IF(AO200="1",BF200,0)</f>
        <v>0</v>
      </c>
      <c r="AA200" s="233">
        <f>IF(AO200="1",BG200,0)</f>
        <v>0</v>
      </c>
      <c r="AB200" s="233">
        <f>IF(AO200="7",BF200,0)</f>
        <v>0</v>
      </c>
      <c r="AC200" s="233">
        <f>IF(AO200="7",BG200,0)</f>
        <v>0</v>
      </c>
      <c r="AD200" s="233">
        <f>IF(AO200="2",BF200,0)</f>
        <v>0</v>
      </c>
      <c r="AE200" s="233">
        <f>IF(AO200="2",BG200,0)</f>
        <v>0</v>
      </c>
      <c r="AF200" s="233">
        <f>IF(AO200="0",BH200,0)</f>
        <v>0</v>
      </c>
      <c r="AG200" s="229" t="s">
        <v>154</v>
      </c>
      <c r="AH200" s="233">
        <f>IF(AL200=0,J200,0)</f>
        <v>0</v>
      </c>
      <c r="AI200" s="233">
        <f>IF(AL200=15,J200,0)</f>
        <v>0</v>
      </c>
      <c r="AJ200" s="233">
        <f>IF(AL200=21,J200,0)</f>
        <v>0</v>
      </c>
      <c r="AL200" s="233">
        <v>21</v>
      </c>
      <c r="AM200" s="233">
        <f>G200*1</f>
        <v>0</v>
      </c>
      <c r="AN200" s="233">
        <f>G200*(1-1)</f>
        <v>0</v>
      </c>
      <c r="AO200" s="234" t="s">
        <v>453</v>
      </c>
      <c r="AT200" s="233">
        <f>AU200+AV200</f>
        <v>0</v>
      </c>
      <c r="AU200" s="233">
        <f>F200*AM200</f>
        <v>0</v>
      </c>
      <c r="AV200" s="233">
        <f>F200*AN200</f>
        <v>0</v>
      </c>
      <c r="AW200" s="234" t="s">
        <v>454</v>
      </c>
      <c r="AX200" s="234" t="s">
        <v>455</v>
      </c>
      <c r="AY200" s="229" t="s">
        <v>164</v>
      </c>
      <c r="BA200" s="233">
        <f>AU200+AV200</f>
        <v>0</v>
      </c>
      <c r="BB200" s="233">
        <f>G200/(100-BC200)*100</f>
        <v>0</v>
      </c>
      <c r="BC200" s="233">
        <v>0</v>
      </c>
      <c r="BD200" s="233">
        <f>L200</f>
        <v>5.5000000000000005E-3</v>
      </c>
      <c r="BF200" s="233">
        <f>F200*AM200</f>
        <v>0</v>
      </c>
      <c r="BG200" s="233">
        <f>F200*AN200</f>
        <v>0</v>
      </c>
      <c r="BH200" s="233">
        <f>F200*G200</f>
        <v>0</v>
      </c>
      <c r="BI200" s="233"/>
      <c r="BJ200" s="233"/>
      <c r="BU200" s="233" t="e">
        <f>#REF!</f>
        <v>#REF!</v>
      </c>
      <c r="BV200" s="225" t="s">
        <v>788</v>
      </c>
    </row>
    <row r="201" spans="1:74" ht="94.5" customHeight="1" x14ac:dyDescent="0.3">
      <c r="A201" s="244"/>
      <c r="B201" s="245" t="s">
        <v>165</v>
      </c>
      <c r="C201" s="540" t="s">
        <v>1535</v>
      </c>
      <c r="D201" s="541"/>
      <c r="E201" s="541"/>
      <c r="F201" s="541"/>
      <c r="G201" s="541"/>
      <c r="H201" s="541"/>
      <c r="I201" s="541"/>
      <c r="J201" s="541"/>
      <c r="K201" s="541"/>
      <c r="L201" s="541"/>
      <c r="M201" s="542"/>
    </row>
    <row r="202" spans="1:74" ht="14.4" x14ac:dyDescent="0.3">
      <c r="H202" s="527" t="s">
        <v>423</v>
      </c>
      <c r="I202" s="527"/>
      <c r="J202" s="235">
        <f>J12+J15+J30+J33+J48+J53+J70+J76+J81+J86+J91+J94+J117+J122+J125+J130+J149+J152+J159+J162+J164+J166+J169+J172</f>
        <v>0</v>
      </c>
    </row>
    <row r="203" spans="1:74" ht="14.4" x14ac:dyDescent="0.3">
      <c r="A203" s="236" t="s">
        <v>165</v>
      </c>
    </row>
    <row r="204" spans="1:74" ht="13.5" customHeight="1" x14ac:dyDescent="0.3">
      <c r="A204" s="521" t="s">
        <v>1484</v>
      </c>
      <c r="B204" s="519"/>
      <c r="C204" s="519"/>
      <c r="D204" s="519"/>
      <c r="E204" s="519"/>
      <c r="F204" s="519"/>
      <c r="G204" s="519"/>
      <c r="H204" s="519"/>
      <c r="I204" s="519"/>
      <c r="J204" s="519"/>
      <c r="K204" s="519"/>
      <c r="L204" s="519"/>
      <c r="M204" s="519"/>
    </row>
    <row r="205" spans="1:74" ht="15" customHeight="1" x14ac:dyDescent="0.3">
      <c r="A205" s="549" t="s">
        <v>1159</v>
      </c>
      <c r="B205" s="550"/>
      <c r="C205" s="550"/>
      <c r="D205" s="550"/>
      <c r="E205" s="550"/>
      <c r="F205" s="550"/>
      <c r="G205" s="550"/>
      <c r="H205" s="550"/>
      <c r="I205" s="550"/>
      <c r="J205" s="550"/>
      <c r="K205" s="550"/>
      <c r="L205" s="550"/>
      <c r="M205" s="550"/>
    </row>
  </sheetData>
  <sheetProtection algorithmName="SHA-512" hashValue="VsmWXpRk3clj4UnDA5WwUpPqvSm7h19swvV21Pk0NH8HVmoFU6UA6/sdECdLISK/3u+YSv35afjlyQ8xPMymrQ==" saltValue="zUKLYDMTxOltxoN7H/Opbg==" spinCount="100000" sheet="1" objects="1" scenarios="1" formatCells="0" formatColumns="0" formatRows="0" insertColumns="0" insertRows="0" insertHyperlinks="0"/>
  <mergeCells count="222">
    <mergeCell ref="A205:M205"/>
    <mergeCell ref="A204:M204"/>
    <mergeCell ref="H2:H3"/>
    <mergeCell ref="I2:M3"/>
    <mergeCell ref="H4:H5"/>
    <mergeCell ref="I4:M5"/>
    <mergeCell ref="H6:H7"/>
    <mergeCell ref="I6:M7"/>
    <mergeCell ref="H8:H9"/>
    <mergeCell ref="I8:M9"/>
    <mergeCell ref="C197:M197"/>
    <mergeCell ref="C198:D198"/>
    <mergeCell ref="C199:M199"/>
    <mergeCell ref="C200:D200"/>
    <mergeCell ref="C201:M201"/>
    <mergeCell ref="H202:I202"/>
    <mergeCell ref="C191:D191"/>
    <mergeCell ref="C192:D192"/>
    <mergeCell ref="C193:D193"/>
    <mergeCell ref="C194:D194"/>
    <mergeCell ref="C195:M195"/>
    <mergeCell ref="C196:D196"/>
    <mergeCell ref="C185:D185"/>
    <mergeCell ref="C186:D186"/>
    <mergeCell ref="C187:D187"/>
    <mergeCell ref="C188:D188"/>
    <mergeCell ref="C189:D189"/>
    <mergeCell ref="C190:M190"/>
    <mergeCell ref="C179:D179"/>
    <mergeCell ref="C180:D180"/>
    <mergeCell ref="C181:D181"/>
    <mergeCell ref="C182:D182"/>
    <mergeCell ref="C183:D183"/>
    <mergeCell ref="C184:D184"/>
    <mergeCell ref="C173:D173"/>
    <mergeCell ref="C174:M174"/>
    <mergeCell ref="C175:D175"/>
    <mergeCell ref="C176:M176"/>
    <mergeCell ref="C177:D177"/>
    <mergeCell ref="C178:M178"/>
    <mergeCell ref="C167:D167"/>
    <mergeCell ref="C168:M168"/>
    <mergeCell ref="C169:D169"/>
    <mergeCell ref="C170:D170"/>
    <mergeCell ref="C171:M171"/>
    <mergeCell ref="C172:D172"/>
    <mergeCell ref="C161:D161"/>
    <mergeCell ref="C162:D162"/>
    <mergeCell ref="C163:D163"/>
    <mergeCell ref="C164:D164"/>
    <mergeCell ref="C165:D165"/>
    <mergeCell ref="C166:D166"/>
    <mergeCell ref="C155:M155"/>
    <mergeCell ref="C156:D156"/>
    <mergeCell ref="C157:M157"/>
    <mergeCell ref="C158:D158"/>
    <mergeCell ref="C159:D159"/>
    <mergeCell ref="C160:D160"/>
    <mergeCell ref="C149:D149"/>
    <mergeCell ref="C150:D150"/>
    <mergeCell ref="C151:M151"/>
    <mergeCell ref="C152:D152"/>
    <mergeCell ref="C153:D153"/>
    <mergeCell ref="C154:D154"/>
    <mergeCell ref="C143:D143"/>
    <mergeCell ref="C144:M144"/>
    <mergeCell ref="C145:D145"/>
    <mergeCell ref="C146:M146"/>
    <mergeCell ref="C147:D147"/>
    <mergeCell ref="C148:M148"/>
    <mergeCell ref="C137:D137"/>
    <mergeCell ref="C138:M138"/>
    <mergeCell ref="C139:D139"/>
    <mergeCell ref="C140:M140"/>
    <mergeCell ref="C141:D141"/>
    <mergeCell ref="C142:M142"/>
    <mergeCell ref="C131:D131"/>
    <mergeCell ref="C132:M132"/>
    <mergeCell ref="C133:D133"/>
    <mergeCell ref="C134:M134"/>
    <mergeCell ref="C135:D135"/>
    <mergeCell ref="C136:M136"/>
    <mergeCell ref="C125:D125"/>
    <mergeCell ref="C126:D126"/>
    <mergeCell ref="C127:M127"/>
    <mergeCell ref="C128:D128"/>
    <mergeCell ref="C129:M129"/>
    <mergeCell ref="C130:D130"/>
    <mergeCell ref="C119:M119"/>
    <mergeCell ref="C120:D120"/>
    <mergeCell ref="C121:M121"/>
    <mergeCell ref="C122:D122"/>
    <mergeCell ref="C123:D123"/>
    <mergeCell ref="C124:M124"/>
    <mergeCell ref="C113:D113"/>
    <mergeCell ref="C114:M114"/>
    <mergeCell ref="C115:D115"/>
    <mergeCell ref="C116:M116"/>
    <mergeCell ref="C117:D117"/>
    <mergeCell ref="C118:D118"/>
    <mergeCell ref="C107:D107"/>
    <mergeCell ref="C108:M108"/>
    <mergeCell ref="C109:D109"/>
    <mergeCell ref="C110:M110"/>
    <mergeCell ref="C111:D111"/>
    <mergeCell ref="C112:M112"/>
    <mergeCell ref="C101:D101"/>
    <mergeCell ref="C102:M102"/>
    <mergeCell ref="C103:D103"/>
    <mergeCell ref="C104:M104"/>
    <mergeCell ref="C105:D105"/>
    <mergeCell ref="C106:M106"/>
    <mergeCell ref="C95:D95"/>
    <mergeCell ref="C96:M96"/>
    <mergeCell ref="C97:D97"/>
    <mergeCell ref="C98:M98"/>
    <mergeCell ref="C99:D99"/>
    <mergeCell ref="C100:M100"/>
    <mergeCell ref="C89:D89"/>
    <mergeCell ref="C90:M90"/>
    <mergeCell ref="C91:D91"/>
    <mergeCell ref="C92:D92"/>
    <mergeCell ref="C93:M93"/>
    <mergeCell ref="C94:D94"/>
    <mergeCell ref="C83:M83"/>
    <mergeCell ref="C84:D84"/>
    <mergeCell ref="C85:M85"/>
    <mergeCell ref="C86:D86"/>
    <mergeCell ref="C87:D87"/>
    <mergeCell ref="C88:M88"/>
    <mergeCell ref="C77:D77"/>
    <mergeCell ref="C78:M78"/>
    <mergeCell ref="C79:D79"/>
    <mergeCell ref="C80:M80"/>
    <mergeCell ref="C81:D81"/>
    <mergeCell ref="C82:D82"/>
    <mergeCell ref="C71:D71"/>
    <mergeCell ref="C72:M72"/>
    <mergeCell ref="C73:D73"/>
    <mergeCell ref="C74:D74"/>
    <mergeCell ref="C75:M75"/>
    <mergeCell ref="C76:D76"/>
    <mergeCell ref="C65:M65"/>
    <mergeCell ref="C66:D66"/>
    <mergeCell ref="C67:M67"/>
    <mergeCell ref="C68:D68"/>
    <mergeCell ref="C69:M69"/>
    <mergeCell ref="C70:D70"/>
    <mergeCell ref="C59:M59"/>
    <mergeCell ref="C60:D60"/>
    <mergeCell ref="C61:M61"/>
    <mergeCell ref="C62:D62"/>
    <mergeCell ref="C63:M63"/>
    <mergeCell ref="C64:D64"/>
    <mergeCell ref="C53:D53"/>
    <mergeCell ref="C54:D54"/>
    <mergeCell ref="C55:M55"/>
    <mergeCell ref="C56:D56"/>
    <mergeCell ref="C57:M57"/>
    <mergeCell ref="C58:D58"/>
    <mergeCell ref="C47:M47"/>
    <mergeCell ref="C48:D48"/>
    <mergeCell ref="C49:D49"/>
    <mergeCell ref="C50:M50"/>
    <mergeCell ref="C51:D51"/>
    <mergeCell ref="C52:M52"/>
    <mergeCell ref="C41:M41"/>
    <mergeCell ref="C42:D42"/>
    <mergeCell ref="C43:M43"/>
    <mergeCell ref="C44:D44"/>
    <mergeCell ref="C45:M45"/>
    <mergeCell ref="C46:D46"/>
    <mergeCell ref="C35:M35"/>
    <mergeCell ref="C36:D36"/>
    <mergeCell ref="C37:M37"/>
    <mergeCell ref="C38:D38"/>
    <mergeCell ref="C39:M39"/>
    <mergeCell ref="C40:D40"/>
    <mergeCell ref="C29:M29"/>
    <mergeCell ref="C30:D30"/>
    <mergeCell ref="C31:D31"/>
    <mergeCell ref="C32:M32"/>
    <mergeCell ref="C33:D33"/>
    <mergeCell ref="C34:D34"/>
    <mergeCell ref="C23:M23"/>
    <mergeCell ref="C24:D24"/>
    <mergeCell ref="C25:M25"/>
    <mergeCell ref="C26:D26"/>
    <mergeCell ref="C27:M27"/>
    <mergeCell ref="C28:D28"/>
    <mergeCell ref="C17:M17"/>
    <mergeCell ref="C18:D18"/>
    <mergeCell ref="C19:M19"/>
    <mergeCell ref="C20:D20"/>
    <mergeCell ref="C21:M21"/>
    <mergeCell ref="C22:D22"/>
    <mergeCell ref="C11:D11"/>
    <mergeCell ref="C12:D12"/>
    <mergeCell ref="C13:D13"/>
    <mergeCell ref="C14:M14"/>
    <mergeCell ref="C15:D15"/>
    <mergeCell ref="C16:D16"/>
    <mergeCell ref="C10:D10"/>
    <mergeCell ref="H10:J10"/>
    <mergeCell ref="K10:L10"/>
    <mergeCell ref="A4:B5"/>
    <mergeCell ref="C4:D5"/>
    <mergeCell ref="E4:F5"/>
    <mergeCell ref="G4:G5"/>
    <mergeCell ref="A6:B7"/>
    <mergeCell ref="C6:D7"/>
    <mergeCell ref="E6:F7"/>
    <mergeCell ref="G6:G7"/>
    <mergeCell ref="A1:M1"/>
    <mergeCell ref="A2:B3"/>
    <mergeCell ref="C2:D3"/>
    <mergeCell ref="E2:F3"/>
    <mergeCell ref="G2:G3"/>
    <mergeCell ref="A8:B9"/>
    <mergeCell ref="C8:D9"/>
    <mergeCell ref="E8:F9"/>
    <mergeCell ref="G8:G9"/>
  </mergeCells>
  <pageMargins left="0.78740157480314965" right="0.39370078740157483" top="0.39370078740157483" bottom="0.39370078740157483" header="0" footer="0.39370078740157483"/>
  <pageSetup paperSize="9" scale="63" fitToHeight="0" orientation="landscape" r:id="rId1"/>
  <headerFooter>
    <oddFooter>&amp;L&amp;A&amp;C&amp;F&amp;Rstran &amp;N / strana &amp;P</oddFooter>
  </headerFooter>
  <rowBreaks count="6" manualBreakCount="6">
    <brk id="25" max="12" man="1"/>
    <brk id="52" max="12" man="1"/>
    <brk id="80" max="12" man="1"/>
    <brk id="112" max="12" man="1"/>
    <brk id="151" max="12" man="1"/>
    <brk id="193" max="12"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4CE43-8F10-477F-A637-15D5BB75EE06}">
  <sheetPr codeName="List4">
    <pageSetUpPr autoPageBreaks="0" fitToPage="1"/>
  </sheetPr>
  <dimension ref="A1:BU144"/>
  <sheetViews>
    <sheetView showOutlineSymbols="0" view="pageBreakPreview" zoomScale="55" zoomScaleNormal="25" zoomScaleSheetLayoutView="55" workbookViewId="0">
      <pane ySplit="11" topLeftCell="A105" activePane="bottomLeft" state="frozenSplit"/>
      <selection activeCell="A202" sqref="A202:M202"/>
      <selection pane="bottomLeft" activeCell="G13" sqref="G13"/>
    </sheetView>
  </sheetViews>
  <sheetFormatPr defaultColWidth="12.109375" defaultRowHeight="15" customHeight="1" x14ac:dyDescent="0.3"/>
  <cols>
    <col min="1" max="1" width="5.33203125" style="58" customWidth="1"/>
    <col min="2" max="2" width="16.6640625" style="58" customWidth="1"/>
    <col min="3" max="3" width="81.33203125" style="58" customWidth="1"/>
    <col min="4" max="4" width="12.6640625" style="58" customWidth="1"/>
    <col min="5" max="5" width="8.6640625" style="58" customWidth="1"/>
    <col min="6" max="6" width="10.6640625" style="58" customWidth="1"/>
    <col min="7" max="7" width="11.33203125" style="58" customWidth="1"/>
    <col min="8" max="13" width="12.6640625" style="58" customWidth="1"/>
    <col min="14" max="16384" width="12.109375" style="58"/>
  </cols>
  <sheetData>
    <row r="1" spans="1:73" ht="54.75" customHeight="1" x14ac:dyDescent="0.3">
      <c r="A1" s="560" t="s">
        <v>2303</v>
      </c>
      <c r="B1" s="561"/>
      <c r="C1" s="561"/>
      <c r="D1" s="561"/>
      <c r="E1" s="561"/>
      <c r="F1" s="561"/>
      <c r="G1" s="561"/>
      <c r="H1" s="561"/>
      <c r="I1" s="561"/>
      <c r="J1" s="561"/>
      <c r="K1" s="561"/>
      <c r="L1" s="561"/>
      <c r="M1" s="562"/>
      <c r="AQ1" s="59">
        <f>SUM(AH1:AH2)</f>
        <v>0</v>
      </c>
      <c r="AR1" s="59">
        <f>SUM(AI1:AI2)</f>
        <v>0</v>
      </c>
      <c r="AS1" s="59">
        <f>SUM(AJ1:AJ2)</f>
        <v>0</v>
      </c>
    </row>
    <row r="2" spans="1:73" ht="15" customHeight="1" x14ac:dyDescent="0.3">
      <c r="A2" s="563" t="s">
        <v>112</v>
      </c>
      <c r="B2" s="551"/>
      <c r="C2" s="564" t="s">
        <v>68</v>
      </c>
      <c r="D2" s="564"/>
      <c r="E2" s="564"/>
      <c r="F2" s="565" t="s">
        <v>113</v>
      </c>
      <c r="G2" s="565"/>
      <c r="H2" s="522" t="s">
        <v>1156</v>
      </c>
      <c r="I2" s="551" t="s">
        <v>457</v>
      </c>
      <c r="J2" s="551" t="s">
        <v>69</v>
      </c>
      <c r="K2" s="551"/>
      <c r="L2" s="551"/>
      <c r="M2" s="552"/>
      <c r="N2" s="63"/>
    </row>
    <row r="3" spans="1:73" ht="15" customHeight="1" x14ac:dyDescent="0.3">
      <c r="A3" s="563"/>
      <c r="B3" s="551"/>
      <c r="C3" s="564"/>
      <c r="D3" s="564"/>
      <c r="E3" s="564"/>
      <c r="F3" s="565"/>
      <c r="G3" s="565"/>
      <c r="H3" s="522"/>
      <c r="I3" s="551"/>
      <c r="J3" s="551"/>
      <c r="K3" s="551"/>
      <c r="L3" s="551"/>
      <c r="M3" s="552"/>
      <c r="N3" s="63"/>
    </row>
    <row r="4" spans="1:73" ht="15" customHeight="1" x14ac:dyDescent="0.3">
      <c r="A4" s="563" t="s">
        <v>115</v>
      </c>
      <c r="B4" s="551"/>
      <c r="C4" s="551" t="s">
        <v>73</v>
      </c>
      <c r="D4" s="551"/>
      <c r="E4" s="551"/>
      <c r="F4" s="565" t="s">
        <v>116</v>
      </c>
      <c r="G4" s="565"/>
      <c r="H4" s="522" t="s">
        <v>1156</v>
      </c>
      <c r="I4" s="551" t="s">
        <v>458</v>
      </c>
      <c r="J4" s="551" t="s">
        <v>1157</v>
      </c>
      <c r="K4" s="551"/>
      <c r="L4" s="551"/>
      <c r="M4" s="552"/>
      <c r="N4" s="63"/>
    </row>
    <row r="5" spans="1:73" ht="15" customHeight="1" x14ac:dyDescent="0.3">
      <c r="A5" s="563"/>
      <c r="B5" s="551"/>
      <c r="C5" s="551"/>
      <c r="D5" s="551"/>
      <c r="E5" s="551"/>
      <c r="F5" s="565"/>
      <c r="G5" s="565"/>
      <c r="H5" s="522"/>
      <c r="I5" s="551"/>
      <c r="J5" s="551"/>
      <c r="K5" s="551"/>
      <c r="L5" s="551"/>
      <c r="M5" s="552"/>
      <c r="N5" s="63"/>
    </row>
    <row r="6" spans="1:73" ht="15" customHeight="1" x14ac:dyDescent="0.3">
      <c r="A6" s="563" t="s">
        <v>117</v>
      </c>
      <c r="B6" s="551"/>
      <c r="C6" s="551" t="s">
        <v>459</v>
      </c>
      <c r="D6" s="551"/>
      <c r="E6" s="551"/>
      <c r="F6" s="565" t="s">
        <v>119</v>
      </c>
      <c r="G6" s="565"/>
      <c r="H6" s="522" t="s">
        <v>1156</v>
      </c>
      <c r="I6" s="551" t="s">
        <v>460</v>
      </c>
      <c r="J6" s="551" t="s">
        <v>461</v>
      </c>
      <c r="K6" s="551"/>
      <c r="L6" s="551"/>
      <c r="M6" s="552"/>
      <c r="N6" s="63"/>
    </row>
    <row r="7" spans="1:73" ht="15" customHeight="1" x14ac:dyDescent="0.3">
      <c r="A7" s="563"/>
      <c r="B7" s="551"/>
      <c r="C7" s="551"/>
      <c r="D7" s="551"/>
      <c r="E7" s="551"/>
      <c r="F7" s="565"/>
      <c r="G7" s="565"/>
      <c r="H7" s="522"/>
      <c r="I7" s="551"/>
      <c r="J7" s="551"/>
      <c r="K7" s="551"/>
      <c r="L7" s="551"/>
      <c r="M7" s="552"/>
      <c r="N7" s="63"/>
    </row>
    <row r="8" spans="1:73" ht="15" customHeight="1" x14ac:dyDescent="0.3">
      <c r="A8" s="563" t="s">
        <v>120</v>
      </c>
      <c r="B8" s="551"/>
      <c r="C8" s="551" t="s">
        <v>425</v>
      </c>
      <c r="D8" s="551"/>
      <c r="E8" s="551"/>
      <c r="F8" s="565" t="s">
        <v>122</v>
      </c>
      <c r="G8" s="565"/>
      <c r="H8" s="522" t="s">
        <v>1155</v>
      </c>
      <c r="I8" s="551" t="s">
        <v>462</v>
      </c>
      <c r="J8" s="577" t="s">
        <v>1158</v>
      </c>
      <c r="K8" s="577"/>
      <c r="L8" s="577"/>
      <c r="M8" s="578"/>
      <c r="N8" s="63"/>
    </row>
    <row r="9" spans="1:73" ht="15" customHeight="1" thickBot="1" x14ac:dyDescent="0.35">
      <c r="A9" s="575"/>
      <c r="B9" s="553"/>
      <c r="C9" s="553"/>
      <c r="D9" s="553"/>
      <c r="E9" s="553"/>
      <c r="F9" s="576"/>
      <c r="G9" s="576"/>
      <c r="H9" s="534"/>
      <c r="I9" s="553"/>
      <c r="J9" s="579"/>
      <c r="K9" s="579"/>
      <c r="L9" s="579"/>
      <c r="M9" s="580"/>
      <c r="N9" s="63"/>
    </row>
    <row r="10" spans="1:73" ht="15" customHeight="1" x14ac:dyDescent="0.3">
      <c r="A10" s="104" t="s">
        <v>123</v>
      </c>
      <c r="B10" s="105" t="s">
        <v>124</v>
      </c>
      <c r="C10" s="566" t="s">
        <v>125</v>
      </c>
      <c r="D10" s="567"/>
      <c r="E10" s="105" t="s">
        <v>126</v>
      </c>
      <c r="F10" s="106" t="s">
        <v>127</v>
      </c>
      <c r="G10" s="107" t="s">
        <v>128</v>
      </c>
      <c r="H10" s="568" t="s">
        <v>129</v>
      </c>
      <c r="I10" s="569"/>
      <c r="J10" s="570"/>
      <c r="K10" s="569" t="s">
        <v>130</v>
      </c>
      <c r="L10" s="569"/>
      <c r="M10" s="108" t="s">
        <v>131</v>
      </c>
      <c r="BI10" s="64" t="s">
        <v>132</v>
      </c>
      <c r="BJ10" s="65" t="s">
        <v>133</v>
      </c>
      <c r="BU10" s="65" t="s">
        <v>134</v>
      </c>
    </row>
    <row r="11" spans="1:73" ht="15" customHeight="1" x14ac:dyDescent="0.3">
      <c r="A11" s="109" t="s">
        <v>114</v>
      </c>
      <c r="B11" s="62" t="s">
        <v>114</v>
      </c>
      <c r="C11" s="571" t="s">
        <v>135</v>
      </c>
      <c r="D11" s="572"/>
      <c r="E11" s="62" t="s">
        <v>114</v>
      </c>
      <c r="F11" s="62" t="s">
        <v>114</v>
      </c>
      <c r="G11" s="66" t="s">
        <v>136</v>
      </c>
      <c r="H11" s="67" t="s">
        <v>137</v>
      </c>
      <c r="I11" s="68" t="s">
        <v>138</v>
      </c>
      <c r="J11" s="69" t="s">
        <v>139</v>
      </c>
      <c r="K11" s="68" t="s">
        <v>140</v>
      </c>
      <c r="L11" s="66" t="s">
        <v>139</v>
      </c>
      <c r="M11" s="96" t="s">
        <v>141</v>
      </c>
      <c r="X11" s="64" t="s">
        <v>142</v>
      </c>
      <c r="Y11" s="64" t="s">
        <v>143</v>
      </c>
      <c r="Z11" s="64" t="s">
        <v>144</v>
      </c>
      <c r="AA11" s="64" t="s">
        <v>145</v>
      </c>
      <c r="AB11" s="64" t="s">
        <v>146</v>
      </c>
      <c r="AC11" s="64" t="s">
        <v>147</v>
      </c>
      <c r="AD11" s="64" t="s">
        <v>148</v>
      </c>
      <c r="AE11" s="64" t="s">
        <v>149</v>
      </c>
      <c r="AF11" s="64" t="s">
        <v>150</v>
      </c>
      <c r="BF11" s="64" t="s">
        <v>151</v>
      </c>
      <c r="BG11" s="64" t="s">
        <v>152</v>
      </c>
      <c r="BH11" s="64" t="s">
        <v>153</v>
      </c>
    </row>
    <row r="12" spans="1:73" ht="15" customHeight="1" x14ac:dyDescent="0.3">
      <c r="A12" s="84" t="s">
        <v>154</v>
      </c>
      <c r="B12" s="81" t="s">
        <v>155</v>
      </c>
      <c r="C12" s="573" t="s">
        <v>156</v>
      </c>
      <c r="D12" s="574"/>
      <c r="E12" s="85" t="s">
        <v>114</v>
      </c>
      <c r="F12" s="85" t="s">
        <v>114</v>
      </c>
      <c r="G12" s="85" t="s">
        <v>114</v>
      </c>
      <c r="H12" s="86">
        <f>SUM(H13:H19)</f>
        <v>0</v>
      </c>
      <c r="I12" s="86">
        <f>SUM(I13:I19)</f>
        <v>0</v>
      </c>
      <c r="J12" s="86">
        <f>SUM(J13:J19)</f>
        <v>0</v>
      </c>
      <c r="K12" s="87" t="s">
        <v>154</v>
      </c>
      <c r="L12" s="86">
        <f>SUM(L13:L19)</f>
        <v>8.7375000000000008E-2</v>
      </c>
      <c r="M12" s="88" t="s">
        <v>154</v>
      </c>
      <c r="AG12" s="64" t="s">
        <v>154</v>
      </c>
      <c r="AQ12" s="59">
        <f>SUM(AH13:AH19)</f>
        <v>0</v>
      </c>
      <c r="AR12" s="59">
        <f>SUM(AI13:AI19)</f>
        <v>0</v>
      </c>
      <c r="AS12" s="59">
        <f>SUM(AJ13:AJ19)</f>
        <v>0</v>
      </c>
    </row>
    <row r="13" spans="1:73" ht="27" customHeight="1" x14ac:dyDescent="0.3">
      <c r="A13" s="82" t="s">
        <v>157</v>
      </c>
      <c r="B13" s="60" t="s">
        <v>158</v>
      </c>
      <c r="C13" s="551" t="s">
        <v>159</v>
      </c>
      <c r="D13" s="565"/>
      <c r="E13" s="60" t="s">
        <v>160</v>
      </c>
      <c r="F13" s="70">
        <v>3</v>
      </c>
      <c r="G13" s="311">
        <v>0</v>
      </c>
      <c r="H13" s="70">
        <f>F13*AM13</f>
        <v>0</v>
      </c>
      <c r="I13" s="70">
        <f>F13*AN13</f>
        <v>0</v>
      </c>
      <c r="J13" s="70">
        <f>F13*G13</f>
        <v>0</v>
      </c>
      <c r="K13" s="70">
        <v>2.478E-2</v>
      </c>
      <c r="L13" s="70">
        <f>F13*K13</f>
        <v>7.4340000000000003E-2</v>
      </c>
      <c r="M13" s="89" t="s">
        <v>472</v>
      </c>
      <c r="X13" s="70">
        <f>IF(AO13="5",BH13,0)</f>
        <v>0</v>
      </c>
      <c r="Z13" s="70">
        <f>IF(AO13="1",BF13,0)</f>
        <v>0</v>
      </c>
      <c r="AA13" s="70">
        <f>IF(AO13="1",BG13,0)</f>
        <v>0</v>
      </c>
      <c r="AB13" s="70">
        <f>IF(AO13="7",BF13,0)</f>
        <v>0</v>
      </c>
      <c r="AC13" s="70">
        <f>IF(AO13="7",BG13,0)</f>
        <v>0</v>
      </c>
      <c r="AD13" s="70">
        <f>IF(AO13="2",BF13,0)</f>
        <v>0</v>
      </c>
      <c r="AE13" s="70">
        <f>IF(AO13="2",BG13,0)</f>
        <v>0</v>
      </c>
      <c r="AF13" s="70">
        <f>IF(AO13="0",BH13,0)</f>
        <v>0</v>
      </c>
      <c r="AG13" s="64" t="s">
        <v>154</v>
      </c>
      <c r="AH13" s="70">
        <f>IF(AL13=0,J13,0)</f>
        <v>0</v>
      </c>
      <c r="AI13" s="70">
        <f>IF(AL13=15,J13,0)</f>
        <v>0</v>
      </c>
      <c r="AJ13" s="70">
        <f>IF(AL13=21,J13,0)</f>
        <v>0</v>
      </c>
      <c r="AL13" s="70">
        <v>21</v>
      </c>
      <c r="AM13" s="70">
        <f>G13*0.0714104344161773</f>
        <v>0</v>
      </c>
      <c r="AN13" s="70">
        <f>G13*(1-0.0714104344161773)</f>
        <v>0</v>
      </c>
      <c r="AO13" s="71" t="s">
        <v>157</v>
      </c>
      <c r="AT13" s="70">
        <f>AU13+AV13</f>
        <v>0</v>
      </c>
      <c r="AU13" s="70">
        <f>F13*AM13</f>
        <v>0</v>
      </c>
      <c r="AV13" s="70">
        <f>F13*AN13</f>
        <v>0</v>
      </c>
      <c r="AW13" s="71" t="s">
        <v>162</v>
      </c>
      <c r="AX13" s="71" t="s">
        <v>163</v>
      </c>
      <c r="AY13" s="64" t="s">
        <v>164</v>
      </c>
      <c r="BA13" s="70">
        <f>AU13+AV13</f>
        <v>0</v>
      </c>
      <c r="BB13" s="70">
        <f>G13/(100-BC13)*100</f>
        <v>0</v>
      </c>
      <c r="BC13" s="70">
        <v>0</v>
      </c>
      <c r="BD13" s="70">
        <f>L13</f>
        <v>7.4340000000000003E-2</v>
      </c>
      <c r="BF13" s="70">
        <f>F13*AM13</f>
        <v>0</v>
      </c>
      <c r="BG13" s="70">
        <f>F13*AN13</f>
        <v>0</v>
      </c>
      <c r="BH13" s="70">
        <f>F13*G13</f>
        <v>0</v>
      </c>
      <c r="BI13" s="70"/>
      <c r="BJ13" s="70">
        <v>11</v>
      </c>
      <c r="BU13" s="70" t="e">
        <f>#REF!</f>
        <v>#REF!</v>
      </c>
    </row>
    <row r="14" spans="1:73" ht="40.5" customHeight="1" x14ac:dyDescent="0.3">
      <c r="A14" s="90"/>
      <c r="B14" s="72" t="s">
        <v>165</v>
      </c>
      <c r="C14" s="581" t="s">
        <v>796</v>
      </c>
      <c r="D14" s="582"/>
      <c r="E14" s="582"/>
      <c r="F14" s="582"/>
      <c r="G14" s="582"/>
      <c r="H14" s="582"/>
      <c r="I14" s="582"/>
      <c r="J14" s="582"/>
      <c r="K14" s="582"/>
      <c r="L14" s="582"/>
      <c r="M14" s="583"/>
    </row>
    <row r="15" spans="1:73" ht="27" customHeight="1" x14ac:dyDescent="0.3">
      <c r="A15" s="82" t="s">
        <v>166</v>
      </c>
      <c r="B15" s="60" t="s">
        <v>167</v>
      </c>
      <c r="C15" s="551" t="s">
        <v>168</v>
      </c>
      <c r="D15" s="565"/>
      <c r="E15" s="60" t="s">
        <v>160</v>
      </c>
      <c r="F15" s="70">
        <v>1.5</v>
      </c>
      <c r="G15" s="311">
        <v>0</v>
      </c>
      <c r="H15" s="70">
        <f>F15*AM15</f>
        <v>0</v>
      </c>
      <c r="I15" s="70">
        <f>F15*AN15</f>
        <v>0</v>
      </c>
      <c r="J15" s="70">
        <f>F15*G15</f>
        <v>0</v>
      </c>
      <c r="K15" s="70">
        <v>8.6899999999999998E-3</v>
      </c>
      <c r="L15" s="70">
        <f>F15*K15</f>
        <v>1.3035E-2</v>
      </c>
      <c r="M15" s="89" t="s">
        <v>472</v>
      </c>
      <c r="X15" s="70">
        <f>IF(AO15="5",BH15,0)</f>
        <v>0</v>
      </c>
      <c r="Z15" s="70">
        <f>IF(AO15="1",BF15,0)</f>
        <v>0</v>
      </c>
      <c r="AA15" s="70">
        <f>IF(AO15="1",BG15,0)</f>
        <v>0</v>
      </c>
      <c r="AB15" s="70">
        <f>IF(AO15="7",BF15,0)</f>
        <v>0</v>
      </c>
      <c r="AC15" s="70">
        <f>IF(AO15="7",BG15,0)</f>
        <v>0</v>
      </c>
      <c r="AD15" s="70">
        <f>IF(AO15="2",BF15,0)</f>
        <v>0</v>
      </c>
      <c r="AE15" s="70">
        <f>IF(AO15="2",BG15,0)</f>
        <v>0</v>
      </c>
      <c r="AF15" s="70">
        <f>IF(AO15="0",BH15,0)</f>
        <v>0</v>
      </c>
      <c r="AG15" s="64" t="s">
        <v>154</v>
      </c>
      <c r="AH15" s="70">
        <f>IF(AL15=0,J15,0)</f>
        <v>0</v>
      </c>
      <c r="AI15" s="70">
        <f>IF(AL15=15,J15,0)</f>
        <v>0</v>
      </c>
      <c r="AJ15" s="70">
        <f>IF(AL15=21,J15,0)</f>
        <v>0</v>
      </c>
      <c r="AL15" s="70">
        <v>21</v>
      </c>
      <c r="AM15" s="70">
        <f>G15*0.0638742289000599</f>
        <v>0</v>
      </c>
      <c r="AN15" s="70">
        <f>G15*(1-0.0638742289000599)</f>
        <v>0</v>
      </c>
      <c r="AO15" s="71" t="s">
        <v>157</v>
      </c>
      <c r="AT15" s="70">
        <f>AU15+AV15</f>
        <v>0</v>
      </c>
      <c r="AU15" s="70">
        <f>F15*AM15</f>
        <v>0</v>
      </c>
      <c r="AV15" s="70">
        <f>F15*AN15</f>
        <v>0</v>
      </c>
      <c r="AW15" s="71" t="s">
        <v>162</v>
      </c>
      <c r="AX15" s="71" t="s">
        <v>163</v>
      </c>
      <c r="AY15" s="64" t="s">
        <v>164</v>
      </c>
      <c r="BA15" s="70">
        <f>AU15+AV15</f>
        <v>0</v>
      </c>
      <c r="BB15" s="70">
        <f>G15/(100-BC15)*100</f>
        <v>0</v>
      </c>
      <c r="BC15" s="70">
        <v>0</v>
      </c>
      <c r="BD15" s="70">
        <f>L15</f>
        <v>1.3035E-2</v>
      </c>
      <c r="BF15" s="70">
        <f>F15*AM15</f>
        <v>0</v>
      </c>
      <c r="BG15" s="70">
        <f>F15*AN15</f>
        <v>0</v>
      </c>
      <c r="BH15" s="70">
        <f>F15*G15</f>
        <v>0</v>
      </c>
      <c r="BI15" s="70"/>
      <c r="BJ15" s="70">
        <v>11</v>
      </c>
      <c r="BU15" s="70" t="e">
        <f>#REF!</f>
        <v>#REF!</v>
      </c>
    </row>
    <row r="16" spans="1:73" ht="40.5" customHeight="1" x14ac:dyDescent="0.3">
      <c r="A16" s="90"/>
      <c r="B16" s="72" t="s">
        <v>165</v>
      </c>
      <c r="C16" s="581" t="s">
        <v>797</v>
      </c>
      <c r="D16" s="582"/>
      <c r="E16" s="582"/>
      <c r="F16" s="582"/>
      <c r="G16" s="582"/>
      <c r="H16" s="582"/>
      <c r="I16" s="582"/>
      <c r="J16" s="582"/>
      <c r="K16" s="582"/>
      <c r="L16" s="582"/>
      <c r="M16" s="583"/>
    </row>
    <row r="17" spans="1:73" ht="27" customHeight="1" x14ac:dyDescent="0.3">
      <c r="A17" s="82" t="s">
        <v>169</v>
      </c>
      <c r="B17" s="60" t="s">
        <v>170</v>
      </c>
      <c r="C17" s="551" t="s">
        <v>171</v>
      </c>
      <c r="D17" s="565"/>
      <c r="E17" s="60" t="s">
        <v>172</v>
      </c>
      <c r="F17" s="70">
        <v>40</v>
      </c>
      <c r="G17" s="311">
        <v>0</v>
      </c>
      <c r="H17" s="70">
        <f>F17*AM17</f>
        <v>0</v>
      </c>
      <c r="I17" s="70">
        <f>F17*AN17</f>
        <v>0</v>
      </c>
      <c r="J17" s="70">
        <f>F17*G17</f>
        <v>0</v>
      </c>
      <c r="K17" s="70">
        <v>0</v>
      </c>
      <c r="L17" s="70">
        <f>F17*K17</f>
        <v>0</v>
      </c>
      <c r="M17" s="89" t="s">
        <v>472</v>
      </c>
      <c r="X17" s="70">
        <f>IF(AO17="5",BH17,0)</f>
        <v>0</v>
      </c>
      <c r="Z17" s="70">
        <f>IF(AO17="1",BF17,0)</f>
        <v>0</v>
      </c>
      <c r="AA17" s="70">
        <f>IF(AO17="1",BG17,0)</f>
        <v>0</v>
      </c>
      <c r="AB17" s="70">
        <f>IF(AO17="7",BF17,0)</f>
        <v>0</v>
      </c>
      <c r="AC17" s="70">
        <f>IF(AO17="7",BG17,0)</f>
        <v>0</v>
      </c>
      <c r="AD17" s="70">
        <f>IF(AO17="2",BF17,0)</f>
        <v>0</v>
      </c>
      <c r="AE17" s="70">
        <f>IF(AO17="2",BG17,0)</f>
        <v>0</v>
      </c>
      <c r="AF17" s="70">
        <f>IF(AO17="0",BH17,0)</f>
        <v>0</v>
      </c>
      <c r="AG17" s="64" t="s">
        <v>154</v>
      </c>
      <c r="AH17" s="70">
        <f>IF(AL17=0,J17,0)</f>
        <v>0</v>
      </c>
      <c r="AI17" s="70">
        <f>IF(AL17=15,J17,0)</f>
        <v>0</v>
      </c>
      <c r="AJ17" s="70">
        <f>IF(AL17=21,J17,0)</f>
        <v>0</v>
      </c>
      <c r="AL17" s="70">
        <v>21</v>
      </c>
      <c r="AM17" s="70">
        <f>G17*0</f>
        <v>0</v>
      </c>
      <c r="AN17" s="70">
        <f>G17*(1-0)</f>
        <v>0</v>
      </c>
      <c r="AO17" s="71" t="s">
        <v>157</v>
      </c>
      <c r="AT17" s="70">
        <f>AU17+AV17</f>
        <v>0</v>
      </c>
      <c r="AU17" s="70">
        <f>F17*AM17</f>
        <v>0</v>
      </c>
      <c r="AV17" s="70">
        <f>F17*AN17</f>
        <v>0</v>
      </c>
      <c r="AW17" s="71" t="s">
        <v>162</v>
      </c>
      <c r="AX17" s="71" t="s">
        <v>163</v>
      </c>
      <c r="AY17" s="64" t="s">
        <v>164</v>
      </c>
      <c r="BA17" s="70">
        <f>AU17+AV17</f>
        <v>0</v>
      </c>
      <c r="BB17" s="70">
        <f>G17/(100-BC17)*100</f>
        <v>0</v>
      </c>
      <c r="BC17" s="70">
        <v>0</v>
      </c>
      <c r="BD17" s="70">
        <f>L17</f>
        <v>0</v>
      </c>
      <c r="BF17" s="70">
        <f>F17*AM17</f>
        <v>0</v>
      </c>
      <c r="BG17" s="70">
        <f>F17*AN17</f>
        <v>0</v>
      </c>
      <c r="BH17" s="70">
        <f>F17*G17</f>
        <v>0</v>
      </c>
      <c r="BI17" s="70"/>
      <c r="BJ17" s="70">
        <v>11</v>
      </c>
      <c r="BU17" s="70" t="e">
        <f>#REF!</f>
        <v>#REF!</v>
      </c>
    </row>
    <row r="18" spans="1:73" ht="40.5" customHeight="1" x14ac:dyDescent="0.3">
      <c r="A18" s="90"/>
      <c r="B18" s="72" t="s">
        <v>165</v>
      </c>
      <c r="C18" s="581" t="s">
        <v>790</v>
      </c>
      <c r="D18" s="582"/>
      <c r="E18" s="582"/>
      <c r="F18" s="582"/>
      <c r="G18" s="582"/>
      <c r="H18" s="582"/>
      <c r="I18" s="582"/>
      <c r="J18" s="582"/>
      <c r="K18" s="582"/>
      <c r="L18" s="582"/>
      <c r="M18" s="583"/>
    </row>
    <row r="19" spans="1:73" ht="27" customHeight="1" x14ac:dyDescent="0.3">
      <c r="A19" s="82" t="s">
        <v>173</v>
      </c>
      <c r="B19" s="60" t="s">
        <v>174</v>
      </c>
      <c r="C19" s="551" t="s">
        <v>175</v>
      </c>
      <c r="D19" s="565"/>
      <c r="E19" s="60" t="s">
        <v>176</v>
      </c>
      <c r="F19" s="70">
        <v>5</v>
      </c>
      <c r="G19" s="311">
        <v>0</v>
      </c>
      <c r="H19" s="70">
        <f>F19*AM19</f>
        <v>0</v>
      </c>
      <c r="I19" s="70">
        <f>F19*AN19</f>
        <v>0</v>
      </c>
      <c r="J19" s="70">
        <f>F19*G19</f>
        <v>0</v>
      </c>
      <c r="K19" s="70">
        <v>0</v>
      </c>
      <c r="L19" s="70">
        <f>F19*K19</f>
        <v>0</v>
      </c>
      <c r="M19" s="89" t="s">
        <v>472</v>
      </c>
      <c r="X19" s="70">
        <f>IF(AO19="5",BH19,0)</f>
        <v>0</v>
      </c>
      <c r="Z19" s="70">
        <f>IF(AO19="1",BF19,0)</f>
        <v>0</v>
      </c>
      <c r="AA19" s="70">
        <f>IF(AO19="1",BG19,0)</f>
        <v>0</v>
      </c>
      <c r="AB19" s="70">
        <f>IF(AO19="7",BF19,0)</f>
        <v>0</v>
      </c>
      <c r="AC19" s="70">
        <f>IF(AO19="7",BG19,0)</f>
        <v>0</v>
      </c>
      <c r="AD19" s="70">
        <f>IF(AO19="2",BF19,0)</f>
        <v>0</v>
      </c>
      <c r="AE19" s="70">
        <f>IF(AO19="2",BG19,0)</f>
        <v>0</v>
      </c>
      <c r="AF19" s="70">
        <f>IF(AO19="0",BH19,0)</f>
        <v>0</v>
      </c>
      <c r="AG19" s="64" t="s">
        <v>154</v>
      </c>
      <c r="AH19" s="70">
        <f>IF(AL19=0,J19,0)</f>
        <v>0</v>
      </c>
      <c r="AI19" s="70">
        <f>IF(AL19=15,J19,0)</f>
        <v>0</v>
      </c>
      <c r="AJ19" s="70">
        <f>IF(AL19=21,J19,0)</f>
        <v>0</v>
      </c>
      <c r="AL19" s="70">
        <v>21</v>
      </c>
      <c r="AM19" s="70">
        <f>G19*0</f>
        <v>0</v>
      </c>
      <c r="AN19" s="70">
        <f>G19*(1-0)</f>
        <v>0</v>
      </c>
      <c r="AO19" s="71" t="s">
        <v>157</v>
      </c>
      <c r="AT19" s="70">
        <f>AU19+AV19</f>
        <v>0</v>
      </c>
      <c r="AU19" s="70">
        <f>F19*AM19</f>
        <v>0</v>
      </c>
      <c r="AV19" s="70">
        <f>F19*AN19</f>
        <v>0</v>
      </c>
      <c r="AW19" s="71" t="s">
        <v>162</v>
      </c>
      <c r="AX19" s="71" t="s">
        <v>163</v>
      </c>
      <c r="AY19" s="64" t="s">
        <v>164</v>
      </c>
      <c r="BA19" s="70">
        <f>AU19+AV19</f>
        <v>0</v>
      </c>
      <c r="BB19" s="70">
        <f>G19/(100-BC19)*100</f>
        <v>0</v>
      </c>
      <c r="BC19" s="70">
        <v>0</v>
      </c>
      <c r="BD19" s="70">
        <f>L19</f>
        <v>0</v>
      </c>
      <c r="BF19" s="70">
        <f>F19*AM19</f>
        <v>0</v>
      </c>
      <c r="BG19" s="70">
        <f>F19*AN19</f>
        <v>0</v>
      </c>
      <c r="BH19" s="70">
        <f>F19*G19</f>
        <v>0</v>
      </c>
      <c r="BI19" s="70"/>
      <c r="BJ19" s="70">
        <v>11</v>
      </c>
      <c r="BU19" s="70" t="e">
        <f>#REF!</f>
        <v>#REF!</v>
      </c>
    </row>
    <row r="20" spans="1:73" ht="40.5" customHeight="1" x14ac:dyDescent="0.3">
      <c r="A20" s="90"/>
      <c r="B20" s="72" t="s">
        <v>165</v>
      </c>
      <c r="C20" s="581" t="s">
        <v>475</v>
      </c>
      <c r="D20" s="582"/>
      <c r="E20" s="582"/>
      <c r="F20" s="582"/>
      <c r="G20" s="582"/>
      <c r="H20" s="582"/>
      <c r="I20" s="582"/>
      <c r="J20" s="582"/>
      <c r="K20" s="582"/>
      <c r="L20" s="582"/>
      <c r="M20" s="583"/>
    </row>
    <row r="21" spans="1:73" ht="15" customHeight="1" x14ac:dyDescent="0.3">
      <c r="A21" s="82" t="s">
        <v>154</v>
      </c>
      <c r="B21" s="61" t="s">
        <v>191</v>
      </c>
      <c r="C21" s="564" t="s">
        <v>192</v>
      </c>
      <c r="D21" s="571"/>
      <c r="E21" s="60" t="s">
        <v>114</v>
      </c>
      <c r="F21" s="60" t="s">
        <v>114</v>
      </c>
      <c r="G21" s="60" t="s">
        <v>114</v>
      </c>
      <c r="H21" s="73">
        <f>SUM(H22:H24)</f>
        <v>0</v>
      </c>
      <c r="I21" s="73">
        <f>SUM(I22:I24)</f>
        <v>0</v>
      </c>
      <c r="J21" s="73">
        <f>SUM(J22:J24)</f>
        <v>0</v>
      </c>
      <c r="K21" s="65" t="s">
        <v>154</v>
      </c>
      <c r="L21" s="73">
        <f>SUM(L22:L24)</f>
        <v>0</v>
      </c>
      <c r="M21" s="91" t="s">
        <v>154</v>
      </c>
      <c r="AG21" s="64" t="s">
        <v>154</v>
      </c>
      <c r="AQ21" s="59">
        <f>SUM(AH22:AH24)</f>
        <v>0</v>
      </c>
      <c r="AR21" s="59">
        <f>SUM(AI22:AI24)</f>
        <v>0</v>
      </c>
      <c r="AS21" s="59">
        <f>SUM(AJ22:AJ24)</f>
        <v>0</v>
      </c>
    </row>
    <row r="22" spans="1:73" ht="13.5" customHeight="1" x14ac:dyDescent="0.3">
      <c r="A22" s="82" t="s">
        <v>177</v>
      </c>
      <c r="B22" s="60" t="s">
        <v>194</v>
      </c>
      <c r="C22" s="551" t="s">
        <v>195</v>
      </c>
      <c r="D22" s="565"/>
      <c r="E22" s="60" t="s">
        <v>196</v>
      </c>
      <c r="F22" s="70">
        <v>1.19</v>
      </c>
      <c r="G22" s="311">
        <v>0</v>
      </c>
      <c r="H22" s="70">
        <f>F22*AM22</f>
        <v>0</v>
      </c>
      <c r="I22" s="70">
        <f>F22*AN22</f>
        <v>0</v>
      </c>
      <c r="J22" s="70">
        <f>F22*G22</f>
        <v>0</v>
      </c>
      <c r="K22" s="70">
        <v>0</v>
      </c>
      <c r="L22" s="70">
        <f>F22*K22</f>
        <v>0</v>
      </c>
      <c r="M22" s="89" t="s">
        <v>472</v>
      </c>
      <c r="X22" s="70">
        <f>IF(AO22="5",BH22,0)</f>
        <v>0</v>
      </c>
      <c r="Z22" s="70">
        <f>IF(AO22="1",BF22,0)</f>
        <v>0</v>
      </c>
      <c r="AA22" s="70">
        <f>IF(AO22="1",BG22,0)</f>
        <v>0</v>
      </c>
      <c r="AB22" s="70">
        <f>IF(AO22="7",BF22,0)</f>
        <v>0</v>
      </c>
      <c r="AC22" s="70">
        <f>IF(AO22="7",BG22,0)</f>
        <v>0</v>
      </c>
      <c r="AD22" s="70">
        <f>IF(AO22="2",BF22,0)</f>
        <v>0</v>
      </c>
      <c r="AE22" s="70">
        <f>IF(AO22="2",BG22,0)</f>
        <v>0</v>
      </c>
      <c r="AF22" s="70">
        <f>IF(AO22="0",BH22,0)</f>
        <v>0</v>
      </c>
      <c r="AG22" s="64" t="s">
        <v>154</v>
      </c>
      <c r="AH22" s="70">
        <f>IF(AL22=0,J22,0)</f>
        <v>0</v>
      </c>
      <c r="AI22" s="70">
        <f>IF(AL22=15,J22,0)</f>
        <v>0</v>
      </c>
      <c r="AJ22" s="70">
        <f>IF(AL22=21,J22,0)</f>
        <v>0</v>
      </c>
      <c r="AL22" s="70">
        <v>21</v>
      </c>
      <c r="AM22" s="70">
        <f>G22*0</f>
        <v>0</v>
      </c>
      <c r="AN22" s="70">
        <f>G22*(1-0)</f>
        <v>0</v>
      </c>
      <c r="AO22" s="71" t="s">
        <v>157</v>
      </c>
      <c r="AT22" s="70">
        <f>AU22+AV22</f>
        <v>0</v>
      </c>
      <c r="AU22" s="70">
        <f>F22*AM22</f>
        <v>0</v>
      </c>
      <c r="AV22" s="70">
        <f>F22*AN22</f>
        <v>0</v>
      </c>
      <c r="AW22" s="71" t="s">
        <v>197</v>
      </c>
      <c r="AX22" s="71" t="s">
        <v>163</v>
      </c>
      <c r="AY22" s="64" t="s">
        <v>164</v>
      </c>
      <c r="BA22" s="70">
        <f>AU22+AV22</f>
        <v>0</v>
      </c>
      <c r="BB22" s="70">
        <f>G22/(100-BC22)*100</f>
        <v>0</v>
      </c>
      <c r="BC22" s="70">
        <v>0</v>
      </c>
      <c r="BD22" s="70">
        <f>L22</f>
        <v>0</v>
      </c>
      <c r="BF22" s="70">
        <f>F22*AM22</f>
        <v>0</v>
      </c>
      <c r="BG22" s="70">
        <f>F22*AN22</f>
        <v>0</v>
      </c>
      <c r="BH22" s="70">
        <f>F22*G22</f>
        <v>0</v>
      </c>
      <c r="BI22" s="70"/>
      <c r="BJ22" s="70">
        <v>12</v>
      </c>
      <c r="BU22" s="70" t="e">
        <f>#REF!</f>
        <v>#REF!</v>
      </c>
    </row>
    <row r="23" spans="1:73" ht="40.5" customHeight="1" x14ac:dyDescent="0.3">
      <c r="A23" s="90"/>
      <c r="B23" s="72" t="s">
        <v>165</v>
      </c>
      <c r="C23" s="581" t="s">
        <v>798</v>
      </c>
      <c r="D23" s="582"/>
      <c r="E23" s="582"/>
      <c r="F23" s="582"/>
      <c r="G23" s="582"/>
      <c r="H23" s="582"/>
      <c r="I23" s="582"/>
      <c r="J23" s="582"/>
      <c r="K23" s="582"/>
      <c r="L23" s="582"/>
      <c r="M23" s="583"/>
    </row>
    <row r="24" spans="1:73" ht="27" customHeight="1" x14ac:dyDescent="0.3">
      <c r="A24" s="82" t="s">
        <v>181</v>
      </c>
      <c r="B24" s="60" t="s">
        <v>199</v>
      </c>
      <c r="C24" s="551" t="s">
        <v>200</v>
      </c>
      <c r="D24" s="565"/>
      <c r="E24" s="60" t="s">
        <v>196</v>
      </c>
      <c r="F24" s="70">
        <v>1</v>
      </c>
      <c r="G24" s="311">
        <v>0</v>
      </c>
      <c r="H24" s="70">
        <f>F24*AM24</f>
        <v>0</v>
      </c>
      <c r="I24" s="70">
        <f>F24*AN24</f>
        <v>0</v>
      </c>
      <c r="J24" s="70">
        <f>F24*G24</f>
        <v>0</v>
      </c>
      <c r="K24" s="70">
        <v>0</v>
      </c>
      <c r="L24" s="70">
        <f>F24*K24</f>
        <v>0</v>
      </c>
      <c r="M24" s="89" t="s">
        <v>472</v>
      </c>
      <c r="X24" s="70">
        <f>IF(AO24="5",BH24,0)</f>
        <v>0</v>
      </c>
      <c r="Z24" s="70">
        <f>IF(AO24="1",BF24,0)</f>
        <v>0</v>
      </c>
      <c r="AA24" s="70">
        <f>IF(AO24="1",BG24,0)</f>
        <v>0</v>
      </c>
      <c r="AB24" s="70">
        <f>IF(AO24="7",BF24,0)</f>
        <v>0</v>
      </c>
      <c r="AC24" s="70">
        <f>IF(AO24="7",BG24,0)</f>
        <v>0</v>
      </c>
      <c r="AD24" s="70">
        <f>IF(AO24="2",BF24,0)</f>
        <v>0</v>
      </c>
      <c r="AE24" s="70">
        <f>IF(AO24="2",BG24,0)</f>
        <v>0</v>
      </c>
      <c r="AF24" s="70">
        <f>IF(AO24="0",BH24,0)</f>
        <v>0</v>
      </c>
      <c r="AG24" s="64" t="s">
        <v>154</v>
      </c>
      <c r="AH24" s="70">
        <f>IF(AL24=0,J24,0)</f>
        <v>0</v>
      </c>
      <c r="AI24" s="70">
        <f>IF(AL24=15,J24,0)</f>
        <v>0</v>
      </c>
      <c r="AJ24" s="70">
        <f>IF(AL24=21,J24,0)</f>
        <v>0</v>
      </c>
      <c r="AL24" s="70">
        <v>21</v>
      </c>
      <c r="AM24" s="70">
        <f>G24*0</f>
        <v>0</v>
      </c>
      <c r="AN24" s="70">
        <f>G24*(1-0)</f>
        <v>0</v>
      </c>
      <c r="AO24" s="71" t="s">
        <v>157</v>
      </c>
      <c r="AT24" s="70">
        <f>AU24+AV24</f>
        <v>0</v>
      </c>
      <c r="AU24" s="70">
        <f>F24*AM24</f>
        <v>0</v>
      </c>
      <c r="AV24" s="70">
        <f>F24*AN24</f>
        <v>0</v>
      </c>
      <c r="AW24" s="71" t="s">
        <v>197</v>
      </c>
      <c r="AX24" s="71" t="s">
        <v>163</v>
      </c>
      <c r="AY24" s="64" t="s">
        <v>164</v>
      </c>
      <c r="BA24" s="70">
        <f>AU24+AV24</f>
        <v>0</v>
      </c>
      <c r="BB24" s="70">
        <f>G24/(100-BC24)*100</f>
        <v>0</v>
      </c>
      <c r="BC24" s="70">
        <v>0</v>
      </c>
      <c r="BD24" s="70">
        <f>L24</f>
        <v>0</v>
      </c>
      <c r="BF24" s="70">
        <f>F24*AM24</f>
        <v>0</v>
      </c>
      <c r="BG24" s="70">
        <f>F24*AN24</f>
        <v>0</v>
      </c>
      <c r="BH24" s="70">
        <f>F24*G24</f>
        <v>0</v>
      </c>
      <c r="BI24" s="70"/>
      <c r="BJ24" s="70">
        <v>12</v>
      </c>
      <c r="BU24" s="70" t="e">
        <f>#REF!</f>
        <v>#REF!</v>
      </c>
    </row>
    <row r="25" spans="1:73" ht="13.5" customHeight="1" x14ac:dyDescent="0.3">
      <c r="A25" s="90"/>
      <c r="B25" s="72" t="s">
        <v>165</v>
      </c>
      <c r="C25" s="581" t="s">
        <v>480</v>
      </c>
      <c r="D25" s="582"/>
      <c r="E25" s="582"/>
      <c r="F25" s="582"/>
      <c r="G25" s="582"/>
      <c r="H25" s="582"/>
      <c r="I25" s="582"/>
      <c r="J25" s="582"/>
      <c r="K25" s="582"/>
      <c r="L25" s="582"/>
      <c r="M25" s="583"/>
    </row>
    <row r="26" spans="1:73" ht="15" customHeight="1" x14ac:dyDescent="0.3">
      <c r="A26" s="82" t="s">
        <v>154</v>
      </c>
      <c r="B26" s="61" t="s">
        <v>201</v>
      </c>
      <c r="C26" s="564" t="s">
        <v>202</v>
      </c>
      <c r="D26" s="571"/>
      <c r="E26" s="60" t="s">
        <v>114</v>
      </c>
      <c r="F26" s="60" t="s">
        <v>114</v>
      </c>
      <c r="G26" s="60" t="s">
        <v>114</v>
      </c>
      <c r="H26" s="73">
        <f>SUM(H27:H37)</f>
        <v>0</v>
      </c>
      <c r="I26" s="73">
        <f>SUM(I27:I37)</f>
        <v>0</v>
      </c>
      <c r="J26" s="73">
        <f>SUM(J27:J37)</f>
        <v>0</v>
      </c>
      <c r="K26" s="65" t="s">
        <v>154</v>
      </c>
      <c r="L26" s="73">
        <f>SUM(L27:L37)</f>
        <v>0</v>
      </c>
      <c r="M26" s="91" t="s">
        <v>154</v>
      </c>
      <c r="AG26" s="64" t="s">
        <v>154</v>
      </c>
      <c r="AQ26" s="59">
        <f>SUM(AH27:AH37)</f>
        <v>0</v>
      </c>
      <c r="AR26" s="59">
        <f>SUM(AI27:AI37)</f>
        <v>0</v>
      </c>
      <c r="AS26" s="59">
        <f>SUM(AJ27:AJ37)</f>
        <v>0</v>
      </c>
    </row>
    <row r="27" spans="1:73" ht="27" customHeight="1" x14ac:dyDescent="0.3">
      <c r="A27" s="82" t="s">
        <v>184</v>
      </c>
      <c r="B27" s="60" t="s">
        <v>203</v>
      </c>
      <c r="C27" s="551" t="s">
        <v>204</v>
      </c>
      <c r="D27" s="565"/>
      <c r="E27" s="60" t="s">
        <v>196</v>
      </c>
      <c r="F27" s="70">
        <v>4.07</v>
      </c>
      <c r="G27" s="311">
        <v>0</v>
      </c>
      <c r="H27" s="70">
        <f>F27*AM27</f>
        <v>0</v>
      </c>
      <c r="I27" s="70">
        <f>F27*AN27</f>
        <v>0</v>
      </c>
      <c r="J27" s="70">
        <f>F27*G27</f>
        <v>0</v>
      </c>
      <c r="K27" s="70">
        <v>0</v>
      </c>
      <c r="L27" s="70">
        <f>F27*K27</f>
        <v>0</v>
      </c>
      <c r="M27" s="89" t="s">
        <v>472</v>
      </c>
      <c r="X27" s="70">
        <f>IF(AO27="5",BH27,0)</f>
        <v>0</v>
      </c>
      <c r="Z27" s="70">
        <f>IF(AO27="1",BF27,0)</f>
        <v>0</v>
      </c>
      <c r="AA27" s="70">
        <f>IF(AO27="1",BG27,0)</f>
        <v>0</v>
      </c>
      <c r="AB27" s="70">
        <f>IF(AO27="7",BF27,0)</f>
        <v>0</v>
      </c>
      <c r="AC27" s="70">
        <f>IF(AO27="7",BG27,0)</f>
        <v>0</v>
      </c>
      <c r="AD27" s="70">
        <f>IF(AO27="2",BF27,0)</f>
        <v>0</v>
      </c>
      <c r="AE27" s="70">
        <f>IF(AO27="2",BG27,0)</f>
        <v>0</v>
      </c>
      <c r="AF27" s="70">
        <f>IF(AO27="0",BH27,0)</f>
        <v>0</v>
      </c>
      <c r="AG27" s="64" t="s">
        <v>154</v>
      </c>
      <c r="AH27" s="70">
        <f>IF(AL27=0,J27,0)</f>
        <v>0</v>
      </c>
      <c r="AI27" s="70">
        <f>IF(AL27=15,J27,0)</f>
        <v>0</v>
      </c>
      <c r="AJ27" s="70">
        <f>IF(AL27=21,J27,0)</f>
        <v>0</v>
      </c>
      <c r="AL27" s="70">
        <v>21</v>
      </c>
      <c r="AM27" s="70">
        <f>G27*0</f>
        <v>0</v>
      </c>
      <c r="AN27" s="70">
        <f>G27*(1-0)</f>
        <v>0</v>
      </c>
      <c r="AO27" s="71" t="s">
        <v>157</v>
      </c>
      <c r="AT27" s="70">
        <f>AU27+AV27</f>
        <v>0</v>
      </c>
      <c r="AU27" s="70">
        <f>F27*AM27</f>
        <v>0</v>
      </c>
      <c r="AV27" s="70">
        <f>F27*AN27</f>
        <v>0</v>
      </c>
      <c r="AW27" s="71" t="s">
        <v>205</v>
      </c>
      <c r="AX27" s="71" t="s">
        <v>163</v>
      </c>
      <c r="AY27" s="64" t="s">
        <v>164</v>
      </c>
      <c r="BA27" s="70">
        <f>AU27+AV27</f>
        <v>0</v>
      </c>
      <c r="BB27" s="70">
        <f>G27/(100-BC27)*100</f>
        <v>0</v>
      </c>
      <c r="BC27" s="70">
        <v>0</v>
      </c>
      <c r="BD27" s="70">
        <f>L27</f>
        <v>0</v>
      </c>
      <c r="BF27" s="70">
        <f>F27*AM27</f>
        <v>0</v>
      </c>
      <c r="BG27" s="70">
        <f>F27*AN27</f>
        <v>0</v>
      </c>
      <c r="BH27" s="70">
        <f>F27*G27</f>
        <v>0</v>
      </c>
      <c r="BI27" s="70"/>
      <c r="BJ27" s="70">
        <v>13</v>
      </c>
      <c r="BU27" s="70" t="e">
        <f>#REF!</f>
        <v>#REF!</v>
      </c>
    </row>
    <row r="28" spans="1:73" ht="81" customHeight="1" x14ac:dyDescent="0.3">
      <c r="A28" s="90"/>
      <c r="B28" s="72" t="s">
        <v>165</v>
      </c>
      <c r="C28" s="581" t="s">
        <v>799</v>
      </c>
      <c r="D28" s="582"/>
      <c r="E28" s="582"/>
      <c r="F28" s="582"/>
      <c r="G28" s="582"/>
      <c r="H28" s="582"/>
      <c r="I28" s="582"/>
      <c r="J28" s="582"/>
      <c r="K28" s="582"/>
      <c r="L28" s="582"/>
      <c r="M28" s="583"/>
    </row>
    <row r="29" spans="1:73" ht="27" customHeight="1" x14ac:dyDescent="0.3">
      <c r="A29" s="82" t="s">
        <v>187</v>
      </c>
      <c r="B29" s="60" t="s">
        <v>206</v>
      </c>
      <c r="C29" s="551" t="s">
        <v>481</v>
      </c>
      <c r="D29" s="565"/>
      <c r="E29" s="60" t="s">
        <v>196</v>
      </c>
      <c r="F29" s="70">
        <v>2.04</v>
      </c>
      <c r="G29" s="311">
        <v>0</v>
      </c>
      <c r="H29" s="70">
        <f>F29*AM29</f>
        <v>0</v>
      </c>
      <c r="I29" s="70">
        <f>F29*AN29</f>
        <v>0</v>
      </c>
      <c r="J29" s="70">
        <f>F29*G29</f>
        <v>0</v>
      </c>
      <c r="K29" s="70">
        <v>0</v>
      </c>
      <c r="L29" s="70">
        <f>F29*K29</f>
        <v>0</v>
      </c>
      <c r="M29" s="89" t="s">
        <v>472</v>
      </c>
      <c r="X29" s="70">
        <f>IF(AO29="5",BH29,0)</f>
        <v>0</v>
      </c>
      <c r="Z29" s="70">
        <f>IF(AO29="1",BF29,0)</f>
        <v>0</v>
      </c>
      <c r="AA29" s="70">
        <f>IF(AO29="1",BG29,0)</f>
        <v>0</v>
      </c>
      <c r="AB29" s="70">
        <f>IF(AO29="7",BF29,0)</f>
        <v>0</v>
      </c>
      <c r="AC29" s="70">
        <f>IF(AO29="7",BG29,0)</f>
        <v>0</v>
      </c>
      <c r="AD29" s="70">
        <f>IF(AO29="2",BF29,0)</f>
        <v>0</v>
      </c>
      <c r="AE29" s="70">
        <f>IF(AO29="2",BG29,0)</f>
        <v>0</v>
      </c>
      <c r="AF29" s="70">
        <f>IF(AO29="0",BH29,0)</f>
        <v>0</v>
      </c>
      <c r="AG29" s="64" t="s">
        <v>154</v>
      </c>
      <c r="AH29" s="70">
        <f>IF(AL29=0,J29,0)</f>
        <v>0</v>
      </c>
      <c r="AI29" s="70">
        <f>IF(AL29=15,J29,0)</f>
        <v>0</v>
      </c>
      <c r="AJ29" s="70">
        <f>IF(AL29=21,J29,0)</f>
        <v>0</v>
      </c>
      <c r="AL29" s="70">
        <v>21</v>
      </c>
      <c r="AM29" s="70">
        <f>G29*0</f>
        <v>0</v>
      </c>
      <c r="AN29" s="70">
        <f>G29*(1-0)</f>
        <v>0</v>
      </c>
      <c r="AO29" s="71" t="s">
        <v>157</v>
      </c>
      <c r="AT29" s="70">
        <f>AU29+AV29</f>
        <v>0</v>
      </c>
      <c r="AU29" s="70">
        <f>F29*AM29</f>
        <v>0</v>
      </c>
      <c r="AV29" s="70">
        <f>F29*AN29</f>
        <v>0</v>
      </c>
      <c r="AW29" s="71" t="s">
        <v>205</v>
      </c>
      <c r="AX29" s="71" t="s">
        <v>163</v>
      </c>
      <c r="AY29" s="64" t="s">
        <v>164</v>
      </c>
      <c r="BA29" s="70">
        <f>AU29+AV29</f>
        <v>0</v>
      </c>
      <c r="BB29" s="70">
        <f>G29/(100-BC29)*100</f>
        <v>0</v>
      </c>
      <c r="BC29" s="70">
        <v>0</v>
      </c>
      <c r="BD29" s="70">
        <f>L29</f>
        <v>0</v>
      </c>
      <c r="BF29" s="70">
        <f>F29*AM29</f>
        <v>0</v>
      </c>
      <c r="BG29" s="70">
        <f>F29*AN29</f>
        <v>0</v>
      </c>
      <c r="BH29" s="70">
        <f>F29*G29</f>
        <v>0</v>
      </c>
      <c r="BI29" s="70"/>
      <c r="BJ29" s="70">
        <v>13</v>
      </c>
      <c r="BU29" s="70" t="e">
        <f>#REF!</f>
        <v>#REF!</v>
      </c>
    </row>
    <row r="30" spans="1:73" ht="40.5" customHeight="1" x14ac:dyDescent="0.3">
      <c r="A30" s="92"/>
      <c r="B30" s="93" t="s">
        <v>165</v>
      </c>
      <c r="C30" s="584" t="s">
        <v>800</v>
      </c>
      <c r="D30" s="585"/>
      <c r="E30" s="585"/>
      <c r="F30" s="585"/>
      <c r="G30" s="585"/>
      <c r="H30" s="585"/>
      <c r="I30" s="585"/>
      <c r="J30" s="585"/>
      <c r="K30" s="585"/>
      <c r="L30" s="585"/>
      <c r="M30" s="586"/>
    </row>
    <row r="31" spans="1:73" ht="27" customHeight="1" x14ac:dyDescent="0.3">
      <c r="A31" s="84" t="s">
        <v>193</v>
      </c>
      <c r="B31" s="85" t="s">
        <v>208</v>
      </c>
      <c r="C31" s="587" t="s">
        <v>209</v>
      </c>
      <c r="D31" s="588"/>
      <c r="E31" s="85" t="s">
        <v>196</v>
      </c>
      <c r="F31" s="94">
        <v>3.26</v>
      </c>
      <c r="G31" s="311">
        <v>0</v>
      </c>
      <c r="H31" s="94">
        <f>F31*AM31</f>
        <v>0</v>
      </c>
      <c r="I31" s="94">
        <f>F31*AN31</f>
        <v>0</v>
      </c>
      <c r="J31" s="94">
        <f>F31*G31</f>
        <v>0</v>
      </c>
      <c r="K31" s="94">
        <v>0</v>
      </c>
      <c r="L31" s="94">
        <f>F31*K31</f>
        <v>0</v>
      </c>
      <c r="M31" s="95" t="s">
        <v>472</v>
      </c>
      <c r="X31" s="70">
        <f>IF(AO31="5",BH31,0)</f>
        <v>0</v>
      </c>
      <c r="Z31" s="70">
        <f>IF(AO31="1",BF31,0)</f>
        <v>0</v>
      </c>
      <c r="AA31" s="70">
        <f>IF(AO31="1",BG31,0)</f>
        <v>0</v>
      </c>
      <c r="AB31" s="70">
        <f>IF(AO31="7",BF31,0)</f>
        <v>0</v>
      </c>
      <c r="AC31" s="70">
        <f>IF(AO31="7",BG31,0)</f>
        <v>0</v>
      </c>
      <c r="AD31" s="70">
        <f>IF(AO31="2",BF31,0)</f>
        <v>0</v>
      </c>
      <c r="AE31" s="70">
        <f>IF(AO31="2",BG31,0)</f>
        <v>0</v>
      </c>
      <c r="AF31" s="70">
        <f>IF(AO31="0",BH31,0)</f>
        <v>0</v>
      </c>
      <c r="AG31" s="64" t="s">
        <v>154</v>
      </c>
      <c r="AH31" s="70">
        <f>IF(AL31=0,J31,0)</f>
        <v>0</v>
      </c>
      <c r="AI31" s="70">
        <f>IF(AL31=15,J31,0)</f>
        <v>0</v>
      </c>
      <c r="AJ31" s="70">
        <f>IF(AL31=21,J31,0)</f>
        <v>0</v>
      </c>
      <c r="AL31" s="70">
        <v>21</v>
      </c>
      <c r="AM31" s="70">
        <f>G31*0</f>
        <v>0</v>
      </c>
      <c r="AN31" s="70">
        <f>G31*(1-0)</f>
        <v>0</v>
      </c>
      <c r="AO31" s="71" t="s">
        <v>157</v>
      </c>
      <c r="AT31" s="70">
        <f>AU31+AV31</f>
        <v>0</v>
      </c>
      <c r="AU31" s="70">
        <f>F31*AM31</f>
        <v>0</v>
      </c>
      <c r="AV31" s="70">
        <f>F31*AN31</f>
        <v>0</v>
      </c>
      <c r="AW31" s="71" t="s">
        <v>205</v>
      </c>
      <c r="AX31" s="71" t="s">
        <v>163</v>
      </c>
      <c r="AY31" s="64" t="s">
        <v>164</v>
      </c>
      <c r="BA31" s="70">
        <f>AU31+AV31</f>
        <v>0</v>
      </c>
      <c r="BB31" s="70">
        <f>G31/(100-BC31)*100</f>
        <v>0</v>
      </c>
      <c r="BC31" s="70">
        <v>0</v>
      </c>
      <c r="BD31" s="70">
        <f>L31</f>
        <v>0</v>
      </c>
      <c r="BF31" s="70">
        <f>F31*AM31</f>
        <v>0</v>
      </c>
      <c r="BG31" s="70">
        <f>F31*AN31</f>
        <v>0</v>
      </c>
      <c r="BH31" s="70">
        <f>F31*G31</f>
        <v>0</v>
      </c>
      <c r="BI31" s="70"/>
      <c r="BJ31" s="70">
        <v>13</v>
      </c>
      <c r="BU31" s="70" t="e">
        <f>#REF!</f>
        <v>#REF!</v>
      </c>
    </row>
    <row r="32" spans="1:73" ht="81" customHeight="1" x14ac:dyDescent="0.3">
      <c r="A32" s="90"/>
      <c r="B32" s="72" t="s">
        <v>165</v>
      </c>
      <c r="C32" s="581" t="s">
        <v>801</v>
      </c>
      <c r="D32" s="582"/>
      <c r="E32" s="582"/>
      <c r="F32" s="582"/>
      <c r="G32" s="582"/>
      <c r="H32" s="582"/>
      <c r="I32" s="582"/>
      <c r="J32" s="582"/>
      <c r="K32" s="582"/>
      <c r="L32" s="582"/>
      <c r="M32" s="583"/>
    </row>
    <row r="33" spans="1:73" ht="27" customHeight="1" x14ac:dyDescent="0.3">
      <c r="A33" s="82" t="s">
        <v>198</v>
      </c>
      <c r="B33" s="60" t="s">
        <v>211</v>
      </c>
      <c r="C33" s="551" t="s">
        <v>482</v>
      </c>
      <c r="D33" s="565"/>
      <c r="E33" s="60" t="s">
        <v>196</v>
      </c>
      <c r="F33" s="70">
        <v>0.81</v>
      </c>
      <c r="G33" s="311">
        <v>0</v>
      </c>
      <c r="H33" s="70">
        <f>F33*AM33</f>
        <v>0</v>
      </c>
      <c r="I33" s="70">
        <f>F33*AN33</f>
        <v>0</v>
      </c>
      <c r="J33" s="70">
        <f>F33*G33</f>
        <v>0</v>
      </c>
      <c r="K33" s="70">
        <v>0</v>
      </c>
      <c r="L33" s="70">
        <f>F33*K33</f>
        <v>0</v>
      </c>
      <c r="M33" s="89" t="s">
        <v>472</v>
      </c>
      <c r="X33" s="70">
        <f>IF(AO33="5",BH33,0)</f>
        <v>0</v>
      </c>
      <c r="Z33" s="70">
        <f>IF(AO33="1",BF33,0)</f>
        <v>0</v>
      </c>
      <c r="AA33" s="70">
        <f>IF(AO33="1",BG33,0)</f>
        <v>0</v>
      </c>
      <c r="AB33" s="70">
        <f>IF(AO33="7",BF33,0)</f>
        <v>0</v>
      </c>
      <c r="AC33" s="70">
        <f>IF(AO33="7",BG33,0)</f>
        <v>0</v>
      </c>
      <c r="AD33" s="70">
        <f>IF(AO33="2",BF33,0)</f>
        <v>0</v>
      </c>
      <c r="AE33" s="70">
        <f>IF(AO33="2",BG33,0)</f>
        <v>0</v>
      </c>
      <c r="AF33" s="70">
        <f>IF(AO33="0",BH33,0)</f>
        <v>0</v>
      </c>
      <c r="AG33" s="64" t="s">
        <v>154</v>
      </c>
      <c r="AH33" s="70">
        <f>IF(AL33=0,J33,0)</f>
        <v>0</v>
      </c>
      <c r="AI33" s="70">
        <f>IF(AL33=15,J33,0)</f>
        <v>0</v>
      </c>
      <c r="AJ33" s="70">
        <f>IF(AL33=21,J33,0)</f>
        <v>0</v>
      </c>
      <c r="AL33" s="70">
        <v>21</v>
      </c>
      <c r="AM33" s="70">
        <f>G33*0</f>
        <v>0</v>
      </c>
      <c r="AN33" s="70">
        <f>G33*(1-0)</f>
        <v>0</v>
      </c>
      <c r="AO33" s="71" t="s">
        <v>157</v>
      </c>
      <c r="AT33" s="70">
        <f>AU33+AV33</f>
        <v>0</v>
      </c>
      <c r="AU33" s="70">
        <f>F33*AM33</f>
        <v>0</v>
      </c>
      <c r="AV33" s="70">
        <f>F33*AN33</f>
        <v>0</v>
      </c>
      <c r="AW33" s="71" t="s">
        <v>205</v>
      </c>
      <c r="AX33" s="71" t="s">
        <v>163</v>
      </c>
      <c r="AY33" s="64" t="s">
        <v>164</v>
      </c>
      <c r="BA33" s="70">
        <f>AU33+AV33</f>
        <v>0</v>
      </c>
      <c r="BB33" s="70">
        <f>G33/(100-BC33)*100</f>
        <v>0</v>
      </c>
      <c r="BC33" s="70">
        <v>0</v>
      </c>
      <c r="BD33" s="70">
        <f>L33</f>
        <v>0</v>
      </c>
      <c r="BF33" s="70">
        <f>F33*AM33</f>
        <v>0</v>
      </c>
      <c r="BG33" s="70">
        <f>F33*AN33</f>
        <v>0</v>
      </c>
      <c r="BH33" s="70">
        <f>F33*G33</f>
        <v>0</v>
      </c>
      <c r="BI33" s="70"/>
      <c r="BJ33" s="70">
        <v>13</v>
      </c>
      <c r="BU33" s="70" t="e">
        <f>#REF!</f>
        <v>#REF!</v>
      </c>
    </row>
    <row r="34" spans="1:73" ht="40.5" customHeight="1" x14ac:dyDescent="0.3">
      <c r="A34" s="90"/>
      <c r="B34" s="72" t="s">
        <v>165</v>
      </c>
      <c r="C34" s="581" t="s">
        <v>802</v>
      </c>
      <c r="D34" s="582"/>
      <c r="E34" s="582"/>
      <c r="F34" s="582"/>
      <c r="G34" s="582"/>
      <c r="H34" s="582"/>
      <c r="I34" s="582"/>
      <c r="J34" s="582"/>
      <c r="K34" s="582"/>
      <c r="L34" s="582"/>
      <c r="M34" s="583"/>
    </row>
    <row r="35" spans="1:73" ht="27" customHeight="1" x14ac:dyDescent="0.3">
      <c r="A35" s="82" t="s">
        <v>155</v>
      </c>
      <c r="B35" s="60" t="s">
        <v>213</v>
      </c>
      <c r="C35" s="551" t="s">
        <v>214</v>
      </c>
      <c r="D35" s="565"/>
      <c r="E35" s="60" t="s">
        <v>196</v>
      </c>
      <c r="F35" s="70">
        <v>0.81</v>
      </c>
      <c r="G35" s="311">
        <v>0</v>
      </c>
      <c r="H35" s="70">
        <f>F35*AM35</f>
        <v>0</v>
      </c>
      <c r="I35" s="70">
        <f>F35*AN35</f>
        <v>0</v>
      </c>
      <c r="J35" s="70">
        <f>F35*G35</f>
        <v>0</v>
      </c>
      <c r="K35" s="70">
        <v>0</v>
      </c>
      <c r="L35" s="70">
        <f>F35*K35</f>
        <v>0</v>
      </c>
      <c r="M35" s="89" t="s">
        <v>472</v>
      </c>
      <c r="X35" s="70">
        <f>IF(AO35="5",BH35,0)</f>
        <v>0</v>
      </c>
      <c r="Z35" s="70">
        <f>IF(AO35="1",BF35,0)</f>
        <v>0</v>
      </c>
      <c r="AA35" s="70">
        <f>IF(AO35="1",BG35,0)</f>
        <v>0</v>
      </c>
      <c r="AB35" s="70">
        <f>IF(AO35="7",BF35,0)</f>
        <v>0</v>
      </c>
      <c r="AC35" s="70">
        <f>IF(AO35="7",BG35,0)</f>
        <v>0</v>
      </c>
      <c r="AD35" s="70">
        <f>IF(AO35="2",BF35,0)</f>
        <v>0</v>
      </c>
      <c r="AE35" s="70">
        <f>IF(AO35="2",BG35,0)</f>
        <v>0</v>
      </c>
      <c r="AF35" s="70">
        <f>IF(AO35="0",BH35,0)</f>
        <v>0</v>
      </c>
      <c r="AG35" s="64" t="s">
        <v>154</v>
      </c>
      <c r="AH35" s="70">
        <f>IF(AL35=0,J35,0)</f>
        <v>0</v>
      </c>
      <c r="AI35" s="70">
        <f>IF(AL35=15,J35,0)</f>
        <v>0</v>
      </c>
      <c r="AJ35" s="70">
        <f>IF(AL35=21,J35,0)</f>
        <v>0</v>
      </c>
      <c r="AL35" s="70">
        <v>21</v>
      </c>
      <c r="AM35" s="70">
        <f>G35*0</f>
        <v>0</v>
      </c>
      <c r="AN35" s="70">
        <f>G35*(1-0)</f>
        <v>0</v>
      </c>
      <c r="AO35" s="71" t="s">
        <v>157</v>
      </c>
      <c r="AT35" s="70">
        <f>AU35+AV35</f>
        <v>0</v>
      </c>
      <c r="AU35" s="70">
        <f>F35*AM35</f>
        <v>0</v>
      </c>
      <c r="AV35" s="70">
        <f>F35*AN35</f>
        <v>0</v>
      </c>
      <c r="AW35" s="71" t="s">
        <v>205</v>
      </c>
      <c r="AX35" s="71" t="s">
        <v>163</v>
      </c>
      <c r="AY35" s="64" t="s">
        <v>164</v>
      </c>
      <c r="BA35" s="70">
        <f>AU35+AV35</f>
        <v>0</v>
      </c>
      <c r="BB35" s="70">
        <f>G35/(100-BC35)*100</f>
        <v>0</v>
      </c>
      <c r="BC35" s="70">
        <v>0</v>
      </c>
      <c r="BD35" s="70">
        <f>L35</f>
        <v>0</v>
      </c>
      <c r="BF35" s="70">
        <f>F35*AM35</f>
        <v>0</v>
      </c>
      <c r="BG35" s="70">
        <f>F35*AN35</f>
        <v>0</v>
      </c>
      <c r="BH35" s="70">
        <f>F35*G35</f>
        <v>0</v>
      </c>
      <c r="BI35" s="70"/>
      <c r="BJ35" s="70">
        <v>13</v>
      </c>
      <c r="BU35" s="70" t="e">
        <f>#REF!</f>
        <v>#REF!</v>
      </c>
    </row>
    <row r="36" spans="1:73" ht="81" customHeight="1" x14ac:dyDescent="0.3">
      <c r="A36" s="90"/>
      <c r="B36" s="72" t="s">
        <v>165</v>
      </c>
      <c r="C36" s="581" t="s">
        <v>803</v>
      </c>
      <c r="D36" s="582"/>
      <c r="E36" s="582"/>
      <c r="F36" s="582"/>
      <c r="G36" s="582"/>
      <c r="H36" s="582"/>
      <c r="I36" s="582"/>
      <c r="J36" s="582"/>
      <c r="K36" s="582"/>
      <c r="L36" s="582"/>
      <c r="M36" s="583"/>
    </row>
    <row r="37" spans="1:73" ht="27" customHeight="1" x14ac:dyDescent="0.3">
      <c r="A37" s="82" t="s">
        <v>191</v>
      </c>
      <c r="B37" s="60" t="s">
        <v>216</v>
      </c>
      <c r="C37" s="551" t="s">
        <v>217</v>
      </c>
      <c r="D37" s="565"/>
      <c r="E37" s="60" t="s">
        <v>196</v>
      </c>
      <c r="F37" s="70">
        <v>0.5</v>
      </c>
      <c r="G37" s="311">
        <v>0</v>
      </c>
      <c r="H37" s="70">
        <f>F37*AM37</f>
        <v>0</v>
      </c>
      <c r="I37" s="70">
        <f>F37*AN37</f>
        <v>0</v>
      </c>
      <c r="J37" s="70">
        <f>F37*G37</f>
        <v>0</v>
      </c>
      <c r="K37" s="70">
        <v>0</v>
      </c>
      <c r="L37" s="70">
        <f>F37*K37</f>
        <v>0</v>
      </c>
      <c r="M37" s="89" t="s">
        <v>472</v>
      </c>
      <c r="X37" s="70">
        <f>IF(AO37="5",BH37,0)</f>
        <v>0</v>
      </c>
      <c r="Z37" s="70">
        <f>IF(AO37="1",BF37,0)</f>
        <v>0</v>
      </c>
      <c r="AA37" s="70">
        <f>IF(AO37="1",BG37,0)</f>
        <v>0</v>
      </c>
      <c r="AB37" s="70">
        <f>IF(AO37="7",BF37,0)</f>
        <v>0</v>
      </c>
      <c r="AC37" s="70">
        <f>IF(AO37="7",BG37,0)</f>
        <v>0</v>
      </c>
      <c r="AD37" s="70">
        <f>IF(AO37="2",BF37,0)</f>
        <v>0</v>
      </c>
      <c r="AE37" s="70">
        <f>IF(AO37="2",BG37,0)</f>
        <v>0</v>
      </c>
      <c r="AF37" s="70">
        <f>IF(AO37="0",BH37,0)</f>
        <v>0</v>
      </c>
      <c r="AG37" s="64" t="s">
        <v>154</v>
      </c>
      <c r="AH37" s="70">
        <f>IF(AL37=0,J37,0)</f>
        <v>0</v>
      </c>
      <c r="AI37" s="70">
        <f>IF(AL37=15,J37,0)</f>
        <v>0</v>
      </c>
      <c r="AJ37" s="70">
        <f>IF(AL37=21,J37,0)</f>
        <v>0</v>
      </c>
      <c r="AL37" s="70">
        <v>21</v>
      </c>
      <c r="AM37" s="70">
        <f>G37*0</f>
        <v>0</v>
      </c>
      <c r="AN37" s="70">
        <f>G37*(1-0)</f>
        <v>0</v>
      </c>
      <c r="AO37" s="71" t="s">
        <v>157</v>
      </c>
      <c r="AT37" s="70">
        <f>AU37+AV37</f>
        <v>0</v>
      </c>
      <c r="AU37" s="70">
        <f>F37*AM37</f>
        <v>0</v>
      </c>
      <c r="AV37" s="70">
        <f>F37*AN37</f>
        <v>0</v>
      </c>
      <c r="AW37" s="71" t="s">
        <v>205</v>
      </c>
      <c r="AX37" s="71" t="s">
        <v>163</v>
      </c>
      <c r="AY37" s="64" t="s">
        <v>164</v>
      </c>
      <c r="BA37" s="70">
        <f>AU37+AV37</f>
        <v>0</v>
      </c>
      <c r="BB37" s="70">
        <f>G37/(100-BC37)*100</f>
        <v>0</v>
      </c>
      <c r="BC37" s="70">
        <v>0</v>
      </c>
      <c r="BD37" s="70">
        <f>L37</f>
        <v>0</v>
      </c>
      <c r="BF37" s="70">
        <f>F37*AM37</f>
        <v>0</v>
      </c>
      <c r="BG37" s="70">
        <f>F37*AN37</f>
        <v>0</v>
      </c>
      <c r="BH37" s="70">
        <f>F37*G37</f>
        <v>0</v>
      </c>
      <c r="BI37" s="70"/>
      <c r="BJ37" s="70">
        <v>13</v>
      </c>
      <c r="BU37" s="70" t="e">
        <f>#REF!</f>
        <v>#REF!</v>
      </c>
    </row>
    <row r="38" spans="1:73" ht="13.5" customHeight="1" x14ac:dyDescent="0.3">
      <c r="A38" s="90"/>
      <c r="B38" s="72" t="s">
        <v>165</v>
      </c>
      <c r="C38" s="581" t="s">
        <v>218</v>
      </c>
      <c r="D38" s="582"/>
      <c r="E38" s="582"/>
      <c r="F38" s="582"/>
      <c r="G38" s="582"/>
      <c r="H38" s="582"/>
      <c r="I38" s="582"/>
      <c r="J38" s="582"/>
      <c r="K38" s="582"/>
      <c r="L38" s="582"/>
      <c r="M38" s="583"/>
    </row>
    <row r="39" spans="1:73" ht="15" customHeight="1" x14ac:dyDescent="0.3">
      <c r="A39" s="82" t="s">
        <v>154</v>
      </c>
      <c r="B39" s="61" t="s">
        <v>161</v>
      </c>
      <c r="C39" s="564" t="s">
        <v>219</v>
      </c>
      <c r="D39" s="571"/>
      <c r="E39" s="60" t="s">
        <v>114</v>
      </c>
      <c r="F39" s="60" t="s">
        <v>114</v>
      </c>
      <c r="G39" s="60" t="s">
        <v>114</v>
      </c>
      <c r="H39" s="73">
        <f>SUM(H40:H42)</f>
        <v>0</v>
      </c>
      <c r="I39" s="73">
        <f>SUM(I40:I42)</f>
        <v>0</v>
      </c>
      <c r="J39" s="73">
        <f>SUM(J40:J42)</f>
        <v>0</v>
      </c>
      <c r="K39" s="65" t="s">
        <v>154</v>
      </c>
      <c r="L39" s="73">
        <f>SUM(L40:L42)</f>
        <v>1.5047999999999999E-2</v>
      </c>
      <c r="M39" s="91" t="s">
        <v>154</v>
      </c>
      <c r="AG39" s="64" t="s">
        <v>154</v>
      </c>
      <c r="AQ39" s="59">
        <f>SUM(AH40:AH42)</f>
        <v>0</v>
      </c>
      <c r="AR39" s="59">
        <f>SUM(AI40:AI42)</f>
        <v>0</v>
      </c>
      <c r="AS39" s="59">
        <f>SUM(AJ40:AJ42)</f>
        <v>0</v>
      </c>
    </row>
    <row r="40" spans="1:73" ht="27" customHeight="1" x14ac:dyDescent="0.3">
      <c r="A40" s="82" t="s">
        <v>201</v>
      </c>
      <c r="B40" s="60" t="s">
        <v>499</v>
      </c>
      <c r="C40" s="551" t="s">
        <v>500</v>
      </c>
      <c r="D40" s="565"/>
      <c r="E40" s="60" t="s">
        <v>180</v>
      </c>
      <c r="F40" s="70">
        <v>15.2</v>
      </c>
      <c r="G40" s="311">
        <v>0</v>
      </c>
      <c r="H40" s="70">
        <f>F40*AM40</f>
        <v>0</v>
      </c>
      <c r="I40" s="70">
        <f>F40*AN40</f>
        <v>0</v>
      </c>
      <c r="J40" s="70">
        <f>F40*G40</f>
        <v>0</v>
      </c>
      <c r="K40" s="70">
        <v>9.8999999999999999E-4</v>
      </c>
      <c r="L40" s="70">
        <f>F40*K40</f>
        <v>1.5047999999999999E-2</v>
      </c>
      <c r="M40" s="89" t="s">
        <v>472</v>
      </c>
      <c r="X40" s="70">
        <f>IF(AO40="5",BH40,0)</f>
        <v>0</v>
      </c>
      <c r="Z40" s="70">
        <f>IF(AO40="1",BF40,0)</f>
        <v>0</v>
      </c>
      <c r="AA40" s="70">
        <f>IF(AO40="1",BG40,0)</f>
        <v>0</v>
      </c>
      <c r="AB40" s="70">
        <f>IF(AO40="7",BF40,0)</f>
        <v>0</v>
      </c>
      <c r="AC40" s="70">
        <f>IF(AO40="7",BG40,0)</f>
        <v>0</v>
      </c>
      <c r="AD40" s="70">
        <f>IF(AO40="2",BF40,0)</f>
        <v>0</v>
      </c>
      <c r="AE40" s="70">
        <f>IF(AO40="2",BG40,0)</f>
        <v>0</v>
      </c>
      <c r="AF40" s="70">
        <f>IF(AO40="0",BH40,0)</f>
        <v>0</v>
      </c>
      <c r="AG40" s="64" t="s">
        <v>154</v>
      </c>
      <c r="AH40" s="70">
        <f>IF(AL40=0,J40,0)</f>
        <v>0</v>
      </c>
      <c r="AI40" s="70">
        <f>IF(AL40=15,J40,0)</f>
        <v>0</v>
      </c>
      <c r="AJ40" s="70">
        <f>IF(AL40=21,J40,0)</f>
        <v>0</v>
      </c>
      <c r="AL40" s="70">
        <v>21</v>
      </c>
      <c r="AM40" s="70">
        <f>G40*0.0852029001190347</f>
        <v>0</v>
      </c>
      <c r="AN40" s="70">
        <f>G40*(1-0.0852029001190347)</f>
        <v>0</v>
      </c>
      <c r="AO40" s="71" t="s">
        <v>157</v>
      </c>
      <c r="AT40" s="70">
        <f>AU40+AV40</f>
        <v>0</v>
      </c>
      <c r="AU40" s="70">
        <f>F40*AM40</f>
        <v>0</v>
      </c>
      <c r="AV40" s="70">
        <f>F40*AN40</f>
        <v>0</v>
      </c>
      <c r="AW40" s="71" t="s">
        <v>223</v>
      </c>
      <c r="AX40" s="71" t="s">
        <v>163</v>
      </c>
      <c r="AY40" s="64" t="s">
        <v>164</v>
      </c>
      <c r="BA40" s="70">
        <f>AU40+AV40</f>
        <v>0</v>
      </c>
      <c r="BB40" s="70">
        <f>G40/(100-BC40)*100</f>
        <v>0</v>
      </c>
      <c r="BC40" s="70">
        <v>0</v>
      </c>
      <c r="BD40" s="70">
        <f>L40</f>
        <v>1.5047999999999999E-2</v>
      </c>
      <c r="BF40" s="70">
        <f>F40*AM40</f>
        <v>0</v>
      </c>
      <c r="BG40" s="70">
        <f>F40*AN40</f>
        <v>0</v>
      </c>
      <c r="BH40" s="70">
        <f>F40*G40</f>
        <v>0</v>
      </c>
      <c r="BI40" s="70"/>
      <c r="BJ40" s="70">
        <v>15</v>
      </c>
      <c r="BU40" s="70" t="e">
        <f>#REF!</f>
        <v>#REF!</v>
      </c>
    </row>
    <row r="41" spans="1:73" ht="40.5" customHeight="1" x14ac:dyDescent="0.3">
      <c r="A41" s="90"/>
      <c r="B41" s="72" t="s">
        <v>165</v>
      </c>
      <c r="C41" s="581" t="s">
        <v>804</v>
      </c>
      <c r="D41" s="582"/>
      <c r="E41" s="582"/>
      <c r="F41" s="582"/>
      <c r="G41" s="582"/>
      <c r="H41" s="582"/>
      <c r="I41" s="582"/>
      <c r="J41" s="582"/>
      <c r="K41" s="582"/>
      <c r="L41" s="582"/>
      <c r="M41" s="583"/>
    </row>
    <row r="42" spans="1:73" ht="27" customHeight="1" x14ac:dyDescent="0.3">
      <c r="A42" s="82" t="s">
        <v>210</v>
      </c>
      <c r="B42" s="60" t="s">
        <v>501</v>
      </c>
      <c r="C42" s="551" t="s">
        <v>502</v>
      </c>
      <c r="D42" s="565"/>
      <c r="E42" s="60" t="s">
        <v>180</v>
      </c>
      <c r="F42" s="70">
        <v>15.2</v>
      </c>
      <c r="G42" s="311">
        <v>0</v>
      </c>
      <c r="H42" s="70">
        <f>F42*AM42</f>
        <v>0</v>
      </c>
      <c r="I42" s="70">
        <f>F42*AN42</f>
        <v>0</v>
      </c>
      <c r="J42" s="70">
        <f>F42*G42</f>
        <v>0</v>
      </c>
      <c r="K42" s="70">
        <v>0</v>
      </c>
      <c r="L42" s="70">
        <f>F42*K42</f>
        <v>0</v>
      </c>
      <c r="M42" s="89" t="s">
        <v>472</v>
      </c>
      <c r="X42" s="70">
        <f>IF(AO42="5",BH42,0)</f>
        <v>0</v>
      </c>
      <c r="Z42" s="70">
        <f>IF(AO42="1",BF42,0)</f>
        <v>0</v>
      </c>
      <c r="AA42" s="70">
        <f>IF(AO42="1",BG42,0)</f>
        <v>0</v>
      </c>
      <c r="AB42" s="70">
        <f>IF(AO42="7",BF42,0)</f>
        <v>0</v>
      </c>
      <c r="AC42" s="70">
        <f>IF(AO42="7",BG42,0)</f>
        <v>0</v>
      </c>
      <c r="AD42" s="70">
        <f>IF(AO42="2",BF42,0)</f>
        <v>0</v>
      </c>
      <c r="AE42" s="70">
        <f>IF(AO42="2",BG42,0)</f>
        <v>0</v>
      </c>
      <c r="AF42" s="70">
        <f>IF(AO42="0",BH42,0)</f>
        <v>0</v>
      </c>
      <c r="AG42" s="64" t="s">
        <v>154</v>
      </c>
      <c r="AH42" s="70">
        <f>IF(AL42=0,J42,0)</f>
        <v>0</v>
      </c>
      <c r="AI42" s="70">
        <f>IF(AL42=15,J42,0)</f>
        <v>0</v>
      </c>
      <c r="AJ42" s="70">
        <f>IF(AL42=21,J42,0)</f>
        <v>0</v>
      </c>
      <c r="AL42" s="70">
        <v>21</v>
      </c>
      <c r="AM42" s="70">
        <f>G42*0</f>
        <v>0</v>
      </c>
      <c r="AN42" s="70">
        <f>G42*(1-0)</f>
        <v>0</v>
      </c>
      <c r="AO42" s="71" t="s">
        <v>157</v>
      </c>
      <c r="AT42" s="70">
        <f>AU42+AV42</f>
        <v>0</v>
      </c>
      <c r="AU42" s="70">
        <f>F42*AM42</f>
        <v>0</v>
      </c>
      <c r="AV42" s="70">
        <f>F42*AN42</f>
        <v>0</v>
      </c>
      <c r="AW42" s="71" t="s">
        <v>223</v>
      </c>
      <c r="AX42" s="71" t="s">
        <v>163</v>
      </c>
      <c r="AY42" s="64" t="s">
        <v>164</v>
      </c>
      <c r="BA42" s="70">
        <f>AU42+AV42</f>
        <v>0</v>
      </c>
      <c r="BB42" s="70">
        <f>G42/(100-BC42)*100</f>
        <v>0</v>
      </c>
      <c r="BC42" s="70">
        <v>0</v>
      </c>
      <c r="BD42" s="70">
        <f>L42</f>
        <v>0</v>
      </c>
      <c r="BF42" s="70">
        <f>F42*AM42</f>
        <v>0</v>
      </c>
      <c r="BG42" s="70">
        <f>F42*AN42</f>
        <v>0</v>
      </c>
      <c r="BH42" s="70">
        <f>F42*G42</f>
        <v>0</v>
      </c>
      <c r="BI42" s="70"/>
      <c r="BJ42" s="70">
        <v>15</v>
      </c>
      <c r="BU42" s="70" t="e">
        <f>#REF!</f>
        <v>#REF!</v>
      </c>
    </row>
    <row r="43" spans="1:73" ht="40.5" customHeight="1" x14ac:dyDescent="0.3">
      <c r="A43" s="90"/>
      <c r="B43" s="72" t="s">
        <v>165</v>
      </c>
      <c r="C43" s="581" t="s">
        <v>805</v>
      </c>
      <c r="D43" s="582"/>
      <c r="E43" s="582"/>
      <c r="F43" s="582"/>
      <c r="G43" s="582"/>
      <c r="H43" s="582"/>
      <c r="I43" s="582"/>
      <c r="J43" s="582"/>
      <c r="K43" s="582"/>
      <c r="L43" s="582"/>
      <c r="M43" s="583"/>
    </row>
    <row r="44" spans="1:73" ht="15" customHeight="1" x14ac:dyDescent="0.3">
      <c r="A44" s="82" t="s">
        <v>154</v>
      </c>
      <c r="B44" s="61" t="s">
        <v>215</v>
      </c>
      <c r="C44" s="564" t="s">
        <v>227</v>
      </c>
      <c r="D44" s="571"/>
      <c r="E44" s="60" t="s">
        <v>114</v>
      </c>
      <c r="F44" s="60" t="s">
        <v>114</v>
      </c>
      <c r="G44" s="60" t="s">
        <v>114</v>
      </c>
      <c r="H44" s="73">
        <f>SUM(H45:H63)</f>
        <v>0</v>
      </c>
      <c r="I44" s="73">
        <f>SUM(I45:I63)</f>
        <v>0</v>
      </c>
      <c r="J44" s="73">
        <f>SUM(J45:J63)</f>
        <v>0</v>
      </c>
      <c r="K44" s="65" t="s">
        <v>154</v>
      </c>
      <c r="L44" s="73">
        <f>SUM(L45:L63)</f>
        <v>0</v>
      </c>
      <c r="M44" s="91" t="s">
        <v>154</v>
      </c>
      <c r="AG44" s="64" t="s">
        <v>154</v>
      </c>
      <c r="AQ44" s="59">
        <f>SUM(AH45:AH63)</f>
        <v>0</v>
      </c>
      <c r="AR44" s="59">
        <f>SUM(AI45:AI63)</f>
        <v>0</v>
      </c>
      <c r="AS44" s="59">
        <f>SUM(AJ45:AJ63)</f>
        <v>0</v>
      </c>
    </row>
    <row r="45" spans="1:73" ht="27" customHeight="1" x14ac:dyDescent="0.3">
      <c r="A45" s="82" t="s">
        <v>161</v>
      </c>
      <c r="B45" s="60" t="s">
        <v>229</v>
      </c>
      <c r="C45" s="551" t="s">
        <v>230</v>
      </c>
      <c r="D45" s="565"/>
      <c r="E45" s="60" t="s">
        <v>196</v>
      </c>
      <c r="F45" s="70">
        <v>0.22</v>
      </c>
      <c r="G45" s="311">
        <v>0</v>
      </c>
      <c r="H45" s="70">
        <f>F45*AM45</f>
        <v>0</v>
      </c>
      <c r="I45" s="70">
        <f>F45*AN45</f>
        <v>0</v>
      </c>
      <c r="J45" s="70">
        <f>F45*G45</f>
        <v>0</v>
      </c>
      <c r="K45" s="70">
        <v>0</v>
      </c>
      <c r="L45" s="70">
        <f>F45*K45</f>
        <v>0</v>
      </c>
      <c r="M45" s="89" t="s">
        <v>472</v>
      </c>
      <c r="X45" s="70">
        <f>IF(AO45="5",BH45,0)</f>
        <v>0</v>
      </c>
      <c r="Z45" s="70">
        <f>IF(AO45="1",BF45,0)</f>
        <v>0</v>
      </c>
      <c r="AA45" s="70">
        <f>IF(AO45="1",BG45,0)</f>
        <v>0</v>
      </c>
      <c r="AB45" s="70">
        <f>IF(AO45="7",BF45,0)</f>
        <v>0</v>
      </c>
      <c r="AC45" s="70">
        <f>IF(AO45="7",BG45,0)</f>
        <v>0</v>
      </c>
      <c r="AD45" s="70">
        <f>IF(AO45="2",BF45,0)</f>
        <v>0</v>
      </c>
      <c r="AE45" s="70">
        <f>IF(AO45="2",BG45,0)</f>
        <v>0</v>
      </c>
      <c r="AF45" s="70">
        <f>IF(AO45="0",BH45,0)</f>
        <v>0</v>
      </c>
      <c r="AG45" s="64" t="s">
        <v>154</v>
      </c>
      <c r="AH45" s="70">
        <f>IF(AL45=0,J45,0)</f>
        <v>0</v>
      </c>
      <c r="AI45" s="70">
        <f>IF(AL45=15,J45,0)</f>
        <v>0</v>
      </c>
      <c r="AJ45" s="70">
        <f>IF(AL45=21,J45,0)</f>
        <v>0</v>
      </c>
      <c r="AL45" s="70">
        <v>21</v>
      </c>
      <c r="AM45" s="70">
        <f>G45*0</f>
        <v>0</v>
      </c>
      <c r="AN45" s="70">
        <f>G45*(1-0)</f>
        <v>0</v>
      </c>
      <c r="AO45" s="71" t="s">
        <v>157</v>
      </c>
      <c r="AT45" s="70">
        <f>AU45+AV45</f>
        <v>0</v>
      </c>
      <c r="AU45" s="70">
        <f>F45*AM45</f>
        <v>0</v>
      </c>
      <c r="AV45" s="70">
        <f>F45*AN45</f>
        <v>0</v>
      </c>
      <c r="AW45" s="71" t="s">
        <v>231</v>
      </c>
      <c r="AX45" s="71" t="s">
        <v>163</v>
      </c>
      <c r="AY45" s="64" t="s">
        <v>164</v>
      </c>
      <c r="BA45" s="70">
        <f>AU45+AV45</f>
        <v>0</v>
      </c>
      <c r="BB45" s="70">
        <f>G45/(100-BC45)*100</f>
        <v>0</v>
      </c>
      <c r="BC45" s="70">
        <v>0</v>
      </c>
      <c r="BD45" s="70">
        <f>L45</f>
        <v>0</v>
      </c>
      <c r="BF45" s="70">
        <f>F45*AM45</f>
        <v>0</v>
      </c>
      <c r="BG45" s="70">
        <f>F45*AN45</f>
        <v>0</v>
      </c>
      <c r="BH45" s="70">
        <f>F45*G45</f>
        <v>0</v>
      </c>
      <c r="BI45" s="70"/>
      <c r="BJ45" s="70">
        <v>16</v>
      </c>
      <c r="BU45" s="70" t="e">
        <f>#REF!</f>
        <v>#REF!</v>
      </c>
    </row>
    <row r="46" spans="1:73" ht="67.5" customHeight="1" x14ac:dyDescent="0.3">
      <c r="A46" s="90"/>
      <c r="B46" s="72" t="s">
        <v>165</v>
      </c>
      <c r="C46" s="581" t="s">
        <v>806</v>
      </c>
      <c r="D46" s="582"/>
      <c r="E46" s="582"/>
      <c r="F46" s="582"/>
      <c r="G46" s="582"/>
      <c r="H46" s="582"/>
      <c r="I46" s="582"/>
      <c r="J46" s="582"/>
      <c r="K46" s="582"/>
      <c r="L46" s="582"/>
      <c r="M46" s="583"/>
    </row>
    <row r="47" spans="1:73" ht="27" customHeight="1" x14ac:dyDescent="0.3">
      <c r="A47" s="82" t="s">
        <v>215</v>
      </c>
      <c r="B47" s="60" t="s">
        <v>233</v>
      </c>
      <c r="C47" s="551" t="s">
        <v>234</v>
      </c>
      <c r="D47" s="565"/>
      <c r="E47" s="60" t="s">
        <v>196</v>
      </c>
      <c r="F47" s="70">
        <v>0.04</v>
      </c>
      <c r="G47" s="311">
        <v>0</v>
      </c>
      <c r="H47" s="70">
        <f>F47*AM47</f>
        <v>0</v>
      </c>
      <c r="I47" s="70">
        <f>F47*AN47</f>
        <v>0</v>
      </c>
      <c r="J47" s="70">
        <f>F47*G47</f>
        <v>0</v>
      </c>
      <c r="K47" s="70">
        <v>0</v>
      </c>
      <c r="L47" s="70">
        <f>F47*K47</f>
        <v>0</v>
      </c>
      <c r="M47" s="89" t="s">
        <v>472</v>
      </c>
      <c r="X47" s="70">
        <f>IF(AO47="5",BH47,0)</f>
        <v>0</v>
      </c>
      <c r="Z47" s="70">
        <f>IF(AO47="1",BF47,0)</f>
        <v>0</v>
      </c>
      <c r="AA47" s="70">
        <f>IF(AO47="1",BG47,0)</f>
        <v>0</v>
      </c>
      <c r="AB47" s="70">
        <f>IF(AO47="7",BF47,0)</f>
        <v>0</v>
      </c>
      <c r="AC47" s="70">
        <f>IF(AO47="7",BG47,0)</f>
        <v>0</v>
      </c>
      <c r="AD47" s="70">
        <f>IF(AO47="2",BF47,0)</f>
        <v>0</v>
      </c>
      <c r="AE47" s="70">
        <f>IF(AO47="2",BG47,0)</f>
        <v>0</v>
      </c>
      <c r="AF47" s="70">
        <f>IF(AO47="0",BH47,0)</f>
        <v>0</v>
      </c>
      <c r="AG47" s="64" t="s">
        <v>154</v>
      </c>
      <c r="AH47" s="70">
        <f>IF(AL47=0,J47,0)</f>
        <v>0</v>
      </c>
      <c r="AI47" s="70">
        <f>IF(AL47=15,J47,0)</f>
        <v>0</v>
      </c>
      <c r="AJ47" s="70">
        <f>IF(AL47=21,J47,0)</f>
        <v>0</v>
      </c>
      <c r="AL47" s="70">
        <v>21</v>
      </c>
      <c r="AM47" s="70">
        <f>G47*0</f>
        <v>0</v>
      </c>
      <c r="AN47" s="70">
        <f>G47*(1-0)</f>
        <v>0</v>
      </c>
      <c r="AO47" s="71" t="s">
        <v>157</v>
      </c>
      <c r="AT47" s="70">
        <f>AU47+AV47</f>
        <v>0</v>
      </c>
      <c r="AU47" s="70">
        <f>F47*AM47</f>
        <v>0</v>
      </c>
      <c r="AV47" s="70">
        <f>F47*AN47</f>
        <v>0</v>
      </c>
      <c r="AW47" s="71" t="s">
        <v>231</v>
      </c>
      <c r="AX47" s="71" t="s">
        <v>163</v>
      </c>
      <c r="AY47" s="64" t="s">
        <v>164</v>
      </c>
      <c r="BA47" s="70">
        <f>AU47+AV47</f>
        <v>0</v>
      </c>
      <c r="BB47" s="70">
        <f>G47/(100-BC47)*100</f>
        <v>0</v>
      </c>
      <c r="BC47" s="70">
        <v>0</v>
      </c>
      <c r="BD47" s="70">
        <f>L47</f>
        <v>0</v>
      </c>
      <c r="BF47" s="70">
        <f>F47*AM47</f>
        <v>0</v>
      </c>
      <c r="BG47" s="70">
        <f>F47*AN47</f>
        <v>0</v>
      </c>
      <c r="BH47" s="70">
        <f>F47*G47</f>
        <v>0</v>
      </c>
      <c r="BI47" s="70"/>
      <c r="BJ47" s="70">
        <v>16</v>
      </c>
      <c r="BU47" s="70" t="e">
        <f>#REF!</f>
        <v>#REF!</v>
      </c>
    </row>
    <row r="48" spans="1:73" ht="67.5" customHeight="1" x14ac:dyDescent="0.3">
      <c r="A48" s="90"/>
      <c r="B48" s="72" t="s">
        <v>165</v>
      </c>
      <c r="C48" s="581" t="s">
        <v>807</v>
      </c>
      <c r="D48" s="582"/>
      <c r="E48" s="582"/>
      <c r="F48" s="582"/>
      <c r="G48" s="582"/>
      <c r="H48" s="582"/>
      <c r="I48" s="582"/>
      <c r="J48" s="582"/>
      <c r="K48" s="582"/>
      <c r="L48" s="582"/>
      <c r="M48" s="583"/>
    </row>
    <row r="49" spans="1:73" ht="27" customHeight="1" x14ac:dyDescent="0.3">
      <c r="A49" s="82" t="s">
        <v>220</v>
      </c>
      <c r="B49" s="60" t="s">
        <v>503</v>
      </c>
      <c r="C49" s="551" t="s">
        <v>237</v>
      </c>
      <c r="D49" s="565"/>
      <c r="E49" s="60" t="s">
        <v>196</v>
      </c>
      <c r="F49" s="70">
        <v>1.49</v>
      </c>
      <c r="G49" s="311">
        <v>0</v>
      </c>
      <c r="H49" s="70">
        <f>F49*AM49</f>
        <v>0</v>
      </c>
      <c r="I49" s="70">
        <f>F49*AN49</f>
        <v>0</v>
      </c>
      <c r="J49" s="70">
        <f>F49*G49</f>
        <v>0</v>
      </c>
      <c r="K49" s="70">
        <v>0</v>
      </c>
      <c r="L49" s="70">
        <f>F49*K49</f>
        <v>0</v>
      </c>
      <c r="M49" s="89" t="s">
        <v>472</v>
      </c>
      <c r="X49" s="70">
        <f>IF(AO49="5",BH49,0)</f>
        <v>0</v>
      </c>
      <c r="Z49" s="70">
        <f>IF(AO49="1",BF49,0)</f>
        <v>0</v>
      </c>
      <c r="AA49" s="70">
        <f>IF(AO49="1",BG49,0)</f>
        <v>0</v>
      </c>
      <c r="AB49" s="70">
        <f>IF(AO49="7",BF49,0)</f>
        <v>0</v>
      </c>
      <c r="AC49" s="70">
        <f>IF(AO49="7",BG49,0)</f>
        <v>0</v>
      </c>
      <c r="AD49" s="70">
        <f>IF(AO49="2",BF49,0)</f>
        <v>0</v>
      </c>
      <c r="AE49" s="70">
        <f>IF(AO49="2",BG49,0)</f>
        <v>0</v>
      </c>
      <c r="AF49" s="70">
        <f>IF(AO49="0",BH49,0)</f>
        <v>0</v>
      </c>
      <c r="AG49" s="64" t="s">
        <v>154</v>
      </c>
      <c r="AH49" s="70">
        <f>IF(AL49=0,J49,0)</f>
        <v>0</v>
      </c>
      <c r="AI49" s="70">
        <f>IF(AL49=15,J49,0)</f>
        <v>0</v>
      </c>
      <c r="AJ49" s="70">
        <f>IF(AL49=21,J49,0)</f>
        <v>0</v>
      </c>
      <c r="AL49" s="70">
        <v>21</v>
      </c>
      <c r="AM49" s="70">
        <f>G49*0</f>
        <v>0</v>
      </c>
      <c r="AN49" s="70">
        <f>G49*(1-0)</f>
        <v>0</v>
      </c>
      <c r="AO49" s="71" t="s">
        <v>157</v>
      </c>
      <c r="AT49" s="70">
        <f>AU49+AV49</f>
        <v>0</v>
      </c>
      <c r="AU49" s="70">
        <f>F49*AM49</f>
        <v>0</v>
      </c>
      <c r="AV49" s="70">
        <f>F49*AN49</f>
        <v>0</v>
      </c>
      <c r="AW49" s="71" t="s">
        <v>231</v>
      </c>
      <c r="AX49" s="71" t="s">
        <v>163</v>
      </c>
      <c r="AY49" s="64" t="s">
        <v>164</v>
      </c>
      <c r="BA49" s="70">
        <f>AU49+AV49</f>
        <v>0</v>
      </c>
      <c r="BB49" s="70">
        <f>G49/(100-BC49)*100</f>
        <v>0</v>
      </c>
      <c r="BC49" s="70">
        <v>0</v>
      </c>
      <c r="BD49" s="70">
        <f>L49</f>
        <v>0</v>
      </c>
      <c r="BF49" s="70">
        <f>F49*AM49</f>
        <v>0</v>
      </c>
      <c r="BG49" s="70">
        <f>F49*AN49</f>
        <v>0</v>
      </c>
      <c r="BH49" s="70">
        <f>F49*G49</f>
        <v>0</v>
      </c>
      <c r="BI49" s="70"/>
      <c r="BJ49" s="70">
        <v>16</v>
      </c>
      <c r="BU49" s="70" t="e">
        <f>#REF!</f>
        <v>#REF!</v>
      </c>
    </row>
    <row r="50" spans="1:73" ht="67.5" customHeight="1" x14ac:dyDescent="0.3">
      <c r="A50" s="92"/>
      <c r="B50" s="93" t="s">
        <v>165</v>
      </c>
      <c r="C50" s="584" t="s">
        <v>808</v>
      </c>
      <c r="D50" s="585"/>
      <c r="E50" s="585"/>
      <c r="F50" s="585"/>
      <c r="G50" s="585"/>
      <c r="H50" s="585"/>
      <c r="I50" s="585"/>
      <c r="J50" s="585"/>
      <c r="K50" s="585"/>
      <c r="L50" s="585"/>
      <c r="M50" s="586"/>
    </row>
    <row r="51" spans="1:73" ht="27" customHeight="1" x14ac:dyDescent="0.3">
      <c r="A51" s="84" t="s">
        <v>224</v>
      </c>
      <c r="B51" s="85" t="s">
        <v>504</v>
      </c>
      <c r="C51" s="587" t="s">
        <v>240</v>
      </c>
      <c r="D51" s="588"/>
      <c r="E51" s="85" t="s">
        <v>196</v>
      </c>
      <c r="F51" s="94">
        <v>20.86</v>
      </c>
      <c r="G51" s="311">
        <v>0</v>
      </c>
      <c r="H51" s="94">
        <f>F51*AM51</f>
        <v>0</v>
      </c>
      <c r="I51" s="94">
        <f>F51*AN51</f>
        <v>0</v>
      </c>
      <c r="J51" s="94">
        <f>F51*G51</f>
        <v>0</v>
      </c>
      <c r="K51" s="94">
        <v>0</v>
      </c>
      <c r="L51" s="94">
        <f>F51*K51</f>
        <v>0</v>
      </c>
      <c r="M51" s="95" t="s">
        <v>472</v>
      </c>
      <c r="X51" s="70">
        <f>IF(AO51="5",BH51,0)</f>
        <v>0</v>
      </c>
      <c r="Z51" s="70">
        <f>IF(AO51="1",BF51,0)</f>
        <v>0</v>
      </c>
      <c r="AA51" s="70">
        <f>IF(AO51="1",BG51,0)</f>
        <v>0</v>
      </c>
      <c r="AB51" s="70">
        <f>IF(AO51="7",BF51,0)</f>
        <v>0</v>
      </c>
      <c r="AC51" s="70">
        <f>IF(AO51="7",BG51,0)</f>
        <v>0</v>
      </c>
      <c r="AD51" s="70">
        <f>IF(AO51="2",BF51,0)</f>
        <v>0</v>
      </c>
      <c r="AE51" s="70">
        <f>IF(AO51="2",BG51,0)</f>
        <v>0</v>
      </c>
      <c r="AF51" s="70">
        <f>IF(AO51="0",BH51,0)</f>
        <v>0</v>
      </c>
      <c r="AG51" s="64" t="s">
        <v>154</v>
      </c>
      <c r="AH51" s="70">
        <f>IF(AL51=0,J51,0)</f>
        <v>0</v>
      </c>
      <c r="AI51" s="70">
        <f>IF(AL51=15,J51,0)</f>
        <v>0</v>
      </c>
      <c r="AJ51" s="70">
        <f>IF(AL51=21,J51,0)</f>
        <v>0</v>
      </c>
      <c r="AL51" s="70">
        <v>21</v>
      </c>
      <c r="AM51" s="70">
        <f>G51*0</f>
        <v>0</v>
      </c>
      <c r="AN51" s="70">
        <f>G51*(1-0)</f>
        <v>0</v>
      </c>
      <c r="AO51" s="71" t="s">
        <v>157</v>
      </c>
      <c r="AT51" s="70">
        <f>AU51+AV51</f>
        <v>0</v>
      </c>
      <c r="AU51" s="70">
        <f>F51*AM51</f>
        <v>0</v>
      </c>
      <c r="AV51" s="70">
        <f>F51*AN51</f>
        <v>0</v>
      </c>
      <c r="AW51" s="71" t="s">
        <v>231</v>
      </c>
      <c r="AX51" s="71" t="s">
        <v>163</v>
      </c>
      <c r="AY51" s="64" t="s">
        <v>164</v>
      </c>
      <c r="BA51" s="70">
        <f>AU51+AV51</f>
        <v>0</v>
      </c>
      <c r="BB51" s="70">
        <f>G51/(100-BC51)*100</f>
        <v>0</v>
      </c>
      <c r="BC51" s="70">
        <v>0</v>
      </c>
      <c r="BD51" s="70">
        <f>L51</f>
        <v>0</v>
      </c>
      <c r="BF51" s="70">
        <f>F51*AM51</f>
        <v>0</v>
      </c>
      <c r="BG51" s="70">
        <f>F51*AN51</f>
        <v>0</v>
      </c>
      <c r="BH51" s="70">
        <f>F51*G51</f>
        <v>0</v>
      </c>
      <c r="BI51" s="70"/>
      <c r="BJ51" s="70">
        <v>16</v>
      </c>
      <c r="BU51" s="70" t="e">
        <f>#REF!</f>
        <v>#REF!</v>
      </c>
    </row>
    <row r="52" spans="1:73" ht="54" customHeight="1" x14ac:dyDescent="0.3">
      <c r="A52" s="90"/>
      <c r="B52" s="72" t="s">
        <v>165</v>
      </c>
      <c r="C52" s="581" t="s">
        <v>809</v>
      </c>
      <c r="D52" s="582"/>
      <c r="E52" s="582"/>
      <c r="F52" s="582"/>
      <c r="G52" s="582"/>
      <c r="H52" s="582"/>
      <c r="I52" s="582"/>
      <c r="J52" s="582"/>
      <c r="K52" s="582"/>
      <c r="L52" s="582"/>
      <c r="M52" s="583"/>
    </row>
    <row r="53" spans="1:73" ht="27" customHeight="1" x14ac:dyDescent="0.3">
      <c r="A53" s="82" t="s">
        <v>228</v>
      </c>
      <c r="B53" s="60" t="s">
        <v>505</v>
      </c>
      <c r="C53" s="551" t="s">
        <v>243</v>
      </c>
      <c r="D53" s="565"/>
      <c r="E53" s="60" t="s">
        <v>196</v>
      </c>
      <c r="F53" s="70">
        <v>1.31</v>
      </c>
      <c r="G53" s="311">
        <v>0</v>
      </c>
      <c r="H53" s="70">
        <f>F53*AM53</f>
        <v>0</v>
      </c>
      <c r="I53" s="70">
        <f>F53*AN53</f>
        <v>0</v>
      </c>
      <c r="J53" s="70">
        <f>F53*G53</f>
        <v>0</v>
      </c>
      <c r="K53" s="70">
        <v>0</v>
      </c>
      <c r="L53" s="70">
        <f>F53*K53</f>
        <v>0</v>
      </c>
      <c r="M53" s="89" t="s">
        <v>472</v>
      </c>
      <c r="X53" s="70">
        <f>IF(AO53="5",BH53,0)</f>
        <v>0</v>
      </c>
      <c r="Z53" s="70">
        <f>IF(AO53="1",BF53,0)</f>
        <v>0</v>
      </c>
      <c r="AA53" s="70">
        <f>IF(AO53="1",BG53,0)</f>
        <v>0</v>
      </c>
      <c r="AB53" s="70">
        <f>IF(AO53="7",BF53,0)</f>
        <v>0</v>
      </c>
      <c r="AC53" s="70">
        <f>IF(AO53="7",BG53,0)</f>
        <v>0</v>
      </c>
      <c r="AD53" s="70">
        <f>IF(AO53="2",BF53,0)</f>
        <v>0</v>
      </c>
      <c r="AE53" s="70">
        <f>IF(AO53="2",BG53,0)</f>
        <v>0</v>
      </c>
      <c r="AF53" s="70">
        <f>IF(AO53="0",BH53,0)</f>
        <v>0</v>
      </c>
      <c r="AG53" s="64" t="s">
        <v>154</v>
      </c>
      <c r="AH53" s="70">
        <f>IF(AL53=0,J53,0)</f>
        <v>0</v>
      </c>
      <c r="AI53" s="70">
        <f>IF(AL53=15,J53,0)</f>
        <v>0</v>
      </c>
      <c r="AJ53" s="70">
        <f>IF(AL53=21,J53,0)</f>
        <v>0</v>
      </c>
      <c r="AL53" s="70">
        <v>21</v>
      </c>
      <c r="AM53" s="70">
        <f>G53*0</f>
        <v>0</v>
      </c>
      <c r="AN53" s="70">
        <f>G53*(1-0)</f>
        <v>0</v>
      </c>
      <c r="AO53" s="71" t="s">
        <v>157</v>
      </c>
      <c r="AT53" s="70">
        <f>AU53+AV53</f>
        <v>0</v>
      </c>
      <c r="AU53" s="70">
        <f>F53*AM53</f>
        <v>0</v>
      </c>
      <c r="AV53" s="70">
        <f>F53*AN53</f>
        <v>0</v>
      </c>
      <c r="AW53" s="71" t="s">
        <v>231</v>
      </c>
      <c r="AX53" s="71" t="s">
        <v>163</v>
      </c>
      <c r="AY53" s="64" t="s">
        <v>164</v>
      </c>
      <c r="BA53" s="70">
        <f>AU53+AV53</f>
        <v>0</v>
      </c>
      <c r="BB53" s="70">
        <f>G53/(100-BC53)*100</f>
        <v>0</v>
      </c>
      <c r="BC53" s="70">
        <v>0</v>
      </c>
      <c r="BD53" s="70">
        <f>L53</f>
        <v>0</v>
      </c>
      <c r="BF53" s="70">
        <f>F53*AM53</f>
        <v>0</v>
      </c>
      <c r="BG53" s="70">
        <f>F53*AN53</f>
        <v>0</v>
      </c>
      <c r="BH53" s="70">
        <f>F53*G53</f>
        <v>0</v>
      </c>
      <c r="BI53" s="70"/>
      <c r="BJ53" s="70">
        <v>16</v>
      </c>
      <c r="BU53" s="70" t="e">
        <f>#REF!</f>
        <v>#REF!</v>
      </c>
    </row>
    <row r="54" spans="1:73" ht="54" customHeight="1" x14ac:dyDescent="0.3">
      <c r="A54" s="90"/>
      <c r="B54" s="72" t="s">
        <v>165</v>
      </c>
      <c r="C54" s="581" t="s">
        <v>810</v>
      </c>
      <c r="D54" s="582"/>
      <c r="E54" s="582"/>
      <c r="F54" s="582"/>
      <c r="G54" s="582"/>
      <c r="H54" s="582"/>
      <c r="I54" s="582"/>
      <c r="J54" s="582"/>
      <c r="K54" s="582"/>
      <c r="L54" s="582"/>
      <c r="M54" s="583"/>
    </row>
    <row r="55" spans="1:73" ht="27" customHeight="1" x14ac:dyDescent="0.3">
      <c r="A55" s="82" t="s">
        <v>232</v>
      </c>
      <c r="B55" s="60" t="s">
        <v>506</v>
      </c>
      <c r="C55" s="551" t="s">
        <v>246</v>
      </c>
      <c r="D55" s="565"/>
      <c r="E55" s="60" t="s">
        <v>196</v>
      </c>
      <c r="F55" s="70">
        <v>18.34</v>
      </c>
      <c r="G55" s="311">
        <v>0</v>
      </c>
      <c r="H55" s="70">
        <f>F55*AM55</f>
        <v>0</v>
      </c>
      <c r="I55" s="70">
        <f>F55*AN55</f>
        <v>0</v>
      </c>
      <c r="J55" s="70">
        <f>F55*G55</f>
        <v>0</v>
      </c>
      <c r="K55" s="70">
        <v>0</v>
      </c>
      <c r="L55" s="70">
        <f>F55*K55</f>
        <v>0</v>
      </c>
      <c r="M55" s="89" t="s">
        <v>472</v>
      </c>
      <c r="X55" s="70">
        <f>IF(AO55="5",BH55,0)</f>
        <v>0</v>
      </c>
      <c r="Z55" s="70">
        <f>IF(AO55="1",BF55,0)</f>
        <v>0</v>
      </c>
      <c r="AA55" s="70">
        <f>IF(AO55="1",BG55,0)</f>
        <v>0</v>
      </c>
      <c r="AB55" s="70">
        <f>IF(AO55="7",BF55,0)</f>
        <v>0</v>
      </c>
      <c r="AC55" s="70">
        <f>IF(AO55="7",BG55,0)</f>
        <v>0</v>
      </c>
      <c r="AD55" s="70">
        <f>IF(AO55="2",BF55,0)</f>
        <v>0</v>
      </c>
      <c r="AE55" s="70">
        <f>IF(AO55="2",BG55,0)</f>
        <v>0</v>
      </c>
      <c r="AF55" s="70">
        <f>IF(AO55="0",BH55,0)</f>
        <v>0</v>
      </c>
      <c r="AG55" s="64" t="s">
        <v>154</v>
      </c>
      <c r="AH55" s="70">
        <f>IF(AL55=0,J55,0)</f>
        <v>0</v>
      </c>
      <c r="AI55" s="70">
        <f>IF(AL55=15,J55,0)</f>
        <v>0</v>
      </c>
      <c r="AJ55" s="70">
        <f>IF(AL55=21,J55,0)</f>
        <v>0</v>
      </c>
      <c r="AL55" s="70">
        <v>21</v>
      </c>
      <c r="AM55" s="70">
        <f>G55*0</f>
        <v>0</v>
      </c>
      <c r="AN55" s="70">
        <f>G55*(1-0)</f>
        <v>0</v>
      </c>
      <c r="AO55" s="71" t="s">
        <v>157</v>
      </c>
      <c r="AT55" s="70">
        <f>AU55+AV55</f>
        <v>0</v>
      </c>
      <c r="AU55" s="70">
        <f>F55*AM55</f>
        <v>0</v>
      </c>
      <c r="AV55" s="70">
        <f>F55*AN55</f>
        <v>0</v>
      </c>
      <c r="AW55" s="71" t="s">
        <v>231</v>
      </c>
      <c r="AX55" s="71" t="s">
        <v>163</v>
      </c>
      <c r="AY55" s="64" t="s">
        <v>164</v>
      </c>
      <c r="BA55" s="70">
        <f>AU55+AV55</f>
        <v>0</v>
      </c>
      <c r="BB55" s="70">
        <f>G55/(100-BC55)*100</f>
        <v>0</v>
      </c>
      <c r="BC55" s="70">
        <v>0</v>
      </c>
      <c r="BD55" s="70">
        <f>L55</f>
        <v>0</v>
      </c>
      <c r="BF55" s="70">
        <f>F55*AM55</f>
        <v>0</v>
      </c>
      <c r="BG55" s="70">
        <f>F55*AN55</f>
        <v>0</v>
      </c>
      <c r="BH55" s="70">
        <f>F55*G55</f>
        <v>0</v>
      </c>
      <c r="BI55" s="70"/>
      <c r="BJ55" s="70">
        <v>16</v>
      </c>
      <c r="BU55" s="70" t="e">
        <f>#REF!</f>
        <v>#REF!</v>
      </c>
    </row>
    <row r="56" spans="1:73" ht="54" customHeight="1" x14ac:dyDescent="0.3">
      <c r="A56" s="90"/>
      <c r="B56" s="72" t="s">
        <v>165</v>
      </c>
      <c r="C56" s="581" t="s">
        <v>811</v>
      </c>
      <c r="D56" s="582"/>
      <c r="E56" s="582"/>
      <c r="F56" s="582"/>
      <c r="G56" s="582"/>
      <c r="H56" s="582"/>
      <c r="I56" s="582"/>
      <c r="J56" s="582"/>
      <c r="K56" s="582"/>
      <c r="L56" s="582"/>
      <c r="M56" s="583"/>
    </row>
    <row r="57" spans="1:73" ht="27" customHeight="1" x14ac:dyDescent="0.3">
      <c r="A57" s="82" t="s">
        <v>235</v>
      </c>
      <c r="B57" s="60" t="s">
        <v>248</v>
      </c>
      <c r="C57" s="551" t="s">
        <v>249</v>
      </c>
      <c r="D57" s="565"/>
      <c r="E57" s="60" t="s">
        <v>196</v>
      </c>
      <c r="F57" s="70">
        <v>11.68</v>
      </c>
      <c r="G57" s="311">
        <v>0</v>
      </c>
      <c r="H57" s="70">
        <f>F57*AM57</f>
        <v>0</v>
      </c>
      <c r="I57" s="70">
        <f>F57*AN57</f>
        <v>0</v>
      </c>
      <c r="J57" s="70">
        <f>F57*G57</f>
        <v>0</v>
      </c>
      <c r="K57" s="70">
        <v>0</v>
      </c>
      <c r="L57" s="70">
        <f>F57*K57</f>
        <v>0</v>
      </c>
      <c r="M57" s="89" t="s">
        <v>472</v>
      </c>
      <c r="X57" s="70">
        <f>IF(AO57="5",BH57,0)</f>
        <v>0</v>
      </c>
      <c r="Z57" s="70">
        <f>IF(AO57="1",BF57,0)</f>
        <v>0</v>
      </c>
      <c r="AA57" s="70">
        <f>IF(AO57="1",BG57,0)</f>
        <v>0</v>
      </c>
      <c r="AB57" s="70">
        <f>IF(AO57="7",BF57,0)</f>
        <v>0</v>
      </c>
      <c r="AC57" s="70">
        <f>IF(AO57="7",BG57,0)</f>
        <v>0</v>
      </c>
      <c r="AD57" s="70">
        <f>IF(AO57="2",BF57,0)</f>
        <v>0</v>
      </c>
      <c r="AE57" s="70">
        <f>IF(AO57="2",BG57,0)</f>
        <v>0</v>
      </c>
      <c r="AF57" s="70">
        <f>IF(AO57="0",BH57,0)</f>
        <v>0</v>
      </c>
      <c r="AG57" s="64" t="s">
        <v>154</v>
      </c>
      <c r="AH57" s="70">
        <f>IF(AL57=0,J57,0)</f>
        <v>0</v>
      </c>
      <c r="AI57" s="70">
        <f>IF(AL57=15,J57,0)</f>
        <v>0</v>
      </c>
      <c r="AJ57" s="70">
        <f>IF(AL57=21,J57,0)</f>
        <v>0</v>
      </c>
      <c r="AL57" s="70">
        <v>21</v>
      </c>
      <c r="AM57" s="70">
        <f>G57*0</f>
        <v>0</v>
      </c>
      <c r="AN57" s="70">
        <f>G57*(1-0)</f>
        <v>0</v>
      </c>
      <c r="AO57" s="71" t="s">
        <v>157</v>
      </c>
      <c r="AT57" s="70">
        <f>AU57+AV57</f>
        <v>0</v>
      </c>
      <c r="AU57" s="70">
        <f>F57*AM57</f>
        <v>0</v>
      </c>
      <c r="AV57" s="70">
        <f>F57*AN57</f>
        <v>0</v>
      </c>
      <c r="AW57" s="71" t="s">
        <v>231</v>
      </c>
      <c r="AX57" s="71" t="s">
        <v>163</v>
      </c>
      <c r="AY57" s="64" t="s">
        <v>164</v>
      </c>
      <c r="BA57" s="70">
        <f>AU57+AV57</f>
        <v>0</v>
      </c>
      <c r="BB57" s="70">
        <f>G57/(100-BC57)*100</f>
        <v>0</v>
      </c>
      <c r="BC57" s="70">
        <v>0</v>
      </c>
      <c r="BD57" s="70">
        <f>L57</f>
        <v>0</v>
      </c>
      <c r="BF57" s="70">
        <f>F57*AM57</f>
        <v>0</v>
      </c>
      <c r="BG57" s="70">
        <f>F57*AN57</f>
        <v>0</v>
      </c>
      <c r="BH57" s="70">
        <f>F57*G57</f>
        <v>0</v>
      </c>
      <c r="BI57" s="70"/>
      <c r="BJ57" s="70">
        <v>16</v>
      </c>
      <c r="BU57" s="70" t="e">
        <f>#REF!</f>
        <v>#REF!</v>
      </c>
    </row>
    <row r="58" spans="1:73" ht="40.5" customHeight="1" x14ac:dyDescent="0.3">
      <c r="A58" s="90"/>
      <c r="B58" s="72" t="s">
        <v>165</v>
      </c>
      <c r="C58" s="581" t="s">
        <v>812</v>
      </c>
      <c r="D58" s="582"/>
      <c r="E58" s="582"/>
      <c r="F58" s="582"/>
      <c r="G58" s="582"/>
      <c r="H58" s="582"/>
      <c r="I58" s="582"/>
      <c r="J58" s="582"/>
      <c r="K58" s="582"/>
      <c r="L58" s="582"/>
      <c r="M58" s="583"/>
    </row>
    <row r="59" spans="1:73" ht="27" customHeight="1" x14ac:dyDescent="0.3">
      <c r="A59" s="82" t="s">
        <v>238</v>
      </c>
      <c r="B59" s="60" t="s">
        <v>251</v>
      </c>
      <c r="C59" s="551" t="s">
        <v>252</v>
      </c>
      <c r="D59" s="565"/>
      <c r="E59" s="60" t="s">
        <v>196</v>
      </c>
      <c r="F59" s="70">
        <v>11.68</v>
      </c>
      <c r="G59" s="311">
        <v>0</v>
      </c>
      <c r="H59" s="70">
        <f>F59*AM59</f>
        <v>0</v>
      </c>
      <c r="I59" s="70">
        <f>F59*AN59</f>
        <v>0</v>
      </c>
      <c r="J59" s="70">
        <f>F59*G59</f>
        <v>0</v>
      </c>
      <c r="K59" s="70">
        <v>0</v>
      </c>
      <c r="L59" s="70">
        <f>F59*K59</f>
        <v>0</v>
      </c>
      <c r="M59" s="89" t="s">
        <v>472</v>
      </c>
      <c r="X59" s="70">
        <f>IF(AO59="5",BH59,0)</f>
        <v>0</v>
      </c>
      <c r="Z59" s="70">
        <f>IF(AO59="1",BF59,0)</f>
        <v>0</v>
      </c>
      <c r="AA59" s="70">
        <f>IF(AO59="1",BG59,0)</f>
        <v>0</v>
      </c>
      <c r="AB59" s="70">
        <f>IF(AO59="7",BF59,0)</f>
        <v>0</v>
      </c>
      <c r="AC59" s="70">
        <f>IF(AO59="7",BG59,0)</f>
        <v>0</v>
      </c>
      <c r="AD59" s="70">
        <f>IF(AO59="2",BF59,0)</f>
        <v>0</v>
      </c>
      <c r="AE59" s="70">
        <f>IF(AO59="2",BG59,0)</f>
        <v>0</v>
      </c>
      <c r="AF59" s="70">
        <f>IF(AO59="0",BH59,0)</f>
        <v>0</v>
      </c>
      <c r="AG59" s="64" t="s">
        <v>154</v>
      </c>
      <c r="AH59" s="70">
        <f>IF(AL59=0,J59,0)</f>
        <v>0</v>
      </c>
      <c r="AI59" s="70">
        <f>IF(AL59=15,J59,0)</f>
        <v>0</v>
      </c>
      <c r="AJ59" s="70">
        <f>IF(AL59=21,J59,0)</f>
        <v>0</v>
      </c>
      <c r="AL59" s="70">
        <v>21</v>
      </c>
      <c r="AM59" s="70">
        <f>G59*0</f>
        <v>0</v>
      </c>
      <c r="AN59" s="70">
        <f>G59*(1-0)</f>
        <v>0</v>
      </c>
      <c r="AO59" s="71" t="s">
        <v>157</v>
      </c>
      <c r="AT59" s="70">
        <f>AU59+AV59</f>
        <v>0</v>
      </c>
      <c r="AU59" s="70">
        <f>F59*AM59</f>
        <v>0</v>
      </c>
      <c r="AV59" s="70">
        <f>F59*AN59</f>
        <v>0</v>
      </c>
      <c r="AW59" s="71" t="s">
        <v>231</v>
      </c>
      <c r="AX59" s="71" t="s">
        <v>163</v>
      </c>
      <c r="AY59" s="64" t="s">
        <v>164</v>
      </c>
      <c r="BA59" s="70">
        <f>AU59+AV59</f>
        <v>0</v>
      </c>
      <c r="BB59" s="70">
        <f>G59/(100-BC59)*100</f>
        <v>0</v>
      </c>
      <c r="BC59" s="70">
        <v>0</v>
      </c>
      <c r="BD59" s="70">
        <f>L59</f>
        <v>0</v>
      </c>
      <c r="BF59" s="70">
        <f>F59*AM59</f>
        <v>0</v>
      </c>
      <c r="BG59" s="70">
        <f>F59*AN59</f>
        <v>0</v>
      </c>
      <c r="BH59" s="70">
        <f>F59*G59</f>
        <v>0</v>
      </c>
      <c r="BI59" s="70"/>
      <c r="BJ59" s="70">
        <v>16</v>
      </c>
      <c r="BU59" s="70" t="e">
        <f>#REF!</f>
        <v>#REF!</v>
      </c>
    </row>
    <row r="60" spans="1:73" ht="40.5" customHeight="1" x14ac:dyDescent="0.3">
      <c r="A60" s="90"/>
      <c r="B60" s="72" t="s">
        <v>165</v>
      </c>
      <c r="C60" s="581" t="s">
        <v>813</v>
      </c>
      <c r="D60" s="582"/>
      <c r="E60" s="582"/>
      <c r="F60" s="582"/>
      <c r="G60" s="582"/>
      <c r="H60" s="582"/>
      <c r="I60" s="582"/>
      <c r="J60" s="582"/>
      <c r="K60" s="582"/>
      <c r="L60" s="582"/>
      <c r="M60" s="583"/>
    </row>
    <row r="61" spans="1:73" ht="27" customHeight="1" x14ac:dyDescent="0.3">
      <c r="A61" s="82" t="s">
        <v>241</v>
      </c>
      <c r="B61" s="60" t="s">
        <v>254</v>
      </c>
      <c r="C61" s="551" t="s">
        <v>255</v>
      </c>
      <c r="D61" s="565"/>
      <c r="E61" s="60" t="s">
        <v>196</v>
      </c>
      <c r="F61" s="70">
        <v>2.38</v>
      </c>
      <c r="G61" s="311">
        <v>0</v>
      </c>
      <c r="H61" s="70">
        <f>F61*AM61</f>
        <v>0</v>
      </c>
      <c r="I61" s="70">
        <f>F61*AN61</f>
        <v>0</v>
      </c>
      <c r="J61" s="70">
        <f>F61*G61</f>
        <v>0</v>
      </c>
      <c r="K61" s="70">
        <v>0</v>
      </c>
      <c r="L61" s="70">
        <f>F61*K61</f>
        <v>0</v>
      </c>
      <c r="M61" s="89" t="s">
        <v>472</v>
      </c>
      <c r="X61" s="70">
        <f>IF(AO61="5",BH61,0)</f>
        <v>0</v>
      </c>
      <c r="Z61" s="70">
        <f>IF(AO61="1",BF61,0)</f>
        <v>0</v>
      </c>
      <c r="AA61" s="70">
        <f>IF(AO61="1",BG61,0)</f>
        <v>0</v>
      </c>
      <c r="AB61" s="70">
        <f>IF(AO61="7",BF61,0)</f>
        <v>0</v>
      </c>
      <c r="AC61" s="70">
        <f>IF(AO61="7",BG61,0)</f>
        <v>0</v>
      </c>
      <c r="AD61" s="70">
        <f>IF(AO61="2",BF61,0)</f>
        <v>0</v>
      </c>
      <c r="AE61" s="70">
        <f>IF(AO61="2",BG61,0)</f>
        <v>0</v>
      </c>
      <c r="AF61" s="70">
        <f>IF(AO61="0",BH61,0)</f>
        <v>0</v>
      </c>
      <c r="AG61" s="64" t="s">
        <v>154</v>
      </c>
      <c r="AH61" s="70">
        <f>IF(AL61=0,J61,0)</f>
        <v>0</v>
      </c>
      <c r="AI61" s="70">
        <f>IF(AL61=15,J61,0)</f>
        <v>0</v>
      </c>
      <c r="AJ61" s="70">
        <f>IF(AL61=21,J61,0)</f>
        <v>0</v>
      </c>
      <c r="AL61" s="70">
        <v>21</v>
      </c>
      <c r="AM61" s="70">
        <f>G61*0</f>
        <v>0</v>
      </c>
      <c r="AN61" s="70">
        <f>G61*(1-0)</f>
        <v>0</v>
      </c>
      <c r="AO61" s="71" t="s">
        <v>157</v>
      </c>
      <c r="AT61" s="70">
        <f>AU61+AV61</f>
        <v>0</v>
      </c>
      <c r="AU61" s="70">
        <f>F61*AM61</f>
        <v>0</v>
      </c>
      <c r="AV61" s="70">
        <f>F61*AN61</f>
        <v>0</v>
      </c>
      <c r="AW61" s="71" t="s">
        <v>231</v>
      </c>
      <c r="AX61" s="71" t="s">
        <v>163</v>
      </c>
      <c r="AY61" s="64" t="s">
        <v>164</v>
      </c>
      <c r="BA61" s="70">
        <f>AU61+AV61</f>
        <v>0</v>
      </c>
      <c r="BB61" s="70">
        <f>G61/(100-BC61)*100</f>
        <v>0</v>
      </c>
      <c r="BC61" s="70">
        <v>0</v>
      </c>
      <c r="BD61" s="70">
        <f>L61</f>
        <v>0</v>
      </c>
      <c r="BF61" s="70">
        <f>F61*AM61</f>
        <v>0</v>
      </c>
      <c r="BG61" s="70">
        <f>F61*AN61</f>
        <v>0</v>
      </c>
      <c r="BH61" s="70">
        <f>F61*G61</f>
        <v>0</v>
      </c>
      <c r="BI61" s="70"/>
      <c r="BJ61" s="70">
        <v>16</v>
      </c>
      <c r="BU61" s="70" t="e">
        <f>#REF!</f>
        <v>#REF!</v>
      </c>
    </row>
    <row r="62" spans="1:73" ht="40.5" customHeight="1" x14ac:dyDescent="0.3">
      <c r="A62" s="90"/>
      <c r="B62" s="72" t="s">
        <v>165</v>
      </c>
      <c r="C62" s="581" t="s">
        <v>814</v>
      </c>
      <c r="D62" s="582"/>
      <c r="E62" s="582"/>
      <c r="F62" s="582"/>
      <c r="G62" s="582"/>
      <c r="H62" s="582"/>
      <c r="I62" s="582"/>
      <c r="J62" s="582"/>
      <c r="K62" s="582"/>
      <c r="L62" s="582"/>
      <c r="M62" s="583"/>
    </row>
    <row r="63" spans="1:73" ht="27" customHeight="1" x14ac:dyDescent="0.3">
      <c r="A63" s="82" t="s">
        <v>244</v>
      </c>
      <c r="B63" s="60" t="s">
        <v>257</v>
      </c>
      <c r="C63" s="551" t="s">
        <v>258</v>
      </c>
      <c r="D63" s="565"/>
      <c r="E63" s="60" t="s">
        <v>196</v>
      </c>
      <c r="F63" s="70">
        <v>2.38</v>
      </c>
      <c r="G63" s="311">
        <v>0</v>
      </c>
      <c r="H63" s="70">
        <f>F63*AM63</f>
        <v>0</v>
      </c>
      <c r="I63" s="70">
        <f>F63*AN63</f>
        <v>0</v>
      </c>
      <c r="J63" s="70">
        <f>F63*G63</f>
        <v>0</v>
      </c>
      <c r="K63" s="70">
        <v>0</v>
      </c>
      <c r="L63" s="70">
        <f>F63*K63</f>
        <v>0</v>
      </c>
      <c r="M63" s="89" t="s">
        <v>472</v>
      </c>
      <c r="X63" s="70">
        <f>IF(AO63="5",BH63,0)</f>
        <v>0</v>
      </c>
      <c r="Z63" s="70">
        <f>IF(AO63="1",BF63,0)</f>
        <v>0</v>
      </c>
      <c r="AA63" s="70">
        <f>IF(AO63="1",BG63,0)</f>
        <v>0</v>
      </c>
      <c r="AB63" s="70">
        <f>IF(AO63="7",BF63,0)</f>
        <v>0</v>
      </c>
      <c r="AC63" s="70">
        <f>IF(AO63="7",BG63,0)</f>
        <v>0</v>
      </c>
      <c r="AD63" s="70">
        <f>IF(AO63="2",BF63,0)</f>
        <v>0</v>
      </c>
      <c r="AE63" s="70">
        <f>IF(AO63="2",BG63,0)</f>
        <v>0</v>
      </c>
      <c r="AF63" s="70">
        <f>IF(AO63="0",BH63,0)</f>
        <v>0</v>
      </c>
      <c r="AG63" s="64" t="s">
        <v>154</v>
      </c>
      <c r="AH63" s="70">
        <f>IF(AL63=0,J63,0)</f>
        <v>0</v>
      </c>
      <c r="AI63" s="70">
        <f>IF(AL63=15,J63,0)</f>
        <v>0</v>
      </c>
      <c r="AJ63" s="70">
        <f>IF(AL63=21,J63,0)</f>
        <v>0</v>
      </c>
      <c r="AL63" s="70">
        <v>21</v>
      </c>
      <c r="AM63" s="70">
        <f>G63*0</f>
        <v>0</v>
      </c>
      <c r="AN63" s="70">
        <f>G63*(1-0)</f>
        <v>0</v>
      </c>
      <c r="AO63" s="71" t="s">
        <v>157</v>
      </c>
      <c r="AT63" s="70">
        <f>AU63+AV63</f>
        <v>0</v>
      </c>
      <c r="AU63" s="70">
        <f>F63*AM63</f>
        <v>0</v>
      </c>
      <c r="AV63" s="70">
        <f>F63*AN63</f>
        <v>0</v>
      </c>
      <c r="AW63" s="71" t="s">
        <v>231</v>
      </c>
      <c r="AX63" s="71" t="s">
        <v>163</v>
      </c>
      <c r="AY63" s="64" t="s">
        <v>164</v>
      </c>
      <c r="BA63" s="70">
        <f>AU63+AV63</f>
        <v>0</v>
      </c>
      <c r="BB63" s="70">
        <f>G63/(100-BC63)*100</f>
        <v>0</v>
      </c>
      <c r="BC63" s="70">
        <v>0</v>
      </c>
      <c r="BD63" s="70">
        <f>L63</f>
        <v>0</v>
      </c>
      <c r="BF63" s="70">
        <f>F63*AM63</f>
        <v>0</v>
      </c>
      <c r="BG63" s="70">
        <f>F63*AN63</f>
        <v>0</v>
      </c>
      <c r="BH63" s="70">
        <f>F63*G63</f>
        <v>0</v>
      </c>
      <c r="BI63" s="70"/>
      <c r="BJ63" s="70">
        <v>16</v>
      </c>
      <c r="BU63" s="70" t="e">
        <f>#REF!</f>
        <v>#REF!</v>
      </c>
    </row>
    <row r="64" spans="1:73" ht="40.5" customHeight="1" x14ac:dyDescent="0.3">
      <c r="A64" s="90"/>
      <c r="B64" s="72" t="s">
        <v>165</v>
      </c>
      <c r="C64" s="581" t="s">
        <v>815</v>
      </c>
      <c r="D64" s="582"/>
      <c r="E64" s="582"/>
      <c r="F64" s="582"/>
      <c r="G64" s="582"/>
      <c r="H64" s="582"/>
      <c r="I64" s="582"/>
      <c r="J64" s="582"/>
      <c r="K64" s="582"/>
      <c r="L64" s="582"/>
      <c r="M64" s="583"/>
    </row>
    <row r="65" spans="1:73" ht="15" customHeight="1" x14ac:dyDescent="0.3">
      <c r="A65" s="82" t="s">
        <v>154</v>
      </c>
      <c r="B65" s="61" t="s">
        <v>220</v>
      </c>
      <c r="C65" s="564" t="s">
        <v>259</v>
      </c>
      <c r="D65" s="571"/>
      <c r="E65" s="60" t="s">
        <v>114</v>
      </c>
      <c r="F65" s="60" t="s">
        <v>114</v>
      </c>
      <c r="G65" s="60" t="s">
        <v>114</v>
      </c>
      <c r="H65" s="73">
        <f>SUM(H66:H69)</f>
        <v>0</v>
      </c>
      <c r="I65" s="73">
        <f>SUM(I66:I69)</f>
        <v>0</v>
      </c>
      <c r="J65" s="73">
        <f>SUM(J66:J69)</f>
        <v>0</v>
      </c>
      <c r="K65" s="65" t="s">
        <v>154</v>
      </c>
      <c r="L65" s="73">
        <f>SUM(L66:L69)</f>
        <v>2.9409999999999998</v>
      </c>
      <c r="M65" s="91" t="s">
        <v>154</v>
      </c>
      <c r="AG65" s="64" t="s">
        <v>154</v>
      </c>
      <c r="AQ65" s="59">
        <f>SUM(AH66:AH69)</f>
        <v>0</v>
      </c>
      <c r="AR65" s="59">
        <f>SUM(AI66:AI69)</f>
        <v>0</v>
      </c>
      <c r="AS65" s="59">
        <f>SUM(AJ66:AJ69)</f>
        <v>0</v>
      </c>
    </row>
    <row r="66" spans="1:73" ht="13.5" customHeight="1" x14ac:dyDescent="0.3">
      <c r="A66" s="82" t="s">
        <v>247</v>
      </c>
      <c r="B66" s="60" t="s">
        <v>261</v>
      </c>
      <c r="C66" s="551" t="s">
        <v>262</v>
      </c>
      <c r="D66" s="565"/>
      <c r="E66" s="60" t="s">
        <v>196</v>
      </c>
      <c r="F66" s="70">
        <v>1.73</v>
      </c>
      <c r="G66" s="311">
        <v>0</v>
      </c>
      <c r="H66" s="70">
        <f>F66*AM66</f>
        <v>0</v>
      </c>
      <c r="I66" s="70">
        <f>F66*AN66</f>
        <v>0</v>
      </c>
      <c r="J66" s="70">
        <f>F66*G66</f>
        <v>0</v>
      </c>
      <c r="K66" s="70">
        <v>1.7</v>
      </c>
      <c r="L66" s="70">
        <f>F66*K66</f>
        <v>2.9409999999999998</v>
      </c>
      <c r="M66" s="89" t="s">
        <v>472</v>
      </c>
      <c r="X66" s="70">
        <f>IF(AO66="5",BH66,0)</f>
        <v>0</v>
      </c>
      <c r="Z66" s="70">
        <f>IF(AO66="1",BF66,0)</f>
        <v>0</v>
      </c>
      <c r="AA66" s="70">
        <f>IF(AO66="1",BG66,0)</f>
        <v>0</v>
      </c>
      <c r="AB66" s="70">
        <f>IF(AO66="7",BF66,0)</f>
        <v>0</v>
      </c>
      <c r="AC66" s="70">
        <f>IF(AO66="7",BG66,0)</f>
        <v>0</v>
      </c>
      <c r="AD66" s="70">
        <f>IF(AO66="2",BF66,0)</f>
        <v>0</v>
      </c>
      <c r="AE66" s="70">
        <f>IF(AO66="2",BG66,0)</f>
        <v>0</v>
      </c>
      <c r="AF66" s="70">
        <f>IF(AO66="0",BH66,0)</f>
        <v>0</v>
      </c>
      <c r="AG66" s="64" t="s">
        <v>154</v>
      </c>
      <c r="AH66" s="70">
        <f>IF(AL66=0,J66,0)</f>
        <v>0</v>
      </c>
      <c r="AI66" s="70">
        <f>IF(AL66=15,J66,0)</f>
        <v>0</v>
      </c>
      <c r="AJ66" s="70">
        <f>IF(AL66=21,J66,0)</f>
        <v>0</v>
      </c>
      <c r="AL66" s="70">
        <v>21</v>
      </c>
      <c r="AM66" s="70">
        <f>G66*0.517505126452495</f>
        <v>0</v>
      </c>
      <c r="AN66" s="70">
        <f>G66*(1-0.517505126452495)</f>
        <v>0</v>
      </c>
      <c r="AO66" s="71" t="s">
        <v>157</v>
      </c>
      <c r="AT66" s="70">
        <f>AU66+AV66</f>
        <v>0</v>
      </c>
      <c r="AU66" s="70">
        <f>F66*AM66</f>
        <v>0</v>
      </c>
      <c r="AV66" s="70">
        <f>F66*AN66</f>
        <v>0</v>
      </c>
      <c r="AW66" s="71" t="s">
        <v>263</v>
      </c>
      <c r="AX66" s="71" t="s">
        <v>163</v>
      </c>
      <c r="AY66" s="64" t="s">
        <v>164</v>
      </c>
      <c r="BA66" s="70">
        <f>AU66+AV66</f>
        <v>0</v>
      </c>
      <c r="BB66" s="70">
        <f>G66/(100-BC66)*100</f>
        <v>0</v>
      </c>
      <c r="BC66" s="70">
        <v>0</v>
      </c>
      <c r="BD66" s="70">
        <f>L66</f>
        <v>2.9409999999999998</v>
      </c>
      <c r="BF66" s="70">
        <f>F66*AM66</f>
        <v>0</v>
      </c>
      <c r="BG66" s="70">
        <f>F66*AN66</f>
        <v>0</v>
      </c>
      <c r="BH66" s="70">
        <f>F66*G66</f>
        <v>0</v>
      </c>
      <c r="BI66" s="70"/>
      <c r="BJ66" s="70">
        <v>17</v>
      </c>
      <c r="BU66" s="70" t="e">
        <f>#REF!</f>
        <v>#REF!</v>
      </c>
    </row>
    <row r="67" spans="1:73" ht="67.5" customHeight="1" x14ac:dyDescent="0.3">
      <c r="A67" s="90"/>
      <c r="B67" s="72" t="s">
        <v>165</v>
      </c>
      <c r="C67" s="581" t="s">
        <v>816</v>
      </c>
      <c r="D67" s="582"/>
      <c r="E67" s="582"/>
      <c r="F67" s="582"/>
      <c r="G67" s="582"/>
      <c r="H67" s="582"/>
      <c r="I67" s="582"/>
      <c r="J67" s="582"/>
      <c r="K67" s="582"/>
      <c r="L67" s="582"/>
      <c r="M67" s="583"/>
    </row>
    <row r="68" spans="1:73" ht="27" customHeight="1" x14ac:dyDescent="0.3">
      <c r="A68" s="82" t="s">
        <v>250</v>
      </c>
      <c r="B68" s="60" t="s">
        <v>265</v>
      </c>
      <c r="C68" s="551" t="s">
        <v>266</v>
      </c>
      <c r="D68" s="565"/>
      <c r="E68" s="60" t="s">
        <v>196</v>
      </c>
      <c r="F68" s="70">
        <v>1.73</v>
      </c>
      <c r="G68" s="311">
        <v>0</v>
      </c>
      <c r="H68" s="70">
        <f>F68*AM68</f>
        <v>0</v>
      </c>
      <c r="I68" s="70">
        <f>F68*AN68</f>
        <v>0</v>
      </c>
      <c r="J68" s="70">
        <f>F68*G68</f>
        <v>0</v>
      </c>
      <c r="K68" s="70">
        <v>0</v>
      </c>
      <c r="L68" s="70">
        <f>F68*K68</f>
        <v>0</v>
      </c>
      <c r="M68" s="89" t="s">
        <v>472</v>
      </c>
      <c r="X68" s="70">
        <f>IF(AO68="5",BH68,0)</f>
        <v>0</v>
      </c>
      <c r="Z68" s="70">
        <f>IF(AO68="1",BF68,0)</f>
        <v>0</v>
      </c>
      <c r="AA68" s="70">
        <f>IF(AO68="1",BG68,0)</f>
        <v>0</v>
      </c>
      <c r="AB68" s="70">
        <f>IF(AO68="7",BF68,0)</f>
        <v>0</v>
      </c>
      <c r="AC68" s="70">
        <f>IF(AO68="7",BG68,0)</f>
        <v>0</v>
      </c>
      <c r="AD68" s="70">
        <f>IF(AO68="2",BF68,0)</f>
        <v>0</v>
      </c>
      <c r="AE68" s="70">
        <f>IF(AO68="2",BG68,0)</f>
        <v>0</v>
      </c>
      <c r="AF68" s="70">
        <f>IF(AO68="0",BH68,0)</f>
        <v>0</v>
      </c>
      <c r="AG68" s="64" t="s">
        <v>154</v>
      </c>
      <c r="AH68" s="70">
        <f>IF(AL68=0,J68,0)</f>
        <v>0</v>
      </c>
      <c r="AI68" s="70">
        <f>IF(AL68=15,J68,0)</f>
        <v>0</v>
      </c>
      <c r="AJ68" s="70">
        <f>IF(AL68=21,J68,0)</f>
        <v>0</v>
      </c>
      <c r="AL68" s="70">
        <v>21</v>
      </c>
      <c r="AM68" s="70">
        <f>G68*0</f>
        <v>0</v>
      </c>
      <c r="AN68" s="70">
        <f>G68*(1-0)</f>
        <v>0</v>
      </c>
      <c r="AO68" s="71" t="s">
        <v>157</v>
      </c>
      <c r="AT68" s="70">
        <f>AU68+AV68</f>
        <v>0</v>
      </c>
      <c r="AU68" s="70">
        <f>F68*AM68</f>
        <v>0</v>
      </c>
      <c r="AV68" s="70">
        <f>F68*AN68</f>
        <v>0</v>
      </c>
      <c r="AW68" s="71" t="s">
        <v>263</v>
      </c>
      <c r="AX68" s="71" t="s">
        <v>163</v>
      </c>
      <c r="AY68" s="64" t="s">
        <v>164</v>
      </c>
      <c r="BA68" s="70">
        <f>AU68+AV68</f>
        <v>0</v>
      </c>
      <c r="BB68" s="70">
        <f>G68/(100-BC68)*100</f>
        <v>0</v>
      </c>
      <c r="BC68" s="70">
        <v>0</v>
      </c>
      <c r="BD68" s="70">
        <f>L68</f>
        <v>0</v>
      </c>
      <c r="BF68" s="70">
        <f>F68*AM68</f>
        <v>0</v>
      </c>
      <c r="BG68" s="70">
        <f>F68*AN68</f>
        <v>0</v>
      </c>
      <c r="BH68" s="70">
        <f>F68*G68</f>
        <v>0</v>
      </c>
      <c r="BI68" s="70"/>
      <c r="BJ68" s="70">
        <v>17</v>
      </c>
      <c r="BU68" s="70" t="e">
        <f>#REF!</f>
        <v>#REF!</v>
      </c>
    </row>
    <row r="69" spans="1:73" ht="13.5" customHeight="1" x14ac:dyDescent="0.3">
      <c r="A69" s="82" t="s">
        <v>253</v>
      </c>
      <c r="B69" s="60" t="s">
        <v>268</v>
      </c>
      <c r="C69" s="551" t="s">
        <v>269</v>
      </c>
      <c r="D69" s="565"/>
      <c r="E69" s="60" t="s">
        <v>196</v>
      </c>
      <c r="F69" s="70">
        <v>5.84</v>
      </c>
      <c r="G69" s="311">
        <v>0</v>
      </c>
      <c r="H69" s="70">
        <f>F69*AM69</f>
        <v>0</v>
      </c>
      <c r="I69" s="70">
        <f>F69*AN69</f>
        <v>0</v>
      </c>
      <c r="J69" s="70">
        <f>F69*G69</f>
        <v>0</v>
      </c>
      <c r="K69" s="70">
        <v>0</v>
      </c>
      <c r="L69" s="70">
        <f>F69*K69</f>
        <v>0</v>
      </c>
      <c r="M69" s="89" t="s">
        <v>472</v>
      </c>
      <c r="X69" s="70">
        <f>IF(AO69="5",BH69,0)</f>
        <v>0</v>
      </c>
      <c r="Z69" s="70">
        <f>IF(AO69="1",BF69,0)</f>
        <v>0</v>
      </c>
      <c r="AA69" s="70">
        <f>IF(AO69="1",BG69,0)</f>
        <v>0</v>
      </c>
      <c r="AB69" s="70">
        <f>IF(AO69="7",BF69,0)</f>
        <v>0</v>
      </c>
      <c r="AC69" s="70">
        <f>IF(AO69="7",BG69,0)</f>
        <v>0</v>
      </c>
      <c r="AD69" s="70">
        <f>IF(AO69="2",BF69,0)</f>
        <v>0</v>
      </c>
      <c r="AE69" s="70">
        <f>IF(AO69="2",BG69,0)</f>
        <v>0</v>
      </c>
      <c r="AF69" s="70">
        <f>IF(AO69="0",BH69,0)</f>
        <v>0</v>
      </c>
      <c r="AG69" s="64" t="s">
        <v>154</v>
      </c>
      <c r="AH69" s="70">
        <f>IF(AL69=0,J69,0)</f>
        <v>0</v>
      </c>
      <c r="AI69" s="70">
        <f>IF(AL69=15,J69,0)</f>
        <v>0</v>
      </c>
      <c r="AJ69" s="70">
        <f>IF(AL69=21,J69,0)</f>
        <v>0</v>
      </c>
      <c r="AL69" s="70">
        <v>21</v>
      </c>
      <c r="AM69" s="70">
        <f>G69*0</f>
        <v>0</v>
      </c>
      <c r="AN69" s="70">
        <f>G69*(1-0)</f>
        <v>0</v>
      </c>
      <c r="AO69" s="71" t="s">
        <v>157</v>
      </c>
      <c r="AT69" s="70">
        <f>AU69+AV69</f>
        <v>0</v>
      </c>
      <c r="AU69" s="70">
        <f>F69*AM69</f>
        <v>0</v>
      </c>
      <c r="AV69" s="70">
        <f>F69*AN69</f>
        <v>0</v>
      </c>
      <c r="AW69" s="71" t="s">
        <v>263</v>
      </c>
      <c r="AX69" s="71" t="s">
        <v>163</v>
      </c>
      <c r="AY69" s="64" t="s">
        <v>164</v>
      </c>
      <c r="BA69" s="70">
        <f>AU69+AV69</f>
        <v>0</v>
      </c>
      <c r="BB69" s="70">
        <f>G69/(100-BC69)*100</f>
        <v>0</v>
      </c>
      <c r="BC69" s="70">
        <v>0</v>
      </c>
      <c r="BD69" s="70">
        <f>L69</f>
        <v>0</v>
      </c>
      <c r="BF69" s="70">
        <f>F69*AM69</f>
        <v>0</v>
      </c>
      <c r="BG69" s="70">
        <f>F69*AN69</f>
        <v>0</v>
      </c>
      <c r="BH69" s="70">
        <f>F69*G69</f>
        <v>0</v>
      </c>
      <c r="BI69" s="70"/>
      <c r="BJ69" s="70">
        <v>17</v>
      </c>
      <c r="BU69" s="70" t="e">
        <f>#REF!</f>
        <v>#REF!</v>
      </c>
    </row>
    <row r="70" spans="1:73" ht="54" customHeight="1" x14ac:dyDescent="0.3">
      <c r="A70" s="90"/>
      <c r="B70" s="72" t="s">
        <v>165</v>
      </c>
      <c r="C70" s="581" t="s">
        <v>817</v>
      </c>
      <c r="D70" s="582"/>
      <c r="E70" s="582"/>
      <c r="F70" s="582"/>
      <c r="G70" s="582"/>
      <c r="H70" s="582"/>
      <c r="I70" s="582"/>
      <c r="J70" s="582"/>
      <c r="K70" s="582"/>
      <c r="L70" s="582"/>
      <c r="M70" s="583"/>
    </row>
    <row r="71" spans="1:73" ht="15" customHeight="1" x14ac:dyDescent="0.3">
      <c r="A71" s="82" t="s">
        <v>154</v>
      </c>
      <c r="B71" s="61" t="s">
        <v>224</v>
      </c>
      <c r="C71" s="564" t="s">
        <v>270</v>
      </c>
      <c r="D71" s="571"/>
      <c r="E71" s="60" t="s">
        <v>114</v>
      </c>
      <c r="F71" s="60" t="s">
        <v>114</v>
      </c>
      <c r="G71" s="60" t="s">
        <v>114</v>
      </c>
      <c r="H71" s="73">
        <f>SUM(H72:H72)</f>
        <v>0</v>
      </c>
      <c r="I71" s="73">
        <f>SUM(I72:I72)</f>
        <v>0</v>
      </c>
      <c r="J71" s="73">
        <f>SUM(J72:J72)</f>
        <v>0</v>
      </c>
      <c r="K71" s="65" t="s">
        <v>154</v>
      </c>
      <c r="L71" s="73">
        <f>SUM(L72:L72)</f>
        <v>1.7880000000000001E-4</v>
      </c>
      <c r="M71" s="91" t="s">
        <v>154</v>
      </c>
      <c r="AG71" s="64" t="s">
        <v>154</v>
      </c>
      <c r="AQ71" s="59">
        <f>SUM(AH72:AH72)</f>
        <v>0</v>
      </c>
      <c r="AR71" s="59">
        <f>SUM(AI72:AI72)</f>
        <v>0</v>
      </c>
      <c r="AS71" s="59">
        <f>SUM(AJ72:AJ72)</f>
        <v>0</v>
      </c>
    </row>
    <row r="72" spans="1:73" ht="13.5" customHeight="1" x14ac:dyDescent="0.3">
      <c r="A72" s="82" t="s">
        <v>256</v>
      </c>
      <c r="B72" s="60" t="s">
        <v>272</v>
      </c>
      <c r="C72" s="551" t="s">
        <v>273</v>
      </c>
      <c r="D72" s="565"/>
      <c r="E72" s="60" t="s">
        <v>180</v>
      </c>
      <c r="F72" s="70">
        <v>5.96</v>
      </c>
      <c r="G72" s="311">
        <v>0</v>
      </c>
      <c r="H72" s="70">
        <f>F72*AM72</f>
        <v>0</v>
      </c>
      <c r="I72" s="70">
        <f>F72*AN72</f>
        <v>0</v>
      </c>
      <c r="J72" s="70">
        <f>F72*G72</f>
        <v>0</v>
      </c>
      <c r="K72" s="70">
        <v>3.0000000000000001E-5</v>
      </c>
      <c r="L72" s="70">
        <f>F72*K72</f>
        <v>1.7880000000000001E-4</v>
      </c>
      <c r="M72" s="89" t="s">
        <v>472</v>
      </c>
      <c r="X72" s="70">
        <f>IF(AO72="5",BH72,0)</f>
        <v>0</v>
      </c>
      <c r="Z72" s="70">
        <f>IF(AO72="1",BF72,0)</f>
        <v>0</v>
      </c>
      <c r="AA72" s="70">
        <f>IF(AO72="1",BG72,0)</f>
        <v>0</v>
      </c>
      <c r="AB72" s="70">
        <f>IF(AO72="7",BF72,0)</f>
        <v>0</v>
      </c>
      <c r="AC72" s="70">
        <f>IF(AO72="7",BG72,0)</f>
        <v>0</v>
      </c>
      <c r="AD72" s="70">
        <f>IF(AO72="2",BF72,0)</f>
        <v>0</v>
      </c>
      <c r="AE72" s="70">
        <f>IF(AO72="2",BG72,0)</f>
        <v>0</v>
      </c>
      <c r="AF72" s="70">
        <f>IF(AO72="0",BH72,0)</f>
        <v>0</v>
      </c>
      <c r="AG72" s="64" t="s">
        <v>154</v>
      </c>
      <c r="AH72" s="70">
        <f>IF(AL72=0,J72,0)</f>
        <v>0</v>
      </c>
      <c r="AI72" s="70">
        <f>IF(AL72=15,J72,0)</f>
        <v>0</v>
      </c>
      <c r="AJ72" s="70">
        <f>IF(AL72=21,J72,0)</f>
        <v>0</v>
      </c>
      <c r="AL72" s="70">
        <v>21</v>
      </c>
      <c r="AM72" s="70">
        <f>G72*0.0417159144207526</f>
        <v>0</v>
      </c>
      <c r="AN72" s="70">
        <f>G72*(1-0.0417159144207526)</f>
        <v>0</v>
      </c>
      <c r="AO72" s="71" t="s">
        <v>157</v>
      </c>
      <c r="AT72" s="70">
        <f>AU72+AV72</f>
        <v>0</v>
      </c>
      <c r="AU72" s="70">
        <f>F72*AM72</f>
        <v>0</v>
      </c>
      <c r="AV72" s="70">
        <f>F72*AN72</f>
        <v>0</v>
      </c>
      <c r="AW72" s="71" t="s">
        <v>274</v>
      </c>
      <c r="AX72" s="71" t="s">
        <v>163</v>
      </c>
      <c r="AY72" s="64" t="s">
        <v>164</v>
      </c>
      <c r="BA72" s="70">
        <f>AU72+AV72</f>
        <v>0</v>
      </c>
      <c r="BB72" s="70">
        <f>G72/(100-BC72)*100</f>
        <v>0</v>
      </c>
      <c r="BC72" s="70">
        <v>0</v>
      </c>
      <c r="BD72" s="70">
        <f>L72</f>
        <v>1.7880000000000001E-4</v>
      </c>
      <c r="BF72" s="70">
        <f>F72*AM72</f>
        <v>0</v>
      </c>
      <c r="BG72" s="70">
        <f>F72*AN72</f>
        <v>0</v>
      </c>
      <c r="BH72" s="70">
        <f>F72*G72</f>
        <v>0</v>
      </c>
      <c r="BI72" s="70"/>
      <c r="BJ72" s="70">
        <v>18</v>
      </c>
      <c r="BU72" s="70" t="e">
        <f>#REF!</f>
        <v>#REF!</v>
      </c>
    </row>
    <row r="73" spans="1:73" ht="40.5" customHeight="1" x14ac:dyDescent="0.3">
      <c r="A73" s="92"/>
      <c r="B73" s="93" t="s">
        <v>165</v>
      </c>
      <c r="C73" s="584" t="s">
        <v>818</v>
      </c>
      <c r="D73" s="585"/>
      <c r="E73" s="585"/>
      <c r="F73" s="585"/>
      <c r="G73" s="585"/>
      <c r="H73" s="585"/>
      <c r="I73" s="585"/>
      <c r="J73" s="585"/>
      <c r="K73" s="585"/>
      <c r="L73" s="585"/>
      <c r="M73" s="586"/>
    </row>
    <row r="74" spans="1:73" ht="15" customHeight="1" x14ac:dyDescent="0.3">
      <c r="A74" s="84" t="s">
        <v>154</v>
      </c>
      <c r="B74" s="81" t="s">
        <v>228</v>
      </c>
      <c r="C74" s="573" t="s">
        <v>275</v>
      </c>
      <c r="D74" s="574"/>
      <c r="E74" s="85" t="s">
        <v>114</v>
      </c>
      <c r="F74" s="85" t="s">
        <v>114</v>
      </c>
      <c r="G74" s="85" t="s">
        <v>114</v>
      </c>
      <c r="H74" s="86">
        <f>SUM(H75:H77)</f>
        <v>0</v>
      </c>
      <c r="I74" s="86">
        <f>SUM(I75:I77)</f>
        <v>0</v>
      </c>
      <c r="J74" s="86">
        <f>SUM(J75:J77)</f>
        <v>0</v>
      </c>
      <c r="K74" s="87" t="s">
        <v>154</v>
      </c>
      <c r="L74" s="86">
        <f>SUM(L75:L77)</f>
        <v>0</v>
      </c>
      <c r="M74" s="88" t="s">
        <v>154</v>
      </c>
      <c r="AG74" s="64" t="s">
        <v>154</v>
      </c>
      <c r="AQ74" s="59">
        <f>SUM(AH75:AH77)</f>
        <v>0</v>
      </c>
      <c r="AR74" s="59">
        <f>SUM(AI75:AI77)</f>
        <v>0</v>
      </c>
      <c r="AS74" s="59">
        <f>SUM(AJ75:AJ77)</f>
        <v>0</v>
      </c>
    </row>
    <row r="75" spans="1:73" ht="13.5" customHeight="1" x14ac:dyDescent="0.3">
      <c r="A75" s="82" t="s">
        <v>260</v>
      </c>
      <c r="B75" s="60" t="s">
        <v>277</v>
      </c>
      <c r="C75" s="551" t="s">
        <v>278</v>
      </c>
      <c r="D75" s="565"/>
      <c r="E75" s="60" t="s">
        <v>196</v>
      </c>
      <c r="F75" s="70">
        <v>1.49</v>
      </c>
      <c r="G75" s="311">
        <v>0</v>
      </c>
      <c r="H75" s="70">
        <f>F75*AM75</f>
        <v>0</v>
      </c>
      <c r="I75" s="70">
        <f>F75*AN75</f>
        <v>0</v>
      </c>
      <c r="J75" s="70">
        <f>F75*G75</f>
        <v>0</v>
      </c>
      <c r="K75" s="70">
        <v>0</v>
      </c>
      <c r="L75" s="70">
        <f>F75*K75</f>
        <v>0</v>
      </c>
      <c r="M75" s="89" t="s">
        <v>472</v>
      </c>
      <c r="X75" s="70">
        <f>IF(AO75="5",BH75,0)</f>
        <v>0</v>
      </c>
      <c r="Z75" s="70">
        <f>IF(AO75="1",BF75,0)</f>
        <v>0</v>
      </c>
      <c r="AA75" s="70">
        <f>IF(AO75="1",BG75,0)</f>
        <v>0</v>
      </c>
      <c r="AB75" s="70">
        <f>IF(AO75="7",BF75,0)</f>
        <v>0</v>
      </c>
      <c r="AC75" s="70">
        <f>IF(AO75="7",BG75,0)</f>
        <v>0</v>
      </c>
      <c r="AD75" s="70">
        <f>IF(AO75="2",BF75,0)</f>
        <v>0</v>
      </c>
      <c r="AE75" s="70">
        <f>IF(AO75="2",BG75,0)</f>
        <v>0</v>
      </c>
      <c r="AF75" s="70">
        <f>IF(AO75="0",BH75,0)</f>
        <v>0</v>
      </c>
      <c r="AG75" s="64" t="s">
        <v>154</v>
      </c>
      <c r="AH75" s="70">
        <f>IF(AL75=0,J75,0)</f>
        <v>0</v>
      </c>
      <c r="AI75" s="70">
        <f>IF(AL75=15,J75,0)</f>
        <v>0</v>
      </c>
      <c r="AJ75" s="70">
        <f>IF(AL75=21,J75,0)</f>
        <v>0</v>
      </c>
      <c r="AL75" s="70">
        <v>21</v>
      </c>
      <c r="AM75" s="70">
        <f>G75*0</f>
        <v>0</v>
      </c>
      <c r="AN75" s="70">
        <f>G75*(1-0)</f>
        <v>0</v>
      </c>
      <c r="AO75" s="71" t="s">
        <v>157</v>
      </c>
      <c r="AT75" s="70">
        <f>AU75+AV75</f>
        <v>0</v>
      </c>
      <c r="AU75" s="70">
        <f>F75*AM75</f>
        <v>0</v>
      </c>
      <c r="AV75" s="70">
        <f>F75*AN75</f>
        <v>0</v>
      </c>
      <c r="AW75" s="71" t="s">
        <v>279</v>
      </c>
      <c r="AX75" s="71" t="s">
        <v>163</v>
      </c>
      <c r="AY75" s="64" t="s">
        <v>164</v>
      </c>
      <c r="BA75" s="70">
        <f>AU75+AV75</f>
        <v>0</v>
      </c>
      <c r="BB75" s="70">
        <f>G75/(100-BC75)*100</f>
        <v>0</v>
      </c>
      <c r="BC75" s="70">
        <v>0</v>
      </c>
      <c r="BD75" s="70">
        <f>L75</f>
        <v>0</v>
      </c>
      <c r="BF75" s="70">
        <f>F75*AM75</f>
        <v>0</v>
      </c>
      <c r="BG75" s="70">
        <f>F75*AN75</f>
        <v>0</v>
      </c>
      <c r="BH75" s="70">
        <f>F75*G75</f>
        <v>0</v>
      </c>
      <c r="BI75" s="70"/>
      <c r="BJ75" s="70">
        <v>19</v>
      </c>
      <c r="BU75" s="70" t="e">
        <f>#REF!</f>
        <v>#REF!</v>
      </c>
    </row>
    <row r="76" spans="1:73" ht="13.5" customHeight="1" x14ac:dyDescent="0.3">
      <c r="A76" s="90"/>
      <c r="B76" s="72" t="s">
        <v>165</v>
      </c>
      <c r="C76" s="581" t="s">
        <v>280</v>
      </c>
      <c r="D76" s="582"/>
      <c r="E76" s="582"/>
      <c r="F76" s="582"/>
      <c r="G76" s="582"/>
      <c r="H76" s="582"/>
      <c r="I76" s="582"/>
      <c r="J76" s="582"/>
      <c r="K76" s="582"/>
      <c r="L76" s="582"/>
      <c r="M76" s="583"/>
    </row>
    <row r="77" spans="1:73" ht="13.5" customHeight="1" x14ac:dyDescent="0.3">
      <c r="A77" s="82" t="s">
        <v>264</v>
      </c>
      <c r="B77" s="60" t="s">
        <v>282</v>
      </c>
      <c r="C77" s="551" t="s">
        <v>283</v>
      </c>
      <c r="D77" s="565"/>
      <c r="E77" s="60" t="s">
        <v>196</v>
      </c>
      <c r="F77" s="70">
        <v>1.31</v>
      </c>
      <c r="G77" s="311">
        <v>0</v>
      </c>
      <c r="H77" s="70">
        <f>F77*AM77</f>
        <v>0</v>
      </c>
      <c r="I77" s="70">
        <f>F77*AN77</f>
        <v>0</v>
      </c>
      <c r="J77" s="70">
        <f>F77*G77</f>
        <v>0</v>
      </c>
      <c r="K77" s="70">
        <v>0</v>
      </c>
      <c r="L77" s="70">
        <f>F77*K77</f>
        <v>0</v>
      </c>
      <c r="M77" s="89" t="s">
        <v>472</v>
      </c>
      <c r="X77" s="70">
        <f>IF(AO77="5",BH77,0)</f>
        <v>0</v>
      </c>
      <c r="Z77" s="70">
        <f>IF(AO77="1",BF77,0)</f>
        <v>0</v>
      </c>
      <c r="AA77" s="70">
        <f>IF(AO77="1",BG77,0)</f>
        <v>0</v>
      </c>
      <c r="AB77" s="70">
        <f>IF(AO77="7",BF77,0)</f>
        <v>0</v>
      </c>
      <c r="AC77" s="70">
        <f>IF(AO77="7",BG77,0)</f>
        <v>0</v>
      </c>
      <c r="AD77" s="70">
        <f>IF(AO77="2",BF77,0)</f>
        <v>0</v>
      </c>
      <c r="AE77" s="70">
        <f>IF(AO77="2",BG77,0)</f>
        <v>0</v>
      </c>
      <c r="AF77" s="70">
        <f>IF(AO77="0",BH77,0)</f>
        <v>0</v>
      </c>
      <c r="AG77" s="64" t="s">
        <v>154</v>
      </c>
      <c r="AH77" s="70">
        <f>IF(AL77=0,J77,0)</f>
        <v>0</v>
      </c>
      <c r="AI77" s="70">
        <f>IF(AL77=15,J77,0)</f>
        <v>0</v>
      </c>
      <c r="AJ77" s="70">
        <f>IF(AL77=21,J77,0)</f>
        <v>0</v>
      </c>
      <c r="AL77" s="70">
        <v>21</v>
      </c>
      <c r="AM77" s="70">
        <f>G77*0</f>
        <v>0</v>
      </c>
      <c r="AN77" s="70">
        <f>G77*(1-0)</f>
        <v>0</v>
      </c>
      <c r="AO77" s="71" t="s">
        <v>157</v>
      </c>
      <c r="AT77" s="70">
        <f>AU77+AV77</f>
        <v>0</v>
      </c>
      <c r="AU77" s="70">
        <f>F77*AM77</f>
        <v>0</v>
      </c>
      <c r="AV77" s="70">
        <f>F77*AN77</f>
        <v>0</v>
      </c>
      <c r="AW77" s="71" t="s">
        <v>279</v>
      </c>
      <c r="AX77" s="71" t="s">
        <v>163</v>
      </c>
      <c r="AY77" s="64" t="s">
        <v>164</v>
      </c>
      <c r="BA77" s="70">
        <f>AU77+AV77</f>
        <v>0</v>
      </c>
      <c r="BB77" s="70">
        <f>G77/(100-BC77)*100</f>
        <v>0</v>
      </c>
      <c r="BC77" s="70">
        <v>0</v>
      </c>
      <c r="BD77" s="70">
        <f>L77</f>
        <v>0</v>
      </c>
      <c r="BF77" s="70">
        <f>F77*AM77</f>
        <v>0</v>
      </c>
      <c r="BG77" s="70">
        <f>F77*AN77</f>
        <v>0</v>
      </c>
      <c r="BH77" s="70">
        <f>F77*G77</f>
        <v>0</v>
      </c>
      <c r="BI77" s="70"/>
      <c r="BJ77" s="70">
        <v>19</v>
      </c>
      <c r="BU77" s="70" t="e">
        <f>#REF!</f>
        <v>#REF!</v>
      </c>
    </row>
    <row r="78" spans="1:73" ht="13.5" customHeight="1" x14ac:dyDescent="0.3">
      <c r="A78" s="90"/>
      <c r="B78" s="72" t="s">
        <v>165</v>
      </c>
      <c r="C78" s="581" t="s">
        <v>280</v>
      </c>
      <c r="D78" s="582"/>
      <c r="E78" s="582"/>
      <c r="F78" s="582"/>
      <c r="G78" s="582"/>
      <c r="H78" s="582"/>
      <c r="I78" s="582"/>
      <c r="J78" s="582"/>
      <c r="K78" s="582"/>
      <c r="L78" s="582"/>
      <c r="M78" s="583"/>
    </row>
    <row r="79" spans="1:73" ht="15" customHeight="1" x14ac:dyDescent="0.3">
      <c r="A79" s="82" t="s">
        <v>154</v>
      </c>
      <c r="B79" s="61" t="s">
        <v>235</v>
      </c>
      <c r="C79" s="564" t="s">
        <v>284</v>
      </c>
      <c r="D79" s="571"/>
      <c r="E79" s="60" t="s">
        <v>114</v>
      </c>
      <c r="F79" s="60" t="s">
        <v>114</v>
      </c>
      <c r="G79" s="60" t="s">
        <v>114</v>
      </c>
      <c r="H79" s="73">
        <f>SUM(H80:H80)</f>
        <v>0</v>
      </c>
      <c r="I79" s="73">
        <f>SUM(I80:I80)</f>
        <v>0</v>
      </c>
      <c r="J79" s="73">
        <f>SUM(J80:J80)</f>
        <v>0</v>
      </c>
      <c r="K79" s="65" t="s">
        <v>154</v>
      </c>
      <c r="L79" s="73">
        <f>SUM(L80:L80)</f>
        <v>0</v>
      </c>
      <c r="M79" s="91" t="s">
        <v>154</v>
      </c>
      <c r="AG79" s="64" t="s">
        <v>154</v>
      </c>
      <c r="AQ79" s="59">
        <f>SUM(AH80:AH80)</f>
        <v>0</v>
      </c>
      <c r="AR79" s="59">
        <f>SUM(AI80:AI80)</f>
        <v>0</v>
      </c>
      <c r="AS79" s="59">
        <f>SUM(AJ80:AJ80)</f>
        <v>0</v>
      </c>
    </row>
    <row r="80" spans="1:73" ht="27" customHeight="1" x14ac:dyDescent="0.3">
      <c r="A80" s="82" t="s">
        <v>267</v>
      </c>
      <c r="B80" s="60" t="s">
        <v>507</v>
      </c>
      <c r="C80" s="551" t="s">
        <v>287</v>
      </c>
      <c r="D80" s="565"/>
      <c r="E80" s="60" t="s">
        <v>180</v>
      </c>
      <c r="F80" s="70">
        <v>4</v>
      </c>
      <c r="G80" s="311">
        <v>0</v>
      </c>
      <c r="H80" s="70">
        <f>F80*AM80</f>
        <v>0</v>
      </c>
      <c r="I80" s="70">
        <f>F80*AN80</f>
        <v>0</v>
      </c>
      <c r="J80" s="70">
        <f>F80*G80</f>
        <v>0</v>
      </c>
      <c r="K80" s="70">
        <v>0</v>
      </c>
      <c r="L80" s="70">
        <f>F80*K80</f>
        <v>0</v>
      </c>
      <c r="M80" s="89" t="s">
        <v>472</v>
      </c>
      <c r="X80" s="70">
        <f>IF(AO80="5",BH80,0)</f>
        <v>0</v>
      </c>
      <c r="Z80" s="70">
        <f>IF(AO80="1",BF80,0)</f>
        <v>0</v>
      </c>
      <c r="AA80" s="70">
        <f>IF(AO80="1",BG80,0)</f>
        <v>0</v>
      </c>
      <c r="AB80" s="70">
        <f>IF(AO80="7",BF80,0)</f>
        <v>0</v>
      </c>
      <c r="AC80" s="70">
        <f>IF(AO80="7",BG80,0)</f>
        <v>0</v>
      </c>
      <c r="AD80" s="70">
        <f>IF(AO80="2",BF80,0)</f>
        <v>0</v>
      </c>
      <c r="AE80" s="70">
        <f>IF(AO80="2",BG80,0)</f>
        <v>0</v>
      </c>
      <c r="AF80" s="70">
        <f>IF(AO80="0",BH80,0)</f>
        <v>0</v>
      </c>
      <c r="AG80" s="64" t="s">
        <v>154</v>
      </c>
      <c r="AH80" s="70">
        <f>IF(AL80=0,J80,0)</f>
        <v>0</v>
      </c>
      <c r="AI80" s="70">
        <f>IF(AL80=15,J80,0)</f>
        <v>0</v>
      </c>
      <c r="AJ80" s="70">
        <f>IF(AL80=21,J80,0)</f>
        <v>0</v>
      </c>
      <c r="AL80" s="70">
        <v>21</v>
      </c>
      <c r="AM80" s="70">
        <f>G80*0</f>
        <v>0</v>
      </c>
      <c r="AN80" s="70">
        <f>G80*(1-0)</f>
        <v>0</v>
      </c>
      <c r="AO80" s="71" t="s">
        <v>157</v>
      </c>
      <c r="AT80" s="70">
        <f>AU80+AV80</f>
        <v>0</v>
      </c>
      <c r="AU80" s="70">
        <f>F80*AM80</f>
        <v>0</v>
      </c>
      <c r="AV80" s="70">
        <f>F80*AN80</f>
        <v>0</v>
      </c>
      <c r="AW80" s="71" t="s">
        <v>288</v>
      </c>
      <c r="AX80" s="71" t="s">
        <v>289</v>
      </c>
      <c r="AY80" s="64" t="s">
        <v>164</v>
      </c>
      <c r="BA80" s="70">
        <f>AU80+AV80</f>
        <v>0</v>
      </c>
      <c r="BB80" s="70">
        <f>G80/(100-BC80)*100</f>
        <v>0</v>
      </c>
      <c r="BC80" s="70">
        <v>0</v>
      </c>
      <c r="BD80" s="70">
        <f>L80</f>
        <v>0</v>
      </c>
      <c r="BF80" s="70">
        <f>F80*AM80</f>
        <v>0</v>
      </c>
      <c r="BG80" s="70">
        <f>F80*AN80</f>
        <v>0</v>
      </c>
      <c r="BH80" s="70">
        <f>F80*G80</f>
        <v>0</v>
      </c>
      <c r="BI80" s="70"/>
      <c r="BJ80" s="70">
        <v>21</v>
      </c>
      <c r="BU80" s="70" t="e">
        <f>#REF!</f>
        <v>#REF!</v>
      </c>
    </row>
    <row r="81" spans="1:73" ht="40.5" customHeight="1" x14ac:dyDescent="0.3">
      <c r="A81" s="90"/>
      <c r="B81" s="72" t="s">
        <v>165</v>
      </c>
      <c r="C81" s="581" t="s">
        <v>819</v>
      </c>
      <c r="D81" s="582"/>
      <c r="E81" s="582"/>
      <c r="F81" s="582"/>
      <c r="G81" s="582"/>
      <c r="H81" s="582"/>
      <c r="I81" s="582"/>
      <c r="J81" s="582"/>
      <c r="K81" s="582"/>
      <c r="L81" s="582"/>
      <c r="M81" s="583"/>
    </row>
    <row r="82" spans="1:73" ht="15" customHeight="1" x14ac:dyDescent="0.3">
      <c r="A82" s="82" t="s">
        <v>154</v>
      </c>
      <c r="B82" s="61" t="s">
        <v>318</v>
      </c>
      <c r="C82" s="564" t="s">
        <v>508</v>
      </c>
      <c r="D82" s="571"/>
      <c r="E82" s="60" t="s">
        <v>114</v>
      </c>
      <c r="F82" s="60" t="s">
        <v>114</v>
      </c>
      <c r="G82" s="60" t="s">
        <v>114</v>
      </c>
      <c r="H82" s="73">
        <f>SUM(H83:H83)</f>
        <v>0</v>
      </c>
      <c r="I82" s="73">
        <f>SUM(I83:I83)</f>
        <v>0</v>
      </c>
      <c r="J82" s="73">
        <f>SUM(J83:J83)</f>
        <v>0</v>
      </c>
      <c r="K82" s="65" t="s">
        <v>154</v>
      </c>
      <c r="L82" s="73">
        <f>SUM(L83:L83)</f>
        <v>3.0000000000000001E-3</v>
      </c>
      <c r="M82" s="91" t="s">
        <v>154</v>
      </c>
      <c r="AG82" s="64" t="s">
        <v>154</v>
      </c>
      <c r="AQ82" s="59">
        <f>SUM(AH83:AH83)</f>
        <v>0</v>
      </c>
      <c r="AR82" s="59">
        <f>SUM(AI83:AI83)</f>
        <v>0</v>
      </c>
      <c r="AS82" s="59">
        <f>SUM(AJ83:AJ83)</f>
        <v>0</v>
      </c>
    </row>
    <row r="83" spans="1:73" ht="27" customHeight="1" x14ac:dyDescent="0.3">
      <c r="A83" s="82" t="s">
        <v>271</v>
      </c>
      <c r="B83" s="60" t="s">
        <v>509</v>
      </c>
      <c r="C83" s="551" t="s">
        <v>510</v>
      </c>
      <c r="D83" s="565"/>
      <c r="E83" s="60" t="s">
        <v>365</v>
      </c>
      <c r="F83" s="70">
        <v>1</v>
      </c>
      <c r="G83" s="311">
        <v>0</v>
      </c>
      <c r="H83" s="70">
        <f>F83*AM83</f>
        <v>0</v>
      </c>
      <c r="I83" s="70">
        <f>F83*AN83</f>
        <v>0</v>
      </c>
      <c r="J83" s="70">
        <f>F83*G83</f>
        <v>0</v>
      </c>
      <c r="K83" s="70">
        <v>3.0000000000000001E-3</v>
      </c>
      <c r="L83" s="70">
        <f>F83*K83</f>
        <v>3.0000000000000001E-3</v>
      </c>
      <c r="M83" s="89" t="s">
        <v>472</v>
      </c>
      <c r="X83" s="70">
        <f>IF(AO83="5",BH83,0)</f>
        <v>0</v>
      </c>
      <c r="Z83" s="70">
        <f>IF(AO83="1",BF83,0)</f>
        <v>0</v>
      </c>
      <c r="AA83" s="70">
        <f>IF(AO83="1",BG83,0)</f>
        <v>0</v>
      </c>
      <c r="AB83" s="70">
        <f>IF(AO83="7",BF83,0)</f>
        <v>0</v>
      </c>
      <c r="AC83" s="70">
        <f>IF(AO83="7",BG83,0)</f>
        <v>0</v>
      </c>
      <c r="AD83" s="70">
        <f>IF(AO83="2",BF83,0)</f>
        <v>0</v>
      </c>
      <c r="AE83" s="70">
        <f>IF(AO83="2",BG83,0)</f>
        <v>0</v>
      </c>
      <c r="AF83" s="70">
        <f>IF(AO83="0",BH83,0)</f>
        <v>0</v>
      </c>
      <c r="AG83" s="64" t="s">
        <v>154</v>
      </c>
      <c r="AH83" s="70">
        <f>IF(AL83=0,J83,0)</f>
        <v>0</v>
      </c>
      <c r="AI83" s="70">
        <f>IF(AL83=15,J83,0)</f>
        <v>0</v>
      </c>
      <c r="AJ83" s="70">
        <f>IF(AL83=21,J83,0)</f>
        <v>0</v>
      </c>
      <c r="AL83" s="70">
        <v>21</v>
      </c>
      <c r="AM83" s="70">
        <f>G83*0.0118645702710524</f>
        <v>0</v>
      </c>
      <c r="AN83" s="70">
        <f>G83*(1-0.0118645702710524)</f>
        <v>0</v>
      </c>
      <c r="AO83" s="71" t="s">
        <v>157</v>
      </c>
      <c r="AT83" s="70">
        <f>AU83+AV83</f>
        <v>0</v>
      </c>
      <c r="AU83" s="70">
        <f>F83*AM83</f>
        <v>0</v>
      </c>
      <c r="AV83" s="70">
        <f>F83*AN83</f>
        <v>0</v>
      </c>
      <c r="AW83" s="71" t="s">
        <v>511</v>
      </c>
      <c r="AX83" s="71" t="s">
        <v>304</v>
      </c>
      <c r="AY83" s="64" t="s">
        <v>164</v>
      </c>
      <c r="BA83" s="70">
        <f>AU83+AV83</f>
        <v>0</v>
      </c>
      <c r="BB83" s="70">
        <f>G83/(100-BC83)*100</f>
        <v>0</v>
      </c>
      <c r="BC83" s="70">
        <v>0</v>
      </c>
      <c r="BD83" s="70">
        <f>L83</f>
        <v>3.0000000000000001E-3</v>
      </c>
      <c r="BF83" s="70">
        <f>F83*AM83</f>
        <v>0</v>
      </c>
      <c r="BG83" s="70">
        <f>F83*AN83</f>
        <v>0</v>
      </c>
      <c r="BH83" s="70">
        <f>F83*G83</f>
        <v>0</v>
      </c>
      <c r="BI83" s="70"/>
      <c r="BJ83" s="70">
        <v>42</v>
      </c>
      <c r="BU83" s="70" t="e">
        <f>#REF!</f>
        <v>#REF!</v>
      </c>
    </row>
    <row r="84" spans="1:73" ht="13.5" customHeight="1" x14ac:dyDescent="0.3">
      <c r="A84" s="90"/>
      <c r="B84" s="72" t="s">
        <v>165</v>
      </c>
      <c r="C84" s="581" t="s">
        <v>513</v>
      </c>
      <c r="D84" s="582"/>
      <c r="E84" s="582"/>
      <c r="F84" s="582"/>
      <c r="G84" s="582"/>
      <c r="H84" s="582"/>
      <c r="I84" s="582"/>
      <c r="J84" s="582"/>
      <c r="K84" s="582"/>
      <c r="L84" s="582"/>
      <c r="M84" s="583"/>
    </row>
    <row r="85" spans="1:73" ht="15" customHeight="1" x14ac:dyDescent="0.3">
      <c r="A85" s="82" t="s">
        <v>154</v>
      </c>
      <c r="B85" s="61" t="s">
        <v>298</v>
      </c>
      <c r="C85" s="564" t="s">
        <v>299</v>
      </c>
      <c r="D85" s="571"/>
      <c r="E85" s="60" t="s">
        <v>114</v>
      </c>
      <c r="F85" s="60" t="s">
        <v>114</v>
      </c>
      <c r="G85" s="60" t="s">
        <v>114</v>
      </c>
      <c r="H85" s="73">
        <f>SUM(H86:H86)</f>
        <v>0</v>
      </c>
      <c r="I85" s="73">
        <f>SUM(I86:I86)</f>
        <v>0</v>
      </c>
      <c r="J85" s="73">
        <f>SUM(J86:J86)</f>
        <v>0</v>
      </c>
      <c r="K85" s="65" t="s">
        <v>154</v>
      </c>
      <c r="L85" s="73">
        <f>SUM(L86:L86)</f>
        <v>1.1911851</v>
      </c>
      <c r="M85" s="91" t="s">
        <v>154</v>
      </c>
      <c r="AG85" s="64" t="s">
        <v>154</v>
      </c>
      <c r="AQ85" s="59">
        <f>SUM(AH86:AH86)</f>
        <v>0</v>
      </c>
      <c r="AR85" s="59">
        <f>SUM(AI86:AI86)</f>
        <v>0</v>
      </c>
      <c r="AS85" s="59">
        <f>SUM(AJ86:AJ86)</f>
        <v>0</v>
      </c>
    </row>
    <row r="86" spans="1:73" ht="13.5" customHeight="1" x14ac:dyDescent="0.3">
      <c r="A86" s="82" t="s">
        <v>276</v>
      </c>
      <c r="B86" s="60" t="s">
        <v>301</v>
      </c>
      <c r="C86" s="551" t="s">
        <v>302</v>
      </c>
      <c r="D86" s="565"/>
      <c r="E86" s="60" t="s">
        <v>196</v>
      </c>
      <c r="F86" s="70">
        <v>0.63</v>
      </c>
      <c r="G86" s="311">
        <v>0</v>
      </c>
      <c r="H86" s="70">
        <f>F86*AM86</f>
        <v>0</v>
      </c>
      <c r="I86" s="70">
        <f>F86*AN86</f>
        <v>0</v>
      </c>
      <c r="J86" s="70">
        <f>F86*G86</f>
        <v>0</v>
      </c>
      <c r="K86" s="70">
        <v>1.8907700000000001</v>
      </c>
      <c r="L86" s="70">
        <f>F86*K86</f>
        <v>1.1911851</v>
      </c>
      <c r="M86" s="89" t="s">
        <v>472</v>
      </c>
      <c r="X86" s="70">
        <f>IF(AO86="5",BH86,0)</f>
        <v>0</v>
      </c>
      <c r="Z86" s="70">
        <f>IF(AO86="1",BF86,0)</f>
        <v>0</v>
      </c>
      <c r="AA86" s="70">
        <f>IF(AO86="1",BG86,0)</f>
        <v>0</v>
      </c>
      <c r="AB86" s="70">
        <f>IF(AO86="7",BF86,0)</f>
        <v>0</v>
      </c>
      <c r="AC86" s="70">
        <f>IF(AO86="7",BG86,0)</f>
        <v>0</v>
      </c>
      <c r="AD86" s="70">
        <f>IF(AO86="2",BF86,0)</f>
        <v>0</v>
      </c>
      <c r="AE86" s="70">
        <f>IF(AO86="2",BG86,0)</f>
        <v>0</v>
      </c>
      <c r="AF86" s="70">
        <f>IF(AO86="0",BH86,0)</f>
        <v>0</v>
      </c>
      <c r="AG86" s="64" t="s">
        <v>154</v>
      </c>
      <c r="AH86" s="70">
        <f>IF(AL86=0,J86,0)</f>
        <v>0</v>
      </c>
      <c r="AI86" s="70">
        <f>IF(AL86=15,J86,0)</f>
        <v>0</v>
      </c>
      <c r="AJ86" s="70">
        <f>IF(AL86=21,J86,0)</f>
        <v>0</v>
      </c>
      <c r="AL86" s="70">
        <v>21</v>
      </c>
      <c r="AM86" s="70">
        <f>G86*0.49238301559792</f>
        <v>0</v>
      </c>
      <c r="AN86" s="70">
        <f>G86*(1-0.49238301559792)</f>
        <v>0</v>
      </c>
      <c r="AO86" s="71" t="s">
        <v>157</v>
      </c>
      <c r="AT86" s="70">
        <f>AU86+AV86</f>
        <v>0</v>
      </c>
      <c r="AU86" s="70">
        <f>F86*AM86</f>
        <v>0</v>
      </c>
      <c r="AV86" s="70">
        <f>F86*AN86</f>
        <v>0</v>
      </c>
      <c r="AW86" s="71" t="s">
        <v>303</v>
      </c>
      <c r="AX86" s="71" t="s">
        <v>304</v>
      </c>
      <c r="AY86" s="64" t="s">
        <v>164</v>
      </c>
      <c r="BA86" s="70">
        <f>AU86+AV86</f>
        <v>0</v>
      </c>
      <c r="BB86" s="70">
        <f>G86/(100-BC86)*100</f>
        <v>0</v>
      </c>
      <c r="BC86" s="70">
        <v>0</v>
      </c>
      <c r="BD86" s="70">
        <f>L86</f>
        <v>1.1911851</v>
      </c>
      <c r="BF86" s="70">
        <f>F86*AM86</f>
        <v>0</v>
      </c>
      <c r="BG86" s="70">
        <f>F86*AN86</f>
        <v>0</v>
      </c>
      <c r="BH86" s="70">
        <f>F86*G86</f>
        <v>0</v>
      </c>
      <c r="BI86" s="70"/>
      <c r="BJ86" s="70">
        <v>45</v>
      </c>
      <c r="BU86" s="70" t="e">
        <f>#REF!</f>
        <v>#REF!</v>
      </c>
    </row>
    <row r="87" spans="1:73" ht="54" customHeight="1" x14ac:dyDescent="0.3">
      <c r="A87" s="90"/>
      <c r="B87" s="72" t="s">
        <v>165</v>
      </c>
      <c r="C87" s="581" t="s">
        <v>820</v>
      </c>
      <c r="D87" s="582"/>
      <c r="E87" s="582"/>
      <c r="F87" s="582"/>
      <c r="G87" s="582"/>
      <c r="H87" s="582"/>
      <c r="I87" s="582"/>
      <c r="J87" s="582"/>
      <c r="K87" s="582"/>
      <c r="L87" s="582"/>
      <c r="M87" s="583"/>
    </row>
    <row r="88" spans="1:73" ht="15" customHeight="1" x14ac:dyDescent="0.3">
      <c r="A88" s="82" t="s">
        <v>154</v>
      </c>
      <c r="B88" s="61" t="s">
        <v>529</v>
      </c>
      <c r="C88" s="564" t="s">
        <v>530</v>
      </c>
      <c r="D88" s="571"/>
      <c r="E88" s="60" t="s">
        <v>114</v>
      </c>
      <c r="F88" s="60" t="s">
        <v>114</v>
      </c>
      <c r="G88" s="60" t="s">
        <v>114</v>
      </c>
      <c r="H88" s="73">
        <f>SUM(H89:H89)</f>
        <v>0</v>
      </c>
      <c r="I88" s="73">
        <f>SUM(I89:I89)</f>
        <v>0</v>
      </c>
      <c r="J88" s="73">
        <f>SUM(J89:J89)</f>
        <v>0</v>
      </c>
      <c r="K88" s="65" t="s">
        <v>154</v>
      </c>
      <c r="L88" s="73">
        <f>SUM(L89:L89)</f>
        <v>2.2000000000000001E-4</v>
      </c>
      <c r="M88" s="91" t="s">
        <v>154</v>
      </c>
      <c r="AG88" s="64" t="s">
        <v>154</v>
      </c>
      <c r="AQ88" s="59">
        <f>SUM(AH89:AH89)</f>
        <v>0</v>
      </c>
      <c r="AR88" s="59">
        <f>SUM(AI89:AI89)</f>
        <v>0</v>
      </c>
      <c r="AS88" s="59">
        <f>SUM(AJ89:AJ89)</f>
        <v>0</v>
      </c>
    </row>
    <row r="89" spans="1:73" ht="27" customHeight="1" x14ac:dyDescent="0.3">
      <c r="A89" s="82" t="s">
        <v>281</v>
      </c>
      <c r="B89" s="60" t="s">
        <v>537</v>
      </c>
      <c r="C89" s="551" t="s">
        <v>538</v>
      </c>
      <c r="D89" s="565"/>
      <c r="E89" s="60" t="s">
        <v>365</v>
      </c>
      <c r="F89" s="70">
        <v>1</v>
      </c>
      <c r="G89" s="311">
        <v>0</v>
      </c>
      <c r="H89" s="70">
        <f>F89*AM89</f>
        <v>0</v>
      </c>
      <c r="I89" s="70">
        <f>F89*AN89</f>
        <v>0</v>
      </c>
      <c r="J89" s="70">
        <f>F89*G89</f>
        <v>0</v>
      </c>
      <c r="K89" s="70">
        <v>2.2000000000000001E-4</v>
      </c>
      <c r="L89" s="70">
        <f>F89*K89</f>
        <v>2.2000000000000001E-4</v>
      </c>
      <c r="M89" s="89" t="s">
        <v>472</v>
      </c>
      <c r="X89" s="70">
        <f>IF(AO89="5",BH89,0)</f>
        <v>0</v>
      </c>
      <c r="Z89" s="70">
        <f>IF(AO89="1",BF89,0)</f>
        <v>0</v>
      </c>
      <c r="AA89" s="70">
        <f>IF(AO89="1",BG89,0)</f>
        <v>0</v>
      </c>
      <c r="AB89" s="70">
        <f>IF(AO89="7",BF89,0)</f>
        <v>0</v>
      </c>
      <c r="AC89" s="70">
        <f>IF(AO89="7",BG89,0)</f>
        <v>0</v>
      </c>
      <c r="AD89" s="70">
        <f>IF(AO89="2",BF89,0)</f>
        <v>0</v>
      </c>
      <c r="AE89" s="70">
        <f>IF(AO89="2",BG89,0)</f>
        <v>0</v>
      </c>
      <c r="AF89" s="70">
        <f>IF(AO89="0",BH89,0)</f>
        <v>0</v>
      </c>
      <c r="AG89" s="64" t="s">
        <v>154</v>
      </c>
      <c r="AH89" s="70">
        <f>IF(AL89=0,J89,0)</f>
        <v>0</v>
      </c>
      <c r="AI89" s="70">
        <f>IF(AL89=15,J89,0)</f>
        <v>0</v>
      </c>
      <c r="AJ89" s="70">
        <f>IF(AL89=21,J89,0)</f>
        <v>0</v>
      </c>
      <c r="AL89" s="70">
        <v>21</v>
      </c>
      <c r="AM89" s="70">
        <f>G89*0.21</f>
        <v>0</v>
      </c>
      <c r="AN89" s="70">
        <f>G89*(1-0.21)</f>
        <v>0</v>
      </c>
      <c r="AO89" s="71" t="s">
        <v>157</v>
      </c>
      <c r="AT89" s="70">
        <f>AU89+AV89</f>
        <v>0</v>
      </c>
      <c r="AU89" s="70">
        <f>F89*AM89</f>
        <v>0</v>
      </c>
      <c r="AV89" s="70">
        <f>F89*AN89</f>
        <v>0</v>
      </c>
      <c r="AW89" s="71" t="s">
        <v>533</v>
      </c>
      <c r="AX89" s="71" t="s">
        <v>356</v>
      </c>
      <c r="AY89" s="64" t="s">
        <v>164</v>
      </c>
      <c r="BA89" s="70">
        <f>AU89+AV89</f>
        <v>0</v>
      </c>
      <c r="BB89" s="70">
        <f>G89/(100-BC89)*100</f>
        <v>0</v>
      </c>
      <c r="BC89" s="70">
        <v>0</v>
      </c>
      <c r="BD89" s="70">
        <f>L89</f>
        <v>2.2000000000000001E-4</v>
      </c>
      <c r="BF89" s="70">
        <f>F89*AM89</f>
        <v>0</v>
      </c>
      <c r="BG89" s="70">
        <f>F89*AN89</f>
        <v>0</v>
      </c>
      <c r="BH89" s="70">
        <f>F89*G89</f>
        <v>0</v>
      </c>
      <c r="BI89" s="70"/>
      <c r="BJ89" s="70">
        <v>85</v>
      </c>
      <c r="BU89" s="70" t="e">
        <f>#REF!</f>
        <v>#REF!</v>
      </c>
    </row>
    <row r="90" spans="1:73" ht="40.5" customHeight="1" x14ac:dyDescent="0.3">
      <c r="A90" s="90"/>
      <c r="B90" s="72" t="s">
        <v>165</v>
      </c>
      <c r="C90" s="581" t="s">
        <v>536</v>
      </c>
      <c r="D90" s="582"/>
      <c r="E90" s="582"/>
      <c r="F90" s="582"/>
      <c r="G90" s="582"/>
      <c r="H90" s="582"/>
      <c r="I90" s="582"/>
      <c r="J90" s="582"/>
      <c r="K90" s="582"/>
      <c r="L90" s="582"/>
      <c r="M90" s="583"/>
    </row>
    <row r="91" spans="1:73" ht="15" customHeight="1" x14ac:dyDescent="0.3">
      <c r="A91" s="82" t="s">
        <v>154</v>
      </c>
      <c r="B91" s="61" t="s">
        <v>539</v>
      </c>
      <c r="C91" s="564" t="s">
        <v>540</v>
      </c>
      <c r="D91" s="571"/>
      <c r="E91" s="60" t="s">
        <v>114</v>
      </c>
      <c r="F91" s="60" t="s">
        <v>114</v>
      </c>
      <c r="G91" s="60" t="s">
        <v>114</v>
      </c>
      <c r="H91" s="73">
        <f>SUM(H92:H94)</f>
        <v>0</v>
      </c>
      <c r="I91" s="73">
        <f>SUM(I92:I94)</f>
        <v>0</v>
      </c>
      <c r="J91" s="73">
        <f>SUM(J92:J94)</f>
        <v>0</v>
      </c>
      <c r="K91" s="65" t="s">
        <v>154</v>
      </c>
      <c r="L91" s="73">
        <f>SUM(L92:L94)</f>
        <v>0</v>
      </c>
      <c r="M91" s="91" t="s">
        <v>154</v>
      </c>
      <c r="AG91" s="64" t="s">
        <v>154</v>
      </c>
      <c r="AQ91" s="59">
        <f>SUM(AH92:AH94)</f>
        <v>0</v>
      </c>
      <c r="AR91" s="59">
        <f>SUM(AI92:AI94)</f>
        <v>0</v>
      </c>
      <c r="AS91" s="59">
        <f>SUM(AJ92:AJ94)</f>
        <v>0</v>
      </c>
    </row>
    <row r="92" spans="1:73" ht="27" customHeight="1" x14ac:dyDescent="0.3">
      <c r="A92" s="82" t="s">
        <v>285</v>
      </c>
      <c r="B92" s="60" t="s">
        <v>552</v>
      </c>
      <c r="C92" s="551" t="s">
        <v>553</v>
      </c>
      <c r="D92" s="565"/>
      <c r="E92" s="60" t="s">
        <v>160</v>
      </c>
      <c r="F92" s="70">
        <v>4</v>
      </c>
      <c r="G92" s="311">
        <v>0</v>
      </c>
      <c r="H92" s="70">
        <f>F92*AM92</f>
        <v>0</v>
      </c>
      <c r="I92" s="70">
        <f>F92*AN92</f>
        <v>0</v>
      </c>
      <c r="J92" s="70">
        <f>F92*G92</f>
        <v>0</v>
      </c>
      <c r="K92" s="70">
        <v>0</v>
      </c>
      <c r="L92" s="70">
        <f>F92*K92</f>
        <v>0</v>
      </c>
      <c r="M92" s="89" t="s">
        <v>472</v>
      </c>
      <c r="X92" s="70">
        <f>IF(AO92="5",BH92,0)</f>
        <v>0</v>
      </c>
      <c r="Z92" s="70">
        <f>IF(AO92="1",BF92,0)</f>
        <v>0</v>
      </c>
      <c r="AA92" s="70">
        <f>IF(AO92="1",BG92,0)</f>
        <v>0</v>
      </c>
      <c r="AB92" s="70">
        <f>IF(AO92="7",BF92,0)</f>
        <v>0</v>
      </c>
      <c r="AC92" s="70">
        <f>IF(AO92="7",BG92,0)</f>
        <v>0</v>
      </c>
      <c r="AD92" s="70">
        <f>IF(AO92="2",BF92,0)</f>
        <v>0</v>
      </c>
      <c r="AE92" s="70">
        <f>IF(AO92="2",BG92,0)</f>
        <v>0</v>
      </c>
      <c r="AF92" s="70">
        <f>IF(AO92="0",BH92,0)</f>
        <v>0</v>
      </c>
      <c r="AG92" s="64" t="s">
        <v>154</v>
      </c>
      <c r="AH92" s="70">
        <f>IF(AL92=0,J92,0)</f>
        <v>0</v>
      </c>
      <c r="AI92" s="70">
        <f>IF(AL92=15,J92,0)</f>
        <v>0</v>
      </c>
      <c r="AJ92" s="70">
        <f>IF(AL92=21,J92,0)</f>
        <v>0</v>
      </c>
      <c r="AL92" s="70">
        <v>21</v>
      </c>
      <c r="AM92" s="70">
        <f>G92*0</f>
        <v>0</v>
      </c>
      <c r="AN92" s="70">
        <f>G92*(1-0)</f>
        <v>0</v>
      </c>
      <c r="AO92" s="71" t="s">
        <v>157</v>
      </c>
      <c r="AT92" s="70">
        <f>AU92+AV92</f>
        <v>0</v>
      </c>
      <c r="AU92" s="70">
        <f>F92*AM92</f>
        <v>0</v>
      </c>
      <c r="AV92" s="70">
        <f>F92*AN92</f>
        <v>0</v>
      </c>
      <c r="AW92" s="71" t="s">
        <v>543</v>
      </c>
      <c r="AX92" s="71" t="s">
        <v>356</v>
      </c>
      <c r="AY92" s="64" t="s">
        <v>164</v>
      </c>
      <c r="BA92" s="70">
        <f>AU92+AV92</f>
        <v>0</v>
      </c>
      <c r="BB92" s="70">
        <f>G92/(100-BC92)*100</f>
        <v>0</v>
      </c>
      <c r="BC92" s="70">
        <v>0</v>
      </c>
      <c r="BD92" s="70">
        <f>L92</f>
        <v>0</v>
      </c>
      <c r="BF92" s="70">
        <f>F92*AM92</f>
        <v>0</v>
      </c>
      <c r="BG92" s="70">
        <f>F92*AN92</f>
        <v>0</v>
      </c>
      <c r="BH92" s="70">
        <f>F92*G92</f>
        <v>0</v>
      </c>
      <c r="BI92" s="70"/>
      <c r="BJ92" s="70">
        <v>87</v>
      </c>
      <c r="BU92" s="70" t="e">
        <f>#REF!</f>
        <v>#REF!</v>
      </c>
    </row>
    <row r="93" spans="1:73" ht="54" customHeight="1" x14ac:dyDescent="0.3">
      <c r="A93" s="90"/>
      <c r="B93" s="72" t="s">
        <v>165</v>
      </c>
      <c r="C93" s="581" t="s">
        <v>554</v>
      </c>
      <c r="D93" s="582"/>
      <c r="E93" s="582"/>
      <c r="F93" s="582"/>
      <c r="G93" s="582"/>
      <c r="H93" s="582"/>
      <c r="I93" s="582"/>
      <c r="J93" s="582"/>
      <c r="K93" s="582"/>
      <c r="L93" s="582"/>
      <c r="M93" s="583"/>
    </row>
    <row r="94" spans="1:73" ht="13.5" customHeight="1" x14ac:dyDescent="0.3">
      <c r="A94" s="82" t="s">
        <v>290</v>
      </c>
      <c r="B94" s="60" t="s">
        <v>560</v>
      </c>
      <c r="C94" s="551" t="s">
        <v>561</v>
      </c>
      <c r="D94" s="565"/>
      <c r="E94" s="60" t="s">
        <v>365</v>
      </c>
      <c r="F94" s="70">
        <v>3</v>
      </c>
      <c r="G94" s="311">
        <v>0</v>
      </c>
      <c r="H94" s="70">
        <f>F94*AM94</f>
        <v>0</v>
      </c>
      <c r="I94" s="70">
        <f>F94*AN94</f>
        <v>0</v>
      </c>
      <c r="J94" s="70">
        <f>F94*G94</f>
        <v>0</v>
      </c>
      <c r="K94" s="70">
        <v>0</v>
      </c>
      <c r="L94" s="70">
        <f>F94*K94</f>
        <v>0</v>
      </c>
      <c r="M94" s="89" t="s">
        <v>472</v>
      </c>
      <c r="X94" s="70">
        <f>IF(AO94="5",BH94,0)</f>
        <v>0</v>
      </c>
      <c r="Z94" s="70">
        <f>IF(AO94="1",BF94,0)</f>
        <v>0</v>
      </c>
      <c r="AA94" s="70">
        <f>IF(AO94="1",BG94,0)</f>
        <v>0</v>
      </c>
      <c r="AB94" s="70">
        <f>IF(AO94="7",BF94,0)</f>
        <v>0</v>
      </c>
      <c r="AC94" s="70">
        <f>IF(AO94="7",BG94,0)</f>
        <v>0</v>
      </c>
      <c r="AD94" s="70">
        <f>IF(AO94="2",BF94,0)</f>
        <v>0</v>
      </c>
      <c r="AE94" s="70">
        <f>IF(AO94="2",BG94,0)</f>
        <v>0</v>
      </c>
      <c r="AF94" s="70">
        <f>IF(AO94="0",BH94,0)</f>
        <v>0</v>
      </c>
      <c r="AG94" s="64" t="s">
        <v>154</v>
      </c>
      <c r="AH94" s="70">
        <f>IF(AL94=0,J94,0)</f>
        <v>0</v>
      </c>
      <c r="AI94" s="70">
        <f>IF(AL94=15,J94,0)</f>
        <v>0</v>
      </c>
      <c r="AJ94" s="70">
        <f>IF(AL94=21,J94,0)</f>
        <v>0</v>
      </c>
      <c r="AL94" s="70">
        <v>21</v>
      </c>
      <c r="AM94" s="70">
        <f>G94*0</f>
        <v>0</v>
      </c>
      <c r="AN94" s="70">
        <f>G94*(1-0)</f>
        <v>0</v>
      </c>
      <c r="AO94" s="71" t="s">
        <v>157</v>
      </c>
      <c r="AT94" s="70">
        <f>AU94+AV94</f>
        <v>0</v>
      </c>
      <c r="AU94" s="70">
        <f>F94*AM94</f>
        <v>0</v>
      </c>
      <c r="AV94" s="70">
        <f>F94*AN94</f>
        <v>0</v>
      </c>
      <c r="AW94" s="71" t="s">
        <v>543</v>
      </c>
      <c r="AX94" s="71" t="s">
        <v>356</v>
      </c>
      <c r="AY94" s="64" t="s">
        <v>164</v>
      </c>
      <c r="BA94" s="70">
        <f>AU94+AV94</f>
        <v>0</v>
      </c>
      <c r="BB94" s="70">
        <f>G94/(100-BC94)*100</f>
        <v>0</v>
      </c>
      <c r="BC94" s="70">
        <v>0</v>
      </c>
      <c r="BD94" s="70">
        <f>L94</f>
        <v>0</v>
      </c>
      <c r="BF94" s="70">
        <f>F94*AM94</f>
        <v>0</v>
      </c>
      <c r="BG94" s="70">
        <f>F94*AN94</f>
        <v>0</v>
      </c>
      <c r="BH94" s="70">
        <f>F94*G94</f>
        <v>0</v>
      </c>
      <c r="BI94" s="70"/>
      <c r="BJ94" s="70">
        <v>87</v>
      </c>
      <c r="BU94" s="70" t="e">
        <f>#REF!</f>
        <v>#REF!</v>
      </c>
    </row>
    <row r="95" spans="1:73" ht="27" customHeight="1" x14ac:dyDescent="0.3">
      <c r="A95" s="90"/>
      <c r="B95" s="72" t="s">
        <v>165</v>
      </c>
      <c r="C95" s="581" t="s">
        <v>558</v>
      </c>
      <c r="D95" s="582"/>
      <c r="E95" s="582"/>
      <c r="F95" s="582"/>
      <c r="G95" s="582"/>
      <c r="H95" s="582"/>
      <c r="I95" s="582"/>
      <c r="J95" s="582"/>
      <c r="K95" s="582"/>
      <c r="L95" s="582"/>
      <c r="M95" s="583"/>
    </row>
    <row r="96" spans="1:73" ht="15" customHeight="1" x14ac:dyDescent="0.3">
      <c r="A96" s="82" t="s">
        <v>154</v>
      </c>
      <c r="B96" s="61" t="s">
        <v>360</v>
      </c>
      <c r="C96" s="564" t="s">
        <v>361</v>
      </c>
      <c r="D96" s="571"/>
      <c r="E96" s="60" t="s">
        <v>114</v>
      </c>
      <c r="F96" s="60" t="s">
        <v>114</v>
      </c>
      <c r="G96" s="60" t="s">
        <v>114</v>
      </c>
      <c r="H96" s="73">
        <f>SUM(H97:H109)</f>
        <v>0</v>
      </c>
      <c r="I96" s="73">
        <f>SUM(I97:I109)</f>
        <v>0</v>
      </c>
      <c r="J96" s="73">
        <f>SUM(J97:J109)</f>
        <v>0</v>
      </c>
      <c r="K96" s="65" t="s">
        <v>154</v>
      </c>
      <c r="L96" s="73">
        <f>SUM(L97:L109)</f>
        <v>0.12325999999999999</v>
      </c>
      <c r="M96" s="91" t="s">
        <v>154</v>
      </c>
      <c r="AG96" s="64" t="s">
        <v>154</v>
      </c>
      <c r="AQ96" s="59">
        <f>SUM(AH97:AH109)</f>
        <v>0</v>
      </c>
      <c r="AR96" s="59">
        <f>SUM(AI97:AI109)</f>
        <v>0</v>
      </c>
      <c r="AS96" s="59">
        <f>SUM(AJ97:AJ109)</f>
        <v>0</v>
      </c>
    </row>
    <row r="97" spans="1:73" ht="13.5" customHeight="1" x14ac:dyDescent="0.3">
      <c r="A97" s="82" t="s">
        <v>294</v>
      </c>
      <c r="B97" s="60" t="s">
        <v>577</v>
      </c>
      <c r="C97" s="551" t="s">
        <v>578</v>
      </c>
      <c r="D97" s="565"/>
      <c r="E97" s="60" t="s">
        <v>160</v>
      </c>
      <c r="F97" s="70">
        <v>4</v>
      </c>
      <c r="G97" s="311">
        <v>0</v>
      </c>
      <c r="H97" s="70">
        <f>F97*AM97</f>
        <v>0</v>
      </c>
      <c r="I97" s="70">
        <f>F97*AN97</f>
        <v>0</v>
      </c>
      <c r="J97" s="70">
        <f>F97*G97</f>
        <v>0</v>
      </c>
      <c r="K97" s="70">
        <v>0</v>
      </c>
      <c r="L97" s="70">
        <f>F97*K97</f>
        <v>0</v>
      </c>
      <c r="M97" s="89" t="s">
        <v>472</v>
      </c>
      <c r="X97" s="70">
        <f>IF(AO97="5",BH97,0)</f>
        <v>0</v>
      </c>
      <c r="Z97" s="70">
        <f>IF(AO97="1",BF97,0)</f>
        <v>0</v>
      </c>
      <c r="AA97" s="70">
        <f>IF(AO97="1",BG97,0)</f>
        <v>0</v>
      </c>
      <c r="AB97" s="70">
        <f>IF(AO97="7",BF97,0)</f>
        <v>0</v>
      </c>
      <c r="AC97" s="70">
        <f>IF(AO97="7",BG97,0)</f>
        <v>0</v>
      </c>
      <c r="AD97" s="70">
        <f>IF(AO97="2",BF97,0)</f>
        <v>0</v>
      </c>
      <c r="AE97" s="70">
        <f>IF(AO97="2",BG97,0)</f>
        <v>0</v>
      </c>
      <c r="AF97" s="70">
        <f>IF(AO97="0",BH97,0)</f>
        <v>0</v>
      </c>
      <c r="AG97" s="64" t="s">
        <v>154</v>
      </c>
      <c r="AH97" s="70">
        <f>IF(AL97=0,J97,0)</f>
        <v>0</v>
      </c>
      <c r="AI97" s="70">
        <f>IF(AL97=15,J97,0)</f>
        <v>0</v>
      </c>
      <c r="AJ97" s="70">
        <f>IF(AL97=21,J97,0)</f>
        <v>0</v>
      </c>
      <c r="AL97" s="70">
        <v>21</v>
      </c>
      <c r="AM97" s="70">
        <f>G97*0.0251078854452727</f>
        <v>0</v>
      </c>
      <c r="AN97" s="70">
        <f>G97*(1-0.0251078854452727)</f>
        <v>0</v>
      </c>
      <c r="AO97" s="71" t="s">
        <v>157</v>
      </c>
      <c r="AT97" s="70">
        <f>AU97+AV97</f>
        <v>0</v>
      </c>
      <c r="AU97" s="70">
        <f>F97*AM97</f>
        <v>0</v>
      </c>
      <c r="AV97" s="70">
        <f>F97*AN97</f>
        <v>0</v>
      </c>
      <c r="AW97" s="71" t="s">
        <v>366</v>
      </c>
      <c r="AX97" s="71" t="s">
        <v>356</v>
      </c>
      <c r="AY97" s="64" t="s">
        <v>164</v>
      </c>
      <c r="BA97" s="70">
        <f>AU97+AV97</f>
        <v>0</v>
      </c>
      <c r="BB97" s="70">
        <f>G97/(100-BC97)*100</f>
        <v>0</v>
      </c>
      <c r="BC97" s="70">
        <v>0</v>
      </c>
      <c r="BD97" s="70">
        <f>L97</f>
        <v>0</v>
      </c>
      <c r="BF97" s="70">
        <f>F97*AM97</f>
        <v>0</v>
      </c>
      <c r="BG97" s="70">
        <f>F97*AN97</f>
        <v>0</v>
      </c>
      <c r="BH97" s="70">
        <f>F97*G97</f>
        <v>0</v>
      </c>
      <c r="BI97" s="70"/>
      <c r="BJ97" s="70">
        <v>89</v>
      </c>
      <c r="BU97" s="70" t="e">
        <f>#REF!</f>
        <v>#REF!</v>
      </c>
    </row>
    <row r="98" spans="1:73" ht="40.5" customHeight="1" x14ac:dyDescent="0.3">
      <c r="A98" s="90"/>
      <c r="B98" s="72" t="s">
        <v>165</v>
      </c>
      <c r="C98" s="581" t="s">
        <v>579</v>
      </c>
      <c r="D98" s="582"/>
      <c r="E98" s="582"/>
      <c r="F98" s="582"/>
      <c r="G98" s="582"/>
      <c r="H98" s="582"/>
      <c r="I98" s="582"/>
      <c r="J98" s="582"/>
      <c r="K98" s="582"/>
      <c r="L98" s="582"/>
      <c r="M98" s="583"/>
    </row>
    <row r="99" spans="1:73" ht="13.5" customHeight="1" x14ac:dyDescent="0.3">
      <c r="A99" s="82" t="s">
        <v>300</v>
      </c>
      <c r="B99" s="60" t="s">
        <v>581</v>
      </c>
      <c r="C99" s="551" t="s">
        <v>582</v>
      </c>
      <c r="D99" s="565"/>
      <c r="E99" s="60" t="s">
        <v>160</v>
      </c>
      <c r="F99" s="70">
        <v>4</v>
      </c>
      <c r="G99" s="311">
        <v>0</v>
      </c>
      <c r="H99" s="70">
        <f>F99*AM99</f>
        <v>0</v>
      </c>
      <c r="I99" s="70">
        <f>F99*AN99</f>
        <v>0</v>
      </c>
      <c r="J99" s="70">
        <f>F99*G99</f>
        <v>0</v>
      </c>
      <c r="K99" s="70">
        <v>0</v>
      </c>
      <c r="L99" s="70">
        <f>F99*K99</f>
        <v>0</v>
      </c>
      <c r="M99" s="89" t="s">
        <v>472</v>
      </c>
      <c r="X99" s="70">
        <f>IF(AO99="5",BH99,0)</f>
        <v>0</v>
      </c>
      <c r="Z99" s="70">
        <f>IF(AO99="1",BF99,0)</f>
        <v>0</v>
      </c>
      <c r="AA99" s="70">
        <f>IF(AO99="1",BG99,0)</f>
        <v>0</v>
      </c>
      <c r="AB99" s="70">
        <f>IF(AO99="7",BF99,0)</f>
        <v>0</v>
      </c>
      <c r="AC99" s="70">
        <f>IF(AO99="7",BG99,0)</f>
        <v>0</v>
      </c>
      <c r="AD99" s="70">
        <f>IF(AO99="2",BF99,0)</f>
        <v>0</v>
      </c>
      <c r="AE99" s="70">
        <f>IF(AO99="2",BG99,0)</f>
        <v>0</v>
      </c>
      <c r="AF99" s="70">
        <f>IF(AO99="0",BH99,0)</f>
        <v>0</v>
      </c>
      <c r="AG99" s="64" t="s">
        <v>154</v>
      </c>
      <c r="AH99" s="70">
        <f>IF(AL99=0,J99,0)</f>
        <v>0</v>
      </c>
      <c r="AI99" s="70">
        <f>IF(AL99=15,J99,0)</f>
        <v>0</v>
      </c>
      <c r="AJ99" s="70">
        <f>IF(AL99=21,J99,0)</f>
        <v>0</v>
      </c>
      <c r="AL99" s="70">
        <v>21</v>
      </c>
      <c r="AM99" s="70">
        <f>G99*0.00582072176949942</f>
        <v>0</v>
      </c>
      <c r="AN99" s="70">
        <f>G99*(1-0.00582072176949942)</f>
        <v>0</v>
      </c>
      <c r="AO99" s="71" t="s">
        <v>157</v>
      </c>
      <c r="AT99" s="70">
        <f>AU99+AV99</f>
        <v>0</v>
      </c>
      <c r="AU99" s="70">
        <f>F99*AM99</f>
        <v>0</v>
      </c>
      <c r="AV99" s="70">
        <f>F99*AN99</f>
        <v>0</v>
      </c>
      <c r="AW99" s="71" t="s">
        <v>366</v>
      </c>
      <c r="AX99" s="71" t="s">
        <v>356</v>
      </c>
      <c r="AY99" s="64" t="s">
        <v>164</v>
      </c>
      <c r="BA99" s="70">
        <f>AU99+AV99</f>
        <v>0</v>
      </c>
      <c r="BB99" s="70">
        <f>G99/(100-BC99)*100</f>
        <v>0</v>
      </c>
      <c r="BC99" s="70">
        <v>0</v>
      </c>
      <c r="BD99" s="70">
        <f>L99</f>
        <v>0</v>
      </c>
      <c r="BF99" s="70">
        <f>F99*AM99</f>
        <v>0</v>
      </c>
      <c r="BG99" s="70">
        <f>F99*AN99</f>
        <v>0</v>
      </c>
      <c r="BH99" s="70">
        <f>F99*G99</f>
        <v>0</v>
      </c>
      <c r="BI99" s="70"/>
      <c r="BJ99" s="70">
        <v>89</v>
      </c>
      <c r="BU99" s="70" t="e">
        <f>#REF!</f>
        <v>#REF!</v>
      </c>
    </row>
    <row r="100" spans="1:73" ht="40.5" customHeight="1" x14ac:dyDescent="0.3">
      <c r="A100" s="90"/>
      <c r="B100" s="72" t="s">
        <v>165</v>
      </c>
      <c r="C100" s="581" t="s">
        <v>583</v>
      </c>
      <c r="D100" s="582"/>
      <c r="E100" s="582"/>
      <c r="F100" s="582"/>
      <c r="G100" s="582"/>
      <c r="H100" s="582"/>
      <c r="I100" s="582"/>
      <c r="J100" s="582"/>
      <c r="K100" s="582"/>
      <c r="L100" s="582"/>
      <c r="M100" s="583"/>
    </row>
    <row r="101" spans="1:73" ht="13.5" customHeight="1" x14ac:dyDescent="0.3">
      <c r="A101" s="82" t="s">
        <v>307</v>
      </c>
      <c r="B101" s="60" t="s">
        <v>438</v>
      </c>
      <c r="C101" s="551" t="s">
        <v>439</v>
      </c>
      <c r="D101" s="565"/>
      <c r="E101" s="60" t="s">
        <v>160</v>
      </c>
      <c r="F101" s="70">
        <v>4.4000000000000004</v>
      </c>
      <c r="G101" s="311">
        <v>0</v>
      </c>
      <c r="H101" s="70">
        <f>F101*AM101</f>
        <v>0</v>
      </c>
      <c r="I101" s="70">
        <f>F101*AN101</f>
        <v>0</v>
      </c>
      <c r="J101" s="70">
        <f>F101*G101</f>
        <v>0</v>
      </c>
      <c r="K101" s="70">
        <v>0</v>
      </c>
      <c r="L101" s="70">
        <f>F101*K101</f>
        <v>0</v>
      </c>
      <c r="M101" s="89" t="s">
        <v>472</v>
      </c>
      <c r="X101" s="70">
        <f>IF(AO101="5",BH101,0)</f>
        <v>0</v>
      </c>
      <c r="Z101" s="70">
        <f>IF(AO101="1",BF101,0)</f>
        <v>0</v>
      </c>
      <c r="AA101" s="70">
        <f>IF(AO101="1",BG101,0)</f>
        <v>0</v>
      </c>
      <c r="AB101" s="70">
        <f>IF(AO101="7",BF101,0)</f>
        <v>0</v>
      </c>
      <c r="AC101" s="70">
        <f>IF(AO101="7",BG101,0)</f>
        <v>0</v>
      </c>
      <c r="AD101" s="70">
        <f>IF(AO101="2",BF101,0)</f>
        <v>0</v>
      </c>
      <c r="AE101" s="70">
        <f>IF(AO101="2",BG101,0)</f>
        <v>0</v>
      </c>
      <c r="AF101" s="70">
        <f>IF(AO101="0",BH101,0)</f>
        <v>0</v>
      </c>
      <c r="AG101" s="64" t="s">
        <v>154</v>
      </c>
      <c r="AH101" s="70">
        <f>IF(AL101=0,J101,0)</f>
        <v>0</v>
      </c>
      <c r="AI101" s="70">
        <f>IF(AL101=15,J101,0)</f>
        <v>0</v>
      </c>
      <c r="AJ101" s="70">
        <f>IF(AL101=21,J101,0)</f>
        <v>0</v>
      </c>
      <c r="AL101" s="70">
        <v>21</v>
      </c>
      <c r="AM101" s="70">
        <f>G101*0.354010152284264</f>
        <v>0</v>
      </c>
      <c r="AN101" s="70">
        <f>G101*(1-0.354010152284264)</f>
        <v>0</v>
      </c>
      <c r="AO101" s="71" t="s">
        <v>157</v>
      </c>
      <c r="AT101" s="70">
        <f>AU101+AV101</f>
        <v>0</v>
      </c>
      <c r="AU101" s="70">
        <f>F101*AM101</f>
        <v>0</v>
      </c>
      <c r="AV101" s="70">
        <f>F101*AN101</f>
        <v>0</v>
      </c>
      <c r="AW101" s="71" t="s">
        <v>366</v>
      </c>
      <c r="AX101" s="71" t="s">
        <v>356</v>
      </c>
      <c r="AY101" s="64" t="s">
        <v>164</v>
      </c>
      <c r="BA101" s="70">
        <f>AU101+AV101</f>
        <v>0</v>
      </c>
      <c r="BB101" s="70">
        <f>G101/(100-BC101)*100</f>
        <v>0</v>
      </c>
      <c r="BC101" s="70">
        <v>0</v>
      </c>
      <c r="BD101" s="70">
        <f>L101</f>
        <v>0</v>
      </c>
      <c r="BF101" s="70">
        <f>F101*AM101</f>
        <v>0</v>
      </c>
      <c r="BG101" s="70">
        <f>F101*AN101</f>
        <v>0</v>
      </c>
      <c r="BH101" s="70">
        <f>F101*G101</f>
        <v>0</v>
      </c>
      <c r="BI101" s="70"/>
      <c r="BJ101" s="70">
        <v>89</v>
      </c>
      <c r="BU101" s="70" t="e">
        <f>#REF!</f>
        <v>#REF!</v>
      </c>
    </row>
    <row r="102" spans="1:73" ht="40.5" customHeight="1" x14ac:dyDescent="0.3">
      <c r="A102" s="90"/>
      <c r="B102" s="72" t="s">
        <v>165</v>
      </c>
      <c r="C102" s="581" t="s">
        <v>821</v>
      </c>
      <c r="D102" s="582"/>
      <c r="E102" s="582"/>
      <c r="F102" s="582"/>
      <c r="G102" s="582"/>
      <c r="H102" s="582"/>
      <c r="I102" s="582"/>
      <c r="J102" s="582"/>
      <c r="K102" s="582"/>
      <c r="L102" s="582"/>
      <c r="M102" s="583"/>
    </row>
    <row r="103" spans="1:73" ht="13.5" customHeight="1" x14ac:dyDescent="0.3">
      <c r="A103" s="82" t="s">
        <v>312</v>
      </c>
      <c r="B103" s="60" t="s">
        <v>586</v>
      </c>
      <c r="C103" s="551" t="s">
        <v>587</v>
      </c>
      <c r="D103" s="565"/>
      <c r="E103" s="60" t="s">
        <v>365</v>
      </c>
      <c r="F103" s="70">
        <v>1</v>
      </c>
      <c r="G103" s="311">
        <v>0</v>
      </c>
      <c r="H103" s="70">
        <f>F103*AM103</f>
        <v>0</v>
      </c>
      <c r="I103" s="70">
        <f>F103*AN103</f>
        <v>0</v>
      </c>
      <c r="J103" s="70">
        <f>F103*G103</f>
        <v>0</v>
      </c>
      <c r="K103" s="70">
        <v>2.1000000000000001E-4</v>
      </c>
      <c r="L103" s="70">
        <f>F103*K103</f>
        <v>2.1000000000000001E-4</v>
      </c>
      <c r="M103" s="89" t="s">
        <v>472</v>
      </c>
      <c r="X103" s="70">
        <f>IF(AO103="5",BH103,0)</f>
        <v>0</v>
      </c>
      <c r="Z103" s="70">
        <f>IF(AO103="1",BF103,0)</f>
        <v>0</v>
      </c>
      <c r="AA103" s="70">
        <f>IF(AO103="1",BG103,0)</f>
        <v>0</v>
      </c>
      <c r="AB103" s="70">
        <f>IF(AO103="7",BF103,0)</f>
        <v>0</v>
      </c>
      <c r="AC103" s="70">
        <f>IF(AO103="7",BG103,0)</f>
        <v>0</v>
      </c>
      <c r="AD103" s="70">
        <f>IF(AO103="2",BF103,0)</f>
        <v>0</v>
      </c>
      <c r="AE103" s="70">
        <f>IF(AO103="2",BG103,0)</f>
        <v>0</v>
      </c>
      <c r="AF103" s="70">
        <f>IF(AO103="0",BH103,0)</f>
        <v>0</v>
      </c>
      <c r="AG103" s="64" t="s">
        <v>154</v>
      </c>
      <c r="AH103" s="70">
        <f>IF(AL103=0,J103,0)</f>
        <v>0</v>
      </c>
      <c r="AI103" s="70">
        <f>IF(AL103=15,J103,0)</f>
        <v>0</v>
      </c>
      <c r="AJ103" s="70">
        <f>IF(AL103=21,J103,0)</f>
        <v>0</v>
      </c>
      <c r="AL103" s="70">
        <v>21</v>
      </c>
      <c r="AM103" s="70">
        <f>G103*0.340900900900901</f>
        <v>0</v>
      </c>
      <c r="AN103" s="70">
        <f>G103*(1-0.340900900900901)</f>
        <v>0</v>
      </c>
      <c r="AO103" s="71" t="s">
        <v>157</v>
      </c>
      <c r="AT103" s="70">
        <f>AU103+AV103</f>
        <v>0</v>
      </c>
      <c r="AU103" s="70">
        <f>F103*AM103</f>
        <v>0</v>
      </c>
      <c r="AV103" s="70">
        <f>F103*AN103</f>
        <v>0</v>
      </c>
      <c r="AW103" s="71" t="s">
        <v>366</v>
      </c>
      <c r="AX103" s="71" t="s">
        <v>356</v>
      </c>
      <c r="AY103" s="64" t="s">
        <v>164</v>
      </c>
      <c r="BA103" s="70">
        <f>AU103+AV103</f>
        <v>0</v>
      </c>
      <c r="BB103" s="70">
        <f>G103/(100-BC103)*100</f>
        <v>0</v>
      </c>
      <c r="BC103" s="70">
        <v>0</v>
      </c>
      <c r="BD103" s="70">
        <f>L103</f>
        <v>2.1000000000000001E-4</v>
      </c>
      <c r="BF103" s="70">
        <f>F103*AM103</f>
        <v>0</v>
      </c>
      <c r="BG103" s="70">
        <f>F103*AN103</f>
        <v>0</v>
      </c>
      <c r="BH103" s="70">
        <f>F103*G103</f>
        <v>0</v>
      </c>
      <c r="BI103" s="70"/>
      <c r="BJ103" s="70">
        <v>89</v>
      </c>
      <c r="BU103" s="70" t="e">
        <f>#REF!</f>
        <v>#REF!</v>
      </c>
    </row>
    <row r="104" spans="1:73" ht="27" customHeight="1" x14ac:dyDescent="0.3">
      <c r="A104" s="90"/>
      <c r="B104" s="72" t="s">
        <v>165</v>
      </c>
      <c r="C104" s="581" t="s">
        <v>588</v>
      </c>
      <c r="D104" s="582"/>
      <c r="E104" s="582"/>
      <c r="F104" s="582"/>
      <c r="G104" s="582"/>
      <c r="H104" s="582"/>
      <c r="I104" s="582"/>
      <c r="J104" s="582"/>
      <c r="K104" s="582"/>
      <c r="L104" s="582"/>
      <c r="M104" s="583"/>
    </row>
    <row r="105" spans="1:73" ht="13.5" customHeight="1" x14ac:dyDescent="0.3">
      <c r="A105" s="82" t="s">
        <v>315</v>
      </c>
      <c r="B105" s="60" t="s">
        <v>822</v>
      </c>
      <c r="C105" s="551" t="s">
        <v>823</v>
      </c>
      <c r="D105" s="565"/>
      <c r="E105" s="60" t="s">
        <v>365</v>
      </c>
      <c r="F105" s="70">
        <v>1</v>
      </c>
      <c r="G105" s="311">
        <v>0</v>
      </c>
      <c r="H105" s="70">
        <f>F105*AM105</f>
        <v>0</v>
      </c>
      <c r="I105" s="70">
        <f>F105*AN105</f>
        <v>0</v>
      </c>
      <c r="J105" s="70">
        <f>F105*G105</f>
        <v>0</v>
      </c>
      <c r="K105" s="70">
        <v>0</v>
      </c>
      <c r="L105" s="70">
        <f>F105*K105</f>
        <v>0</v>
      </c>
      <c r="M105" s="89" t="s">
        <v>472</v>
      </c>
      <c r="X105" s="70">
        <f>IF(AO105="5",BH105,0)</f>
        <v>0</v>
      </c>
      <c r="Z105" s="70">
        <f>IF(AO105="1",BF105,0)</f>
        <v>0</v>
      </c>
      <c r="AA105" s="70">
        <f>IF(AO105="1",BG105,0)</f>
        <v>0</v>
      </c>
      <c r="AB105" s="70">
        <f>IF(AO105="7",BF105,0)</f>
        <v>0</v>
      </c>
      <c r="AC105" s="70">
        <f>IF(AO105="7",BG105,0)</f>
        <v>0</v>
      </c>
      <c r="AD105" s="70">
        <f>IF(AO105="2",BF105,0)</f>
        <v>0</v>
      </c>
      <c r="AE105" s="70">
        <f>IF(AO105="2",BG105,0)</f>
        <v>0</v>
      </c>
      <c r="AF105" s="70">
        <f>IF(AO105="0",BH105,0)</f>
        <v>0</v>
      </c>
      <c r="AG105" s="64" t="s">
        <v>154</v>
      </c>
      <c r="AH105" s="70">
        <f>IF(AL105=0,J105,0)</f>
        <v>0</v>
      </c>
      <c r="AI105" s="70">
        <f>IF(AL105=15,J105,0)</f>
        <v>0</v>
      </c>
      <c r="AJ105" s="70">
        <f>IF(AL105=21,J105,0)</f>
        <v>0</v>
      </c>
      <c r="AL105" s="70">
        <v>21</v>
      </c>
      <c r="AM105" s="70">
        <f>G105*0</f>
        <v>0</v>
      </c>
      <c r="AN105" s="70">
        <f>G105*(1-0)</f>
        <v>0</v>
      </c>
      <c r="AO105" s="71" t="s">
        <v>157</v>
      </c>
      <c r="AT105" s="70">
        <f>AU105+AV105</f>
        <v>0</v>
      </c>
      <c r="AU105" s="70">
        <f>F105*AM105</f>
        <v>0</v>
      </c>
      <c r="AV105" s="70">
        <f>F105*AN105</f>
        <v>0</v>
      </c>
      <c r="AW105" s="71" t="s">
        <v>366</v>
      </c>
      <c r="AX105" s="71" t="s">
        <v>356</v>
      </c>
      <c r="AY105" s="64" t="s">
        <v>164</v>
      </c>
      <c r="BA105" s="70">
        <f>AU105+AV105</f>
        <v>0</v>
      </c>
      <c r="BB105" s="70">
        <f>G105/(100-BC105)*100</f>
        <v>0</v>
      </c>
      <c r="BC105" s="70">
        <v>0</v>
      </c>
      <c r="BD105" s="70">
        <f>L105</f>
        <v>0</v>
      </c>
      <c r="BF105" s="70">
        <f>F105*AM105</f>
        <v>0</v>
      </c>
      <c r="BG105" s="70">
        <f>F105*AN105</f>
        <v>0</v>
      </c>
      <c r="BH105" s="70">
        <f>F105*G105</f>
        <v>0</v>
      </c>
      <c r="BI105" s="70"/>
      <c r="BJ105" s="70">
        <v>89</v>
      </c>
      <c r="BU105" s="70" t="e">
        <f>#REF!</f>
        <v>#REF!</v>
      </c>
    </row>
    <row r="106" spans="1:73" ht="13.5" customHeight="1" x14ac:dyDescent="0.3">
      <c r="A106" s="90"/>
      <c r="B106" s="72" t="s">
        <v>165</v>
      </c>
      <c r="C106" s="581" t="s">
        <v>610</v>
      </c>
      <c r="D106" s="582"/>
      <c r="E106" s="582"/>
      <c r="F106" s="582"/>
      <c r="G106" s="582"/>
      <c r="H106" s="582"/>
      <c r="I106" s="582"/>
      <c r="J106" s="582"/>
      <c r="K106" s="582"/>
      <c r="L106" s="582"/>
      <c r="M106" s="583"/>
    </row>
    <row r="107" spans="1:73" ht="13.5" customHeight="1" x14ac:dyDescent="0.3">
      <c r="A107" s="82" t="s">
        <v>318</v>
      </c>
      <c r="B107" s="60" t="s">
        <v>611</v>
      </c>
      <c r="C107" s="551" t="s">
        <v>612</v>
      </c>
      <c r="D107" s="565"/>
      <c r="E107" s="60" t="s">
        <v>365</v>
      </c>
      <c r="F107" s="70">
        <v>1</v>
      </c>
      <c r="G107" s="311">
        <v>0</v>
      </c>
      <c r="H107" s="70">
        <f>F107*AM107</f>
        <v>0</v>
      </c>
      <c r="I107" s="70">
        <f>F107*AN107</f>
        <v>0</v>
      </c>
      <c r="J107" s="70">
        <f>F107*G107</f>
        <v>0</v>
      </c>
      <c r="K107" s="70">
        <v>2.0000000000000002E-5</v>
      </c>
      <c r="L107" s="70">
        <f>F107*K107</f>
        <v>2.0000000000000002E-5</v>
      </c>
      <c r="M107" s="89" t="s">
        <v>472</v>
      </c>
      <c r="X107" s="70">
        <f>IF(AO107="5",BH107,0)</f>
        <v>0</v>
      </c>
      <c r="Z107" s="70">
        <f>IF(AO107="1",BF107,0)</f>
        <v>0</v>
      </c>
      <c r="AA107" s="70">
        <f>IF(AO107="1",BG107,0)</f>
        <v>0</v>
      </c>
      <c r="AB107" s="70">
        <f>IF(AO107="7",BF107,0)</f>
        <v>0</v>
      </c>
      <c r="AC107" s="70">
        <f>IF(AO107="7",BG107,0)</f>
        <v>0</v>
      </c>
      <c r="AD107" s="70">
        <f>IF(AO107="2",BF107,0)</f>
        <v>0</v>
      </c>
      <c r="AE107" s="70">
        <f>IF(AO107="2",BG107,0)</f>
        <v>0</v>
      </c>
      <c r="AF107" s="70">
        <f>IF(AO107="0",BH107,0)</f>
        <v>0</v>
      </c>
      <c r="AG107" s="64" t="s">
        <v>154</v>
      </c>
      <c r="AH107" s="70">
        <f>IF(AL107=0,J107,0)</f>
        <v>0</v>
      </c>
      <c r="AI107" s="70">
        <f>IF(AL107=15,J107,0)</f>
        <v>0</v>
      </c>
      <c r="AJ107" s="70">
        <f>IF(AL107=21,J107,0)</f>
        <v>0</v>
      </c>
      <c r="AL107" s="70">
        <v>21</v>
      </c>
      <c r="AM107" s="70">
        <f>G107*0.0199095022624434</f>
        <v>0</v>
      </c>
      <c r="AN107" s="70">
        <f>G107*(1-0.0199095022624434)</f>
        <v>0</v>
      </c>
      <c r="AO107" s="71" t="s">
        <v>157</v>
      </c>
      <c r="AT107" s="70">
        <f>AU107+AV107</f>
        <v>0</v>
      </c>
      <c r="AU107" s="70">
        <f>F107*AM107</f>
        <v>0</v>
      </c>
      <c r="AV107" s="70">
        <f>F107*AN107</f>
        <v>0</v>
      </c>
      <c r="AW107" s="71" t="s">
        <v>366</v>
      </c>
      <c r="AX107" s="71" t="s">
        <v>356</v>
      </c>
      <c r="AY107" s="64" t="s">
        <v>164</v>
      </c>
      <c r="BA107" s="70">
        <f>AU107+AV107</f>
        <v>0</v>
      </c>
      <c r="BB107" s="70">
        <f>G107/(100-BC107)*100</f>
        <v>0</v>
      </c>
      <c r="BC107" s="70">
        <v>0</v>
      </c>
      <c r="BD107" s="70">
        <f>L107</f>
        <v>2.0000000000000002E-5</v>
      </c>
      <c r="BF107" s="70">
        <f>F107*AM107</f>
        <v>0</v>
      </c>
      <c r="BG107" s="70">
        <f>F107*AN107</f>
        <v>0</v>
      </c>
      <c r="BH107" s="70">
        <f>F107*G107</f>
        <v>0</v>
      </c>
      <c r="BI107" s="70"/>
      <c r="BJ107" s="70">
        <v>89</v>
      </c>
      <c r="BU107" s="70" t="e">
        <f>#REF!</f>
        <v>#REF!</v>
      </c>
    </row>
    <row r="108" spans="1:73" ht="27" customHeight="1" x14ac:dyDescent="0.3">
      <c r="A108" s="90"/>
      <c r="B108" s="72" t="s">
        <v>165</v>
      </c>
      <c r="C108" s="581" t="s">
        <v>596</v>
      </c>
      <c r="D108" s="582"/>
      <c r="E108" s="582"/>
      <c r="F108" s="582"/>
      <c r="G108" s="582"/>
      <c r="H108" s="582"/>
      <c r="I108" s="582"/>
      <c r="J108" s="582"/>
      <c r="K108" s="582"/>
      <c r="L108" s="582"/>
      <c r="M108" s="583"/>
    </row>
    <row r="109" spans="1:73" ht="13.5" customHeight="1" x14ac:dyDescent="0.3">
      <c r="A109" s="82" t="s">
        <v>319</v>
      </c>
      <c r="B109" s="60" t="s">
        <v>567</v>
      </c>
      <c r="C109" s="551" t="s">
        <v>568</v>
      </c>
      <c r="D109" s="565"/>
      <c r="E109" s="60" t="s">
        <v>365</v>
      </c>
      <c r="F109" s="70">
        <v>1</v>
      </c>
      <c r="G109" s="311">
        <v>0</v>
      </c>
      <c r="H109" s="70">
        <f>F109*AM109</f>
        <v>0</v>
      </c>
      <c r="I109" s="70">
        <f>F109*AN109</f>
        <v>0</v>
      </c>
      <c r="J109" s="70">
        <f>F109*G109</f>
        <v>0</v>
      </c>
      <c r="K109" s="70">
        <v>0.12303</v>
      </c>
      <c r="L109" s="70">
        <f>F109*K109</f>
        <v>0.12303</v>
      </c>
      <c r="M109" s="89" t="s">
        <v>472</v>
      </c>
      <c r="X109" s="70">
        <f>IF(AO109="5",BH109,0)</f>
        <v>0</v>
      </c>
      <c r="Z109" s="70">
        <f>IF(AO109="1",BF109,0)</f>
        <v>0</v>
      </c>
      <c r="AA109" s="70">
        <f>IF(AO109="1",BG109,0)</f>
        <v>0</v>
      </c>
      <c r="AB109" s="70">
        <f>IF(AO109="7",BF109,0)</f>
        <v>0</v>
      </c>
      <c r="AC109" s="70">
        <f>IF(AO109="7",BG109,0)</f>
        <v>0</v>
      </c>
      <c r="AD109" s="70">
        <f>IF(AO109="2",BF109,0)</f>
        <v>0</v>
      </c>
      <c r="AE109" s="70">
        <f>IF(AO109="2",BG109,0)</f>
        <v>0</v>
      </c>
      <c r="AF109" s="70">
        <f>IF(AO109="0",BH109,0)</f>
        <v>0</v>
      </c>
      <c r="AG109" s="64" t="s">
        <v>154</v>
      </c>
      <c r="AH109" s="70">
        <f>IF(AL109=0,J109,0)</f>
        <v>0</v>
      </c>
      <c r="AI109" s="70">
        <f>IF(AL109=15,J109,0)</f>
        <v>0</v>
      </c>
      <c r="AJ109" s="70">
        <f>IF(AL109=21,J109,0)</f>
        <v>0</v>
      </c>
      <c r="AL109" s="70">
        <v>21</v>
      </c>
      <c r="AM109" s="70">
        <f>G109*0.42892998678996</f>
        <v>0</v>
      </c>
      <c r="AN109" s="70">
        <f>G109*(1-0.42892998678996)</f>
        <v>0</v>
      </c>
      <c r="AO109" s="71" t="s">
        <v>157</v>
      </c>
      <c r="AT109" s="70">
        <f>AU109+AV109</f>
        <v>0</v>
      </c>
      <c r="AU109" s="70">
        <f>F109*AM109</f>
        <v>0</v>
      </c>
      <c r="AV109" s="70">
        <f>F109*AN109</f>
        <v>0</v>
      </c>
      <c r="AW109" s="71" t="s">
        <v>366</v>
      </c>
      <c r="AX109" s="71" t="s">
        <v>356</v>
      </c>
      <c r="AY109" s="64" t="s">
        <v>164</v>
      </c>
      <c r="BA109" s="70">
        <f>AU109+AV109</f>
        <v>0</v>
      </c>
      <c r="BB109" s="70">
        <f>G109/(100-BC109)*100</f>
        <v>0</v>
      </c>
      <c r="BC109" s="70">
        <v>0</v>
      </c>
      <c r="BD109" s="70">
        <f>L109</f>
        <v>0.12303</v>
      </c>
      <c r="BF109" s="70">
        <f>F109*AM109</f>
        <v>0</v>
      </c>
      <c r="BG109" s="70">
        <f>F109*AN109</f>
        <v>0</v>
      </c>
      <c r="BH109" s="70">
        <f>F109*G109</f>
        <v>0</v>
      </c>
      <c r="BI109" s="70"/>
      <c r="BJ109" s="70">
        <v>89</v>
      </c>
      <c r="BU109" s="70" t="e">
        <f>#REF!</f>
        <v>#REF!</v>
      </c>
    </row>
    <row r="110" spans="1:73" ht="13.5" customHeight="1" x14ac:dyDescent="0.3">
      <c r="A110" s="90"/>
      <c r="B110" s="72" t="s">
        <v>165</v>
      </c>
      <c r="C110" s="581" t="s">
        <v>614</v>
      </c>
      <c r="D110" s="582"/>
      <c r="E110" s="582"/>
      <c r="F110" s="582"/>
      <c r="G110" s="582"/>
      <c r="H110" s="582"/>
      <c r="I110" s="582"/>
      <c r="J110" s="582"/>
      <c r="K110" s="582"/>
      <c r="L110" s="582"/>
      <c r="M110" s="583"/>
    </row>
    <row r="111" spans="1:73" ht="15" customHeight="1" x14ac:dyDescent="0.3">
      <c r="A111" s="82" t="s">
        <v>154</v>
      </c>
      <c r="B111" s="61" t="s">
        <v>399</v>
      </c>
      <c r="C111" s="564" t="s">
        <v>400</v>
      </c>
      <c r="D111" s="571"/>
      <c r="E111" s="60" t="s">
        <v>114</v>
      </c>
      <c r="F111" s="60" t="s">
        <v>114</v>
      </c>
      <c r="G111" s="60" t="s">
        <v>114</v>
      </c>
      <c r="H111" s="73">
        <f>SUM(H112:H113)</f>
        <v>0</v>
      </c>
      <c r="I111" s="73">
        <f>SUM(I112:I113)</f>
        <v>0</v>
      </c>
      <c r="J111" s="73">
        <f>SUM(J112:J113)</f>
        <v>0</v>
      </c>
      <c r="K111" s="65" t="s">
        <v>154</v>
      </c>
      <c r="L111" s="73">
        <f>SUM(L112:L113)</f>
        <v>0</v>
      </c>
      <c r="M111" s="91" t="s">
        <v>154</v>
      </c>
      <c r="AG111" s="64" t="s">
        <v>154</v>
      </c>
      <c r="AQ111" s="59">
        <f>SUM(AH112:AH113)</f>
        <v>0</v>
      </c>
      <c r="AR111" s="59">
        <f>SUM(AI112:AI113)</f>
        <v>0</v>
      </c>
      <c r="AS111" s="59">
        <f>SUM(AJ112:AJ113)</f>
        <v>0</v>
      </c>
    </row>
    <row r="112" spans="1:73" ht="27" customHeight="1" x14ac:dyDescent="0.3">
      <c r="A112" s="83" t="s">
        <v>322</v>
      </c>
      <c r="B112" s="80" t="s">
        <v>402</v>
      </c>
      <c r="C112" s="589" t="s">
        <v>403</v>
      </c>
      <c r="D112" s="590"/>
      <c r="E112" s="80" t="s">
        <v>380</v>
      </c>
      <c r="F112" s="110">
        <v>0.01</v>
      </c>
      <c r="G112" s="311">
        <v>0</v>
      </c>
      <c r="H112" s="110">
        <f>F112*AM112</f>
        <v>0</v>
      </c>
      <c r="I112" s="110">
        <f>F112*AN112</f>
        <v>0</v>
      </c>
      <c r="J112" s="110">
        <f>F112*G112</f>
        <v>0</v>
      </c>
      <c r="K112" s="110">
        <v>0</v>
      </c>
      <c r="L112" s="110">
        <f>F112*K112</f>
        <v>0</v>
      </c>
      <c r="M112" s="111" t="s">
        <v>472</v>
      </c>
      <c r="X112" s="70">
        <f>IF(AO112="5",BH112,0)</f>
        <v>0</v>
      </c>
      <c r="Z112" s="70">
        <f>IF(AO112="1",BF112,0)</f>
        <v>0</v>
      </c>
      <c r="AA112" s="70">
        <f>IF(AO112="1",BG112,0)</f>
        <v>0</v>
      </c>
      <c r="AB112" s="70">
        <f>IF(AO112="7",BF112,0)</f>
        <v>0</v>
      </c>
      <c r="AC112" s="70">
        <f>IF(AO112="7",BG112,0)</f>
        <v>0</v>
      </c>
      <c r="AD112" s="70">
        <f>IF(AO112="2",BF112,0)</f>
        <v>0</v>
      </c>
      <c r="AE112" s="70">
        <f>IF(AO112="2",BG112,0)</f>
        <v>0</v>
      </c>
      <c r="AF112" s="70">
        <f>IF(AO112="0",BH112,0)</f>
        <v>0</v>
      </c>
      <c r="AG112" s="64" t="s">
        <v>154</v>
      </c>
      <c r="AH112" s="70">
        <f>IF(AL112=0,J112,0)</f>
        <v>0</v>
      </c>
      <c r="AI112" s="70">
        <f>IF(AL112=15,J112,0)</f>
        <v>0</v>
      </c>
      <c r="AJ112" s="70">
        <f>IF(AL112=21,J112,0)</f>
        <v>0</v>
      </c>
      <c r="AL112" s="70">
        <v>21</v>
      </c>
      <c r="AM112" s="70">
        <f>G112*0</f>
        <v>0</v>
      </c>
      <c r="AN112" s="70">
        <f>G112*(1-0)</f>
        <v>0</v>
      </c>
      <c r="AO112" s="71" t="s">
        <v>177</v>
      </c>
      <c r="AT112" s="70">
        <f>AU112+AV112</f>
        <v>0</v>
      </c>
      <c r="AU112" s="70">
        <f>F112*AM112</f>
        <v>0</v>
      </c>
      <c r="AV112" s="70">
        <f>F112*AN112</f>
        <v>0</v>
      </c>
      <c r="AW112" s="71" t="s">
        <v>404</v>
      </c>
      <c r="AX112" s="71" t="s">
        <v>375</v>
      </c>
      <c r="AY112" s="64" t="s">
        <v>164</v>
      </c>
      <c r="BA112" s="70">
        <f>AU112+AV112</f>
        <v>0</v>
      </c>
      <c r="BB112" s="70">
        <f>G112/(100-BC112)*100</f>
        <v>0</v>
      </c>
      <c r="BC112" s="70">
        <v>0</v>
      </c>
      <c r="BD112" s="70">
        <f>L112</f>
        <v>0</v>
      </c>
      <c r="BF112" s="70">
        <f>F112*AM112</f>
        <v>0</v>
      </c>
      <c r="BG112" s="70">
        <f>F112*AN112</f>
        <v>0</v>
      </c>
      <c r="BH112" s="70">
        <f>F112*G112</f>
        <v>0</v>
      </c>
      <c r="BI112" s="70"/>
      <c r="BJ112" s="70"/>
      <c r="BU112" s="70" t="e">
        <f>#REF!</f>
        <v>#REF!</v>
      </c>
    </row>
    <row r="113" spans="1:73" ht="27" customHeight="1" x14ac:dyDescent="0.3">
      <c r="A113" s="84" t="s">
        <v>298</v>
      </c>
      <c r="B113" s="85" t="s">
        <v>406</v>
      </c>
      <c r="C113" s="587" t="s">
        <v>407</v>
      </c>
      <c r="D113" s="588"/>
      <c r="E113" s="85" t="s">
        <v>380</v>
      </c>
      <c r="F113" s="94">
        <v>4.13</v>
      </c>
      <c r="G113" s="311">
        <v>0</v>
      </c>
      <c r="H113" s="94">
        <f>F113*AM113</f>
        <v>0</v>
      </c>
      <c r="I113" s="94">
        <f>F113*AN113</f>
        <v>0</v>
      </c>
      <c r="J113" s="94">
        <f>F113*G113</f>
        <v>0</v>
      </c>
      <c r="K113" s="94">
        <v>0</v>
      </c>
      <c r="L113" s="94">
        <f>F113*K113</f>
        <v>0</v>
      </c>
      <c r="M113" s="95" t="s">
        <v>472</v>
      </c>
      <c r="X113" s="70">
        <f>IF(AO113="5",BH113,0)</f>
        <v>0</v>
      </c>
      <c r="Z113" s="70">
        <f>IF(AO113="1",BF113,0)</f>
        <v>0</v>
      </c>
      <c r="AA113" s="70">
        <f>IF(AO113="1",BG113,0)</f>
        <v>0</v>
      </c>
      <c r="AB113" s="70">
        <f>IF(AO113="7",BF113,0)</f>
        <v>0</v>
      </c>
      <c r="AC113" s="70">
        <f>IF(AO113="7",BG113,0)</f>
        <v>0</v>
      </c>
      <c r="AD113" s="70">
        <f>IF(AO113="2",BF113,0)</f>
        <v>0</v>
      </c>
      <c r="AE113" s="70">
        <f>IF(AO113="2",BG113,0)</f>
        <v>0</v>
      </c>
      <c r="AF113" s="70">
        <f>IF(AO113="0",BH113,0)</f>
        <v>0</v>
      </c>
      <c r="AG113" s="64" t="s">
        <v>154</v>
      </c>
      <c r="AH113" s="70">
        <f>IF(AL113=0,J113,0)</f>
        <v>0</v>
      </c>
      <c r="AI113" s="70">
        <f>IF(AL113=15,J113,0)</f>
        <v>0</v>
      </c>
      <c r="AJ113" s="70">
        <f>IF(AL113=21,J113,0)</f>
        <v>0</v>
      </c>
      <c r="AL113" s="70">
        <v>21</v>
      </c>
      <c r="AM113" s="70">
        <f>G113*0</f>
        <v>0</v>
      </c>
      <c r="AN113" s="70">
        <f>G113*(1-0)</f>
        <v>0</v>
      </c>
      <c r="AO113" s="71" t="s">
        <v>177</v>
      </c>
      <c r="AT113" s="70">
        <f>AU113+AV113</f>
        <v>0</v>
      </c>
      <c r="AU113" s="70">
        <f>F113*AM113</f>
        <v>0</v>
      </c>
      <c r="AV113" s="70">
        <f>F113*AN113</f>
        <v>0</v>
      </c>
      <c r="AW113" s="71" t="s">
        <v>404</v>
      </c>
      <c r="AX113" s="71" t="s">
        <v>375</v>
      </c>
      <c r="AY113" s="64" t="s">
        <v>164</v>
      </c>
      <c r="BA113" s="70">
        <f>AU113+AV113</f>
        <v>0</v>
      </c>
      <c r="BB113" s="70">
        <f>G113/(100-BC113)*100</f>
        <v>0</v>
      </c>
      <c r="BC113" s="70">
        <v>0</v>
      </c>
      <c r="BD113" s="70">
        <f>L113</f>
        <v>0</v>
      </c>
      <c r="BF113" s="70">
        <f>F113*AM113</f>
        <v>0</v>
      </c>
      <c r="BG113" s="70">
        <f>F113*AN113</f>
        <v>0</v>
      </c>
      <c r="BH113" s="70">
        <f>F113*G113</f>
        <v>0</v>
      </c>
      <c r="BI113" s="70"/>
      <c r="BJ113" s="70"/>
      <c r="BU113" s="70" t="e">
        <f>#REF!</f>
        <v>#REF!</v>
      </c>
    </row>
    <row r="114" spans="1:73" ht="15" customHeight="1" x14ac:dyDescent="0.3">
      <c r="A114" s="82" t="s">
        <v>154</v>
      </c>
      <c r="B114" s="61" t="s">
        <v>444</v>
      </c>
      <c r="C114" s="564" t="s">
        <v>445</v>
      </c>
      <c r="D114" s="571"/>
      <c r="E114" s="60" t="s">
        <v>114</v>
      </c>
      <c r="F114" s="60" t="s">
        <v>114</v>
      </c>
      <c r="G114" s="60" t="s">
        <v>114</v>
      </c>
      <c r="H114" s="73">
        <f>SUM(H115:H115)</f>
        <v>0</v>
      </c>
      <c r="I114" s="73">
        <f>SUM(I115:I115)</f>
        <v>0</v>
      </c>
      <c r="J114" s="73">
        <f>SUM(J115:J115)</f>
        <v>0</v>
      </c>
      <c r="K114" s="65" t="s">
        <v>154</v>
      </c>
      <c r="L114" s="73">
        <f>SUM(L115:L115)</f>
        <v>0</v>
      </c>
      <c r="M114" s="91" t="s">
        <v>154</v>
      </c>
      <c r="AG114" s="64" t="s">
        <v>154</v>
      </c>
      <c r="AQ114" s="59">
        <f>SUM(AH115:AH115)</f>
        <v>0</v>
      </c>
      <c r="AR114" s="59">
        <f>SUM(AI115:AI115)</f>
        <v>0</v>
      </c>
      <c r="AS114" s="59">
        <f>SUM(AJ115:AJ115)</f>
        <v>0</v>
      </c>
    </row>
    <row r="115" spans="1:73" ht="27" customHeight="1" x14ac:dyDescent="0.3">
      <c r="A115" s="82" t="s">
        <v>327</v>
      </c>
      <c r="B115" s="60" t="s">
        <v>446</v>
      </c>
      <c r="C115" s="551" t="s">
        <v>447</v>
      </c>
      <c r="D115" s="565"/>
      <c r="E115" s="60" t="s">
        <v>380</v>
      </c>
      <c r="F115" s="70">
        <v>0.01</v>
      </c>
      <c r="G115" s="311">
        <v>0</v>
      </c>
      <c r="H115" s="70">
        <f>F115*AM115</f>
        <v>0</v>
      </c>
      <c r="I115" s="70">
        <f>F115*AN115</f>
        <v>0</v>
      </c>
      <c r="J115" s="70">
        <f>F115*G115</f>
        <v>0</v>
      </c>
      <c r="K115" s="70">
        <v>0</v>
      </c>
      <c r="L115" s="70">
        <f>F115*K115</f>
        <v>0</v>
      </c>
      <c r="M115" s="89" t="s">
        <v>472</v>
      </c>
      <c r="X115" s="70">
        <f>IF(AO115="5",BH115,0)</f>
        <v>0</v>
      </c>
      <c r="Z115" s="70">
        <f>IF(AO115="1",BF115,0)</f>
        <v>0</v>
      </c>
      <c r="AA115" s="70">
        <f>IF(AO115="1",BG115,0)</f>
        <v>0</v>
      </c>
      <c r="AB115" s="70">
        <f>IF(AO115="7",BF115,0)</f>
        <v>0</v>
      </c>
      <c r="AC115" s="70">
        <f>IF(AO115="7",BG115,0)</f>
        <v>0</v>
      </c>
      <c r="AD115" s="70">
        <f>IF(AO115="2",BF115,0)</f>
        <v>0</v>
      </c>
      <c r="AE115" s="70">
        <f>IF(AO115="2",BG115,0)</f>
        <v>0</v>
      </c>
      <c r="AF115" s="70">
        <f>IF(AO115="0",BH115,0)</f>
        <v>0</v>
      </c>
      <c r="AG115" s="64" t="s">
        <v>154</v>
      </c>
      <c r="AH115" s="70">
        <f>IF(AL115=0,J115,0)</f>
        <v>0</v>
      </c>
      <c r="AI115" s="70">
        <f>IF(AL115=15,J115,0)</f>
        <v>0</v>
      </c>
      <c r="AJ115" s="70">
        <f>IF(AL115=21,J115,0)</f>
        <v>0</v>
      </c>
      <c r="AL115" s="70">
        <v>21</v>
      </c>
      <c r="AM115" s="70">
        <f>G115*0</f>
        <v>0</v>
      </c>
      <c r="AN115" s="70">
        <f>G115*(1-0)</f>
        <v>0</v>
      </c>
      <c r="AO115" s="71" t="s">
        <v>177</v>
      </c>
      <c r="AT115" s="70">
        <f>AU115+AV115</f>
        <v>0</v>
      </c>
      <c r="AU115" s="70">
        <f>F115*AM115</f>
        <v>0</v>
      </c>
      <c r="AV115" s="70">
        <f>F115*AN115</f>
        <v>0</v>
      </c>
      <c r="AW115" s="71" t="s">
        <v>448</v>
      </c>
      <c r="AX115" s="71" t="s">
        <v>375</v>
      </c>
      <c r="AY115" s="64" t="s">
        <v>164</v>
      </c>
      <c r="BA115" s="70">
        <f>AU115+AV115</f>
        <v>0</v>
      </c>
      <c r="BB115" s="70">
        <f>G115/(100-BC115)*100</f>
        <v>0</v>
      </c>
      <c r="BC115" s="70">
        <v>0</v>
      </c>
      <c r="BD115" s="70">
        <f>L115</f>
        <v>0</v>
      </c>
      <c r="BF115" s="70">
        <f>F115*AM115</f>
        <v>0</v>
      </c>
      <c r="BG115" s="70">
        <f>F115*AN115</f>
        <v>0</v>
      </c>
      <c r="BH115" s="70">
        <f>F115*G115</f>
        <v>0</v>
      </c>
      <c r="BI115" s="70"/>
      <c r="BJ115" s="70"/>
      <c r="BU115" s="70" t="e">
        <f>#REF!</f>
        <v>#REF!</v>
      </c>
    </row>
    <row r="116" spans="1:73" ht="15" customHeight="1" x14ac:dyDescent="0.3">
      <c r="A116" s="82" t="s">
        <v>154</v>
      </c>
      <c r="B116" s="61" t="s">
        <v>621</v>
      </c>
      <c r="C116" s="564" t="s">
        <v>622</v>
      </c>
      <c r="D116" s="571"/>
      <c r="E116" s="60" t="s">
        <v>114</v>
      </c>
      <c r="F116" s="60" t="s">
        <v>114</v>
      </c>
      <c r="G116" s="60" t="s">
        <v>114</v>
      </c>
      <c r="H116" s="73">
        <f>SUM(H117:H117)</f>
        <v>0</v>
      </c>
      <c r="I116" s="73">
        <f>SUM(I117:I117)</f>
        <v>0</v>
      </c>
      <c r="J116" s="73">
        <f>SUM(J117:J117)</f>
        <v>0</v>
      </c>
      <c r="K116" s="65" t="s">
        <v>154</v>
      </c>
      <c r="L116" s="73">
        <f>SUM(L117:L117)</f>
        <v>0</v>
      </c>
      <c r="M116" s="91" t="s">
        <v>154</v>
      </c>
      <c r="AG116" s="64" t="s">
        <v>154</v>
      </c>
      <c r="AQ116" s="59">
        <f>SUM(AH117:AH117)</f>
        <v>0</v>
      </c>
      <c r="AR116" s="59">
        <f>SUM(AI117:AI117)</f>
        <v>0</v>
      </c>
      <c r="AS116" s="59">
        <f>SUM(AJ117:AJ117)</f>
        <v>0</v>
      </c>
    </row>
    <row r="117" spans="1:73" ht="27" customHeight="1" x14ac:dyDescent="0.3">
      <c r="A117" s="82" t="s">
        <v>329</v>
      </c>
      <c r="B117" s="60" t="s">
        <v>624</v>
      </c>
      <c r="C117" s="551" t="s">
        <v>625</v>
      </c>
      <c r="D117" s="565"/>
      <c r="E117" s="60" t="s">
        <v>160</v>
      </c>
      <c r="F117" s="70">
        <v>4</v>
      </c>
      <c r="G117" s="311">
        <v>0</v>
      </c>
      <c r="H117" s="70">
        <f>F117*AM117</f>
        <v>0</v>
      </c>
      <c r="I117" s="70">
        <f>F117*AN117</f>
        <v>0</v>
      </c>
      <c r="J117" s="70">
        <f>F117*G117</f>
        <v>0</v>
      </c>
      <c r="K117" s="70">
        <v>0</v>
      </c>
      <c r="L117" s="70">
        <f>F117*K117</f>
        <v>0</v>
      </c>
      <c r="M117" s="89" t="s">
        <v>472</v>
      </c>
      <c r="X117" s="70">
        <f>IF(AO117="5",BH117,0)</f>
        <v>0</v>
      </c>
      <c r="Z117" s="70">
        <f>IF(AO117="1",BF117,0)</f>
        <v>0</v>
      </c>
      <c r="AA117" s="70">
        <f>IF(AO117="1",BG117,0)</f>
        <v>0</v>
      </c>
      <c r="AB117" s="70">
        <f>IF(AO117="7",BF117,0)</f>
        <v>0</v>
      </c>
      <c r="AC117" s="70">
        <f>IF(AO117="7",BG117,0)</f>
        <v>0</v>
      </c>
      <c r="AD117" s="70">
        <f>IF(AO117="2",BF117,0)</f>
        <v>0</v>
      </c>
      <c r="AE117" s="70">
        <f>IF(AO117="2",BG117,0)</f>
        <v>0</v>
      </c>
      <c r="AF117" s="70">
        <f>IF(AO117="0",BH117,0)</f>
        <v>0</v>
      </c>
      <c r="AG117" s="64" t="s">
        <v>154</v>
      </c>
      <c r="AH117" s="70">
        <f>IF(AL117=0,J117,0)</f>
        <v>0</v>
      </c>
      <c r="AI117" s="70">
        <f>IF(AL117=15,J117,0)</f>
        <v>0</v>
      </c>
      <c r="AJ117" s="70">
        <f>IF(AL117=21,J117,0)</f>
        <v>0</v>
      </c>
      <c r="AL117" s="70">
        <v>21</v>
      </c>
      <c r="AM117" s="70">
        <f>G117*0</f>
        <v>0</v>
      </c>
      <c r="AN117" s="70">
        <f>G117*(1-0)</f>
        <v>0</v>
      </c>
      <c r="AO117" s="71" t="s">
        <v>166</v>
      </c>
      <c r="AT117" s="70">
        <f>AU117+AV117</f>
        <v>0</v>
      </c>
      <c r="AU117" s="70">
        <f>F117*AM117</f>
        <v>0</v>
      </c>
      <c r="AV117" s="70">
        <f>F117*AN117</f>
        <v>0</v>
      </c>
      <c r="AW117" s="71" t="s">
        <v>626</v>
      </c>
      <c r="AX117" s="71" t="s">
        <v>375</v>
      </c>
      <c r="AY117" s="64" t="s">
        <v>164</v>
      </c>
      <c r="BA117" s="70">
        <f>AU117+AV117</f>
        <v>0</v>
      </c>
      <c r="BB117" s="70">
        <f>G117/(100-BC117)*100</f>
        <v>0</v>
      </c>
      <c r="BC117" s="70">
        <v>0</v>
      </c>
      <c r="BD117" s="70">
        <f>L117</f>
        <v>0</v>
      </c>
      <c r="BF117" s="70">
        <f>F117*AM117</f>
        <v>0</v>
      </c>
      <c r="BG117" s="70">
        <f>F117*AN117</f>
        <v>0</v>
      </c>
      <c r="BH117" s="70">
        <f>F117*G117</f>
        <v>0</v>
      </c>
      <c r="BI117" s="70"/>
      <c r="BJ117" s="70"/>
      <c r="BU117" s="70" t="e">
        <f>#REF!</f>
        <v>#REF!</v>
      </c>
    </row>
    <row r="118" spans="1:73" ht="27" customHeight="1" x14ac:dyDescent="0.3">
      <c r="A118" s="90"/>
      <c r="B118" s="72" t="s">
        <v>165</v>
      </c>
      <c r="C118" s="581" t="s">
        <v>824</v>
      </c>
      <c r="D118" s="582"/>
      <c r="E118" s="582"/>
      <c r="F118" s="582"/>
      <c r="G118" s="582"/>
      <c r="H118" s="582"/>
      <c r="I118" s="582"/>
      <c r="J118" s="582"/>
      <c r="K118" s="582"/>
      <c r="L118" s="582"/>
      <c r="M118" s="583"/>
    </row>
    <row r="119" spans="1:73" ht="15" customHeight="1" x14ac:dyDescent="0.3">
      <c r="A119" s="82" t="s">
        <v>154</v>
      </c>
      <c r="B119" s="61" t="s">
        <v>627</v>
      </c>
      <c r="C119" s="564" t="s">
        <v>628</v>
      </c>
      <c r="D119" s="571"/>
      <c r="E119" s="60" t="s">
        <v>114</v>
      </c>
      <c r="F119" s="60" t="s">
        <v>114</v>
      </c>
      <c r="G119" s="60" t="s">
        <v>114</v>
      </c>
      <c r="H119" s="73">
        <f>SUM(H120:H120)</f>
        <v>0</v>
      </c>
      <c r="I119" s="73">
        <f>SUM(I120:I120)</f>
        <v>0</v>
      </c>
      <c r="J119" s="73">
        <f>SUM(J120:J120)</f>
        <v>0</v>
      </c>
      <c r="K119" s="65" t="s">
        <v>154</v>
      </c>
      <c r="L119" s="73">
        <f>SUM(L120:L120)</f>
        <v>0</v>
      </c>
      <c r="M119" s="91" t="s">
        <v>154</v>
      </c>
      <c r="AG119" s="64" t="s">
        <v>154</v>
      </c>
      <c r="AQ119" s="59">
        <f>SUM(AH120:AH120)</f>
        <v>0</v>
      </c>
      <c r="AR119" s="59">
        <f>SUM(AI120:AI120)</f>
        <v>0</v>
      </c>
      <c r="AS119" s="59">
        <f>SUM(AJ120:AJ120)</f>
        <v>0</v>
      </c>
    </row>
    <row r="120" spans="1:73" ht="13.5" customHeight="1" x14ac:dyDescent="0.3">
      <c r="A120" s="82" t="s">
        <v>332</v>
      </c>
      <c r="B120" s="60" t="s">
        <v>647</v>
      </c>
      <c r="C120" s="551" t="s">
        <v>648</v>
      </c>
      <c r="D120" s="565"/>
      <c r="E120" s="60" t="s">
        <v>365</v>
      </c>
      <c r="F120" s="70">
        <v>2</v>
      </c>
      <c r="G120" s="311">
        <v>0</v>
      </c>
      <c r="H120" s="70">
        <f>F120*AM120</f>
        <v>0</v>
      </c>
      <c r="I120" s="70">
        <f>F120*AN120</f>
        <v>0</v>
      </c>
      <c r="J120" s="70">
        <f>F120*G120</f>
        <v>0</v>
      </c>
      <c r="K120" s="70">
        <v>0</v>
      </c>
      <c r="L120" s="70">
        <f>F120*K120</f>
        <v>0</v>
      </c>
      <c r="M120" s="89" t="s">
        <v>472</v>
      </c>
      <c r="X120" s="70">
        <f>IF(AO120="5",BH120,0)</f>
        <v>0</v>
      </c>
      <c r="Z120" s="70">
        <f>IF(AO120="1",BF120,0)</f>
        <v>0</v>
      </c>
      <c r="AA120" s="70">
        <f>IF(AO120="1",BG120,0)</f>
        <v>0</v>
      </c>
      <c r="AB120" s="70">
        <f>IF(AO120="7",BF120,0)</f>
        <v>0</v>
      </c>
      <c r="AC120" s="70">
        <f>IF(AO120="7",BG120,0)</f>
        <v>0</v>
      </c>
      <c r="AD120" s="70">
        <f>IF(AO120="2",BF120,0)</f>
        <v>0</v>
      </c>
      <c r="AE120" s="70">
        <f>IF(AO120="2",BG120,0)</f>
        <v>0</v>
      </c>
      <c r="AF120" s="70">
        <f>IF(AO120="0",BH120,0)</f>
        <v>0</v>
      </c>
      <c r="AG120" s="64" t="s">
        <v>154</v>
      </c>
      <c r="AH120" s="70">
        <f>IF(AL120=0,J120,0)</f>
        <v>0</v>
      </c>
      <c r="AI120" s="70">
        <f>IF(AL120=15,J120,0)</f>
        <v>0</v>
      </c>
      <c r="AJ120" s="70">
        <f>IF(AL120=21,J120,0)</f>
        <v>0</v>
      </c>
      <c r="AL120" s="70">
        <v>21</v>
      </c>
      <c r="AM120" s="70">
        <f>G120*0</f>
        <v>0</v>
      </c>
      <c r="AN120" s="70">
        <f>G120*(1-0)</f>
        <v>0</v>
      </c>
      <c r="AO120" s="71" t="s">
        <v>166</v>
      </c>
      <c r="AT120" s="70">
        <f>AU120+AV120</f>
        <v>0</v>
      </c>
      <c r="AU120" s="70">
        <f>F120*AM120</f>
        <v>0</v>
      </c>
      <c r="AV120" s="70">
        <f>F120*AN120</f>
        <v>0</v>
      </c>
      <c r="AW120" s="71" t="s">
        <v>632</v>
      </c>
      <c r="AX120" s="71" t="s">
        <v>375</v>
      </c>
      <c r="AY120" s="64" t="s">
        <v>164</v>
      </c>
      <c r="BA120" s="70">
        <f>AU120+AV120</f>
        <v>0</v>
      </c>
      <c r="BB120" s="70">
        <f>G120/(100-BC120)*100</f>
        <v>0</v>
      </c>
      <c r="BC120" s="70">
        <v>0</v>
      </c>
      <c r="BD120" s="70">
        <f>L120</f>
        <v>0</v>
      </c>
      <c r="BF120" s="70">
        <f>F120*AM120</f>
        <v>0</v>
      </c>
      <c r="BG120" s="70">
        <f>F120*AN120</f>
        <v>0</v>
      </c>
      <c r="BH120" s="70">
        <f>F120*G120</f>
        <v>0</v>
      </c>
      <c r="BI120" s="70"/>
      <c r="BJ120" s="70"/>
      <c r="BU120" s="70" t="e">
        <f>#REF!</f>
        <v>#REF!</v>
      </c>
    </row>
    <row r="121" spans="1:73" ht="27" customHeight="1" x14ac:dyDescent="0.3">
      <c r="A121" s="90"/>
      <c r="B121" s="72" t="s">
        <v>165</v>
      </c>
      <c r="C121" s="581" t="s">
        <v>645</v>
      </c>
      <c r="D121" s="582"/>
      <c r="E121" s="582"/>
      <c r="F121" s="582"/>
      <c r="G121" s="582"/>
      <c r="H121" s="582"/>
      <c r="I121" s="582"/>
      <c r="J121" s="582"/>
      <c r="K121" s="582"/>
      <c r="L121" s="582"/>
      <c r="M121" s="583"/>
    </row>
    <row r="122" spans="1:73" ht="15" customHeight="1" x14ac:dyDescent="0.3">
      <c r="A122" s="82" t="s">
        <v>154</v>
      </c>
      <c r="B122" s="61" t="s">
        <v>154</v>
      </c>
      <c r="C122" s="564" t="s">
        <v>449</v>
      </c>
      <c r="D122" s="571"/>
      <c r="E122" s="60" t="s">
        <v>114</v>
      </c>
      <c r="F122" s="60" t="s">
        <v>114</v>
      </c>
      <c r="G122" s="60" t="s">
        <v>114</v>
      </c>
      <c r="H122" s="73">
        <f>SUM(H123:H139)</f>
        <v>0</v>
      </c>
      <c r="I122" s="73">
        <f>SUM(I123:I139)</f>
        <v>0</v>
      </c>
      <c r="J122" s="73">
        <f>SUM(J123:J139)</f>
        <v>0</v>
      </c>
      <c r="K122" s="65" t="s">
        <v>154</v>
      </c>
      <c r="L122" s="73">
        <f>SUM(L123:L139)</f>
        <v>3.7483999999999996E-2</v>
      </c>
      <c r="M122" s="91" t="s">
        <v>154</v>
      </c>
      <c r="AG122" s="64" t="s">
        <v>154</v>
      </c>
      <c r="AQ122" s="59">
        <f>SUM(AH123:AH139)</f>
        <v>0</v>
      </c>
      <c r="AR122" s="59">
        <f>SUM(AI123:AI139)</f>
        <v>0</v>
      </c>
      <c r="AS122" s="59">
        <f>SUM(AJ123:AJ139)</f>
        <v>0</v>
      </c>
    </row>
    <row r="123" spans="1:73" ht="27" customHeight="1" x14ac:dyDescent="0.3">
      <c r="A123" s="82" t="s">
        <v>337</v>
      </c>
      <c r="B123" s="60" t="s">
        <v>687</v>
      </c>
      <c r="C123" s="551" t="s">
        <v>688</v>
      </c>
      <c r="D123" s="565"/>
      <c r="E123" s="60" t="s">
        <v>160</v>
      </c>
      <c r="F123" s="70">
        <v>4.4000000000000004</v>
      </c>
      <c r="G123" s="311">
        <v>0</v>
      </c>
      <c r="H123" s="70">
        <f>F123*AM123</f>
        <v>0</v>
      </c>
      <c r="I123" s="70">
        <f>F123*AN123</f>
        <v>0</v>
      </c>
      <c r="J123" s="70">
        <f>F123*G123</f>
        <v>0</v>
      </c>
      <c r="K123" s="70">
        <v>2.5300000000000001E-3</v>
      </c>
      <c r="L123" s="70">
        <f>F123*K123</f>
        <v>1.1132000000000001E-2</v>
      </c>
      <c r="M123" s="89" t="s">
        <v>472</v>
      </c>
      <c r="X123" s="70">
        <f>IF(AO123="5",BH123,0)</f>
        <v>0</v>
      </c>
      <c r="Z123" s="70">
        <f>IF(AO123="1",BF123,0)</f>
        <v>0</v>
      </c>
      <c r="AA123" s="70">
        <f>IF(AO123="1",BG123,0)</f>
        <v>0</v>
      </c>
      <c r="AB123" s="70">
        <f>IF(AO123="7",BF123,0)</f>
        <v>0</v>
      </c>
      <c r="AC123" s="70">
        <f>IF(AO123="7",BG123,0)</f>
        <v>0</v>
      </c>
      <c r="AD123" s="70">
        <f>IF(AO123="2",BF123,0)</f>
        <v>0</v>
      </c>
      <c r="AE123" s="70">
        <f>IF(AO123="2",BG123,0)</f>
        <v>0</v>
      </c>
      <c r="AF123" s="70">
        <f>IF(AO123="0",BH123,0)</f>
        <v>0</v>
      </c>
      <c r="AG123" s="64" t="s">
        <v>154</v>
      </c>
      <c r="AH123" s="70">
        <f>IF(AL123=0,J123,0)</f>
        <v>0</v>
      </c>
      <c r="AI123" s="70">
        <f>IF(AL123=15,J123,0)</f>
        <v>0</v>
      </c>
      <c r="AJ123" s="70">
        <f>IF(AL123=21,J123,0)</f>
        <v>0</v>
      </c>
      <c r="AL123" s="70">
        <v>21</v>
      </c>
      <c r="AM123" s="70">
        <f>G123*1</f>
        <v>0</v>
      </c>
      <c r="AN123" s="70">
        <f>G123*(1-1)</f>
        <v>0</v>
      </c>
      <c r="AO123" s="71" t="s">
        <v>453</v>
      </c>
      <c r="AT123" s="70">
        <f>AU123+AV123</f>
        <v>0</v>
      </c>
      <c r="AU123" s="70">
        <f>F123*AM123</f>
        <v>0</v>
      </c>
      <c r="AV123" s="70">
        <f>F123*AN123</f>
        <v>0</v>
      </c>
      <c r="AW123" s="71" t="s">
        <v>454</v>
      </c>
      <c r="AX123" s="71" t="s">
        <v>455</v>
      </c>
      <c r="AY123" s="64" t="s">
        <v>164</v>
      </c>
      <c r="BA123" s="70">
        <f>AU123+AV123</f>
        <v>0</v>
      </c>
      <c r="BB123" s="70">
        <f>G123/(100-BC123)*100</f>
        <v>0</v>
      </c>
      <c r="BC123" s="70">
        <v>0</v>
      </c>
      <c r="BD123" s="70">
        <f>L123</f>
        <v>1.1132000000000001E-2</v>
      </c>
      <c r="BF123" s="70">
        <f>F123*AM123</f>
        <v>0</v>
      </c>
      <c r="BG123" s="70">
        <f>F123*AN123</f>
        <v>0</v>
      </c>
      <c r="BH123" s="70">
        <f>F123*G123</f>
        <v>0</v>
      </c>
      <c r="BI123" s="70"/>
      <c r="BJ123" s="70"/>
      <c r="BU123" s="70" t="e">
        <f>#REF!</f>
        <v>#REF!</v>
      </c>
    </row>
    <row r="124" spans="1:73" ht="67.5" customHeight="1" x14ac:dyDescent="0.3">
      <c r="A124" s="90"/>
      <c r="B124" s="72" t="s">
        <v>165</v>
      </c>
      <c r="C124" s="581" t="s">
        <v>689</v>
      </c>
      <c r="D124" s="582"/>
      <c r="E124" s="582"/>
      <c r="F124" s="582"/>
      <c r="G124" s="582"/>
      <c r="H124" s="582"/>
      <c r="I124" s="582"/>
      <c r="J124" s="582"/>
      <c r="K124" s="582"/>
      <c r="L124" s="582"/>
      <c r="M124" s="583"/>
    </row>
    <row r="125" spans="1:73" ht="13.5" customHeight="1" x14ac:dyDescent="0.3">
      <c r="A125" s="82" t="s">
        <v>341</v>
      </c>
      <c r="B125" s="60" t="s">
        <v>691</v>
      </c>
      <c r="C125" s="551" t="s">
        <v>692</v>
      </c>
      <c r="D125" s="565"/>
      <c r="E125" s="60" t="s">
        <v>471</v>
      </c>
      <c r="F125" s="70">
        <v>3</v>
      </c>
      <c r="G125" s="311">
        <v>0</v>
      </c>
      <c r="H125" s="70">
        <f>F125*AM125</f>
        <v>0</v>
      </c>
      <c r="I125" s="70">
        <f>F125*AN125</f>
        <v>0</v>
      </c>
      <c r="J125" s="70">
        <f>F125*G125</f>
        <v>0</v>
      </c>
      <c r="K125" s="70">
        <v>0</v>
      </c>
      <c r="L125" s="70">
        <f>F125*K125</f>
        <v>0</v>
      </c>
      <c r="M125" s="89" t="s">
        <v>472</v>
      </c>
      <c r="X125" s="70">
        <f>IF(AO125="5",BH125,0)</f>
        <v>0</v>
      </c>
      <c r="Z125" s="70">
        <f>IF(AO125="1",BF125,0)</f>
        <v>0</v>
      </c>
      <c r="AA125" s="70">
        <f>IF(AO125="1",BG125,0)</f>
        <v>0</v>
      </c>
      <c r="AB125" s="70">
        <f>IF(AO125="7",BF125,0)</f>
        <v>0</v>
      </c>
      <c r="AC125" s="70">
        <f>IF(AO125="7",BG125,0)</f>
        <v>0</v>
      </c>
      <c r="AD125" s="70">
        <f>IF(AO125="2",BF125,0)</f>
        <v>0</v>
      </c>
      <c r="AE125" s="70">
        <f>IF(AO125="2",BG125,0)</f>
        <v>0</v>
      </c>
      <c r="AF125" s="70">
        <f>IF(AO125="0",BH125,0)</f>
        <v>0</v>
      </c>
      <c r="AG125" s="64" t="s">
        <v>154</v>
      </c>
      <c r="AH125" s="70">
        <f>IF(AL125=0,J125,0)</f>
        <v>0</v>
      </c>
      <c r="AI125" s="70">
        <f>IF(AL125=15,J125,0)</f>
        <v>0</v>
      </c>
      <c r="AJ125" s="70">
        <f>IF(AL125=21,J125,0)</f>
        <v>0</v>
      </c>
      <c r="AL125" s="70">
        <v>21</v>
      </c>
      <c r="AM125" s="70">
        <f>G125*1</f>
        <v>0</v>
      </c>
      <c r="AN125" s="70">
        <f>G125*(1-1)</f>
        <v>0</v>
      </c>
      <c r="AO125" s="71" t="s">
        <v>453</v>
      </c>
      <c r="AT125" s="70">
        <f>AU125+AV125</f>
        <v>0</v>
      </c>
      <c r="AU125" s="70">
        <f>F125*AM125</f>
        <v>0</v>
      </c>
      <c r="AV125" s="70">
        <f>F125*AN125</f>
        <v>0</v>
      </c>
      <c r="AW125" s="71" t="s">
        <v>454</v>
      </c>
      <c r="AX125" s="71" t="s">
        <v>455</v>
      </c>
      <c r="AY125" s="64" t="s">
        <v>164</v>
      </c>
      <c r="BA125" s="70">
        <f>AU125+AV125</f>
        <v>0</v>
      </c>
      <c r="BB125" s="70">
        <f>G125/(100-BC125)*100</f>
        <v>0</v>
      </c>
      <c r="BC125" s="70">
        <v>0</v>
      </c>
      <c r="BD125" s="70">
        <f>L125</f>
        <v>0</v>
      </c>
      <c r="BF125" s="70">
        <f>F125*AM125</f>
        <v>0</v>
      </c>
      <c r="BG125" s="70">
        <f>F125*AN125</f>
        <v>0</v>
      </c>
      <c r="BH125" s="70">
        <f>F125*G125</f>
        <v>0</v>
      </c>
      <c r="BI125" s="70"/>
      <c r="BJ125" s="70"/>
      <c r="BU125" s="70" t="e">
        <f>#REF!</f>
        <v>#REF!</v>
      </c>
    </row>
    <row r="126" spans="1:73" ht="13.5" customHeight="1" x14ac:dyDescent="0.3">
      <c r="A126" s="90"/>
      <c r="B126" s="72" t="s">
        <v>165</v>
      </c>
      <c r="C126" s="581" t="s">
        <v>825</v>
      </c>
      <c r="D126" s="582"/>
      <c r="E126" s="582"/>
      <c r="F126" s="582"/>
      <c r="G126" s="582"/>
      <c r="H126" s="582"/>
      <c r="I126" s="582"/>
      <c r="J126" s="582"/>
      <c r="K126" s="582"/>
      <c r="L126" s="582"/>
      <c r="M126" s="583"/>
    </row>
    <row r="127" spans="1:73" ht="13.5" customHeight="1" x14ac:dyDescent="0.3">
      <c r="A127" s="82" t="s">
        <v>346</v>
      </c>
      <c r="B127" s="60" t="s">
        <v>697</v>
      </c>
      <c r="C127" s="551" t="s">
        <v>698</v>
      </c>
      <c r="D127" s="565"/>
      <c r="E127" s="60" t="s">
        <v>471</v>
      </c>
      <c r="F127" s="70">
        <v>1</v>
      </c>
      <c r="G127" s="311">
        <v>0</v>
      </c>
      <c r="H127" s="70">
        <f t="shared" ref="H127:H132" si="0">F127*AM127</f>
        <v>0</v>
      </c>
      <c r="I127" s="70">
        <f t="shared" ref="I127:I132" si="1">F127*AN127</f>
        <v>0</v>
      </c>
      <c r="J127" s="70">
        <f t="shared" ref="J127:J132" si="2">F127*G127</f>
        <v>0</v>
      </c>
      <c r="K127" s="70">
        <v>9.4999999999999998E-3</v>
      </c>
      <c r="L127" s="70">
        <f t="shared" ref="L127:L132" si="3">F127*K127</f>
        <v>9.4999999999999998E-3</v>
      </c>
      <c r="M127" s="89" t="s">
        <v>472</v>
      </c>
      <c r="X127" s="70">
        <f t="shared" ref="X127:X132" si="4">IF(AO127="5",BH127,0)</f>
        <v>0</v>
      </c>
      <c r="Z127" s="70">
        <f t="shared" ref="Z127:Z132" si="5">IF(AO127="1",BF127,0)</f>
        <v>0</v>
      </c>
      <c r="AA127" s="70">
        <f t="shared" ref="AA127:AA132" si="6">IF(AO127="1",BG127,0)</f>
        <v>0</v>
      </c>
      <c r="AB127" s="70">
        <f t="shared" ref="AB127:AB132" si="7">IF(AO127="7",BF127,0)</f>
        <v>0</v>
      </c>
      <c r="AC127" s="70">
        <f t="shared" ref="AC127:AC132" si="8">IF(AO127="7",BG127,0)</f>
        <v>0</v>
      </c>
      <c r="AD127" s="70">
        <f t="shared" ref="AD127:AD132" si="9">IF(AO127="2",BF127,0)</f>
        <v>0</v>
      </c>
      <c r="AE127" s="70">
        <f t="shared" ref="AE127:AE132" si="10">IF(AO127="2",BG127,0)</f>
        <v>0</v>
      </c>
      <c r="AF127" s="70">
        <f t="shared" ref="AF127:AF132" si="11">IF(AO127="0",BH127,0)</f>
        <v>0</v>
      </c>
      <c r="AG127" s="64" t="s">
        <v>154</v>
      </c>
      <c r="AH127" s="70">
        <f t="shared" ref="AH127:AH132" si="12">IF(AL127=0,J127,0)</f>
        <v>0</v>
      </c>
      <c r="AI127" s="70">
        <f t="shared" ref="AI127:AI132" si="13">IF(AL127=15,J127,0)</f>
        <v>0</v>
      </c>
      <c r="AJ127" s="70">
        <f t="shared" ref="AJ127:AJ132" si="14">IF(AL127=21,J127,0)</f>
        <v>0</v>
      </c>
      <c r="AL127" s="70">
        <v>21</v>
      </c>
      <c r="AM127" s="70">
        <f t="shared" ref="AM127:AM132" si="15">G127*1</f>
        <v>0</v>
      </c>
      <c r="AN127" s="70">
        <f t="shared" ref="AN127:AN132" si="16">G127*(1-1)</f>
        <v>0</v>
      </c>
      <c r="AO127" s="71" t="s">
        <v>453</v>
      </c>
      <c r="AT127" s="70">
        <f t="shared" ref="AT127:AT132" si="17">AU127+AV127</f>
        <v>0</v>
      </c>
      <c r="AU127" s="70">
        <f t="shared" ref="AU127:AU132" si="18">F127*AM127</f>
        <v>0</v>
      </c>
      <c r="AV127" s="70">
        <f t="shared" ref="AV127:AV132" si="19">F127*AN127</f>
        <v>0</v>
      </c>
      <c r="AW127" s="71" t="s">
        <v>454</v>
      </c>
      <c r="AX127" s="71" t="s">
        <v>455</v>
      </c>
      <c r="AY127" s="64" t="s">
        <v>164</v>
      </c>
      <c r="BA127" s="70">
        <f t="shared" ref="BA127:BA132" si="20">AU127+AV127</f>
        <v>0</v>
      </c>
      <c r="BB127" s="70">
        <f t="shared" ref="BB127:BB132" si="21">G127/(100-BC127)*100</f>
        <v>0</v>
      </c>
      <c r="BC127" s="70">
        <v>0</v>
      </c>
      <c r="BD127" s="70">
        <f t="shared" ref="BD127:BD132" si="22">L127</f>
        <v>9.4999999999999998E-3</v>
      </c>
      <c r="BF127" s="70">
        <f t="shared" ref="BF127:BF132" si="23">F127*AM127</f>
        <v>0</v>
      </c>
      <c r="BG127" s="70">
        <f t="shared" ref="BG127:BG132" si="24">F127*AN127</f>
        <v>0</v>
      </c>
      <c r="BH127" s="70">
        <f t="shared" ref="BH127:BH132" si="25">F127*G127</f>
        <v>0</v>
      </c>
      <c r="BI127" s="70"/>
      <c r="BJ127" s="70"/>
      <c r="BU127" s="70" t="e">
        <f>#REF!</f>
        <v>#REF!</v>
      </c>
    </row>
    <row r="128" spans="1:73" ht="13.5" customHeight="1" x14ac:dyDescent="0.3">
      <c r="A128" s="82" t="s">
        <v>352</v>
      </c>
      <c r="B128" s="60" t="s">
        <v>712</v>
      </c>
      <c r="C128" s="551" t="s">
        <v>713</v>
      </c>
      <c r="D128" s="565"/>
      <c r="E128" s="60" t="s">
        <v>471</v>
      </c>
      <c r="F128" s="70">
        <v>1</v>
      </c>
      <c r="G128" s="311">
        <v>0</v>
      </c>
      <c r="H128" s="70">
        <f t="shared" si="0"/>
        <v>0</v>
      </c>
      <c r="I128" s="70">
        <f t="shared" si="1"/>
        <v>0</v>
      </c>
      <c r="J128" s="70">
        <f t="shared" si="2"/>
        <v>0</v>
      </c>
      <c r="K128" s="70">
        <v>0</v>
      </c>
      <c r="L128" s="70">
        <f t="shared" si="3"/>
        <v>0</v>
      </c>
      <c r="M128" s="89" t="s">
        <v>154</v>
      </c>
      <c r="X128" s="70">
        <f t="shared" si="4"/>
        <v>0</v>
      </c>
      <c r="Z128" s="70">
        <f t="shared" si="5"/>
        <v>0</v>
      </c>
      <c r="AA128" s="70">
        <f t="shared" si="6"/>
        <v>0</v>
      </c>
      <c r="AB128" s="70">
        <f t="shared" si="7"/>
        <v>0</v>
      </c>
      <c r="AC128" s="70">
        <f t="shared" si="8"/>
        <v>0</v>
      </c>
      <c r="AD128" s="70">
        <f t="shared" si="9"/>
        <v>0</v>
      </c>
      <c r="AE128" s="70">
        <f t="shared" si="10"/>
        <v>0</v>
      </c>
      <c r="AF128" s="70">
        <f t="shared" si="11"/>
        <v>0</v>
      </c>
      <c r="AG128" s="64" t="s">
        <v>154</v>
      </c>
      <c r="AH128" s="70">
        <f t="shared" si="12"/>
        <v>0</v>
      </c>
      <c r="AI128" s="70">
        <f t="shared" si="13"/>
        <v>0</v>
      </c>
      <c r="AJ128" s="70">
        <f t="shared" si="14"/>
        <v>0</v>
      </c>
      <c r="AL128" s="70">
        <v>21</v>
      </c>
      <c r="AM128" s="70">
        <f t="shared" si="15"/>
        <v>0</v>
      </c>
      <c r="AN128" s="70">
        <f t="shared" si="16"/>
        <v>0</v>
      </c>
      <c r="AO128" s="71" t="s">
        <v>453</v>
      </c>
      <c r="AT128" s="70">
        <f t="shared" si="17"/>
        <v>0</v>
      </c>
      <c r="AU128" s="70">
        <f t="shared" si="18"/>
        <v>0</v>
      </c>
      <c r="AV128" s="70">
        <f t="shared" si="19"/>
        <v>0</v>
      </c>
      <c r="AW128" s="71" t="s">
        <v>454</v>
      </c>
      <c r="AX128" s="71" t="s">
        <v>455</v>
      </c>
      <c r="AY128" s="64" t="s">
        <v>164</v>
      </c>
      <c r="BA128" s="70">
        <f t="shared" si="20"/>
        <v>0</v>
      </c>
      <c r="BB128" s="70">
        <f t="shared" si="21"/>
        <v>0</v>
      </c>
      <c r="BC128" s="70">
        <v>0</v>
      </c>
      <c r="BD128" s="70">
        <f t="shared" si="22"/>
        <v>0</v>
      </c>
      <c r="BF128" s="70">
        <f t="shared" si="23"/>
        <v>0</v>
      </c>
      <c r="BG128" s="70">
        <f t="shared" si="24"/>
        <v>0</v>
      </c>
      <c r="BH128" s="70">
        <f t="shared" si="25"/>
        <v>0</v>
      </c>
      <c r="BI128" s="70"/>
      <c r="BJ128" s="70"/>
      <c r="BU128" s="70" t="e">
        <f>#REF!</f>
        <v>#REF!</v>
      </c>
    </row>
    <row r="129" spans="1:73" ht="13.5" customHeight="1" x14ac:dyDescent="0.3">
      <c r="A129" s="82" t="s">
        <v>357</v>
      </c>
      <c r="B129" s="60" t="s">
        <v>718</v>
      </c>
      <c r="C129" s="551" t="s">
        <v>719</v>
      </c>
      <c r="D129" s="565"/>
      <c r="E129" s="60" t="s">
        <v>471</v>
      </c>
      <c r="F129" s="70">
        <v>1</v>
      </c>
      <c r="G129" s="311">
        <v>0</v>
      </c>
      <c r="H129" s="70">
        <f t="shared" si="0"/>
        <v>0</v>
      </c>
      <c r="I129" s="70">
        <f t="shared" si="1"/>
        <v>0</v>
      </c>
      <c r="J129" s="70">
        <f t="shared" si="2"/>
        <v>0</v>
      </c>
      <c r="K129" s="70">
        <v>0</v>
      </c>
      <c r="L129" s="70">
        <f t="shared" si="3"/>
        <v>0</v>
      </c>
      <c r="M129" s="89" t="s">
        <v>154</v>
      </c>
      <c r="X129" s="70">
        <f t="shared" si="4"/>
        <v>0</v>
      </c>
      <c r="Z129" s="70">
        <f t="shared" si="5"/>
        <v>0</v>
      </c>
      <c r="AA129" s="70">
        <f t="shared" si="6"/>
        <v>0</v>
      </c>
      <c r="AB129" s="70">
        <f t="shared" si="7"/>
        <v>0</v>
      </c>
      <c r="AC129" s="70">
        <f t="shared" si="8"/>
        <v>0</v>
      </c>
      <c r="AD129" s="70">
        <f t="shared" si="9"/>
        <v>0</v>
      </c>
      <c r="AE129" s="70">
        <f t="shared" si="10"/>
        <v>0</v>
      </c>
      <c r="AF129" s="70">
        <f t="shared" si="11"/>
        <v>0</v>
      </c>
      <c r="AG129" s="64" t="s">
        <v>154</v>
      </c>
      <c r="AH129" s="70">
        <f t="shared" si="12"/>
        <v>0</v>
      </c>
      <c r="AI129" s="70">
        <f t="shared" si="13"/>
        <v>0</v>
      </c>
      <c r="AJ129" s="70">
        <f t="shared" si="14"/>
        <v>0</v>
      </c>
      <c r="AL129" s="70">
        <v>21</v>
      </c>
      <c r="AM129" s="70">
        <f t="shared" si="15"/>
        <v>0</v>
      </c>
      <c r="AN129" s="70">
        <f t="shared" si="16"/>
        <v>0</v>
      </c>
      <c r="AO129" s="71" t="s">
        <v>453</v>
      </c>
      <c r="AT129" s="70">
        <f t="shared" si="17"/>
        <v>0</v>
      </c>
      <c r="AU129" s="70">
        <f t="shared" si="18"/>
        <v>0</v>
      </c>
      <c r="AV129" s="70">
        <f t="shared" si="19"/>
        <v>0</v>
      </c>
      <c r="AW129" s="71" t="s">
        <v>454</v>
      </c>
      <c r="AX129" s="71" t="s">
        <v>455</v>
      </c>
      <c r="AY129" s="64" t="s">
        <v>164</v>
      </c>
      <c r="BA129" s="70">
        <f t="shared" si="20"/>
        <v>0</v>
      </c>
      <c r="BB129" s="70">
        <f t="shared" si="21"/>
        <v>0</v>
      </c>
      <c r="BC129" s="70">
        <v>0</v>
      </c>
      <c r="BD129" s="70">
        <f t="shared" si="22"/>
        <v>0</v>
      </c>
      <c r="BF129" s="70">
        <f t="shared" si="23"/>
        <v>0</v>
      </c>
      <c r="BG129" s="70">
        <f t="shared" si="24"/>
        <v>0</v>
      </c>
      <c r="BH129" s="70">
        <f t="shared" si="25"/>
        <v>0</v>
      </c>
      <c r="BI129" s="70"/>
      <c r="BJ129" s="70"/>
      <c r="BU129" s="70" t="e">
        <f>#REF!</f>
        <v>#REF!</v>
      </c>
    </row>
    <row r="130" spans="1:73" ht="27" customHeight="1" x14ac:dyDescent="0.3">
      <c r="A130" s="82" t="s">
        <v>362</v>
      </c>
      <c r="B130" s="60" t="s">
        <v>826</v>
      </c>
      <c r="C130" s="551" t="s">
        <v>827</v>
      </c>
      <c r="D130" s="565"/>
      <c r="E130" s="60" t="s">
        <v>471</v>
      </c>
      <c r="F130" s="70">
        <v>1</v>
      </c>
      <c r="G130" s="311">
        <v>0</v>
      </c>
      <c r="H130" s="70">
        <f t="shared" si="0"/>
        <v>0</v>
      </c>
      <c r="I130" s="70">
        <f t="shared" si="1"/>
        <v>0</v>
      </c>
      <c r="J130" s="70">
        <f t="shared" si="2"/>
        <v>0</v>
      </c>
      <c r="K130" s="70">
        <v>0</v>
      </c>
      <c r="L130" s="70">
        <f t="shared" si="3"/>
        <v>0</v>
      </c>
      <c r="M130" s="89" t="s">
        <v>472</v>
      </c>
      <c r="X130" s="70">
        <f t="shared" si="4"/>
        <v>0</v>
      </c>
      <c r="Z130" s="70">
        <f t="shared" si="5"/>
        <v>0</v>
      </c>
      <c r="AA130" s="70">
        <f t="shared" si="6"/>
        <v>0</v>
      </c>
      <c r="AB130" s="70">
        <f t="shared" si="7"/>
        <v>0</v>
      </c>
      <c r="AC130" s="70">
        <f t="shared" si="8"/>
        <v>0</v>
      </c>
      <c r="AD130" s="70">
        <f t="shared" si="9"/>
        <v>0</v>
      </c>
      <c r="AE130" s="70">
        <f t="shared" si="10"/>
        <v>0</v>
      </c>
      <c r="AF130" s="70">
        <f t="shared" si="11"/>
        <v>0</v>
      </c>
      <c r="AG130" s="64" t="s">
        <v>154</v>
      </c>
      <c r="AH130" s="70">
        <f t="shared" si="12"/>
        <v>0</v>
      </c>
      <c r="AI130" s="70">
        <f t="shared" si="13"/>
        <v>0</v>
      </c>
      <c r="AJ130" s="70">
        <f t="shared" si="14"/>
        <v>0</v>
      </c>
      <c r="AL130" s="70">
        <v>21</v>
      </c>
      <c r="AM130" s="70">
        <f t="shared" si="15"/>
        <v>0</v>
      </c>
      <c r="AN130" s="70">
        <f t="shared" si="16"/>
        <v>0</v>
      </c>
      <c r="AO130" s="71" t="s">
        <v>453</v>
      </c>
      <c r="AT130" s="70">
        <f t="shared" si="17"/>
        <v>0</v>
      </c>
      <c r="AU130" s="70">
        <f t="shared" si="18"/>
        <v>0</v>
      </c>
      <c r="AV130" s="70">
        <f t="shared" si="19"/>
        <v>0</v>
      </c>
      <c r="AW130" s="71" t="s">
        <v>454</v>
      </c>
      <c r="AX130" s="71" t="s">
        <v>455</v>
      </c>
      <c r="AY130" s="64" t="s">
        <v>164</v>
      </c>
      <c r="BA130" s="70">
        <f t="shared" si="20"/>
        <v>0</v>
      </c>
      <c r="BB130" s="70">
        <f t="shared" si="21"/>
        <v>0</v>
      </c>
      <c r="BC130" s="70">
        <v>0</v>
      </c>
      <c r="BD130" s="70">
        <f t="shared" si="22"/>
        <v>0</v>
      </c>
      <c r="BF130" s="70">
        <f t="shared" si="23"/>
        <v>0</v>
      </c>
      <c r="BG130" s="70">
        <f t="shared" si="24"/>
        <v>0</v>
      </c>
      <c r="BH130" s="70">
        <f t="shared" si="25"/>
        <v>0</v>
      </c>
      <c r="BI130" s="70"/>
      <c r="BJ130" s="70"/>
      <c r="BU130" s="70" t="e">
        <f>#REF!</f>
        <v>#REF!</v>
      </c>
    </row>
    <row r="131" spans="1:73" ht="27" customHeight="1" x14ac:dyDescent="0.3">
      <c r="A131" s="82" t="s">
        <v>367</v>
      </c>
      <c r="B131" s="60" t="s">
        <v>760</v>
      </c>
      <c r="C131" s="551" t="s">
        <v>761</v>
      </c>
      <c r="D131" s="565"/>
      <c r="E131" s="60" t="s">
        <v>471</v>
      </c>
      <c r="F131" s="70">
        <v>1</v>
      </c>
      <c r="G131" s="311">
        <v>0</v>
      </c>
      <c r="H131" s="70">
        <f t="shared" si="0"/>
        <v>0</v>
      </c>
      <c r="I131" s="70">
        <f t="shared" si="1"/>
        <v>0</v>
      </c>
      <c r="J131" s="70">
        <f t="shared" si="2"/>
        <v>0</v>
      </c>
      <c r="K131" s="70">
        <v>0</v>
      </c>
      <c r="L131" s="70">
        <f t="shared" si="3"/>
        <v>0</v>
      </c>
      <c r="M131" s="89" t="s">
        <v>154</v>
      </c>
      <c r="X131" s="70">
        <f t="shared" si="4"/>
        <v>0</v>
      </c>
      <c r="Z131" s="70">
        <f t="shared" si="5"/>
        <v>0</v>
      </c>
      <c r="AA131" s="70">
        <f t="shared" si="6"/>
        <v>0</v>
      </c>
      <c r="AB131" s="70">
        <f t="shared" si="7"/>
        <v>0</v>
      </c>
      <c r="AC131" s="70">
        <f t="shared" si="8"/>
        <v>0</v>
      </c>
      <c r="AD131" s="70">
        <f t="shared" si="9"/>
        <v>0</v>
      </c>
      <c r="AE131" s="70">
        <f t="shared" si="10"/>
        <v>0</v>
      </c>
      <c r="AF131" s="70">
        <f t="shared" si="11"/>
        <v>0</v>
      </c>
      <c r="AG131" s="64" t="s">
        <v>154</v>
      </c>
      <c r="AH131" s="70">
        <f t="shared" si="12"/>
        <v>0</v>
      </c>
      <c r="AI131" s="70">
        <f t="shared" si="13"/>
        <v>0</v>
      </c>
      <c r="AJ131" s="70">
        <f t="shared" si="14"/>
        <v>0</v>
      </c>
      <c r="AL131" s="70">
        <v>21</v>
      </c>
      <c r="AM131" s="70">
        <f t="shared" si="15"/>
        <v>0</v>
      </c>
      <c r="AN131" s="70">
        <f t="shared" si="16"/>
        <v>0</v>
      </c>
      <c r="AO131" s="71" t="s">
        <v>453</v>
      </c>
      <c r="AT131" s="70">
        <f t="shared" si="17"/>
        <v>0</v>
      </c>
      <c r="AU131" s="70">
        <f t="shared" si="18"/>
        <v>0</v>
      </c>
      <c r="AV131" s="70">
        <f t="shared" si="19"/>
        <v>0</v>
      </c>
      <c r="AW131" s="71" t="s">
        <v>454</v>
      </c>
      <c r="AX131" s="71" t="s">
        <v>455</v>
      </c>
      <c r="AY131" s="64" t="s">
        <v>164</v>
      </c>
      <c r="BA131" s="70">
        <f t="shared" si="20"/>
        <v>0</v>
      </c>
      <c r="BB131" s="70">
        <f t="shared" si="21"/>
        <v>0</v>
      </c>
      <c r="BC131" s="70">
        <v>0</v>
      </c>
      <c r="BD131" s="70">
        <f t="shared" si="22"/>
        <v>0</v>
      </c>
      <c r="BF131" s="70">
        <f t="shared" si="23"/>
        <v>0</v>
      </c>
      <c r="BG131" s="70">
        <f t="shared" si="24"/>
        <v>0</v>
      </c>
      <c r="BH131" s="70">
        <f t="shared" si="25"/>
        <v>0</v>
      </c>
      <c r="BI131" s="70"/>
      <c r="BJ131" s="70"/>
      <c r="BU131" s="70" t="e">
        <f>#REF!</f>
        <v>#REF!</v>
      </c>
    </row>
    <row r="132" spans="1:73" ht="27" customHeight="1" x14ac:dyDescent="0.3">
      <c r="A132" s="82" t="s">
        <v>305</v>
      </c>
      <c r="B132" s="60" t="s">
        <v>763</v>
      </c>
      <c r="C132" s="551" t="s">
        <v>764</v>
      </c>
      <c r="D132" s="565"/>
      <c r="E132" s="60" t="s">
        <v>471</v>
      </c>
      <c r="F132" s="70">
        <v>1</v>
      </c>
      <c r="G132" s="311">
        <v>0</v>
      </c>
      <c r="H132" s="70">
        <f t="shared" si="0"/>
        <v>0</v>
      </c>
      <c r="I132" s="70">
        <f t="shared" si="1"/>
        <v>0</v>
      </c>
      <c r="J132" s="70">
        <f t="shared" si="2"/>
        <v>0</v>
      </c>
      <c r="K132" s="70">
        <v>0.01</v>
      </c>
      <c r="L132" s="70">
        <f t="shared" si="3"/>
        <v>0.01</v>
      </c>
      <c r="M132" s="89" t="s">
        <v>472</v>
      </c>
      <c r="X132" s="70">
        <f t="shared" si="4"/>
        <v>0</v>
      </c>
      <c r="Z132" s="70">
        <f t="shared" si="5"/>
        <v>0</v>
      </c>
      <c r="AA132" s="70">
        <f t="shared" si="6"/>
        <v>0</v>
      </c>
      <c r="AB132" s="70">
        <f t="shared" si="7"/>
        <v>0</v>
      </c>
      <c r="AC132" s="70">
        <f t="shared" si="8"/>
        <v>0</v>
      </c>
      <c r="AD132" s="70">
        <f t="shared" si="9"/>
        <v>0</v>
      </c>
      <c r="AE132" s="70">
        <f t="shared" si="10"/>
        <v>0</v>
      </c>
      <c r="AF132" s="70">
        <f t="shared" si="11"/>
        <v>0</v>
      </c>
      <c r="AG132" s="64" t="s">
        <v>154</v>
      </c>
      <c r="AH132" s="70">
        <f t="shared" si="12"/>
        <v>0</v>
      </c>
      <c r="AI132" s="70">
        <f t="shared" si="13"/>
        <v>0</v>
      </c>
      <c r="AJ132" s="70">
        <f t="shared" si="14"/>
        <v>0</v>
      </c>
      <c r="AL132" s="70">
        <v>21</v>
      </c>
      <c r="AM132" s="70">
        <f t="shared" si="15"/>
        <v>0</v>
      </c>
      <c r="AN132" s="70">
        <f t="shared" si="16"/>
        <v>0</v>
      </c>
      <c r="AO132" s="71" t="s">
        <v>453</v>
      </c>
      <c r="AT132" s="70">
        <f t="shared" si="17"/>
        <v>0</v>
      </c>
      <c r="AU132" s="70">
        <f t="shared" si="18"/>
        <v>0</v>
      </c>
      <c r="AV132" s="70">
        <f t="shared" si="19"/>
        <v>0</v>
      </c>
      <c r="AW132" s="71" t="s">
        <v>454</v>
      </c>
      <c r="AX132" s="71" t="s">
        <v>455</v>
      </c>
      <c r="AY132" s="64" t="s">
        <v>164</v>
      </c>
      <c r="BA132" s="70">
        <f t="shared" si="20"/>
        <v>0</v>
      </c>
      <c r="BB132" s="70">
        <f t="shared" si="21"/>
        <v>0</v>
      </c>
      <c r="BC132" s="70">
        <v>0</v>
      </c>
      <c r="BD132" s="70">
        <f t="shared" si="22"/>
        <v>0.01</v>
      </c>
      <c r="BF132" s="70">
        <f t="shared" si="23"/>
        <v>0</v>
      </c>
      <c r="BG132" s="70">
        <f t="shared" si="24"/>
        <v>0</v>
      </c>
      <c r="BH132" s="70">
        <f t="shared" si="25"/>
        <v>0</v>
      </c>
      <c r="BI132" s="70"/>
      <c r="BJ132" s="70"/>
      <c r="BU132" s="70" t="e">
        <f>#REF!</f>
        <v>#REF!</v>
      </c>
    </row>
    <row r="133" spans="1:73" ht="40.5" customHeight="1" x14ac:dyDescent="0.3">
      <c r="A133" s="90"/>
      <c r="B133" s="72" t="s">
        <v>165</v>
      </c>
      <c r="C133" s="581" t="s">
        <v>795</v>
      </c>
      <c r="D133" s="582"/>
      <c r="E133" s="582"/>
      <c r="F133" s="582"/>
      <c r="G133" s="582"/>
      <c r="H133" s="582"/>
      <c r="I133" s="582"/>
      <c r="J133" s="582"/>
      <c r="K133" s="582"/>
      <c r="L133" s="582"/>
      <c r="M133" s="583"/>
    </row>
    <row r="134" spans="1:73" ht="27" customHeight="1" x14ac:dyDescent="0.3">
      <c r="A134" s="82" t="s">
        <v>335</v>
      </c>
      <c r="B134" s="60" t="s">
        <v>766</v>
      </c>
      <c r="C134" s="551" t="s">
        <v>767</v>
      </c>
      <c r="D134" s="565"/>
      <c r="E134" s="60" t="s">
        <v>471</v>
      </c>
      <c r="F134" s="70">
        <v>1</v>
      </c>
      <c r="G134" s="311">
        <v>0</v>
      </c>
      <c r="H134" s="70">
        <f>F134*AM134</f>
        <v>0</v>
      </c>
      <c r="I134" s="70">
        <f>F134*AN134</f>
        <v>0</v>
      </c>
      <c r="J134" s="70">
        <f>F134*G134</f>
        <v>0</v>
      </c>
      <c r="K134" s="70">
        <v>0</v>
      </c>
      <c r="L134" s="70">
        <f>F134*K134</f>
        <v>0</v>
      </c>
      <c r="M134" s="89" t="s">
        <v>154</v>
      </c>
      <c r="X134" s="70">
        <f>IF(AO134="5",BH134,0)</f>
        <v>0</v>
      </c>
      <c r="Z134" s="70">
        <f>IF(AO134="1",BF134,0)</f>
        <v>0</v>
      </c>
      <c r="AA134" s="70">
        <f>IF(AO134="1",BG134,0)</f>
        <v>0</v>
      </c>
      <c r="AB134" s="70">
        <f>IF(AO134="7",BF134,0)</f>
        <v>0</v>
      </c>
      <c r="AC134" s="70">
        <f>IF(AO134="7",BG134,0)</f>
        <v>0</v>
      </c>
      <c r="AD134" s="70">
        <f>IF(AO134="2",BF134,0)</f>
        <v>0</v>
      </c>
      <c r="AE134" s="70">
        <f>IF(AO134="2",BG134,0)</f>
        <v>0</v>
      </c>
      <c r="AF134" s="70">
        <f>IF(AO134="0",BH134,0)</f>
        <v>0</v>
      </c>
      <c r="AG134" s="64" t="s">
        <v>154</v>
      </c>
      <c r="AH134" s="70">
        <f>IF(AL134=0,J134,0)</f>
        <v>0</v>
      </c>
      <c r="AI134" s="70">
        <f>IF(AL134=15,J134,0)</f>
        <v>0</v>
      </c>
      <c r="AJ134" s="70">
        <f>IF(AL134=21,J134,0)</f>
        <v>0</v>
      </c>
      <c r="AL134" s="70">
        <v>21</v>
      </c>
      <c r="AM134" s="70">
        <f>G134*1</f>
        <v>0</v>
      </c>
      <c r="AN134" s="70">
        <f>G134*(1-1)</f>
        <v>0</v>
      </c>
      <c r="AO134" s="71" t="s">
        <v>453</v>
      </c>
      <c r="AT134" s="70">
        <f>AU134+AV134</f>
        <v>0</v>
      </c>
      <c r="AU134" s="70">
        <f>F134*AM134</f>
        <v>0</v>
      </c>
      <c r="AV134" s="70">
        <f>F134*AN134</f>
        <v>0</v>
      </c>
      <c r="AW134" s="71" t="s">
        <v>454</v>
      </c>
      <c r="AX134" s="71" t="s">
        <v>455</v>
      </c>
      <c r="AY134" s="64" t="s">
        <v>164</v>
      </c>
      <c r="BA134" s="70">
        <f>AU134+AV134</f>
        <v>0</v>
      </c>
      <c r="BB134" s="70">
        <f>G134/(100-BC134)*100</f>
        <v>0</v>
      </c>
      <c r="BC134" s="70">
        <v>0</v>
      </c>
      <c r="BD134" s="70">
        <f>L134</f>
        <v>0</v>
      </c>
      <c r="BF134" s="70">
        <f>F134*AM134</f>
        <v>0</v>
      </c>
      <c r="BG134" s="70">
        <f>F134*AN134</f>
        <v>0</v>
      </c>
      <c r="BH134" s="70">
        <f>F134*G134</f>
        <v>0</v>
      </c>
      <c r="BI134" s="70"/>
      <c r="BJ134" s="70"/>
      <c r="BU134" s="70" t="e">
        <f>#REF!</f>
        <v>#REF!</v>
      </c>
    </row>
    <row r="135" spans="1:73" ht="13.5" customHeight="1" x14ac:dyDescent="0.3">
      <c r="A135" s="82" t="s">
        <v>384</v>
      </c>
      <c r="B135" s="60" t="s">
        <v>745</v>
      </c>
      <c r="C135" s="551" t="s">
        <v>769</v>
      </c>
      <c r="D135" s="565"/>
      <c r="E135" s="60" t="s">
        <v>471</v>
      </c>
      <c r="F135" s="70">
        <v>1</v>
      </c>
      <c r="G135" s="311">
        <v>0</v>
      </c>
      <c r="H135" s="70">
        <f>F135*AM135</f>
        <v>0</v>
      </c>
      <c r="I135" s="70">
        <f>F135*AN135</f>
        <v>0</v>
      </c>
      <c r="J135" s="70">
        <f>F135*G135</f>
        <v>0</v>
      </c>
      <c r="K135" s="70">
        <v>0</v>
      </c>
      <c r="L135" s="70">
        <f>F135*K135</f>
        <v>0</v>
      </c>
      <c r="M135" s="89" t="s">
        <v>154</v>
      </c>
      <c r="X135" s="70">
        <f>IF(AO135="5",BH135,0)</f>
        <v>0</v>
      </c>
      <c r="Z135" s="70">
        <f>IF(AO135="1",BF135,0)</f>
        <v>0</v>
      </c>
      <c r="AA135" s="70">
        <f>IF(AO135="1",BG135,0)</f>
        <v>0</v>
      </c>
      <c r="AB135" s="70">
        <f>IF(AO135="7",BF135,0)</f>
        <v>0</v>
      </c>
      <c r="AC135" s="70">
        <f>IF(AO135="7",BG135,0)</f>
        <v>0</v>
      </c>
      <c r="AD135" s="70">
        <f>IF(AO135="2",BF135,0)</f>
        <v>0</v>
      </c>
      <c r="AE135" s="70">
        <f>IF(AO135="2",BG135,0)</f>
        <v>0</v>
      </c>
      <c r="AF135" s="70">
        <f>IF(AO135="0",BH135,0)</f>
        <v>0</v>
      </c>
      <c r="AG135" s="64" t="s">
        <v>154</v>
      </c>
      <c r="AH135" s="70">
        <f>IF(AL135=0,J135,0)</f>
        <v>0</v>
      </c>
      <c r="AI135" s="70">
        <f>IF(AL135=15,J135,0)</f>
        <v>0</v>
      </c>
      <c r="AJ135" s="70">
        <f>IF(AL135=21,J135,0)</f>
        <v>0</v>
      </c>
      <c r="AL135" s="70">
        <v>21</v>
      </c>
      <c r="AM135" s="70">
        <f>G135*1</f>
        <v>0</v>
      </c>
      <c r="AN135" s="70">
        <f>G135*(1-1)</f>
        <v>0</v>
      </c>
      <c r="AO135" s="71" t="s">
        <v>453</v>
      </c>
      <c r="AT135" s="70">
        <f>AU135+AV135</f>
        <v>0</v>
      </c>
      <c r="AU135" s="70">
        <f>F135*AM135</f>
        <v>0</v>
      </c>
      <c r="AV135" s="70">
        <f>F135*AN135</f>
        <v>0</v>
      </c>
      <c r="AW135" s="71" t="s">
        <v>454</v>
      </c>
      <c r="AX135" s="71" t="s">
        <v>455</v>
      </c>
      <c r="AY135" s="64" t="s">
        <v>164</v>
      </c>
      <c r="BA135" s="70">
        <f>AU135+AV135</f>
        <v>0</v>
      </c>
      <c r="BB135" s="70">
        <f>G135/(100-BC135)*100</f>
        <v>0</v>
      </c>
      <c r="BC135" s="70">
        <v>0</v>
      </c>
      <c r="BD135" s="70">
        <f>L135</f>
        <v>0</v>
      </c>
      <c r="BF135" s="70">
        <f>F135*AM135</f>
        <v>0</v>
      </c>
      <c r="BG135" s="70">
        <f>F135*AN135</f>
        <v>0</v>
      </c>
      <c r="BH135" s="70">
        <f>F135*G135</f>
        <v>0</v>
      </c>
      <c r="BI135" s="70"/>
      <c r="BJ135" s="70"/>
      <c r="BU135" s="70" t="e">
        <f>#REF!</f>
        <v>#REF!</v>
      </c>
    </row>
    <row r="136" spans="1:73" ht="27" customHeight="1" x14ac:dyDescent="0.3">
      <c r="A136" s="82" t="s">
        <v>344</v>
      </c>
      <c r="B136" s="60" t="s">
        <v>771</v>
      </c>
      <c r="C136" s="551" t="s">
        <v>772</v>
      </c>
      <c r="D136" s="565"/>
      <c r="E136" s="60" t="s">
        <v>365</v>
      </c>
      <c r="F136" s="70">
        <v>1</v>
      </c>
      <c r="G136" s="311">
        <v>0</v>
      </c>
      <c r="H136" s="70">
        <f>F136*AM136</f>
        <v>0</v>
      </c>
      <c r="I136" s="70">
        <f>F136*AN136</f>
        <v>0</v>
      </c>
      <c r="J136" s="70">
        <f>F136*G136</f>
        <v>0</v>
      </c>
      <c r="K136" s="70">
        <v>6.4999999999999997E-3</v>
      </c>
      <c r="L136" s="70">
        <f>F136*K136</f>
        <v>6.4999999999999997E-3</v>
      </c>
      <c r="M136" s="89" t="s">
        <v>472</v>
      </c>
      <c r="X136" s="70">
        <f>IF(AO136="5",BH136,0)</f>
        <v>0</v>
      </c>
      <c r="Z136" s="70">
        <f>IF(AO136="1",BF136,0)</f>
        <v>0</v>
      </c>
      <c r="AA136" s="70">
        <f>IF(AO136="1",BG136,0)</f>
        <v>0</v>
      </c>
      <c r="AB136" s="70">
        <f>IF(AO136="7",BF136,0)</f>
        <v>0</v>
      </c>
      <c r="AC136" s="70">
        <f>IF(AO136="7",BG136,0)</f>
        <v>0</v>
      </c>
      <c r="AD136" s="70">
        <f>IF(AO136="2",BF136,0)</f>
        <v>0</v>
      </c>
      <c r="AE136" s="70">
        <f>IF(AO136="2",BG136,0)</f>
        <v>0</v>
      </c>
      <c r="AF136" s="70">
        <f>IF(AO136="0",BH136,0)</f>
        <v>0</v>
      </c>
      <c r="AG136" s="64" t="s">
        <v>154</v>
      </c>
      <c r="AH136" s="70">
        <f>IF(AL136=0,J136,0)</f>
        <v>0</v>
      </c>
      <c r="AI136" s="70">
        <f>IF(AL136=15,J136,0)</f>
        <v>0</v>
      </c>
      <c r="AJ136" s="70">
        <f>IF(AL136=21,J136,0)</f>
        <v>0</v>
      </c>
      <c r="AL136" s="70">
        <v>21</v>
      </c>
      <c r="AM136" s="70">
        <f>G136*1</f>
        <v>0</v>
      </c>
      <c r="AN136" s="70">
        <f>G136*(1-1)</f>
        <v>0</v>
      </c>
      <c r="AO136" s="71" t="s">
        <v>453</v>
      </c>
      <c r="AT136" s="70">
        <f>AU136+AV136</f>
        <v>0</v>
      </c>
      <c r="AU136" s="70">
        <f>F136*AM136</f>
        <v>0</v>
      </c>
      <c r="AV136" s="70">
        <f>F136*AN136</f>
        <v>0</v>
      </c>
      <c r="AW136" s="71" t="s">
        <v>454</v>
      </c>
      <c r="AX136" s="71" t="s">
        <v>455</v>
      </c>
      <c r="AY136" s="64" t="s">
        <v>164</v>
      </c>
      <c r="BA136" s="70">
        <f>AU136+AV136</f>
        <v>0</v>
      </c>
      <c r="BB136" s="70">
        <f>G136/(100-BC136)*100</f>
        <v>0</v>
      </c>
      <c r="BC136" s="70">
        <v>0</v>
      </c>
      <c r="BD136" s="70">
        <f>L136</f>
        <v>6.4999999999999997E-3</v>
      </c>
      <c r="BF136" s="70">
        <f>F136*AM136</f>
        <v>0</v>
      </c>
      <c r="BG136" s="70">
        <f>F136*AN136</f>
        <v>0</v>
      </c>
      <c r="BH136" s="70">
        <f>F136*G136</f>
        <v>0</v>
      </c>
      <c r="BI136" s="70"/>
      <c r="BJ136" s="70"/>
      <c r="BU136" s="70" t="e">
        <f>#REF!</f>
        <v>#REF!</v>
      </c>
    </row>
    <row r="137" spans="1:73" ht="13.5" customHeight="1" x14ac:dyDescent="0.3">
      <c r="A137" s="82" t="s">
        <v>390</v>
      </c>
      <c r="B137" s="60" t="s">
        <v>778</v>
      </c>
      <c r="C137" s="551" t="s">
        <v>779</v>
      </c>
      <c r="D137" s="565"/>
      <c r="E137" s="60" t="s">
        <v>160</v>
      </c>
      <c r="F137" s="70">
        <v>4.4000000000000004</v>
      </c>
      <c r="G137" s="311">
        <v>0</v>
      </c>
      <c r="H137" s="70">
        <f>F137*AM137</f>
        <v>0</v>
      </c>
      <c r="I137" s="70">
        <f>F137*AN137</f>
        <v>0</v>
      </c>
      <c r="J137" s="70">
        <f>F137*G137</f>
        <v>0</v>
      </c>
      <c r="K137" s="70">
        <v>8.0000000000000007E-5</v>
      </c>
      <c r="L137" s="70">
        <f>F137*K137</f>
        <v>3.5200000000000005E-4</v>
      </c>
      <c r="M137" s="89" t="s">
        <v>472</v>
      </c>
      <c r="X137" s="70">
        <f>IF(AO137="5",BH137,0)</f>
        <v>0</v>
      </c>
      <c r="Z137" s="70">
        <f>IF(AO137="1",BF137,0)</f>
        <v>0</v>
      </c>
      <c r="AA137" s="70">
        <f>IF(AO137="1",BG137,0)</f>
        <v>0</v>
      </c>
      <c r="AB137" s="70">
        <f>IF(AO137="7",BF137,0)</f>
        <v>0</v>
      </c>
      <c r="AC137" s="70">
        <f>IF(AO137="7",BG137,0)</f>
        <v>0</v>
      </c>
      <c r="AD137" s="70">
        <f>IF(AO137="2",BF137,0)</f>
        <v>0</v>
      </c>
      <c r="AE137" s="70">
        <f>IF(AO137="2",BG137,0)</f>
        <v>0</v>
      </c>
      <c r="AF137" s="70">
        <f>IF(AO137="0",BH137,0)</f>
        <v>0</v>
      </c>
      <c r="AG137" s="64" t="s">
        <v>154</v>
      </c>
      <c r="AH137" s="70">
        <f>IF(AL137=0,J137,0)</f>
        <v>0</v>
      </c>
      <c r="AI137" s="70">
        <f>IF(AL137=15,J137,0)</f>
        <v>0</v>
      </c>
      <c r="AJ137" s="70">
        <f>IF(AL137=21,J137,0)</f>
        <v>0</v>
      </c>
      <c r="AL137" s="70">
        <v>21</v>
      </c>
      <c r="AM137" s="70">
        <f>G137*1</f>
        <v>0</v>
      </c>
      <c r="AN137" s="70">
        <f>G137*(1-1)</f>
        <v>0</v>
      </c>
      <c r="AO137" s="71" t="s">
        <v>453</v>
      </c>
      <c r="AT137" s="70">
        <f>AU137+AV137</f>
        <v>0</v>
      </c>
      <c r="AU137" s="70">
        <f>F137*AM137</f>
        <v>0</v>
      </c>
      <c r="AV137" s="70">
        <f>F137*AN137</f>
        <v>0</v>
      </c>
      <c r="AW137" s="71" t="s">
        <v>454</v>
      </c>
      <c r="AX137" s="71" t="s">
        <v>455</v>
      </c>
      <c r="AY137" s="64" t="s">
        <v>164</v>
      </c>
      <c r="BA137" s="70">
        <f>AU137+AV137</f>
        <v>0</v>
      </c>
      <c r="BB137" s="70">
        <f>G137/(100-BC137)*100</f>
        <v>0</v>
      </c>
      <c r="BC137" s="70">
        <v>0</v>
      </c>
      <c r="BD137" s="70">
        <f>L137</f>
        <v>3.5200000000000005E-4</v>
      </c>
      <c r="BF137" s="70">
        <f>F137*AM137</f>
        <v>0</v>
      </c>
      <c r="BG137" s="70">
        <f>F137*AN137</f>
        <v>0</v>
      </c>
      <c r="BH137" s="70">
        <f>F137*G137</f>
        <v>0</v>
      </c>
      <c r="BI137" s="70"/>
      <c r="BJ137" s="70"/>
      <c r="BU137" s="70" t="e">
        <f>#REF!</f>
        <v>#REF!</v>
      </c>
    </row>
    <row r="138" spans="1:73" ht="40.5" customHeight="1" x14ac:dyDescent="0.3">
      <c r="A138" s="90"/>
      <c r="B138" s="72" t="s">
        <v>165</v>
      </c>
      <c r="C138" s="581" t="s">
        <v>828</v>
      </c>
      <c r="D138" s="582"/>
      <c r="E138" s="582"/>
      <c r="F138" s="582"/>
      <c r="G138" s="582"/>
      <c r="H138" s="582"/>
      <c r="I138" s="582"/>
      <c r="J138" s="582"/>
      <c r="K138" s="582"/>
      <c r="L138" s="582"/>
      <c r="M138" s="583"/>
    </row>
    <row r="139" spans="1:73" ht="13.5" customHeight="1" x14ac:dyDescent="0.3">
      <c r="A139" s="82" t="s">
        <v>393</v>
      </c>
      <c r="B139" s="60" t="s">
        <v>781</v>
      </c>
      <c r="C139" s="551" t="s">
        <v>782</v>
      </c>
      <c r="D139" s="565"/>
      <c r="E139" s="60" t="s">
        <v>452</v>
      </c>
      <c r="F139" s="70">
        <v>1</v>
      </c>
      <c r="G139" s="311">
        <v>0</v>
      </c>
      <c r="H139" s="70">
        <f>F139*AM139</f>
        <v>0</v>
      </c>
      <c r="I139" s="70">
        <f>F139*AN139</f>
        <v>0</v>
      </c>
      <c r="J139" s="70">
        <f>F139*G139</f>
        <v>0</v>
      </c>
      <c r="K139" s="70">
        <v>0</v>
      </c>
      <c r="L139" s="70">
        <f>F139*K139</f>
        <v>0</v>
      </c>
      <c r="M139" s="89" t="s">
        <v>472</v>
      </c>
      <c r="X139" s="70">
        <f>IF(AO139="5",BH139,0)</f>
        <v>0</v>
      </c>
      <c r="Z139" s="70">
        <f>IF(AO139="1",BF139,0)</f>
        <v>0</v>
      </c>
      <c r="AA139" s="70">
        <f>IF(AO139="1",BG139,0)</f>
        <v>0</v>
      </c>
      <c r="AB139" s="70">
        <f>IF(AO139="7",BF139,0)</f>
        <v>0</v>
      </c>
      <c r="AC139" s="70">
        <f>IF(AO139="7",BG139,0)</f>
        <v>0</v>
      </c>
      <c r="AD139" s="70">
        <f>IF(AO139="2",BF139,0)</f>
        <v>0</v>
      </c>
      <c r="AE139" s="70">
        <f>IF(AO139="2",BG139,0)</f>
        <v>0</v>
      </c>
      <c r="AF139" s="70">
        <f>IF(AO139="0",BH139,0)</f>
        <v>0</v>
      </c>
      <c r="AG139" s="64" t="s">
        <v>154</v>
      </c>
      <c r="AH139" s="70">
        <f>IF(AL139=0,J139,0)</f>
        <v>0</v>
      </c>
      <c r="AI139" s="70">
        <f>IF(AL139=15,J139,0)</f>
        <v>0</v>
      </c>
      <c r="AJ139" s="70">
        <f>IF(AL139=21,J139,0)</f>
        <v>0</v>
      </c>
      <c r="AL139" s="70">
        <v>21</v>
      </c>
      <c r="AM139" s="70">
        <f>G139*1</f>
        <v>0</v>
      </c>
      <c r="AN139" s="70">
        <f>G139*(1-1)</f>
        <v>0</v>
      </c>
      <c r="AO139" s="71" t="s">
        <v>453</v>
      </c>
      <c r="AT139" s="70">
        <f>AU139+AV139</f>
        <v>0</v>
      </c>
      <c r="AU139" s="70">
        <f>F139*AM139</f>
        <v>0</v>
      </c>
      <c r="AV139" s="70">
        <f>F139*AN139</f>
        <v>0</v>
      </c>
      <c r="AW139" s="71" t="s">
        <v>454</v>
      </c>
      <c r="AX139" s="71" t="s">
        <v>455</v>
      </c>
      <c r="AY139" s="64" t="s">
        <v>164</v>
      </c>
      <c r="BA139" s="70">
        <f>AU139+AV139</f>
        <v>0</v>
      </c>
      <c r="BB139" s="70">
        <f>G139/(100-BC139)*100</f>
        <v>0</v>
      </c>
      <c r="BC139" s="70">
        <v>0</v>
      </c>
      <c r="BD139" s="70">
        <f>L139</f>
        <v>0</v>
      </c>
      <c r="BF139" s="70">
        <f>F139*AM139</f>
        <v>0</v>
      </c>
      <c r="BG139" s="70">
        <f>F139*AN139</f>
        <v>0</v>
      </c>
      <c r="BH139" s="70">
        <f>F139*G139</f>
        <v>0</v>
      </c>
      <c r="BI139" s="70"/>
      <c r="BJ139" s="70"/>
      <c r="BU139" s="70" t="e">
        <f>#REF!</f>
        <v>#REF!</v>
      </c>
    </row>
    <row r="140" spans="1:73" ht="27" customHeight="1" x14ac:dyDescent="0.3">
      <c r="A140" s="92"/>
      <c r="B140" s="93" t="s">
        <v>165</v>
      </c>
      <c r="C140" s="584" t="s">
        <v>456</v>
      </c>
      <c r="D140" s="585"/>
      <c r="E140" s="585"/>
      <c r="F140" s="585"/>
      <c r="G140" s="585"/>
      <c r="H140" s="585"/>
      <c r="I140" s="585"/>
      <c r="J140" s="585"/>
      <c r="K140" s="585"/>
      <c r="L140" s="585"/>
      <c r="M140" s="586"/>
    </row>
    <row r="141" spans="1:73" ht="15" customHeight="1" x14ac:dyDescent="0.3">
      <c r="H141" s="571" t="s">
        <v>423</v>
      </c>
      <c r="I141" s="571"/>
      <c r="J141" s="73">
        <f>J12+J21+J26+J39+J44+J65+J71+J74+J79+J82+J85+J88+J91+J96+J111+J114+J116+J119+J122</f>
        <v>0</v>
      </c>
    </row>
    <row r="142" spans="1:73" ht="15" customHeight="1" x14ac:dyDescent="0.3">
      <c r="A142" s="74" t="s">
        <v>165</v>
      </c>
    </row>
    <row r="143" spans="1:73" ht="13.5" customHeight="1" x14ac:dyDescent="0.3">
      <c r="A143" s="551" t="s">
        <v>1166</v>
      </c>
      <c r="B143" s="565"/>
      <c r="C143" s="565"/>
      <c r="D143" s="565"/>
      <c r="E143" s="565"/>
      <c r="F143" s="565"/>
      <c r="G143" s="565"/>
      <c r="H143" s="565"/>
      <c r="I143" s="565"/>
      <c r="J143" s="565"/>
      <c r="K143" s="565"/>
      <c r="L143" s="565"/>
      <c r="M143" s="565"/>
    </row>
    <row r="144" spans="1:73" ht="15" customHeight="1" x14ac:dyDescent="0.3">
      <c r="A144" s="549" t="s">
        <v>1159</v>
      </c>
      <c r="B144" s="550"/>
      <c r="C144" s="550"/>
      <c r="D144" s="550"/>
      <c r="E144" s="550"/>
      <c r="F144" s="550"/>
      <c r="G144" s="550"/>
      <c r="H144" s="550"/>
      <c r="I144" s="550"/>
      <c r="J144" s="550"/>
      <c r="K144" s="550"/>
      <c r="L144" s="550"/>
      <c r="M144" s="550"/>
    </row>
  </sheetData>
  <sheetProtection algorithmName="SHA-512" hashValue="cAItgUcHQ4X3eirZ14MnirYlMkgIvrHPrKy1RKhKGlm/rZRtDodtgCVi6MajlWWa7l5Xc1a72c9Px0rFcTJh4g==" saltValue="pffb7pLh15lGDiHgB5Ambw==" spinCount="100000" sheet="1" objects="1" scenarios="1" formatCells="0" formatColumns="0" formatRows="0" insertColumns="0" insertRows="0" insertHyperlinks="0"/>
  <mergeCells count="161">
    <mergeCell ref="C140:M140"/>
    <mergeCell ref="H141:I141"/>
    <mergeCell ref="A143:M143"/>
    <mergeCell ref="A144:M144"/>
    <mergeCell ref="C134:D134"/>
    <mergeCell ref="C135:D135"/>
    <mergeCell ref="C136:D136"/>
    <mergeCell ref="C137:D137"/>
    <mergeCell ref="C138:M138"/>
    <mergeCell ref="C139:D139"/>
    <mergeCell ref="C128:D128"/>
    <mergeCell ref="C129:D129"/>
    <mergeCell ref="C130:D130"/>
    <mergeCell ref="C131:D131"/>
    <mergeCell ref="C132:D132"/>
    <mergeCell ref="C133:M133"/>
    <mergeCell ref="C122:D122"/>
    <mergeCell ref="C123:D123"/>
    <mergeCell ref="C124:M124"/>
    <mergeCell ref="C125:D125"/>
    <mergeCell ref="C126:M126"/>
    <mergeCell ref="C127:D127"/>
    <mergeCell ref="C116:D116"/>
    <mergeCell ref="C117:D117"/>
    <mergeCell ref="C118:M118"/>
    <mergeCell ref="C119:D119"/>
    <mergeCell ref="C120:D120"/>
    <mergeCell ref="C121:M121"/>
    <mergeCell ref="C110:M110"/>
    <mergeCell ref="C111:D111"/>
    <mergeCell ref="C112:D112"/>
    <mergeCell ref="C113:D113"/>
    <mergeCell ref="C114:D114"/>
    <mergeCell ref="C115:D115"/>
    <mergeCell ref="C104:M104"/>
    <mergeCell ref="C105:D105"/>
    <mergeCell ref="C106:M106"/>
    <mergeCell ref="C107:D107"/>
    <mergeCell ref="C108:M108"/>
    <mergeCell ref="C109:D109"/>
    <mergeCell ref="C98:M98"/>
    <mergeCell ref="C99:D99"/>
    <mergeCell ref="C100:M100"/>
    <mergeCell ref="C101:D101"/>
    <mergeCell ref="C102:M102"/>
    <mergeCell ref="C103:D103"/>
    <mergeCell ref="C92:D92"/>
    <mergeCell ref="C93:M93"/>
    <mergeCell ref="C94:D94"/>
    <mergeCell ref="C95:M95"/>
    <mergeCell ref="C96:D96"/>
    <mergeCell ref="C97:D97"/>
    <mergeCell ref="C86:D86"/>
    <mergeCell ref="C87:M87"/>
    <mergeCell ref="C88:D88"/>
    <mergeCell ref="C89:D89"/>
    <mergeCell ref="C90:M90"/>
    <mergeCell ref="C91:D91"/>
    <mergeCell ref="C80:D80"/>
    <mergeCell ref="C81:M81"/>
    <mergeCell ref="C82:D82"/>
    <mergeCell ref="C83:D83"/>
    <mergeCell ref="C84:M84"/>
    <mergeCell ref="C85:D85"/>
    <mergeCell ref="C74:D74"/>
    <mergeCell ref="C75:D75"/>
    <mergeCell ref="C76:M76"/>
    <mergeCell ref="C77:D77"/>
    <mergeCell ref="C78:M78"/>
    <mergeCell ref="C79:D79"/>
    <mergeCell ref="C68:D68"/>
    <mergeCell ref="C69:D69"/>
    <mergeCell ref="C70:M70"/>
    <mergeCell ref="C71:D71"/>
    <mergeCell ref="C72:D72"/>
    <mergeCell ref="C73:M73"/>
    <mergeCell ref="C62:M62"/>
    <mergeCell ref="C63:D63"/>
    <mergeCell ref="C64:M64"/>
    <mergeCell ref="C65:D65"/>
    <mergeCell ref="C66:D66"/>
    <mergeCell ref="C67:M67"/>
    <mergeCell ref="C56:M56"/>
    <mergeCell ref="C57:D57"/>
    <mergeCell ref="C58:M58"/>
    <mergeCell ref="C59:D59"/>
    <mergeCell ref="C60:M60"/>
    <mergeCell ref="C61:D61"/>
    <mergeCell ref="C50:M50"/>
    <mergeCell ref="C51:D51"/>
    <mergeCell ref="C52:M52"/>
    <mergeCell ref="C53:D53"/>
    <mergeCell ref="C54:M54"/>
    <mergeCell ref="C55:D55"/>
    <mergeCell ref="C44:D44"/>
    <mergeCell ref="C45:D45"/>
    <mergeCell ref="C46:M46"/>
    <mergeCell ref="C47:D47"/>
    <mergeCell ref="C48:M48"/>
    <mergeCell ref="C49:D49"/>
    <mergeCell ref="C38:M38"/>
    <mergeCell ref="C39:D39"/>
    <mergeCell ref="C40:D40"/>
    <mergeCell ref="C41:M41"/>
    <mergeCell ref="C42:D42"/>
    <mergeCell ref="C43:M43"/>
    <mergeCell ref="C32:M32"/>
    <mergeCell ref="C33:D33"/>
    <mergeCell ref="C34:M34"/>
    <mergeCell ref="C35:D35"/>
    <mergeCell ref="C36:M36"/>
    <mergeCell ref="C37:D37"/>
    <mergeCell ref="C26:D26"/>
    <mergeCell ref="C27:D27"/>
    <mergeCell ref="C28:M28"/>
    <mergeCell ref="C29:D29"/>
    <mergeCell ref="C30:M30"/>
    <mergeCell ref="C31:D31"/>
    <mergeCell ref="C20:M20"/>
    <mergeCell ref="C21:D21"/>
    <mergeCell ref="C22:D22"/>
    <mergeCell ref="C23:M23"/>
    <mergeCell ref="C24:D24"/>
    <mergeCell ref="C25:M25"/>
    <mergeCell ref="C14:M14"/>
    <mergeCell ref="C15:D15"/>
    <mergeCell ref="C16:M16"/>
    <mergeCell ref="C17:D17"/>
    <mergeCell ref="C18:M18"/>
    <mergeCell ref="C19:D19"/>
    <mergeCell ref="C10:D10"/>
    <mergeCell ref="H10:J10"/>
    <mergeCell ref="K10:L10"/>
    <mergeCell ref="C11:D11"/>
    <mergeCell ref="C12:D12"/>
    <mergeCell ref="C13:D13"/>
    <mergeCell ref="A8:B9"/>
    <mergeCell ref="C8:E9"/>
    <mergeCell ref="F8:G9"/>
    <mergeCell ref="H8:H9"/>
    <mergeCell ref="I8:I9"/>
    <mergeCell ref="J8:M9"/>
    <mergeCell ref="A1:M1"/>
    <mergeCell ref="A2:B3"/>
    <mergeCell ref="C2:E3"/>
    <mergeCell ref="F2:G3"/>
    <mergeCell ref="H2:H3"/>
    <mergeCell ref="I2:I3"/>
    <mergeCell ref="J2:M3"/>
    <mergeCell ref="A6:B7"/>
    <mergeCell ref="C6:E7"/>
    <mergeCell ref="F6:G7"/>
    <mergeCell ref="H6:H7"/>
    <mergeCell ref="I6:I7"/>
    <mergeCell ref="J6:M7"/>
    <mergeCell ref="A4:B5"/>
    <mergeCell ref="C4:E5"/>
    <mergeCell ref="F4:G5"/>
    <mergeCell ref="H4:H5"/>
    <mergeCell ref="I4:I5"/>
    <mergeCell ref="J4:M5"/>
  </mergeCells>
  <printOptions verticalCentered="1"/>
  <pageMargins left="0.78740157480314965" right="0.39370078740157483" top="0.39370078740157483" bottom="0.39370078740157483" header="0" footer="0.39370078740157483"/>
  <pageSetup paperSize="9" scale="61" firstPageNumber="0" fitToHeight="0" orientation="landscape" r:id="rId1"/>
  <headerFooter>
    <oddFooter>&amp;L&amp;A&amp;C&amp;F&amp;Rstran &amp;N / strana &amp;P</oddFooter>
  </headerFooter>
  <rowBreaks count="4" manualBreakCount="4">
    <brk id="30" max="12" man="1"/>
    <brk id="50" max="12" man="1"/>
    <brk id="73" max="12" man="1"/>
    <brk id="112" max="12"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A0782-059F-439C-913B-FB3C32EEFF2E}">
  <sheetPr codeName="List5">
    <pageSetUpPr autoPageBreaks="0" fitToPage="1"/>
  </sheetPr>
  <dimension ref="A1:BU214"/>
  <sheetViews>
    <sheetView showOutlineSymbols="0" view="pageBreakPreview" zoomScale="70" zoomScaleNormal="10" zoomScaleSheetLayoutView="70" workbookViewId="0">
      <pane ySplit="11" topLeftCell="A201" activePane="bottomLeft" state="frozenSplit"/>
      <selection activeCell="A202" sqref="A202:M202"/>
      <selection pane="bottomLeft" activeCell="R208" sqref="R208"/>
    </sheetView>
  </sheetViews>
  <sheetFormatPr defaultColWidth="12.109375" defaultRowHeight="15" customHeight="1" x14ac:dyDescent="0.3"/>
  <cols>
    <col min="1" max="1" width="5.33203125" style="58" customWidth="1"/>
    <col min="2" max="2" width="18.44140625" style="58" customWidth="1"/>
    <col min="3" max="3" width="81.33203125" style="58" customWidth="1"/>
    <col min="4" max="4" width="12.6640625" style="58" customWidth="1"/>
    <col min="5" max="5" width="8.6640625" style="58" customWidth="1"/>
    <col min="6" max="7" width="10.6640625" style="58" customWidth="1"/>
    <col min="8" max="13" width="12.6640625" style="58" customWidth="1"/>
    <col min="14" max="16384" width="12.109375" style="58"/>
  </cols>
  <sheetData>
    <row r="1" spans="1:73" ht="54.75" customHeight="1" x14ac:dyDescent="0.3">
      <c r="A1" s="592" t="s">
        <v>2303</v>
      </c>
      <c r="B1" s="593"/>
      <c r="C1" s="593"/>
      <c r="D1" s="593"/>
      <c r="E1" s="593"/>
      <c r="F1" s="593"/>
      <c r="G1" s="593"/>
      <c r="H1" s="593"/>
      <c r="I1" s="593"/>
      <c r="J1" s="593"/>
      <c r="K1" s="593"/>
      <c r="L1" s="593"/>
      <c r="M1" s="594"/>
      <c r="AQ1" s="59">
        <f>SUM(AH1:AH2)</f>
        <v>0</v>
      </c>
      <c r="AR1" s="59">
        <f>SUM(AI1:AI2)</f>
        <v>0</v>
      </c>
      <c r="AS1" s="59">
        <f>SUM(AJ1:AJ2)</f>
        <v>0</v>
      </c>
    </row>
    <row r="2" spans="1:73" ht="15" customHeight="1" x14ac:dyDescent="0.3">
      <c r="A2" s="595" t="s">
        <v>112</v>
      </c>
      <c r="B2" s="588"/>
      <c r="C2" s="573" t="s">
        <v>68</v>
      </c>
      <c r="D2" s="574"/>
      <c r="E2" s="588" t="s">
        <v>113</v>
      </c>
      <c r="F2" s="588"/>
      <c r="G2" s="596" t="s">
        <v>1156</v>
      </c>
      <c r="H2" s="587" t="s">
        <v>457</v>
      </c>
      <c r="I2" s="587" t="s">
        <v>69</v>
      </c>
      <c r="J2" s="587"/>
      <c r="K2" s="587"/>
      <c r="L2" s="587"/>
      <c r="M2" s="597"/>
    </row>
    <row r="3" spans="1:73" ht="15" customHeight="1" x14ac:dyDescent="0.3">
      <c r="A3" s="591"/>
      <c r="B3" s="565"/>
      <c r="C3" s="571"/>
      <c r="D3" s="571"/>
      <c r="E3" s="565"/>
      <c r="F3" s="565"/>
      <c r="G3" s="522"/>
      <c r="H3" s="551"/>
      <c r="I3" s="551"/>
      <c r="J3" s="551"/>
      <c r="K3" s="551"/>
      <c r="L3" s="551"/>
      <c r="M3" s="552"/>
    </row>
    <row r="4" spans="1:73" ht="15" customHeight="1" x14ac:dyDescent="0.3">
      <c r="A4" s="563" t="s">
        <v>115</v>
      </c>
      <c r="B4" s="565"/>
      <c r="C4" s="551" t="s">
        <v>74</v>
      </c>
      <c r="D4" s="565"/>
      <c r="E4" s="565" t="s">
        <v>116</v>
      </c>
      <c r="F4" s="565"/>
      <c r="G4" s="522" t="s">
        <v>1156</v>
      </c>
      <c r="H4" s="551" t="s">
        <v>458</v>
      </c>
      <c r="I4" s="551" t="s">
        <v>1157</v>
      </c>
      <c r="J4" s="551"/>
      <c r="K4" s="551"/>
      <c r="L4" s="551"/>
      <c r="M4" s="552"/>
    </row>
    <row r="5" spans="1:73" ht="15" customHeight="1" x14ac:dyDescent="0.3">
      <c r="A5" s="591"/>
      <c r="B5" s="565"/>
      <c r="C5" s="565"/>
      <c r="D5" s="565"/>
      <c r="E5" s="565"/>
      <c r="F5" s="565"/>
      <c r="G5" s="522"/>
      <c r="H5" s="551"/>
      <c r="I5" s="551"/>
      <c r="J5" s="551"/>
      <c r="K5" s="551"/>
      <c r="L5" s="551"/>
      <c r="M5" s="552"/>
    </row>
    <row r="6" spans="1:73" ht="15" customHeight="1" x14ac:dyDescent="0.3">
      <c r="A6" s="563" t="s">
        <v>117</v>
      </c>
      <c r="B6" s="565"/>
      <c r="C6" s="551" t="s">
        <v>459</v>
      </c>
      <c r="D6" s="565"/>
      <c r="E6" s="565" t="s">
        <v>119</v>
      </c>
      <c r="F6" s="565"/>
      <c r="G6" s="522" t="s">
        <v>1156</v>
      </c>
      <c r="H6" s="551" t="s">
        <v>460</v>
      </c>
      <c r="I6" s="551" t="s">
        <v>461</v>
      </c>
      <c r="J6" s="551"/>
      <c r="K6" s="551"/>
      <c r="L6" s="551"/>
      <c r="M6" s="552"/>
    </row>
    <row r="7" spans="1:73" ht="15" customHeight="1" x14ac:dyDescent="0.3">
      <c r="A7" s="591"/>
      <c r="B7" s="565"/>
      <c r="C7" s="565"/>
      <c r="D7" s="565"/>
      <c r="E7" s="565"/>
      <c r="F7" s="565"/>
      <c r="G7" s="522"/>
      <c r="H7" s="551"/>
      <c r="I7" s="551"/>
      <c r="J7" s="551"/>
      <c r="K7" s="551"/>
      <c r="L7" s="551"/>
      <c r="M7" s="552"/>
    </row>
    <row r="8" spans="1:73" ht="15" customHeight="1" x14ac:dyDescent="0.3">
      <c r="A8" s="563" t="s">
        <v>120</v>
      </c>
      <c r="B8" s="565"/>
      <c r="C8" s="551" t="s">
        <v>425</v>
      </c>
      <c r="D8" s="565"/>
      <c r="E8" s="565" t="s">
        <v>122</v>
      </c>
      <c r="F8" s="565"/>
      <c r="G8" s="522" t="s">
        <v>1155</v>
      </c>
      <c r="H8" s="551" t="s">
        <v>462</v>
      </c>
      <c r="I8" s="551" t="s">
        <v>1158</v>
      </c>
      <c r="J8" s="551"/>
      <c r="K8" s="551"/>
      <c r="L8" s="551"/>
      <c r="M8" s="552"/>
    </row>
    <row r="9" spans="1:73" ht="15" customHeight="1" thickBot="1" x14ac:dyDescent="0.35">
      <c r="A9" s="598"/>
      <c r="B9" s="576"/>
      <c r="C9" s="576"/>
      <c r="D9" s="576"/>
      <c r="E9" s="576"/>
      <c r="F9" s="576"/>
      <c r="G9" s="534"/>
      <c r="H9" s="553"/>
      <c r="I9" s="553"/>
      <c r="J9" s="553"/>
      <c r="K9" s="553"/>
      <c r="L9" s="553"/>
      <c r="M9" s="554"/>
    </row>
    <row r="10" spans="1:73" ht="15" customHeight="1" x14ac:dyDescent="0.3">
      <c r="A10" s="104" t="s">
        <v>123</v>
      </c>
      <c r="B10" s="105" t="s">
        <v>124</v>
      </c>
      <c r="C10" s="566" t="s">
        <v>125</v>
      </c>
      <c r="D10" s="567"/>
      <c r="E10" s="105" t="s">
        <v>126</v>
      </c>
      <c r="F10" s="106" t="s">
        <v>127</v>
      </c>
      <c r="G10" s="107" t="s">
        <v>128</v>
      </c>
      <c r="H10" s="568" t="s">
        <v>129</v>
      </c>
      <c r="I10" s="569"/>
      <c r="J10" s="570"/>
      <c r="K10" s="569" t="s">
        <v>130</v>
      </c>
      <c r="L10" s="569"/>
      <c r="M10" s="108" t="s">
        <v>131</v>
      </c>
      <c r="BI10" s="64" t="s">
        <v>132</v>
      </c>
      <c r="BJ10" s="65" t="s">
        <v>133</v>
      </c>
      <c r="BU10" s="65" t="s">
        <v>134</v>
      </c>
    </row>
    <row r="11" spans="1:73" ht="15" customHeight="1" thickBot="1" x14ac:dyDescent="0.35">
      <c r="A11" s="97" t="s">
        <v>114</v>
      </c>
      <c r="B11" s="98" t="s">
        <v>114</v>
      </c>
      <c r="C11" s="599" t="s">
        <v>135</v>
      </c>
      <c r="D11" s="600"/>
      <c r="E11" s="98" t="s">
        <v>114</v>
      </c>
      <c r="F11" s="98" t="s">
        <v>114</v>
      </c>
      <c r="G11" s="99" t="s">
        <v>136</v>
      </c>
      <c r="H11" s="100" t="s">
        <v>137</v>
      </c>
      <c r="I11" s="101" t="s">
        <v>138</v>
      </c>
      <c r="J11" s="102" t="s">
        <v>139</v>
      </c>
      <c r="K11" s="101" t="s">
        <v>140</v>
      </c>
      <c r="L11" s="99" t="s">
        <v>139</v>
      </c>
      <c r="M11" s="103" t="s">
        <v>141</v>
      </c>
      <c r="X11" s="64" t="s">
        <v>142</v>
      </c>
      <c r="Y11" s="64" t="s">
        <v>143</v>
      </c>
      <c r="Z11" s="64" t="s">
        <v>144</v>
      </c>
      <c r="AA11" s="64" t="s">
        <v>145</v>
      </c>
      <c r="AB11" s="64" t="s">
        <v>146</v>
      </c>
      <c r="AC11" s="64" t="s">
        <v>147</v>
      </c>
      <c r="AD11" s="64" t="s">
        <v>148</v>
      </c>
      <c r="AE11" s="64" t="s">
        <v>149</v>
      </c>
      <c r="AF11" s="64" t="s">
        <v>150</v>
      </c>
      <c r="BF11" s="64" t="s">
        <v>151</v>
      </c>
      <c r="BG11" s="64" t="s">
        <v>152</v>
      </c>
      <c r="BH11" s="64" t="s">
        <v>153</v>
      </c>
    </row>
    <row r="12" spans="1:73" ht="15" customHeight="1" x14ac:dyDescent="0.3">
      <c r="A12" s="82" t="s">
        <v>154</v>
      </c>
      <c r="B12" s="61" t="s">
        <v>453</v>
      </c>
      <c r="C12" s="564" t="s">
        <v>463</v>
      </c>
      <c r="D12" s="571"/>
      <c r="E12" s="60" t="s">
        <v>114</v>
      </c>
      <c r="F12" s="60" t="s">
        <v>114</v>
      </c>
      <c r="G12" s="60" t="s">
        <v>114</v>
      </c>
      <c r="H12" s="73">
        <f>SUM(H13:H13)</f>
        <v>0</v>
      </c>
      <c r="I12" s="73">
        <f>SUM(I13:I13)</f>
        <v>0</v>
      </c>
      <c r="J12" s="73">
        <f>SUM(J13:J13)</f>
        <v>0</v>
      </c>
      <c r="K12" s="65" t="s">
        <v>154</v>
      </c>
      <c r="L12" s="73">
        <f>SUM(L13:L13)</f>
        <v>0</v>
      </c>
      <c r="M12" s="91" t="s">
        <v>154</v>
      </c>
      <c r="AG12" s="64" t="s">
        <v>154</v>
      </c>
      <c r="AQ12" s="59">
        <f>SUM(AH13:AH13)</f>
        <v>0</v>
      </c>
      <c r="AR12" s="59">
        <f>SUM(AI13:AI13)</f>
        <v>0</v>
      </c>
      <c r="AS12" s="59">
        <f>SUM(AJ13:AJ13)</f>
        <v>0</v>
      </c>
    </row>
    <row r="13" spans="1:73" ht="13.5" customHeight="1" x14ac:dyDescent="0.3">
      <c r="A13" s="82" t="s">
        <v>157</v>
      </c>
      <c r="B13" s="60" t="s">
        <v>464</v>
      </c>
      <c r="C13" s="551" t="s">
        <v>465</v>
      </c>
      <c r="D13" s="565"/>
      <c r="E13" s="60" t="s">
        <v>466</v>
      </c>
      <c r="F13" s="70">
        <v>2</v>
      </c>
      <c r="G13" s="311">
        <v>0</v>
      </c>
      <c r="H13" s="70">
        <f>F13*AM13</f>
        <v>0</v>
      </c>
      <c r="I13" s="70">
        <f>F13*AN13</f>
        <v>0</v>
      </c>
      <c r="J13" s="70">
        <f>F13*G13</f>
        <v>0</v>
      </c>
      <c r="K13" s="70">
        <v>0</v>
      </c>
      <c r="L13" s="70">
        <f>F13*K13</f>
        <v>0</v>
      </c>
      <c r="M13" s="89" t="s">
        <v>154</v>
      </c>
      <c r="X13" s="70">
        <f>IF(AO13="5",BH13,0)</f>
        <v>0</v>
      </c>
      <c r="Z13" s="70">
        <f>IF(AO13="1",BF13,0)</f>
        <v>0</v>
      </c>
      <c r="AA13" s="70">
        <f>IF(AO13="1",BG13,0)</f>
        <v>0</v>
      </c>
      <c r="AB13" s="70">
        <f>IF(AO13="7",BF13,0)</f>
        <v>0</v>
      </c>
      <c r="AC13" s="70">
        <f>IF(AO13="7",BG13,0)</f>
        <v>0</v>
      </c>
      <c r="AD13" s="70">
        <f>IF(AO13="2",BF13,0)</f>
        <v>0</v>
      </c>
      <c r="AE13" s="70">
        <f>IF(AO13="2",BG13,0)</f>
        <v>0</v>
      </c>
      <c r="AF13" s="70">
        <f>IF(AO13="0",BH13,0)</f>
        <v>0</v>
      </c>
      <c r="AG13" s="64" t="s">
        <v>154</v>
      </c>
      <c r="AH13" s="70">
        <f>IF(AL13=0,J13,0)</f>
        <v>0</v>
      </c>
      <c r="AI13" s="70">
        <f>IF(AL13=15,J13,0)</f>
        <v>0</v>
      </c>
      <c r="AJ13" s="70">
        <f>IF(AL13=21,J13,0)</f>
        <v>0</v>
      </c>
      <c r="AL13" s="70">
        <v>21</v>
      </c>
      <c r="AM13" s="70">
        <f>G13*0.12586532410321</f>
        <v>0</v>
      </c>
      <c r="AN13" s="70">
        <f>G13*(1-0.12586532410321)</f>
        <v>0</v>
      </c>
      <c r="AO13" s="71" t="s">
        <v>157</v>
      </c>
      <c r="AT13" s="70">
        <f>AU13+AV13</f>
        <v>0</v>
      </c>
      <c r="AU13" s="70">
        <f>F13*AM13</f>
        <v>0</v>
      </c>
      <c r="AV13" s="70">
        <f>F13*AN13</f>
        <v>0</v>
      </c>
      <c r="AW13" s="71" t="s">
        <v>467</v>
      </c>
      <c r="AX13" s="71" t="s">
        <v>467</v>
      </c>
      <c r="AY13" s="64" t="s">
        <v>164</v>
      </c>
      <c r="BA13" s="70">
        <f>AU13+AV13</f>
        <v>0</v>
      </c>
      <c r="BB13" s="70">
        <f>G13/(100-BC13)*100</f>
        <v>0</v>
      </c>
      <c r="BC13" s="70">
        <v>0</v>
      </c>
      <c r="BD13" s="70">
        <f>L13</f>
        <v>0</v>
      </c>
      <c r="BF13" s="70">
        <f>F13*AM13</f>
        <v>0</v>
      </c>
      <c r="BG13" s="70">
        <f>F13*AN13</f>
        <v>0</v>
      </c>
      <c r="BH13" s="70">
        <f>F13*G13</f>
        <v>0</v>
      </c>
      <c r="BI13" s="70"/>
      <c r="BJ13" s="70">
        <v>0</v>
      </c>
      <c r="BU13" s="70" t="e">
        <f>#REF!</f>
        <v>#REF!</v>
      </c>
    </row>
    <row r="14" spans="1:73" ht="40.5" customHeight="1" x14ac:dyDescent="0.3">
      <c r="A14" s="90"/>
      <c r="B14" s="72" t="s">
        <v>165</v>
      </c>
      <c r="C14" s="581" t="s">
        <v>789</v>
      </c>
      <c r="D14" s="582"/>
      <c r="E14" s="582"/>
      <c r="F14" s="582"/>
      <c r="G14" s="582"/>
      <c r="H14" s="582"/>
      <c r="I14" s="582"/>
      <c r="J14" s="582"/>
      <c r="K14" s="582"/>
      <c r="L14" s="582"/>
      <c r="M14" s="583"/>
    </row>
    <row r="15" spans="1:73" ht="15" customHeight="1" x14ac:dyDescent="0.3">
      <c r="A15" s="82" t="s">
        <v>154</v>
      </c>
      <c r="B15" s="61" t="s">
        <v>155</v>
      </c>
      <c r="C15" s="564" t="s">
        <v>156</v>
      </c>
      <c r="D15" s="571"/>
      <c r="E15" s="60" t="s">
        <v>114</v>
      </c>
      <c r="F15" s="60" t="s">
        <v>114</v>
      </c>
      <c r="G15" s="60" t="s">
        <v>114</v>
      </c>
      <c r="H15" s="73">
        <f>SUM(H16:H22)</f>
        <v>0</v>
      </c>
      <c r="I15" s="73">
        <f>SUM(I16:I22)</f>
        <v>0</v>
      </c>
      <c r="J15" s="73">
        <f>SUM(J16:J22)</f>
        <v>0</v>
      </c>
      <c r="K15" s="65" t="s">
        <v>154</v>
      </c>
      <c r="L15" s="73">
        <f>SUM(L16:L22)</f>
        <v>23.400427000000001</v>
      </c>
      <c r="M15" s="91" t="s">
        <v>154</v>
      </c>
      <c r="AG15" s="64" t="s">
        <v>154</v>
      </c>
      <c r="AQ15" s="59">
        <f>SUM(AH16:AH22)</f>
        <v>0</v>
      </c>
      <c r="AR15" s="59">
        <f>SUM(AI16:AI22)</f>
        <v>0</v>
      </c>
      <c r="AS15" s="59">
        <f>SUM(AJ16:AJ22)</f>
        <v>0</v>
      </c>
    </row>
    <row r="16" spans="1:73" ht="13.5" customHeight="1" x14ac:dyDescent="0.3">
      <c r="A16" s="82" t="s">
        <v>166</v>
      </c>
      <c r="B16" s="60" t="s">
        <v>170</v>
      </c>
      <c r="C16" s="551" t="s">
        <v>171</v>
      </c>
      <c r="D16" s="565"/>
      <c r="E16" s="60" t="s">
        <v>172</v>
      </c>
      <c r="F16" s="70">
        <v>40</v>
      </c>
      <c r="G16" s="311">
        <v>0</v>
      </c>
      <c r="H16" s="70">
        <f>F16*AM16</f>
        <v>0</v>
      </c>
      <c r="I16" s="70">
        <f>F16*AN16</f>
        <v>0</v>
      </c>
      <c r="J16" s="70">
        <f>F16*G16</f>
        <v>0</v>
      </c>
      <c r="K16" s="70">
        <v>0</v>
      </c>
      <c r="L16" s="70">
        <f>F16*K16</f>
        <v>0</v>
      </c>
      <c r="M16" s="89" t="s">
        <v>472</v>
      </c>
      <c r="X16" s="70">
        <f>IF(AO16="5",BH16,0)</f>
        <v>0</v>
      </c>
      <c r="Z16" s="70">
        <f>IF(AO16="1",BF16,0)</f>
        <v>0</v>
      </c>
      <c r="AA16" s="70">
        <f>IF(AO16="1",BG16,0)</f>
        <v>0</v>
      </c>
      <c r="AB16" s="70">
        <f>IF(AO16="7",BF16,0)</f>
        <v>0</v>
      </c>
      <c r="AC16" s="70">
        <f>IF(AO16="7",BG16,0)</f>
        <v>0</v>
      </c>
      <c r="AD16" s="70">
        <f>IF(AO16="2",BF16,0)</f>
        <v>0</v>
      </c>
      <c r="AE16" s="70">
        <f>IF(AO16="2",BG16,0)</f>
        <v>0</v>
      </c>
      <c r="AF16" s="70">
        <f>IF(AO16="0",BH16,0)</f>
        <v>0</v>
      </c>
      <c r="AG16" s="64" t="s">
        <v>154</v>
      </c>
      <c r="AH16" s="70">
        <f>IF(AL16=0,J16,0)</f>
        <v>0</v>
      </c>
      <c r="AI16" s="70">
        <f>IF(AL16=15,J16,0)</f>
        <v>0</v>
      </c>
      <c r="AJ16" s="70">
        <f>IF(AL16=21,J16,0)</f>
        <v>0</v>
      </c>
      <c r="AL16" s="70">
        <v>21</v>
      </c>
      <c r="AM16" s="70">
        <f>G16*0</f>
        <v>0</v>
      </c>
      <c r="AN16" s="70">
        <f>G16*(1-0)</f>
        <v>0</v>
      </c>
      <c r="AO16" s="71" t="s">
        <v>157</v>
      </c>
      <c r="AT16" s="70">
        <f>AU16+AV16</f>
        <v>0</v>
      </c>
      <c r="AU16" s="70">
        <f>F16*AM16</f>
        <v>0</v>
      </c>
      <c r="AV16" s="70">
        <f>F16*AN16</f>
        <v>0</v>
      </c>
      <c r="AW16" s="71" t="s">
        <v>162</v>
      </c>
      <c r="AX16" s="71" t="s">
        <v>163</v>
      </c>
      <c r="AY16" s="64" t="s">
        <v>164</v>
      </c>
      <c r="BA16" s="70">
        <f>AU16+AV16</f>
        <v>0</v>
      </c>
      <c r="BB16" s="70">
        <f>G16/(100-BC16)*100</f>
        <v>0</v>
      </c>
      <c r="BC16" s="70">
        <v>0</v>
      </c>
      <c r="BD16" s="70">
        <f>L16</f>
        <v>0</v>
      </c>
      <c r="BF16" s="70">
        <f>F16*AM16</f>
        <v>0</v>
      </c>
      <c r="BG16" s="70">
        <f>F16*AN16</f>
        <v>0</v>
      </c>
      <c r="BH16" s="70">
        <f>F16*G16</f>
        <v>0</v>
      </c>
      <c r="BI16" s="70"/>
      <c r="BJ16" s="70">
        <v>11</v>
      </c>
      <c r="BU16" s="70" t="e">
        <f>#REF!</f>
        <v>#REF!</v>
      </c>
    </row>
    <row r="17" spans="1:73" ht="40.5" customHeight="1" x14ac:dyDescent="0.3">
      <c r="A17" s="90"/>
      <c r="B17" s="72" t="s">
        <v>165</v>
      </c>
      <c r="C17" s="581" t="s">
        <v>790</v>
      </c>
      <c r="D17" s="582"/>
      <c r="E17" s="582"/>
      <c r="F17" s="582"/>
      <c r="G17" s="582"/>
      <c r="H17" s="582"/>
      <c r="I17" s="582"/>
      <c r="J17" s="582"/>
      <c r="K17" s="582"/>
      <c r="L17" s="582"/>
      <c r="M17" s="583"/>
    </row>
    <row r="18" spans="1:73" ht="13.5" customHeight="1" x14ac:dyDescent="0.3">
      <c r="A18" s="82" t="s">
        <v>169</v>
      </c>
      <c r="B18" s="60" t="s">
        <v>174</v>
      </c>
      <c r="C18" s="551" t="s">
        <v>175</v>
      </c>
      <c r="D18" s="565"/>
      <c r="E18" s="60" t="s">
        <v>176</v>
      </c>
      <c r="F18" s="70">
        <v>5</v>
      </c>
      <c r="G18" s="311">
        <v>0</v>
      </c>
      <c r="H18" s="70">
        <f>F18*AM18</f>
        <v>0</v>
      </c>
      <c r="I18" s="70">
        <f>F18*AN18</f>
        <v>0</v>
      </c>
      <c r="J18" s="70">
        <f>F18*G18</f>
        <v>0</v>
      </c>
      <c r="K18" s="70">
        <v>0</v>
      </c>
      <c r="L18" s="70">
        <f>F18*K18</f>
        <v>0</v>
      </c>
      <c r="M18" s="89" t="s">
        <v>472</v>
      </c>
      <c r="X18" s="70">
        <f>IF(AO18="5",BH18,0)</f>
        <v>0</v>
      </c>
      <c r="Z18" s="70">
        <f>IF(AO18="1",BF18,0)</f>
        <v>0</v>
      </c>
      <c r="AA18" s="70">
        <f>IF(AO18="1",BG18,0)</f>
        <v>0</v>
      </c>
      <c r="AB18" s="70">
        <f>IF(AO18="7",BF18,0)</f>
        <v>0</v>
      </c>
      <c r="AC18" s="70">
        <f>IF(AO18="7",BG18,0)</f>
        <v>0</v>
      </c>
      <c r="AD18" s="70">
        <f>IF(AO18="2",BF18,0)</f>
        <v>0</v>
      </c>
      <c r="AE18" s="70">
        <f>IF(AO18="2",BG18,0)</f>
        <v>0</v>
      </c>
      <c r="AF18" s="70">
        <f>IF(AO18="0",BH18,0)</f>
        <v>0</v>
      </c>
      <c r="AG18" s="64" t="s">
        <v>154</v>
      </c>
      <c r="AH18" s="70">
        <f>IF(AL18=0,J18,0)</f>
        <v>0</v>
      </c>
      <c r="AI18" s="70">
        <f>IF(AL18=15,J18,0)</f>
        <v>0</v>
      </c>
      <c r="AJ18" s="70">
        <f>IF(AL18=21,J18,0)</f>
        <v>0</v>
      </c>
      <c r="AL18" s="70">
        <v>21</v>
      </c>
      <c r="AM18" s="70">
        <f>G18*0</f>
        <v>0</v>
      </c>
      <c r="AN18" s="70">
        <f>G18*(1-0)</f>
        <v>0</v>
      </c>
      <c r="AO18" s="71" t="s">
        <v>157</v>
      </c>
      <c r="AT18" s="70">
        <f>AU18+AV18</f>
        <v>0</v>
      </c>
      <c r="AU18" s="70">
        <f>F18*AM18</f>
        <v>0</v>
      </c>
      <c r="AV18" s="70">
        <f>F18*AN18</f>
        <v>0</v>
      </c>
      <c r="AW18" s="71" t="s">
        <v>162</v>
      </c>
      <c r="AX18" s="71" t="s">
        <v>163</v>
      </c>
      <c r="AY18" s="64" t="s">
        <v>164</v>
      </c>
      <c r="BA18" s="70">
        <f>AU18+AV18</f>
        <v>0</v>
      </c>
      <c r="BB18" s="70">
        <f>G18/(100-BC18)*100</f>
        <v>0</v>
      </c>
      <c r="BC18" s="70">
        <v>0</v>
      </c>
      <c r="BD18" s="70">
        <f>L18</f>
        <v>0</v>
      </c>
      <c r="BF18" s="70">
        <f>F18*AM18</f>
        <v>0</v>
      </c>
      <c r="BG18" s="70">
        <f>F18*AN18</f>
        <v>0</v>
      </c>
      <c r="BH18" s="70">
        <f>F18*G18</f>
        <v>0</v>
      </c>
      <c r="BI18" s="70"/>
      <c r="BJ18" s="70">
        <v>11</v>
      </c>
      <c r="BU18" s="70" t="e">
        <f>#REF!</f>
        <v>#REF!</v>
      </c>
    </row>
    <row r="19" spans="1:73" ht="40.5" customHeight="1" x14ac:dyDescent="0.3">
      <c r="A19" s="90"/>
      <c r="B19" s="72" t="s">
        <v>165</v>
      </c>
      <c r="C19" s="581" t="s">
        <v>475</v>
      </c>
      <c r="D19" s="582"/>
      <c r="E19" s="582"/>
      <c r="F19" s="582"/>
      <c r="G19" s="582"/>
      <c r="H19" s="582"/>
      <c r="I19" s="582"/>
      <c r="J19" s="582"/>
      <c r="K19" s="582"/>
      <c r="L19" s="582"/>
      <c r="M19" s="583"/>
    </row>
    <row r="20" spans="1:73" ht="13.5" customHeight="1" x14ac:dyDescent="0.3">
      <c r="A20" s="82" t="s">
        <v>173</v>
      </c>
      <c r="B20" s="60" t="s">
        <v>182</v>
      </c>
      <c r="C20" s="551" t="s">
        <v>183</v>
      </c>
      <c r="D20" s="565"/>
      <c r="E20" s="60" t="s">
        <v>180</v>
      </c>
      <c r="F20" s="70">
        <v>19.27</v>
      </c>
      <c r="G20" s="311">
        <v>0</v>
      </c>
      <c r="H20" s="70">
        <f>F20*AM20</f>
        <v>0</v>
      </c>
      <c r="I20" s="70">
        <f>F20*AN20</f>
        <v>0</v>
      </c>
      <c r="J20" s="70">
        <f>F20*G20</f>
        <v>0</v>
      </c>
      <c r="K20" s="70">
        <v>0.90010000000000001</v>
      </c>
      <c r="L20" s="70">
        <f>F20*K20</f>
        <v>17.344926999999998</v>
      </c>
      <c r="M20" s="89" t="s">
        <v>472</v>
      </c>
      <c r="X20" s="70">
        <f>IF(AO20="5",BH20,0)</f>
        <v>0</v>
      </c>
      <c r="Z20" s="70">
        <f>IF(AO20="1",BF20,0)</f>
        <v>0</v>
      </c>
      <c r="AA20" s="70">
        <f>IF(AO20="1",BG20,0)</f>
        <v>0</v>
      </c>
      <c r="AB20" s="70">
        <f>IF(AO20="7",BF20,0)</f>
        <v>0</v>
      </c>
      <c r="AC20" s="70">
        <f>IF(AO20="7",BG20,0)</f>
        <v>0</v>
      </c>
      <c r="AD20" s="70">
        <f>IF(AO20="2",BF20,0)</f>
        <v>0</v>
      </c>
      <c r="AE20" s="70">
        <f>IF(AO20="2",BG20,0)</f>
        <v>0</v>
      </c>
      <c r="AF20" s="70">
        <f>IF(AO20="0",BH20,0)</f>
        <v>0</v>
      </c>
      <c r="AG20" s="64" t="s">
        <v>154</v>
      </c>
      <c r="AH20" s="70">
        <f>IF(AL20=0,J20,0)</f>
        <v>0</v>
      </c>
      <c r="AI20" s="70">
        <f>IF(AL20=15,J20,0)</f>
        <v>0</v>
      </c>
      <c r="AJ20" s="70">
        <f>IF(AL20=21,J20,0)</f>
        <v>0</v>
      </c>
      <c r="AL20" s="70">
        <v>21</v>
      </c>
      <c r="AM20" s="70">
        <f>G20*0.00669326241134752</f>
        <v>0</v>
      </c>
      <c r="AN20" s="70">
        <f>G20*(1-0.00669326241134752)</f>
        <v>0</v>
      </c>
      <c r="AO20" s="71" t="s">
        <v>157</v>
      </c>
      <c r="AT20" s="70">
        <f>AU20+AV20</f>
        <v>0</v>
      </c>
      <c r="AU20" s="70">
        <f>F20*AM20</f>
        <v>0</v>
      </c>
      <c r="AV20" s="70">
        <f>F20*AN20</f>
        <v>0</v>
      </c>
      <c r="AW20" s="71" t="s">
        <v>162</v>
      </c>
      <c r="AX20" s="71" t="s">
        <v>163</v>
      </c>
      <c r="AY20" s="64" t="s">
        <v>164</v>
      </c>
      <c r="BA20" s="70">
        <f>AU20+AV20</f>
        <v>0</v>
      </c>
      <c r="BB20" s="70">
        <f>G20/(100-BC20)*100</f>
        <v>0</v>
      </c>
      <c r="BC20" s="70">
        <v>0</v>
      </c>
      <c r="BD20" s="70">
        <f>L20</f>
        <v>17.344926999999998</v>
      </c>
      <c r="BF20" s="70">
        <f>F20*AM20</f>
        <v>0</v>
      </c>
      <c r="BG20" s="70">
        <f>F20*AN20</f>
        <v>0</v>
      </c>
      <c r="BH20" s="70">
        <f>F20*G20</f>
        <v>0</v>
      </c>
      <c r="BI20" s="70"/>
      <c r="BJ20" s="70">
        <v>11</v>
      </c>
      <c r="BU20" s="70" t="e">
        <f>#REF!</f>
        <v>#REF!</v>
      </c>
    </row>
    <row r="21" spans="1:73" ht="162" customHeight="1" x14ac:dyDescent="0.3">
      <c r="A21" s="90"/>
      <c r="B21" s="72" t="s">
        <v>165</v>
      </c>
      <c r="C21" s="581" t="s">
        <v>829</v>
      </c>
      <c r="D21" s="582"/>
      <c r="E21" s="582"/>
      <c r="F21" s="582"/>
      <c r="G21" s="582"/>
      <c r="H21" s="582"/>
      <c r="I21" s="582"/>
      <c r="J21" s="582"/>
      <c r="K21" s="582"/>
      <c r="L21" s="582"/>
      <c r="M21" s="583"/>
    </row>
    <row r="22" spans="1:73" ht="13.5" customHeight="1" x14ac:dyDescent="0.3">
      <c r="A22" s="82" t="s">
        <v>177</v>
      </c>
      <c r="B22" s="60" t="s">
        <v>830</v>
      </c>
      <c r="C22" s="551" t="s">
        <v>831</v>
      </c>
      <c r="D22" s="565"/>
      <c r="E22" s="60" t="s">
        <v>180</v>
      </c>
      <c r="F22" s="70">
        <v>18.350000000000001</v>
      </c>
      <c r="G22" s="311">
        <v>0</v>
      </c>
      <c r="H22" s="70">
        <f>F22*AM22</f>
        <v>0</v>
      </c>
      <c r="I22" s="70">
        <f>F22*AN22</f>
        <v>0</v>
      </c>
      <c r="J22" s="70">
        <f>F22*G22</f>
        <v>0</v>
      </c>
      <c r="K22" s="70">
        <v>0.33</v>
      </c>
      <c r="L22" s="70">
        <f>F22*K22</f>
        <v>6.0555000000000003</v>
      </c>
      <c r="M22" s="89" t="s">
        <v>472</v>
      </c>
      <c r="X22" s="70">
        <f>IF(AO22="5",BH22,0)</f>
        <v>0</v>
      </c>
      <c r="Z22" s="70">
        <f>IF(AO22="1",BF22,0)</f>
        <v>0</v>
      </c>
      <c r="AA22" s="70">
        <f>IF(AO22="1",BG22,0)</f>
        <v>0</v>
      </c>
      <c r="AB22" s="70">
        <f>IF(AO22="7",BF22,0)</f>
        <v>0</v>
      </c>
      <c r="AC22" s="70">
        <f>IF(AO22="7",BG22,0)</f>
        <v>0</v>
      </c>
      <c r="AD22" s="70">
        <f>IF(AO22="2",BF22,0)</f>
        <v>0</v>
      </c>
      <c r="AE22" s="70">
        <f>IF(AO22="2",BG22,0)</f>
        <v>0</v>
      </c>
      <c r="AF22" s="70">
        <f>IF(AO22="0",BH22,0)</f>
        <v>0</v>
      </c>
      <c r="AG22" s="64" t="s">
        <v>154</v>
      </c>
      <c r="AH22" s="70">
        <f>IF(AL22=0,J22,0)</f>
        <v>0</v>
      </c>
      <c r="AI22" s="70">
        <f>IF(AL22=15,J22,0)</f>
        <v>0</v>
      </c>
      <c r="AJ22" s="70">
        <f>IF(AL22=21,J22,0)</f>
        <v>0</v>
      </c>
      <c r="AL22" s="70">
        <v>21</v>
      </c>
      <c r="AM22" s="70">
        <f>G22*0</f>
        <v>0</v>
      </c>
      <c r="AN22" s="70">
        <f>G22*(1-0)</f>
        <v>0</v>
      </c>
      <c r="AO22" s="71" t="s">
        <v>157</v>
      </c>
      <c r="AT22" s="70">
        <f>AU22+AV22</f>
        <v>0</v>
      </c>
      <c r="AU22" s="70">
        <f>F22*AM22</f>
        <v>0</v>
      </c>
      <c r="AV22" s="70">
        <f>F22*AN22</f>
        <v>0</v>
      </c>
      <c r="AW22" s="71" t="s">
        <v>162</v>
      </c>
      <c r="AX22" s="71" t="s">
        <v>163</v>
      </c>
      <c r="AY22" s="64" t="s">
        <v>164</v>
      </c>
      <c r="BA22" s="70">
        <f>AU22+AV22</f>
        <v>0</v>
      </c>
      <c r="BB22" s="70">
        <f>G22/(100-BC22)*100</f>
        <v>0</v>
      </c>
      <c r="BC22" s="70">
        <v>0</v>
      </c>
      <c r="BD22" s="70">
        <f>L22</f>
        <v>6.0555000000000003</v>
      </c>
      <c r="BF22" s="70">
        <f>F22*AM22</f>
        <v>0</v>
      </c>
      <c r="BG22" s="70">
        <f>F22*AN22</f>
        <v>0</v>
      </c>
      <c r="BH22" s="70">
        <f>F22*G22</f>
        <v>0</v>
      </c>
      <c r="BI22" s="70"/>
      <c r="BJ22" s="70">
        <v>11</v>
      </c>
      <c r="BU22" s="70" t="e">
        <f>#REF!</f>
        <v>#REF!</v>
      </c>
    </row>
    <row r="23" spans="1:73" ht="67.5" customHeight="1" x14ac:dyDescent="0.3">
      <c r="A23" s="90"/>
      <c r="B23" s="72" t="s">
        <v>165</v>
      </c>
      <c r="C23" s="581" t="s">
        <v>832</v>
      </c>
      <c r="D23" s="582"/>
      <c r="E23" s="582"/>
      <c r="F23" s="582"/>
      <c r="G23" s="582"/>
      <c r="H23" s="582"/>
      <c r="I23" s="582"/>
      <c r="J23" s="582"/>
      <c r="K23" s="582"/>
      <c r="L23" s="582"/>
      <c r="M23" s="583"/>
    </row>
    <row r="24" spans="1:73" ht="15" customHeight="1" x14ac:dyDescent="0.3">
      <c r="A24" s="82" t="s">
        <v>154</v>
      </c>
      <c r="B24" s="61" t="s">
        <v>191</v>
      </c>
      <c r="C24" s="564" t="s">
        <v>192</v>
      </c>
      <c r="D24" s="571"/>
      <c r="E24" s="60" t="s">
        <v>114</v>
      </c>
      <c r="F24" s="60" t="s">
        <v>114</v>
      </c>
      <c r="G24" s="60" t="s">
        <v>114</v>
      </c>
      <c r="H24" s="73">
        <f>SUM(H25:H25)</f>
        <v>0</v>
      </c>
      <c r="I24" s="73">
        <f>SUM(I25:I25)</f>
        <v>0</v>
      </c>
      <c r="J24" s="73">
        <f>SUM(J25:J25)</f>
        <v>0</v>
      </c>
      <c r="K24" s="65" t="s">
        <v>154</v>
      </c>
      <c r="L24" s="73">
        <f>SUM(L25:L25)</f>
        <v>0</v>
      </c>
      <c r="M24" s="91" t="s">
        <v>154</v>
      </c>
      <c r="AG24" s="64" t="s">
        <v>154</v>
      </c>
      <c r="AQ24" s="59">
        <f>SUM(AH25:AH25)</f>
        <v>0</v>
      </c>
      <c r="AR24" s="59">
        <f>SUM(AI25:AI25)</f>
        <v>0</v>
      </c>
      <c r="AS24" s="59">
        <f>SUM(AJ25:AJ25)</f>
        <v>0</v>
      </c>
    </row>
    <row r="25" spans="1:73" ht="13.5" customHeight="1" x14ac:dyDescent="0.3">
      <c r="A25" s="82" t="s">
        <v>181</v>
      </c>
      <c r="B25" s="60" t="s">
        <v>194</v>
      </c>
      <c r="C25" s="551" t="s">
        <v>195</v>
      </c>
      <c r="D25" s="565"/>
      <c r="E25" s="60" t="s">
        <v>196</v>
      </c>
      <c r="F25" s="70">
        <v>10.95</v>
      </c>
      <c r="G25" s="311">
        <v>0</v>
      </c>
      <c r="H25" s="70">
        <f>F25*AM25</f>
        <v>0</v>
      </c>
      <c r="I25" s="70">
        <f>F25*AN25</f>
        <v>0</v>
      </c>
      <c r="J25" s="70">
        <f>F25*G25</f>
        <v>0</v>
      </c>
      <c r="K25" s="70">
        <v>0</v>
      </c>
      <c r="L25" s="70">
        <f>F25*K25</f>
        <v>0</v>
      </c>
      <c r="M25" s="89" t="s">
        <v>472</v>
      </c>
      <c r="X25" s="70">
        <f>IF(AO25="5",BH25,0)</f>
        <v>0</v>
      </c>
      <c r="Z25" s="70">
        <f>IF(AO25="1",BF25,0)</f>
        <v>0</v>
      </c>
      <c r="AA25" s="70">
        <f>IF(AO25="1",BG25,0)</f>
        <v>0</v>
      </c>
      <c r="AB25" s="70">
        <f>IF(AO25="7",BF25,0)</f>
        <v>0</v>
      </c>
      <c r="AC25" s="70">
        <f>IF(AO25="7",BG25,0)</f>
        <v>0</v>
      </c>
      <c r="AD25" s="70">
        <f>IF(AO25="2",BF25,0)</f>
        <v>0</v>
      </c>
      <c r="AE25" s="70">
        <f>IF(AO25="2",BG25,0)</f>
        <v>0</v>
      </c>
      <c r="AF25" s="70">
        <f>IF(AO25="0",BH25,0)</f>
        <v>0</v>
      </c>
      <c r="AG25" s="64" t="s">
        <v>154</v>
      </c>
      <c r="AH25" s="70">
        <f>IF(AL25=0,J25,0)</f>
        <v>0</v>
      </c>
      <c r="AI25" s="70">
        <f>IF(AL25=15,J25,0)</f>
        <v>0</v>
      </c>
      <c r="AJ25" s="70">
        <f>IF(AL25=21,J25,0)</f>
        <v>0</v>
      </c>
      <c r="AL25" s="70">
        <v>21</v>
      </c>
      <c r="AM25" s="70">
        <f>G25*0</f>
        <v>0</v>
      </c>
      <c r="AN25" s="70">
        <f>G25*(1-0)</f>
        <v>0</v>
      </c>
      <c r="AO25" s="71" t="s">
        <v>157</v>
      </c>
      <c r="AT25" s="70">
        <f>AU25+AV25</f>
        <v>0</v>
      </c>
      <c r="AU25" s="70">
        <f>F25*AM25</f>
        <v>0</v>
      </c>
      <c r="AV25" s="70">
        <f>F25*AN25</f>
        <v>0</v>
      </c>
      <c r="AW25" s="71" t="s">
        <v>197</v>
      </c>
      <c r="AX25" s="71" t="s">
        <v>163</v>
      </c>
      <c r="AY25" s="64" t="s">
        <v>164</v>
      </c>
      <c r="BA25" s="70">
        <f>AU25+AV25</f>
        <v>0</v>
      </c>
      <c r="BB25" s="70">
        <f>G25/(100-BC25)*100</f>
        <v>0</v>
      </c>
      <c r="BC25" s="70">
        <v>0</v>
      </c>
      <c r="BD25" s="70">
        <f>L25</f>
        <v>0</v>
      </c>
      <c r="BF25" s="70">
        <f>F25*AM25</f>
        <v>0</v>
      </c>
      <c r="BG25" s="70">
        <f>F25*AN25</f>
        <v>0</v>
      </c>
      <c r="BH25" s="70">
        <f>F25*G25</f>
        <v>0</v>
      </c>
      <c r="BI25" s="70"/>
      <c r="BJ25" s="70">
        <v>12</v>
      </c>
      <c r="BU25" s="70" t="e">
        <f>#REF!</f>
        <v>#REF!</v>
      </c>
    </row>
    <row r="26" spans="1:73" ht="67.5" customHeight="1" x14ac:dyDescent="0.3">
      <c r="A26" s="92"/>
      <c r="B26" s="93" t="s">
        <v>165</v>
      </c>
      <c r="C26" s="584" t="s">
        <v>833</v>
      </c>
      <c r="D26" s="585"/>
      <c r="E26" s="585"/>
      <c r="F26" s="585"/>
      <c r="G26" s="585"/>
      <c r="H26" s="585"/>
      <c r="I26" s="585"/>
      <c r="J26" s="585"/>
      <c r="K26" s="585"/>
      <c r="L26" s="585"/>
      <c r="M26" s="586"/>
    </row>
    <row r="27" spans="1:73" ht="15" customHeight="1" x14ac:dyDescent="0.3">
      <c r="A27" s="84" t="s">
        <v>154</v>
      </c>
      <c r="B27" s="81" t="s">
        <v>201</v>
      </c>
      <c r="C27" s="573" t="s">
        <v>202</v>
      </c>
      <c r="D27" s="574"/>
      <c r="E27" s="85" t="s">
        <v>114</v>
      </c>
      <c r="F27" s="85" t="s">
        <v>114</v>
      </c>
      <c r="G27" s="85" t="s">
        <v>114</v>
      </c>
      <c r="H27" s="86">
        <f>SUM(H28:H46)</f>
        <v>0</v>
      </c>
      <c r="I27" s="86">
        <f>SUM(I28:I46)</f>
        <v>0</v>
      </c>
      <c r="J27" s="86">
        <f>SUM(J28:J46)</f>
        <v>0</v>
      </c>
      <c r="K27" s="87" t="s">
        <v>154</v>
      </c>
      <c r="L27" s="86">
        <f>SUM(L28:L46)</f>
        <v>0</v>
      </c>
      <c r="M27" s="88" t="s">
        <v>154</v>
      </c>
      <c r="AG27" s="64" t="s">
        <v>154</v>
      </c>
      <c r="AQ27" s="59">
        <f>SUM(AH28:AH46)</f>
        <v>0</v>
      </c>
      <c r="AR27" s="59">
        <f>SUM(AI28:AI46)</f>
        <v>0</v>
      </c>
      <c r="AS27" s="59">
        <f>SUM(AJ28:AJ46)</f>
        <v>0</v>
      </c>
    </row>
    <row r="28" spans="1:73" ht="13.5" customHeight="1" x14ac:dyDescent="0.3">
      <c r="A28" s="82" t="s">
        <v>184</v>
      </c>
      <c r="B28" s="60" t="s">
        <v>203</v>
      </c>
      <c r="C28" s="551" t="s">
        <v>204</v>
      </c>
      <c r="D28" s="565"/>
      <c r="E28" s="60" t="s">
        <v>196</v>
      </c>
      <c r="F28" s="70">
        <v>30.68</v>
      </c>
      <c r="G28" s="311">
        <v>0</v>
      </c>
      <c r="H28" s="70">
        <f>F28*AM28</f>
        <v>0</v>
      </c>
      <c r="I28" s="70">
        <f>F28*AN28</f>
        <v>0</v>
      </c>
      <c r="J28" s="70">
        <f>F28*G28</f>
        <v>0</v>
      </c>
      <c r="K28" s="70">
        <v>0</v>
      </c>
      <c r="L28" s="70">
        <f>F28*K28</f>
        <v>0</v>
      </c>
      <c r="M28" s="89" t="s">
        <v>472</v>
      </c>
      <c r="X28" s="70">
        <f>IF(AO28="5",BH28,0)</f>
        <v>0</v>
      </c>
      <c r="Z28" s="70">
        <f>IF(AO28="1",BF28,0)</f>
        <v>0</v>
      </c>
      <c r="AA28" s="70">
        <f>IF(AO28="1",BG28,0)</f>
        <v>0</v>
      </c>
      <c r="AB28" s="70">
        <f>IF(AO28="7",BF28,0)</f>
        <v>0</v>
      </c>
      <c r="AC28" s="70">
        <f>IF(AO28="7",BG28,0)</f>
        <v>0</v>
      </c>
      <c r="AD28" s="70">
        <f>IF(AO28="2",BF28,0)</f>
        <v>0</v>
      </c>
      <c r="AE28" s="70">
        <f>IF(AO28="2",BG28,0)</f>
        <v>0</v>
      </c>
      <c r="AF28" s="70">
        <f>IF(AO28="0",BH28,0)</f>
        <v>0</v>
      </c>
      <c r="AG28" s="64" t="s">
        <v>154</v>
      </c>
      <c r="AH28" s="70">
        <f>IF(AL28=0,J28,0)</f>
        <v>0</v>
      </c>
      <c r="AI28" s="70">
        <f>IF(AL28=15,J28,0)</f>
        <v>0</v>
      </c>
      <c r="AJ28" s="70">
        <f>IF(AL28=21,J28,0)</f>
        <v>0</v>
      </c>
      <c r="AL28" s="70">
        <v>21</v>
      </c>
      <c r="AM28" s="70">
        <f>G28*0</f>
        <v>0</v>
      </c>
      <c r="AN28" s="70">
        <f>G28*(1-0)</f>
        <v>0</v>
      </c>
      <c r="AO28" s="71" t="s">
        <v>157</v>
      </c>
      <c r="AT28" s="70">
        <f>AU28+AV28</f>
        <v>0</v>
      </c>
      <c r="AU28" s="70">
        <f>F28*AM28</f>
        <v>0</v>
      </c>
      <c r="AV28" s="70">
        <f>F28*AN28</f>
        <v>0</v>
      </c>
      <c r="AW28" s="71" t="s">
        <v>205</v>
      </c>
      <c r="AX28" s="71" t="s">
        <v>163</v>
      </c>
      <c r="AY28" s="64" t="s">
        <v>164</v>
      </c>
      <c r="BA28" s="70">
        <f>AU28+AV28</f>
        <v>0</v>
      </c>
      <c r="BB28" s="70">
        <f>G28/(100-BC28)*100</f>
        <v>0</v>
      </c>
      <c r="BC28" s="70">
        <v>0</v>
      </c>
      <c r="BD28" s="70">
        <f>L28</f>
        <v>0</v>
      </c>
      <c r="BF28" s="70">
        <f>F28*AM28</f>
        <v>0</v>
      </c>
      <c r="BG28" s="70">
        <f>F28*AN28</f>
        <v>0</v>
      </c>
      <c r="BH28" s="70">
        <f>F28*G28</f>
        <v>0</v>
      </c>
      <c r="BI28" s="70"/>
      <c r="BJ28" s="70">
        <v>13</v>
      </c>
      <c r="BU28" s="70" t="e">
        <f>#REF!</f>
        <v>#REF!</v>
      </c>
    </row>
    <row r="29" spans="1:73" ht="94.5" customHeight="1" x14ac:dyDescent="0.3">
      <c r="A29" s="90"/>
      <c r="B29" s="72" t="s">
        <v>165</v>
      </c>
      <c r="C29" s="581" t="s">
        <v>834</v>
      </c>
      <c r="D29" s="582"/>
      <c r="E29" s="582"/>
      <c r="F29" s="582"/>
      <c r="G29" s="582"/>
      <c r="H29" s="582"/>
      <c r="I29" s="582"/>
      <c r="J29" s="582"/>
      <c r="K29" s="582"/>
      <c r="L29" s="582"/>
      <c r="M29" s="583"/>
    </row>
    <row r="30" spans="1:73" ht="13.5" customHeight="1" x14ac:dyDescent="0.3">
      <c r="A30" s="82" t="s">
        <v>187</v>
      </c>
      <c r="B30" s="60" t="s">
        <v>206</v>
      </c>
      <c r="C30" s="551" t="s">
        <v>481</v>
      </c>
      <c r="D30" s="565"/>
      <c r="E30" s="60" t="s">
        <v>196</v>
      </c>
      <c r="F30" s="70">
        <v>15.34</v>
      </c>
      <c r="G30" s="311">
        <v>0</v>
      </c>
      <c r="H30" s="70">
        <f>F30*AM30</f>
        <v>0</v>
      </c>
      <c r="I30" s="70">
        <f>F30*AN30</f>
        <v>0</v>
      </c>
      <c r="J30" s="70">
        <f>F30*G30</f>
        <v>0</v>
      </c>
      <c r="K30" s="70">
        <v>0</v>
      </c>
      <c r="L30" s="70">
        <f>F30*K30</f>
        <v>0</v>
      </c>
      <c r="M30" s="89" t="s">
        <v>472</v>
      </c>
      <c r="X30" s="70">
        <f>IF(AO30="5",BH30,0)</f>
        <v>0</v>
      </c>
      <c r="Z30" s="70">
        <f>IF(AO30="1",BF30,0)</f>
        <v>0</v>
      </c>
      <c r="AA30" s="70">
        <f>IF(AO30="1",BG30,0)</f>
        <v>0</v>
      </c>
      <c r="AB30" s="70">
        <f>IF(AO30="7",BF30,0)</f>
        <v>0</v>
      </c>
      <c r="AC30" s="70">
        <f>IF(AO30="7",BG30,0)</f>
        <v>0</v>
      </c>
      <c r="AD30" s="70">
        <f>IF(AO30="2",BF30,0)</f>
        <v>0</v>
      </c>
      <c r="AE30" s="70">
        <f>IF(AO30="2",BG30,0)</f>
        <v>0</v>
      </c>
      <c r="AF30" s="70">
        <f>IF(AO30="0",BH30,0)</f>
        <v>0</v>
      </c>
      <c r="AG30" s="64" t="s">
        <v>154</v>
      </c>
      <c r="AH30" s="70">
        <f>IF(AL30=0,J30,0)</f>
        <v>0</v>
      </c>
      <c r="AI30" s="70">
        <f>IF(AL30=15,J30,0)</f>
        <v>0</v>
      </c>
      <c r="AJ30" s="70">
        <f>IF(AL30=21,J30,0)</f>
        <v>0</v>
      </c>
      <c r="AL30" s="70">
        <v>21</v>
      </c>
      <c r="AM30" s="70">
        <f>G30*0</f>
        <v>0</v>
      </c>
      <c r="AN30" s="70">
        <f>G30*(1-0)</f>
        <v>0</v>
      </c>
      <c r="AO30" s="71" t="s">
        <v>157</v>
      </c>
      <c r="AT30" s="70">
        <f>AU30+AV30</f>
        <v>0</v>
      </c>
      <c r="AU30" s="70">
        <f>F30*AM30</f>
        <v>0</v>
      </c>
      <c r="AV30" s="70">
        <f>F30*AN30</f>
        <v>0</v>
      </c>
      <c r="AW30" s="71" t="s">
        <v>205</v>
      </c>
      <c r="AX30" s="71" t="s">
        <v>163</v>
      </c>
      <c r="AY30" s="64" t="s">
        <v>164</v>
      </c>
      <c r="BA30" s="70">
        <f>AU30+AV30</f>
        <v>0</v>
      </c>
      <c r="BB30" s="70">
        <f>G30/(100-BC30)*100</f>
        <v>0</v>
      </c>
      <c r="BC30" s="70">
        <v>0</v>
      </c>
      <c r="BD30" s="70">
        <f>L30</f>
        <v>0</v>
      </c>
      <c r="BF30" s="70">
        <f>F30*AM30</f>
        <v>0</v>
      </c>
      <c r="BG30" s="70">
        <f>F30*AN30</f>
        <v>0</v>
      </c>
      <c r="BH30" s="70">
        <f>F30*G30</f>
        <v>0</v>
      </c>
      <c r="BI30" s="70"/>
      <c r="BJ30" s="70">
        <v>13</v>
      </c>
      <c r="BU30" s="70" t="e">
        <f>#REF!</f>
        <v>#REF!</v>
      </c>
    </row>
    <row r="31" spans="1:73" ht="40.5" customHeight="1" x14ac:dyDescent="0.3">
      <c r="A31" s="90"/>
      <c r="B31" s="72" t="s">
        <v>165</v>
      </c>
      <c r="C31" s="581" t="s">
        <v>835</v>
      </c>
      <c r="D31" s="582"/>
      <c r="E31" s="582"/>
      <c r="F31" s="582"/>
      <c r="G31" s="582"/>
      <c r="H31" s="582"/>
      <c r="I31" s="582"/>
      <c r="J31" s="582"/>
      <c r="K31" s="582"/>
      <c r="L31" s="582"/>
      <c r="M31" s="583"/>
    </row>
    <row r="32" spans="1:73" ht="13.5" customHeight="1" x14ac:dyDescent="0.3">
      <c r="A32" s="82" t="s">
        <v>193</v>
      </c>
      <c r="B32" s="60" t="s">
        <v>208</v>
      </c>
      <c r="C32" s="551" t="s">
        <v>209</v>
      </c>
      <c r="D32" s="565"/>
      <c r="E32" s="60" t="s">
        <v>196</v>
      </c>
      <c r="F32" s="70">
        <v>24.55</v>
      </c>
      <c r="G32" s="311">
        <v>0</v>
      </c>
      <c r="H32" s="70">
        <f>F32*AM32</f>
        <v>0</v>
      </c>
      <c r="I32" s="70">
        <f>F32*AN32</f>
        <v>0</v>
      </c>
      <c r="J32" s="70">
        <f>F32*G32</f>
        <v>0</v>
      </c>
      <c r="K32" s="70">
        <v>0</v>
      </c>
      <c r="L32" s="70">
        <f>F32*K32</f>
        <v>0</v>
      </c>
      <c r="M32" s="89" t="s">
        <v>472</v>
      </c>
      <c r="X32" s="70">
        <f>IF(AO32="5",BH32,0)</f>
        <v>0</v>
      </c>
      <c r="Z32" s="70">
        <f>IF(AO32="1",BF32,0)</f>
        <v>0</v>
      </c>
      <c r="AA32" s="70">
        <f>IF(AO32="1",BG32,0)</f>
        <v>0</v>
      </c>
      <c r="AB32" s="70">
        <f>IF(AO32="7",BF32,0)</f>
        <v>0</v>
      </c>
      <c r="AC32" s="70">
        <f>IF(AO32="7",BG32,0)</f>
        <v>0</v>
      </c>
      <c r="AD32" s="70">
        <f>IF(AO32="2",BF32,0)</f>
        <v>0</v>
      </c>
      <c r="AE32" s="70">
        <f>IF(AO32="2",BG32,0)</f>
        <v>0</v>
      </c>
      <c r="AF32" s="70">
        <f>IF(AO32="0",BH32,0)</f>
        <v>0</v>
      </c>
      <c r="AG32" s="64" t="s">
        <v>154</v>
      </c>
      <c r="AH32" s="70">
        <f>IF(AL32=0,J32,0)</f>
        <v>0</v>
      </c>
      <c r="AI32" s="70">
        <f>IF(AL32=15,J32,0)</f>
        <v>0</v>
      </c>
      <c r="AJ32" s="70">
        <f>IF(AL32=21,J32,0)</f>
        <v>0</v>
      </c>
      <c r="AL32" s="70">
        <v>21</v>
      </c>
      <c r="AM32" s="70">
        <f>G32*0</f>
        <v>0</v>
      </c>
      <c r="AN32" s="70">
        <f>G32*(1-0)</f>
        <v>0</v>
      </c>
      <c r="AO32" s="71" t="s">
        <v>157</v>
      </c>
      <c r="AT32" s="70">
        <f>AU32+AV32</f>
        <v>0</v>
      </c>
      <c r="AU32" s="70">
        <f>F32*AM32</f>
        <v>0</v>
      </c>
      <c r="AV32" s="70">
        <f>F32*AN32</f>
        <v>0</v>
      </c>
      <c r="AW32" s="71" t="s">
        <v>205</v>
      </c>
      <c r="AX32" s="71" t="s">
        <v>163</v>
      </c>
      <c r="AY32" s="64" t="s">
        <v>164</v>
      </c>
      <c r="BA32" s="70">
        <f>AU32+AV32</f>
        <v>0</v>
      </c>
      <c r="BB32" s="70">
        <f>G32/(100-BC32)*100</f>
        <v>0</v>
      </c>
      <c r="BC32" s="70">
        <v>0</v>
      </c>
      <c r="BD32" s="70">
        <f>L32</f>
        <v>0</v>
      </c>
      <c r="BF32" s="70">
        <f>F32*AM32</f>
        <v>0</v>
      </c>
      <c r="BG32" s="70">
        <f>F32*AN32</f>
        <v>0</v>
      </c>
      <c r="BH32" s="70">
        <f>F32*G32</f>
        <v>0</v>
      </c>
      <c r="BI32" s="70"/>
      <c r="BJ32" s="70">
        <v>13</v>
      </c>
      <c r="BU32" s="70" t="e">
        <f>#REF!</f>
        <v>#REF!</v>
      </c>
    </row>
    <row r="33" spans="1:73" ht="94.5" customHeight="1" x14ac:dyDescent="0.3">
      <c r="A33" s="90"/>
      <c r="B33" s="72" t="s">
        <v>165</v>
      </c>
      <c r="C33" s="581" t="s">
        <v>836</v>
      </c>
      <c r="D33" s="582"/>
      <c r="E33" s="582"/>
      <c r="F33" s="582"/>
      <c r="G33" s="582"/>
      <c r="H33" s="582"/>
      <c r="I33" s="582"/>
      <c r="J33" s="582"/>
      <c r="K33" s="582"/>
      <c r="L33" s="582"/>
      <c r="M33" s="583"/>
    </row>
    <row r="34" spans="1:73" ht="13.5" customHeight="1" x14ac:dyDescent="0.3">
      <c r="A34" s="82" t="s">
        <v>198</v>
      </c>
      <c r="B34" s="60" t="s">
        <v>211</v>
      </c>
      <c r="C34" s="551" t="s">
        <v>482</v>
      </c>
      <c r="D34" s="565"/>
      <c r="E34" s="60" t="s">
        <v>196</v>
      </c>
      <c r="F34" s="70">
        <v>6.14</v>
      </c>
      <c r="G34" s="311">
        <v>0</v>
      </c>
      <c r="H34" s="70">
        <f>F34*AM34</f>
        <v>0</v>
      </c>
      <c r="I34" s="70">
        <f>F34*AN34</f>
        <v>0</v>
      </c>
      <c r="J34" s="70">
        <f>F34*G34</f>
        <v>0</v>
      </c>
      <c r="K34" s="70">
        <v>0</v>
      </c>
      <c r="L34" s="70">
        <f>F34*K34</f>
        <v>0</v>
      </c>
      <c r="M34" s="89" t="s">
        <v>472</v>
      </c>
      <c r="X34" s="70">
        <f>IF(AO34="5",BH34,0)</f>
        <v>0</v>
      </c>
      <c r="Z34" s="70">
        <f>IF(AO34="1",BF34,0)</f>
        <v>0</v>
      </c>
      <c r="AA34" s="70">
        <f>IF(AO34="1",BG34,0)</f>
        <v>0</v>
      </c>
      <c r="AB34" s="70">
        <f>IF(AO34="7",BF34,0)</f>
        <v>0</v>
      </c>
      <c r="AC34" s="70">
        <f>IF(AO34="7",BG34,0)</f>
        <v>0</v>
      </c>
      <c r="AD34" s="70">
        <f>IF(AO34="2",BF34,0)</f>
        <v>0</v>
      </c>
      <c r="AE34" s="70">
        <f>IF(AO34="2",BG34,0)</f>
        <v>0</v>
      </c>
      <c r="AF34" s="70">
        <f>IF(AO34="0",BH34,0)</f>
        <v>0</v>
      </c>
      <c r="AG34" s="64" t="s">
        <v>154</v>
      </c>
      <c r="AH34" s="70">
        <f>IF(AL34=0,J34,0)</f>
        <v>0</v>
      </c>
      <c r="AI34" s="70">
        <f>IF(AL34=15,J34,0)</f>
        <v>0</v>
      </c>
      <c r="AJ34" s="70">
        <f>IF(AL34=21,J34,0)</f>
        <v>0</v>
      </c>
      <c r="AL34" s="70">
        <v>21</v>
      </c>
      <c r="AM34" s="70">
        <f>G34*0</f>
        <v>0</v>
      </c>
      <c r="AN34" s="70">
        <f>G34*(1-0)</f>
        <v>0</v>
      </c>
      <c r="AO34" s="71" t="s">
        <v>157</v>
      </c>
      <c r="AT34" s="70">
        <f>AU34+AV34</f>
        <v>0</v>
      </c>
      <c r="AU34" s="70">
        <f>F34*AM34</f>
        <v>0</v>
      </c>
      <c r="AV34" s="70">
        <f>F34*AN34</f>
        <v>0</v>
      </c>
      <c r="AW34" s="71" t="s">
        <v>205</v>
      </c>
      <c r="AX34" s="71" t="s">
        <v>163</v>
      </c>
      <c r="AY34" s="64" t="s">
        <v>164</v>
      </c>
      <c r="BA34" s="70">
        <f>AU34+AV34</f>
        <v>0</v>
      </c>
      <c r="BB34" s="70">
        <f>G34/(100-BC34)*100</f>
        <v>0</v>
      </c>
      <c r="BC34" s="70">
        <v>0</v>
      </c>
      <c r="BD34" s="70">
        <f>L34</f>
        <v>0</v>
      </c>
      <c r="BF34" s="70">
        <f>F34*AM34</f>
        <v>0</v>
      </c>
      <c r="BG34" s="70">
        <f>F34*AN34</f>
        <v>0</v>
      </c>
      <c r="BH34" s="70">
        <f>F34*G34</f>
        <v>0</v>
      </c>
      <c r="BI34" s="70"/>
      <c r="BJ34" s="70">
        <v>13</v>
      </c>
      <c r="BU34" s="70" t="e">
        <f>#REF!</f>
        <v>#REF!</v>
      </c>
    </row>
    <row r="35" spans="1:73" ht="40.5" customHeight="1" x14ac:dyDescent="0.3">
      <c r="A35" s="90"/>
      <c r="B35" s="72" t="s">
        <v>165</v>
      </c>
      <c r="C35" s="581" t="s">
        <v>837</v>
      </c>
      <c r="D35" s="582"/>
      <c r="E35" s="582"/>
      <c r="F35" s="582"/>
      <c r="G35" s="582"/>
      <c r="H35" s="582"/>
      <c r="I35" s="582"/>
      <c r="J35" s="582"/>
      <c r="K35" s="582"/>
      <c r="L35" s="582"/>
      <c r="M35" s="583"/>
    </row>
    <row r="36" spans="1:73" ht="13.5" customHeight="1" x14ac:dyDescent="0.3">
      <c r="A36" s="82" t="s">
        <v>155</v>
      </c>
      <c r="B36" s="60" t="s">
        <v>213</v>
      </c>
      <c r="C36" s="551" t="s">
        <v>214</v>
      </c>
      <c r="D36" s="565"/>
      <c r="E36" s="60" t="s">
        <v>196</v>
      </c>
      <c r="F36" s="70">
        <v>6.13</v>
      </c>
      <c r="G36" s="311">
        <v>0</v>
      </c>
      <c r="H36" s="70">
        <f>F36*AM36</f>
        <v>0</v>
      </c>
      <c r="I36" s="70">
        <f>F36*AN36</f>
        <v>0</v>
      </c>
      <c r="J36" s="70">
        <f>F36*G36</f>
        <v>0</v>
      </c>
      <c r="K36" s="70">
        <v>0</v>
      </c>
      <c r="L36" s="70">
        <f>F36*K36</f>
        <v>0</v>
      </c>
      <c r="M36" s="89" t="s">
        <v>472</v>
      </c>
      <c r="X36" s="70">
        <f>IF(AO36="5",BH36,0)</f>
        <v>0</v>
      </c>
      <c r="Z36" s="70">
        <f>IF(AO36="1",BF36,0)</f>
        <v>0</v>
      </c>
      <c r="AA36" s="70">
        <f>IF(AO36="1",BG36,0)</f>
        <v>0</v>
      </c>
      <c r="AB36" s="70">
        <f>IF(AO36="7",BF36,0)</f>
        <v>0</v>
      </c>
      <c r="AC36" s="70">
        <f>IF(AO36="7",BG36,0)</f>
        <v>0</v>
      </c>
      <c r="AD36" s="70">
        <f>IF(AO36="2",BF36,0)</f>
        <v>0</v>
      </c>
      <c r="AE36" s="70">
        <f>IF(AO36="2",BG36,0)</f>
        <v>0</v>
      </c>
      <c r="AF36" s="70">
        <f>IF(AO36="0",BH36,0)</f>
        <v>0</v>
      </c>
      <c r="AG36" s="64" t="s">
        <v>154</v>
      </c>
      <c r="AH36" s="70">
        <f>IF(AL36=0,J36,0)</f>
        <v>0</v>
      </c>
      <c r="AI36" s="70">
        <f>IF(AL36=15,J36,0)</f>
        <v>0</v>
      </c>
      <c r="AJ36" s="70">
        <f>IF(AL36=21,J36,0)</f>
        <v>0</v>
      </c>
      <c r="AL36" s="70">
        <v>21</v>
      </c>
      <c r="AM36" s="70">
        <f>G36*0</f>
        <v>0</v>
      </c>
      <c r="AN36" s="70">
        <f>G36*(1-0)</f>
        <v>0</v>
      </c>
      <c r="AO36" s="71" t="s">
        <v>157</v>
      </c>
      <c r="AT36" s="70">
        <f>AU36+AV36</f>
        <v>0</v>
      </c>
      <c r="AU36" s="70">
        <f>F36*AM36</f>
        <v>0</v>
      </c>
      <c r="AV36" s="70">
        <f>F36*AN36</f>
        <v>0</v>
      </c>
      <c r="AW36" s="71" t="s">
        <v>205</v>
      </c>
      <c r="AX36" s="71" t="s">
        <v>163</v>
      </c>
      <c r="AY36" s="64" t="s">
        <v>164</v>
      </c>
      <c r="BA36" s="70">
        <f>AU36+AV36</f>
        <v>0</v>
      </c>
      <c r="BB36" s="70">
        <f>G36/(100-BC36)*100</f>
        <v>0</v>
      </c>
      <c r="BC36" s="70">
        <v>0</v>
      </c>
      <c r="BD36" s="70">
        <f>L36</f>
        <v>0</v>
      </c>
      <c r="BF36" s="70">
        <f>F36*AM36</f>
        <v>0</v>
      </c>
      <c r="BG36" s="70">
        <f>F36*AN36</f>
        <v>0</v>
      </c>
      <c r="BH36" s="70">
        <f>F36*G36</f>
        <v>0</v>
      </c>
      <c r="BI36" s="70"/>
      <c r="BJ36" s="70">
        <v>13</v>
      </c>
      <c r="BU36" s="70" t="e">
        <f>#REF!</f>
        <v>#REF!</v>
      </c>
    </row>
    <row r="37" spans="1:73" ht="108" customHeight="1" x14ac:dyDescent="0.3">
      <c r="A37" s="90"/>
      <c r="B37" s="72" t="s">
        <v>165</v>
      </c>
      <c r="C37" s="581" t="s">
        <v>838</v>
      </c>
      <c r="D37" s="582"/>
      <c r="E37" s="582"/>
      <c r="F37" s="582"/>
      <c r="G37" s="582"/>
      <c r="H37" s="582"/>
      <c r="I37" s="582"/>
      <c r="J37" s="582"/>
      <c r="K37" s="582"/>
      <c r="L37" s="582"/>
      <c r="M37" s="583"/>
    </row>
    <row r="38" spans="1:73" ht="13.5" customHeight="1" x14ac:dyDescent="0.3">
      <c r="A38" s="82" t="s">
        <v>191</v>
      </c>
      <c r="B38" s="60" t="s">
        <v>216</v>
      </c>
      <c r="C38" s="551" t="s">
        <v>217</v>
      </c>
      <c r="D38" s="565"/>
      <c r="E38" s="60" t="s">
        <v>196</v>
      </c>
      <c r="F38" s="70">
        <v>2</v>
      </c>
      <c r="G38" s="311">
        <v>0</v>
      </c>
      <c r="H38" s="70">
        <f>F38*AM38</f>
        <v>0</v>
      </c>
      <c r="I38" s="70">
        <f>F38*AN38</f>
        <v>0</v>
      </c>
      <c r="J38" s="70">
        <f>F38*G38</f>
        <v>0</v>
      </c>
      <c r="K38" s="70">
        <v>0</v>
      </c>
      <c r="L38" s="70">
        <f>F38*K38</f>
        <v>0</v>
      </c>
      <c r="M38" s="89" t="s">
        <v>472</v>
      </c>
      <c r="X38" s="70">
        <f>IF(AO38="5",BH38,0)</f>
        <v>0</v>
      </c>
      <c r="Z38" s="70">
        <f>IF(AO38="1",BF38,0)</f>
        <v>0</v>
      </c>
      <c r="AA38" s="70">
        <f>IF(AO38="1",BG38,0)</f>
        <v>0</v>
      </c>
      <c r="AB38" s="70">
        <f>IF(AO38="7",BF38,0)</f>
        <v>0</v>
      </c>
      <c r="AC38" s="70">
        <f>IF(AO38="7",BG38,0)</f>
        <v>0</v>
      </c>
      <c r="AD38" s="70">
        <f>IF(AO38="2",BF38,0)</f>
        <v>0</v>
      </c>
      <c r="AE38" s="70">
        <f>IF(AO38="2",BG38,0)</f>
        <v>0</v>
      </c>
      <c r="AF38" s="70">
        <f>IF(AO38="0",BH38,0)</f>
        <v>0</v>
      </c>
      <c r="AG38" s="64" t="s">
        <v>154</v>
      </c>
      <c r="AH38" s="70">
        <f>IF(AL38=0,J38,0)</f>
        <v>0</v>
      </c>
      <c r="AI38" s="70">
        <f>IF(AL38=15,J38,0)</f>
        <v>0</v>
      </c>
      <c r="AJ38" s="70">
        <f>IF(AL38=21,J38,0)</f>
        <v>0</v>
      </c>
      <c r="AL38" s="70">
        <v>21</v>
      </c>
      <c r="AM38" s="70">
        <f>G38*0</f>
        <v>0</v>
      </c>
      <c r="AN38" s="70">
        <f>G38*(1-0)</f>
        <v>0</v>
      </c>
      <c r="AO38" s="71" t="s">
        <v>157</v>
      </c>
      <c r="AT38" s="70">
        <f>AU38+AV38</f>
        <v>0</v>
      </c>
      <c r="AU38" s="70">
        <f>F38*AM38</f>
        <v>0</v>
      </c>
      <c r="AV38" s="70">
        <f>F38*AN38</f>
        <v>0</v>
      </c>
      <c r="AW38" s="71" t="s">
        <v>205</v>
      </c>
      <c r="AX38" s="71" t="s">
        <v>163</v>
      </c>
      <c r="AY38" s="64" t="s">
        <v>164</v>
      </c>
      <c r="BA38" s="70">
        <f>AU38+AV38</f>
        <v>0</v>
      </c>
      <c r="BB38" s="70">
        <f>G38/(100-BC38)*100</f>
        <v>0</v>
      </c>
      <c r="BC38" s="70">
        <v>0</v>
      </c>
      <c r="BD38" s="70">
        <f>L38</f>
        <v>0</v>
      </c>
      <c r="BF38" s="70">
        <f>F38*AM38</f>
        <v>0</v>
      </c>
      <c r="BG38" s="70">
        <f>F38*AN38</f>
        <v>0</v>
      </c>
      <c r="BH38" s="70">
        <f>F38*G38</f>
        <v>0</v>
      </c>
      <c r="BI38" s="70"/>
      <c r="BJ38" s="70">
        <v>13</v>
      </c>
      <c r="BU38" s="70" t="e">
        <f>#REF!</f>
        <v>#REF!</v>
      </c>
    </row>
    <row r="39" spans="1:73" ht="13.5" customHeight="1" x14ac:dyDescent="0.3">
      <c r="A39" s="90"/>
      <c r="B39" s="72" t="s">
        <v>165</v>
      </c>
      <c r="C39" s="581" t="s">
        <v>218</v>
      </c>
      <c r="D39" s="582"/>
      <c r="E39" s="582"/>
      <c r="F39" s="582"/>
      <c r="G39" s="582"/>
      <c r="H39" s="582"/>
      <c r="I39" s="582"/>
      <c r="J39" s="582"/>
      <c r="K39" s="582"/>
      <c r="L39" s="582"/>
      <c r="M39" s="583"/>
    </row>
    <row r="40" spans="1:73" ht="13.5" customHeight="1" x14ac:dyDescent="0.3">
      <c r="A40" s="82" t="s">
        <v>201</v>
      </c>
      <c r="B40" s="60" t="s">
        <v>483</v>
      </c>
      <c r="C40" s="551" t="s">
        <v>484</v>
      </c>
      <c r="D40" s="565"/>
      <c r="E40" s="60" t="s">
        <v>196</v>
      </c>
      <c r="F40" s="70">
        <v>2.75</v>
      </c>
      <c r="G40" s="311">
        <v>0</v>
      </c>
      <c r="H40" s="70">
        <f>F40*AM40</f>
        <v>0</v>
      </c>
      <c r="I40" s="70">
        <f>F40*AN40</f>
        <v>0</v>
      </c>
      <c r="J40" s="70">
        <f>F40*G40</f>
        <v>0</v>
      </c>
      <c r="K40" s="70">
        <v>0</v>
      </c>
      <c r="L40" s="70">
        <f>F40*K40</f>
        <v>0</v>
      </c>
      <c r="M40" s="89" t="s">
        <v>472</v>
      </c>
      <c r="X40" s="70">
        <f>IF(AO40="5",BH40,0)</f>
        <v>0</v>
      </c>
      <c r="Z40" s="70">
        <f>IF(AO40="1",BF40,0)</f>
        <v>0</v>
      </c>
      <c r="AA40" s="70">
        <f>IF(AO40="1",BG40,0)</f>
        <v>0</v>
      </c>
      <c r="AB40" s="70">
        <f>IF(AO40="7",BF40,0)</f>
        <v>0</v>
      </c>
      <c r="AC40" s="70">
        <f>IF(AO40="7",BG40,0)</f>
        <v>0</v>
      </c>
      <c r="AD40" s="70">
        <f>IF(AO40="2",BF40,0)</f>
        <v>0</v>
      </c>
      <c r="AE40" s="70">
        <f>IF(AO40="2",BG40,0)</f>
        <v>0</v>
      </c>
      <c r="AF40" s="70">
        <f>IF(AO40="0",BH40,0)</f>
        <v>0</v>
      </c>
      <c r="AG40" s="64" t="s">
        <v>154</v>
      </c>
      <c r="AH40" s="70">
        <f>IF(AL40=0,J40,0)</f>
        <v>0</v>
      </c>
      <c r="AI40" s="70">
        <f>IF(AL40=15,J40,0)</f>
        <v>0</v>
      </c>
      <c r="AJ40" s="70">
        <f>IF(AL40=21,J40,0)</f>
        <v>0</v>
      </c>
      <c r="AL40" s="70">
        <v>21</v>
      </c>
      <c r="AM40" s="70">
        <f>G40*0</f>
        <v>0</v>
      </c>
      <c r="AN40" s="70">
        <f>G40*(1-0)</f>
        <v>0</v>
      </c>
      <c r="AO40" s="71" t="s">
        <v>157</v>
      </c>
      <c r="AT40" s="70">
        <f>AU40+AV40</f>
        <v>0</v>
      </c>
      <c r="AU40" s="70">
        <f>F40*AM40</f>
        <v>0</v>
      </c>
      <c r="AV40" s="70">
        <f>F40*AN40</f>
        <v>0</v>
      </c>
      <c r="AW40" s="71" t="s">
        <v>205</v>
      </c>
      <c r="AX40" s="71" t="s">
        <v>163</v>
      </c>
      <c r="AY40" s="64" t="s">
        <v>164</v>
      </c>
      <c r="BA40" s="70">
        <f>AU40+AV40</f>
        <v>0</v>
      </c>
      <c r="BB40" s="70">
        <f>G40/(100-BC40)*100</f>
        <v>0</v>
      </c>
      <c r="BC40" s="70">
        <v>0</v>
      </c>
      <c r="BD40" s="70">
        <f>L40</f>
        <v>0</v>
      </c>
      <c r="BF40" s="70">
        <f>F40*AM40</f>
        <v>0</v>
      </c>
      <c r="BG40" s="70">
        <f>F40*AN40</f>
        <v>0</v>
      </c>
      <c r="BH40" s="70">
        <f>F40*G40</f>
        <v>0</v>
      </c>
      <c r="BI40" s="70"/>
      <c r="BJ40" s="70">
        <v>13</v>
      </c>
      <c r="BU40" s="70" t="e">
        <f>#REF!</f>
        <v>#REF!</v>
      </c>
    </row>
    <row r="41" spans="1:73" ht="40.5" customHeight="1" x14ac:dyDescent="0.3">
      <c r="A41" s="90"/>
      <c r="B41" s="72" t="s">
        <v>165</v>
      </c>
      <c r="C41" s="581" t="s">
        <v>485</v>
      </c>
      <c r="D41" s="582"/>
      <c r="E41" s="582"/>
      <c r="F41" s="582"/>
      <c r="G41" s="582"/>
      <c r="H41" s="582"/>
      <c r="I41" s="582"/>
      <c r="J41" s="582"/>
      <c r="K41" s="582"/>
      <c r="L41" s="582"/>
      <c r="M41" s="583"/>
    </row>
    <row r="42" spans="1:73" ht="13.5" customHeight="1" x14ac:dyDescent="0.3">
      <c r="A42" s="82" t="s">
        <v>210</v>
      </c>
      <c r="B42" s="60" t="s">
        <v>486</v>
      </c>
      <c r="C42" s="551" t="s">
        <v>487</v>
      </c>
      <c r="D42" s="565"/>
      <c r="E42" s="60" t="s">
        <v>196</v>
      </c>
      <c r="F42" s="70">
        <v>34.020000000000003</v>
      </c>
      <c r="G42" s="311">
        <v>0</v>
      </c>
      <c r="H42" s="70">
        <f>F42*AM42</f>
        <v>0</v>
      </c>
      <c r="I42" s="70">
        <f>F42*AN42</f>
        <v>0</v>
      </c>
      <c r="J42" s="70">
        <f>F42*G42</f>
        <v>0</v>
      </c>
      <c r="K42" s="70">
        <v>0</v>
      </c>
      <c r="L42" s="70">
        <f>F42*K42</f>
        <v>0</v>
      </c>
      <c r="M42" s="89" t="s">
        <v>472</v>
      </c>
      <c r="X42" s="70">
        <f>IF(AO42="5",BH42,0)</f>
        <v>0</v>
      </c>
      <c r="Z42" s="70">
        <f>IF(AO42="1",BF42,0)</f>
        <v>0</v>
      </c>
      <c r="AA42" s="70">
        <f>IF(AO42="1",BG42,0)</f>
        <v>0</v>
      </c>
      <c r="AB42" s="70">
        <f>IF(AO42="7",BF42,0)</f>
        <v>0</v>
      </c>
      <c r="AC42" s="70">
        <f>IF(AO42="7",BG42,0)</f>
        <v>0</v>
      </c>
      <c r="AD42" s="70">
        <f>IF(AO42="2",BF42,0)</f>
        <v>0</v>
      </c>
      <c r="AE42" s="70">
        <f>IF(AO42="2",BG42,0)</f>
        <v>0</v>
      </c>
      <c r="AF42" s="70">
        <f>IF(AO42="0",BH42,0)</f>
        <v>0</v>
      </c>
      <c r="AG42" s="64" t="s">
        <v>154</v>
      </c>
      <c r="AH42" s="70">
        <f>IF(AL42=0,J42,0)</f>
        <v>0</v>
      </c>
      <c r="AI42" s="70">
        <f>IF(AL42=15,J42,0)</f>
        <v>0</v>
      </c>
      <c r="AJ42" s="70">
        <f>IF(AL42=21,J42,0)</f>
        <v>0</v>
      </c>
      <c r="AL42" s="70">
        <v>21</v>
      </c>
      <c r="AM42" s="70">
        <f>G42*0</f>
        <v>0</v>
      </c>
      <c r="AN42" s="70">
        <f>G42*(1-0)</f>
        <v>0</v>
      </c>
      <c r="AO42" s="71" t="s">
        <v>157</v>
      </c>
      <c r="AT42" s="70">
        <f>AU42+AV42</f>
        <v>0</v>
      </c>
      <c r="AU42" s="70">
        <f>F42*AM42</f>
        <v>0</v>
      </c>
      <c r="AV42" s="70">
        <f>F42*AN42</f>
        <v>0</v>
      </c>
      <c r="AW42" s="71" t="s">
        <v>205</v>
      </c>
      <c r="AX42" s="71" t="s">
        <v>163</v>
      </c>
      <c r="AY42" s="64" t="s">
        <v>164</v>
      </c>
      <c r="BA42" s="70">
        <f>AU42+AV42</f>
        <v>0</v>
      </c>
      <c r="BB42" s="70">
        <f>G42/(100-BC42)*100</f>
        <v>0</v>
      </c>
      <c r="BC42" s="70">
        <v>0</v>
      </c>
      <c r="BD42" s="70">
        <f>L42</f>
        <v>0</v>
      </c>
      <c r="BF42" s="70">
        <f>F42*AM42</f>
        <v>0</v>
      </c>
      <c r="BG42" s="70">
        <f>F42*AN42</f>
        <v>0</v>
      </c>
      <c r="BH42" s="70">
        <f>F42*G42</f>
        <v>0</v>
      </c>
      <c r="BI42" s="70"/>
      <c r="BJ42" s="70">
        <v>13</v>
      </c>
      <c r="BU42" s="70" t="e">
        <f>#REF!</f>
        <v>#REF!</v>
      </c>
    </row>
    <row r="43" spans="1:73" ht="67.5" customHeight="1" x14ac:dyDescent="0.3">
      <c r="A43" s="90"/>
      <c r="B43" s="72" t="s">
        <v>165</v>
      </c>
      <c r="C43" s="581" t="s">
        <v>488</v>
      </c>
      <c r="D43" s="582"/>
      <c r="E43" s="582"/>
      <c r="F43" s="582"/>
      <c r="G43" s="582"/>
      <c r="H43" s="582"/>
      <c r="I43" s="582"/>
      <c r="J43" s="582"/>
      <c r="K43" s="582"/>
      <c r="L43" s="582"/>
      <c r="M43" s="583"/>
    </row>
    <row r="44" spans="1:73" ht="13.5" customHeight="1" x14ac:dyDescent="0.3">
      <c r="A44" s="82" t="s">
        <v>161</v>
      </c>
      <c r="B44" s="60" t="s">
        <v>489</v>
      </c>
      <c r="C44" s="551" t="s">
        <v>490</v>
      </c>
      <c r="D44" s="565"/>
      <c r="E44" s="60" t="s">
        <v>196</v>
      </c>
      <c r="F44" s="70">
        <v>27.21</v>
      </c>
      <c r="G44" s="311">
        <v>0</v>
      </c>
      <c r="H44" s="70">
        <f>F44*AM44</f>
        <v>0</v>
      </c>
      <c r="I44" s="70">
        <f>F44*AN44</f>
        <v>0</v>
      </c>
      <c r="J44" s="70">
        <f>F44*G44</f>
        <v>0</v>
      </c>
      <c r="K44" s="70">
        <v>0</v>
      </c>
      <c r="L44" s="70">
        <f>F44*K44</f>
        <v>0</v>
      </c>
      <c r="M44" s="89" t="s">
        <v>472</v>
      </c>
      <c r="X44" s="70">
        <f>IF(AO44="5",BH44,0)</f>
        <v>0</v>
      </c>
      <c r="Z44" s="70">
        <f>IF(AO44="1",BF44,0)</f>
        <v>0</v>
      </c>
      <c r="AA44" s="70">
        <f>IF(AO44="1",BG44,0)</f>
        <v>0</v>
      </c>
      <c r="AB44" s="70">
        <f>IF(AO44="7",BF44,0)</f>
        <v>0</v>
      </c>
      <c r="AC44" s="70">
        <f>IF(AO44="7",BG44,0)</f>
        <v>0</v>
      </c>
      <c r="AD44" s="70">
        <f>IF(AO44="2",BF44,0)</f>
        <v>0</v>
      </c>
      <c r="AE44" s="70">
        <f>IF(AO44="2",BG44,0)</f>
        <v>0</v>
      </c>
      <c r="AF44" s="70">
        <f>IF(AO44="0",BH44,0)</f>
        <v>0</v>
      </c>
      <c r="AG44" s="64" t="s">
        <v>154</v>
      </c>
      <c r="AH44" s="70">
        <f>IF(AL44=0,J44,0)</f>
        <v>0</v>
      </c>
      <c r="AI44" s="70">
        <f>IF(AL44=15,J44,0)</f>
        <v>0</v>
      </c>
      <c r="AJ44" s="70">
        <f>IF(AL44=21,J44,0)</f>
        <v>0</v>
      </c>
      <c r="AL44" s="70">
        <v>21</v>
      </c>
      <c r="AM44" s="70">
        <f>G44*0</f>
        <v>0</v>
      </c>
      <c r="AN44" s="70">
        <f>G44*(1-0)</f>
        <v>0</v>
      </c>
      <c r="AO44" s="71" t="s">
        <v>157</v>
      </c>
      <c r="AT44" s="70">
        <f>AU44+AV44</f>
        <v>0</v>
      </c>
      <c r="AU44" s="70">
        <f>F44*AM44</f>
        <v>0</v>
      </c>
      <c r="AV44" s="70">
        <f>F44*AN44</f>
        <v>0</v>
      </c>
      <c r="AW44" s="71" t="s">
        <v>205</v>
      </c>
      <c r="AX44" s="71" t="s">
        <v>163</v>
      </c>
      <c r="AY44" s="64" t="s">
        <v>164</v>
      </c>
      <c r="BA44" s="70">
        <f>AU44+AV44</f>
        <v>0</v>
      </c>
      <c r="BB44" s="70">
        <f>G44/(100-BC44)*100</f>
        <v>0</v>
      </c>
      <c r="BC44" s="70">
        <v>0</v>
      </c>
      <c r="BD44" s="70">
        <f>L44</f>
        <v>0</v>
      </c>
      <c r="BF44" s="70">
        <f>F44*AM44</f>
        <v>0</v>
      </c>
      <c r="BG44" s="70">
        <f>F44*AN44</f>
        <v>0</v>
      </c>
      <c r="BH44" s="70">
        <f>F44*G44</f>
        <v>0</v>
      </c>
      <c r="BI44" s="70"/>
      <c r="BJ44" s="70">
        <v>13</v>
      </c>
      <c r="BU44" s="70" t="e">
        <f>#REF!</f>
        <v>#REF!</v>
      </c>
    </row>
    <row r="45" spans="1:73" ht="67.5" customHeight="1" x14ac:dyDescent="0.3">
      <c r="A45" s="92"/>
      <c r="B45" s="93" t="s">
        <v>165</v>
      </c>
      <c r="C45" s="584" t="s">
        <v>491</v>
      </c>
      <c r="D45" s="585"/>
      <c r="E45" s="585"/>
      <c r="F45" s="585"/>
      <c r="G45" s="585"/>
      <c r="H45" s="585"/>
      <c r="I45" s="585"/>
      <c r="J45" s="585"/>
      <c r="K45" s="585"/>
      <c r="L45" s="585"/>
      <c r="M45" s="586"/>
    </row>
    <row r="46" spans="1:73" ht="13.5" customHeight="1" x14ac:dyDescent="0.3">
      <c r="A46" s="84" t="s">
        <v>215</v>
      </c>
      <c r="B46" s="85" t="s">
        <v>492</v>
      </c>
      <c r="C46" s="587" t="s">
        <v>493</v>
      </c>
      <c r="D46" s="588"/>
      <c r="E46" s="85" t="s">
        <v>196</v>
      </c>
      <c r="F46" s="94">
        <v>6.81</v>
      </c>
      <c r="G46" s="311">
        <v>0</v>
      </c>
      <c r="H46" s="94">
        <f>F46*AM46</f>
        <v>0</v>
      </c>
      <c r="I46" s="94">
        <f>F46*AN46</f>
        <v>0</v>
      </c>
      <c r="J46" s="94">
        <f>F46*G46</f>
        <v>0</v>
      </c>
      <c r="K46" s="94">
        <v>0</v>
      </c>
      <c r="L46" s="94">
        <f>F46*K46</f>
        <v>0</v>
      </c>
      <c r="M46" s="95" t="s">
        <v>472</v>
      </c>
      <c r="X46" s="70">
        <f>IF(AO46="5",BH46,0)</f>
        <v>0</v>
      </c>
      <c r="Z46" s="70">
        <f>IF(AO46="1",BF46,0)</f>
        <v>0</v>
      </c>
      <c r="AA46" s="70">
        <f>IF(AO46="1",BG46,0)</f>
        <v>0</v>
      </c>
      <c r="AB46" s="70">
        <f>IF(AO46="7",BF46,0)</f>
        <v>0</v>
      </c>
      <c r="AC46" s="70">
        <f>IF(AO46="7",BG46,0)</f>
        <v>0</v>
      </c>
      <c r="AD46" s="70">
        <f>IF(AO46="2",BF46,0)</f>
        <v>0</v>
      </c>
      <c r="AE46" s="70">
        <f>IF(AO46="2",BG46,0)</f>
        <v>0</v>
      </c>
      <c r="AF46" s="70">
        <f>IF(AO46="0",BH46,0)</f>
        <v>0</v>
      </c>
      <c r="AG46" s="64" t="s">
        <v>154</v>
      </c>
      <c r="AH46" s="70">
        <f>IF(AL46=0,J46,0)</f>
        <v>0</v>
      </c>
      <c r="AI46" s="70">
        <f>IF(AL46=15,J46,0)</f>
        <v>0</v>
      </c>
      <c r="AJ46" s="70">
        <f>IF(AL46=21,J46,0)</f>
        <v>0</v>
      </c>
      <c r="AL46" s="70">
        <v>21</v>
      </c>
      <c r="AM46" s="70">
        <f>G46*0</f>
        <v>0</v>
      </c>
      <c r="AN46" s="70">
        <f>G46*(1-0)</f>
        <v>0</v>
      </c>
      <c r="AO46" s="71" t="s">
        <v>157</v>
      </c>
      <c r="AT46" s="70">
        <f>AU46+AV46</f>
        <v>0</v>
      </c>
      <c r="AU46" s="70">
        <f>F46*AM46</f>
        <v>0</v>
      </c>
      <c r="AV46" s="70">
        <f>F46*AN46</f>
        <v>0</v>
      </c>
      <c r="AW46" s="71" t="s">
        <v>205</v>
      </c>
      <c r="AX46" s="71" t="s">
        <v>163</v>
      </c>
      <c r="AY46" s="64" t="s">
        <v>164</v>
      </c>
      <c r="BA46" s="70">
        <f>AU46+AV46</f>
        <v>0</v>
      </c>
      <c r="BB46" s="70">
        <f>G46/(100-BC46)*100</f>
        <v>0</v>
      </c>
      <c r="BC46" s="70">
        <v>0</v>
      </c>
      <c r="BD46" s="70">
        <f>L46</f>
        <v>0</v>
      </c>
      <c r="BF46" s="70">
        <f>F46*AM46</f>
        <v>0</v>
      </c>
      <c r="BG46" s="70">
        <f>F46*AN46</f>
        <v>0</v>
      </c>
      <c r="BH46" s="70">
        <f>F46*G46</f>
        <v>0</v>
      </c>
      <c r="BI46" s="70"/>
      <c r="BJ46" s="70">
        <v>13</v>
      </c>
      <c r="BU46" s="70" t="e">
        <f>#REF!</f>
        <v>#REF!</v>
      </c>
    </row>
    <row r="47" spans="1:73" ht="67.5" customHeight="1" x14ac:dyDescent="0.3">
      <c r="A47" s="90"/>
      <c r="B47" s="72" t="s">
        <v>165</v>
      </c>
      <c r="C47" s="581" t="s">
        <v>494</v>
      </c>
      <c r="D47" s="582"/>
      <c r="E47" s="582"/>
      <c r="F47" s="582"/>
      <c r="G47" s="582"/>
      <c r="H47" s="582"/>
      <c r="I47" s="582"/>
      <c r="J47" s="582"/>
      <c r="K47" s="582"/>
      <c r="L47" s="582"/>
      <c r="M47" s="583"/>
    </row>
    <row r="48" spans="1:73" ht="15" customHeight="1" x14ac:dyDescent="0.3">
      <c r="A48" s="82" t="s">
        <v>154</v>
      </c>
      <c r="B48" s="61" t="s">
        <v>210</v>
      </c>
      <c r="C48" s="564" t="s">
        <v>495</v>
      </c>
      <c r="D48" s="571"/>
      <c r="E48" s="60" t="s">
        <v>114</v>
      </c>
      <c r="F48" s="60" t="s">
        <v>114</v>
      </c>
      <c r="G48" s="60" t="s">
        <v>114</v>
      </c>
      <c r="H48" s="73">
        <f>SUM(H49:H49)</f>
        <v>0</v>
      </c>
      <c r="I48" s="73">
        <f>SUM(I49:I49)</f>
        <v>0</v>
      </c>
      <c r="J48" s="73">
        <f>SUM(J49:J49)</f>
        <v>0</v>
      </c>
      <c r="K48" s="65" t="s">
        <v>154</v>
      </c>
      <c r="L48" s="73">
        <f>SUM(L49:L49)</f>
        <v>8.3519999999999997E-2</v>
      </c>
      <c r="M48" s="91" t="s">
        <v>154</v>
      </c>
      <c r="AG48" s="64" t="s">
        <v>154</v>
      </c>
      <c r="AQ48" s="59">
        <f>SUM(AH49:AH49)</f>
        <v>0</v>
      </c>
      <c r="AR48" s="59">
        <f>SUM(AI49:AI49)</f>
        <v>0</v>
      </c>
      <c r="AS48" s="59">
        <f>SUM(AJ49:AJ49)</f>
        <v>0</v>
      </c>
    </row>
    <row r="49" spans="1:73" ht="13.5" customHeight="1" x14ac:dyDescent="0.3">
      <c r="A49" s="82" t="s">
        <v>220</v>
      </c>
      <c r="B49" s="60" t="s">
        <v>496</v>
      </c>
      <c r="C49" s="551" t="s">
        <v>497</v>
      </c>
      <c r="D49" s="565"/>
      <c r="E49" s="60" t="s">
        <v>160</v>
      </c>
      <c r="F49" s="70">
        <v>12</v>
      </c>
      <c r="G49" s="311">
        <v>0</v>
      </c>
      <c r="H49" s="70">
        <f>F49*AM49</f>
        <v>0</v>
      </c>
      <c r="I49" s="70">
        <f>F49*AN49</f>
        <v>0</v>
      </c>
      <c r="J49" s="70">
        <f>F49*G49</f>
        <v>0</v>
      </c>
      <c r="K49" s="70">
        <v>6.96E-3</v>
      </c>
      <c r="L49" s="70">
        <f>F49*K49</f>
        <v>8.3519999999999997E-2</v>
      </c>
      <c r="M49" s="89" t="s">
        <v>472</v>
      </c>
      <c r="X49" s="70">
        <f>IF(AO49="5",BH49,0)</f>
        <v>0</v>
      </c>
      <c r="Z49" s="70">
        <f>IF(AO49="1",BF49,0)</f>
        <v>0</v>
      </c>
      <c r="AA49" s="70">
        <f>IF(AO49="1",BG49,0)</f>
        <v>0</v>
      </c>
      <c r="AB49" s="70">
        <f>IF(AO49="7",BF49,0)</f>
        <v>0</v>
      </c>
      <c r="AC49" s="70">
        <f>IF(AO49="7",BG49,0)</f>
        <v>0</v>
      </c>
      <c r="AD49" s="70">
        <f>IF(AO49="2",BF49,0)</f>
        <v>0</v>
      </c>
      <c r="AE49" s="70">
        <f>IF(AO49="2",BG49,0)</f>
        <v>0</v>
      </c>
      <c r="AF49" s="70">
        <f>IF(AO49="0",BH49,0)</f>
        <v>0</v>
      </c>
      <c r="AG49" s="64" t="s">
        <v>154</v>
      </c>
      <c r="AH49" s="70">
        <f>IF(AL49=0,J49,0)</f>
        <v>0</v>
      </c>
      <c r="AI49" s="70">
        <f>IF(AL49=15,J49,0)</f>
        <v>0</v>
      </c>
      <c r="AJ49" s="70">
        <f>IF(AL49=21,J49,0)</f>
        <v>0</v>
      </c>
      <c r="AL49" s="70">
        <v>21</v>
      </c>
      <c r="AM49" s="70">
        <f>G49*0.00861968085106383</f>
        <v>0</v>
      </c>
      <c r="AN49" s="70">
        <f>G49*(1-0.00861968085106383)</f>
        <v>0</v>
      </c>
      <c r="AO49" s="71" t="s">
        <v>157</v>
      </c>
      <c r="AT49" s="70">
        <f>AU49+AV49</f>
        <v>0</v>
      </c>
      <c r="AU49" s="70">
        <f>F49*AM49</f>
        <v>0</v>
      </c>
      <c r="AV49" s="70">
        <f>F49*AN49</f>
        <v>0</v>
      </c>
      <c r="AW49" s="71" t="s">
        <v>498</v>
      </c>
      <c r="AX49" s="71" t="s">
        <v>163</v>
      </c>
      <c r="AY49" s="64" t="s">
        <v>164</v>
      </c>
      <c r="BA49" s="70">
        <f>AU49+AV49</f>
        <v>0</v>
      </c>
      <c r="BB49" s="70">
        <f>G49/(100-BC49)*100</f>
        <v>0</v>
      </c>
      <c r="BC49" s="70">
        <v>0</v>
      </c>
      <c r="BD49" s="70">
        <f>L49</f>
        <v>8.3519999999999997E-2</v>
      </c>
      <c r="BF49" s="70">
        <f>F49*AM49</f>
        <v>0</v>
      </c>
      <c r="BG49" s="70">
        <f>F49*AN49</f>
        <v>0</v>
      </c>
      <c r="BH49" s="70">
        <f>F49*G49</f>
        <v>0</v>
      </c>
      <c r="BI49" s="70"/>
      <c r="BJ49" s="70">
        <v>14</v>
      </c>
      <c r="BU49" s="70" t="e">
        <f>#REF!</f>
        <v>#REF!</v>
      </c>
    </row>
    <row r="50" spans="1:73" ht="108" customHeight="1" x14ac:dyDescent="0.3">
      <c r="A50" s="90"/>
      <c r="B50" s="72" t="s">
        <v>165</v>
      </c>
      <c r="C50" s="581" t="s">
        <v>839</v>
      </c>
      <c r="D50" s="582"/>
      <c r="E50" s="582"/>
      <c r="F50" s="582"/>
      <c r="G50" s="582"/>
      <c r="H50" s="582"/>
      <c r="I50" s="582"/>
      <c r="J50" s="582"/>
      <c r="K50" s="582"/>
      <c r="L50" s="582"/>
      <c r="M50" s="583"/>
    </row>
    <row r="51" spans="1:73" ht="15" customHeight="1" x14ac:dyDescent="0.3">
      <c r="A51" s="82" t="s">
        <v>154</v>
      </c>
      <c r="B51" s="61" t="s">
        <v>161</v>
      </c>
      <c r="C51" s="564" t="s">
        <v>219</v>
      </c>
      <c r="D51" s="571"/>
      <c r="E51" s="60" t="s">
        <v>114</v>
      </c>
      <c r="F51" s="60" t="s">
        <v>114</v>
      </c>
      <c r="G51" s="60" t="s">
        <v>114</v>
      </c>
      <c r="H51" s="73">
        <f>SUM(H52:H54)</f>
        <v>0</v>
      </c>
      <c r="I51" s="73">
        <f>SUM(I52:I54)</f>
        <v>0</v>
      </c>
      <c r="J51" s="73">
        <f>SUM(J52:J54)</f>
        <v>0</v>
      </c>
      <c r="K51" s="65" t="s">
        <v>154</v>
      </c>
      <c r="L51" s="73">
        <f>SUM(L52:L54)</f>
        <v>7.4045999999999987E-2</v>
      </c>
      <c r="M51" s="91" t="s">
        <v>154</v>
      </c>
      <c r="AG51" s="64" t="s">
        <v>154</v>
      </c>
      <c r="AQ51" s="59">
        <f>SUM(AH52:AH54)</f>
        <v>0</v>
      </c>
      <c r="AR51" s="59">
        <f>SUM(AI52:AI54)</f>
        <v>0</v>
      </c>
      <c r="AS51" s="59">
        <f>SUM(AJ52:AJ54)</f>
        <v>0</v>
      </c>
    </row>
    <row r="52" spans="1:73" ht="13.5" customHeight="1" x14ac:dyDescent="0.3">
      <c r="A52" s="82" t="s">
        <v>224</v>
      </c>
      <c r="B52" s="60" t="s">
        <v>221</v>
      </c>
      <c r="C52" s="551" t="s">
        <v>222</v>
      </c>
      <c r="D52" s="565"/>
      <c r="E52" s="60" t="s">
        <v>180</v>
      </c>
      <c r="F52" s="70">
        <v>86.1</v>
      </c>
      <c r="G52" s="311">
        <v>0</v>
      </c>
      <c r="H52" s="70">
        <f>F52*AM52</f>
        <v>0</v>
      </c>
      <c r="I52" s="70">
        <f>F52*AN52</f>
        <v>0</v>
      </c>
      <c r="J52" s="70">
        <f>F52*G52</f>
        <v>0</v>
      </c>
      <c r="K52" s="70">
        <v>8.5999999999999998E-4</v>
      </c>
      <c r="L52" s="70">
        <f>F52*K52</f>
        <v>7.4045999999999987E-2</v>
      </c>
      <c r="M52" s="89" t="s">
        <v>472</v>
      </c>
      <c r="X52" s="70">
        <f>IF(AO52="5",BH52,0)</f>
        <v>0</v>
      </c>
      <c r="Z52" s="70">
        <f>IF(AO52="1",BF52,0)</f>
        <v>0</v>
      </c>
      <c r="AA52" s="70">
        <f>IF(AO52="1",BG52,0)</f>
        <v>0</v>
      </c>
      <c r="AB52" s="70">
        <f>IF(AO52="7",BF52,0)</f>
        <v>0</v>
      </c>
      <c r="AC52" s="70">
        <f>IF(AO52="7",BG52,0)</f>
        <v>0</v>
      </c>
      <c r="AD52" s="70">
        <f>IF(AO52="2",BF52,0)</f>
        <v>0</v>
      </c>
      <c r="AE52" s="70">
        <f>IF(AO52="2",BG52,0)</f>
        <v>0</v>
      </c>
      <c r="AF52" s="70">
        <f>IF(AO52="0",BH52,0)</f>
        <v>0</v>
      </c>
      <c r="AG52" s="64" t="s">
        <v>154</v>
      </c>
      <c r="AH52" s="70">
        <f>IF(AL52=0,J52,0)</f>
        <v>0</v>
      </c>
      <c r="AI52" s="70">
        <f>IF(AL52=15,J52,0)</f>
        <v>0</v>
      </c>
      <c r="AJ52" s="70">
        <f>IF(AL52=21,J52,0)</f>
        <v>0</v>
      </c>
      <c r="AL52" s="70">
        <v>21</v>
      </c>
      <c r="AM52" s="70">
        <f>G52*0.083527397260274</f>
        <v>0</v>
      </c>
      <c r="AN52" s="70">
        <f>G52*(1-0.083527397260274)</f>
        <v>0</v>
      </c>
      <c r="AO52" s="71" t="s">
        <v>157</v>
      </c>
      <c r="AT52" s="70">
        <f>AU52+AV52</f>
        <v>0</v>
      </c>
      <c r="AU52" s="70">
        <f>F52*AM52</f>
        <v>0</v>
      </c>
      <c r="AV52" s="70">
        <f>F52*AN52</f>
        <v>0</v>
      </c>
      <c r="AW52" s="71" t="s">
        <v>223</v>
      </c>
      <c r="AX52" s="71" t="s">
        <v>163</v>
      </c>
      <c r="AY52" s="64" t="s">
        <v>164</v>
      </c>
      <c r="BA52" s="70">
        <f>AU52+AV52</f>
        <v>0</v>
      </c>
      <c r="BB52" s="70">
        <f>G52/(100-BC52)*100</f>
        <v>0</v>
      </c>
      <c r="BC52" s="70">
        <v>0</v>
      </c>
      <c r="BD52" s="70">
        <f>L52</f>
        <v>7.4045999999999987E-2</v>
      </c>
      <c r="BF52" s="70">
        <f>F52*AM52</f>
        <v>0</v>
      </c>
      <c r="BG52" s="70">
        <f>F52*AN52</f>
        <v>0</v>
      </c>
      <c r="BH52" s="70">
        <f>F52*G52</f>
        <v>0</v>
      </c>
      <c r="BI52" s="70"/>
      <c r="BJ52" s="70">
        <v>15</v>
      </c>
      <c r="BU52" s="70" t="e">
        <f>#REF!</f>
        <v>#REF!</v>
      </c>
    </row>
    <row r="53" spans="1:73" ht="40.5" customHeight="1" x14ac:dyDescent="0.3">
      <c r="A53" s="90"/>
      <c r="B53" s="72" t="s">
        <v>165</v>
      </c>
      <c r="C53" s="581" t="s">
        <v>840</v>
      </c>
      <c r="D53" s="582"/>
      <c r="E53" s="582"/>
      <c r="F53" s="582"/>
      <c r="G53" s="582"/>
      <c r="H53" s="582"/>
      <c r="I53" s="582"/>
      <c r="J53" s="582"/>
      <c r="K53" s="582"/>
      <c r="L53" s="582"/>
      <c r="M53" s="583"/>
    </row>
    <row r="54" spans="1:73" ht="13.5" customHeight="1" x14ac:dyDescent="0.3">
      <c r="A54" s="82" t="s">
        <v>228</v>
      </c>
      <c r="B54" s="60" t="s">
        <v>225</v>
      </c>
      <c r="C54" s="551" t="s">
        <v>226</v>
      </c>
      <c r="D54" s="565"/>
      <c r="E54" s="60" t="s">
        <v>180</v>
      </c>
      <c r="F54" s="70">
        <v>86.1</v>
      </c>
      <c r="G54" s="311">
        <v>0</v>
      </c>
      <c r="H54" s="70">
        <f>F54*AM54</f>
        <v>0</v>
      </c>
      <c r="I54" s="70">
        <f>F54*AN54</f>
        <v>0</v>
      </c>
      <c r="J54" s="70">
        <f>F54*G54</f>
        <v>0</v>
      </c>
      <c r="K54" s="70">
        <v>0</v>
      </c>
      <c r="L54" s="70">
        <f>F54*K54</f>
        <v>0</v>
      </c>
      <c r="M54" s="89" t="s">
        <v>472</v>
      </c>
      <c r="X54" s="70">
        <f>IF(AO54="5",BH54,0)</f>
        <v>0</v>
      </c>
      <c r="Z54" s="70">
        <f>IF(AO54="1",BF54,0)</f>
        <v>0</v>
      </c>
      <c r="AA54" s="70">
        <f>IF(AO54="1",BG54,0)</f>
        <v>0</v>
      </c>
      <c r="AB54" s="70">
        <f>IF(AO54="7",BF54,0)</f>
        <v>0</v>
      </c>
      <c r="AC54" s="70">
        <f>IF(AO54="7",BG54,0)</f>
        <v>0</v>
      </c>
      <c r="AD54" s="70">
        <f>IF(AO54="2",BF54,0)</f>
        <v>0</v>
      </c>
      <c r="AE54" s="70">
        <f>IF(AO54="2",BG54,0)</f>
        <v>0</v>
      </c>
      <c r="AF54" s="70">
        <f>IF(AO54="0",BH54,0)</f>
        <v>0</v>
      </c>
      <c r="AG54" s="64" t="s">
        <v>154</v>
      </c>
      <c r="AH54" s="70">
        <f>IF(AL54=0,J54,0)</f>
        <v>0</v>
      </c>
      <c r="AI54" s="70">
        <f>IF(AL54=15,J54,0)</f>
        <v>0</v>
      </c>
      <c r="AJ54" s="70">
        <f>IF(AL54=21,J54,0)</f>
        <v>0</v>
      </c>
      <c r="AL54" s="70">
        <v>21</v>
      </c>
      <c r="AM54" s="70">
        <f>G54*0</f>
        <v>0</v>
      </c>
      <c r="AN54" s="70">
        <f>G54*(1-0)</f>
        <v>0</v>
      </c>
      <c r="AO54" s="71" t="s">
        <v>157</v>
      </c>
      <c r="AT54" s="70">
        <f>AU54+AV54</f>
        <v>0</v>
      </c>
      <c r="AU54" s="70">
        <f>F54*AM54</f>
        <v>0</v>
      </c>
      <c r="AV54" s="70">
        <f>F54*AN54</f>
        <v>0</v>
      </c>
      <c r="AW54" s="71" t="s">
        <v>223</v>
      </c>
      <c r="AX54" s="71" t="s">
        <v>163</v>
      </c>
      <c r="AY54" s="64" t="s">
        <v>164</v>
      </c>
      <c r="BA54" s="70">
        <f>AU54+AV54</f>
        <v>0</v>
      </c>
      <c r="BB54" s="70">
        <f>G54/(100-BC54)*100</f>
        <v>0</v>
      </c>
      <c r="BC54" s="70">
        <v>0</v>
      </c>
      <c r="BD54" s="70">
        <f>L54</f>
        <v>0</v>
      </c>
      <c r="BF54" s="70">
        <f>F54*AM54</f>
        <v>0</v>
      </c>
      <c r="BG54" s="70">
        <f>F54*AN54</f>
        <v>0</v>
      </c>
      <c r="BH54" s="70">
        <f>F54*G54</f>
        <v>0</v>
      </c>
      <c r="BI54" s="70"/>
      <c r="BJ54" s="70">
        <v>15</v>
      </c>
      <c r="BU54" s="70" t="e">
        <f>#REF!</f>
        <v>#REF!</v>
      </c>
    </row>
    <row r="55" spans="1:73" ht="40.5" customHeight="1" x14ac:dyDescent="0.3">
      <c r="A55" s="90"/>
      <c r="B55" s="72" t="s">
        <v>165</v>
      </c>
      <c r="C55" s="581" t="s">
        <v>841</v>
      </c>
      <c r="D55" s="582"/>
      <c r="E55" s="582"/>
      <c r="F55" s="582"/>
      <c r="G55" s="582"/>
      <c r="H55" s="582"/>
      <c r="I55" s="582"/>
      <c r="J55" s="582"/>
      <c r="K55" s="582"/>
      <c r="L55" s="582"/>
      <c r="M55" s="583"/>
    </row>
    <row r="56" spans="1:73" ht="15" customHeight="1" x14ac:dyDescent="0.3">
      <c r="A56" s="82" t="s">
        <v>154</v>
      </c>
      <c r="B56" s="61" t="s">
        <v>215</v>
      </c>
      <c r="C56" s="564" t="s">
        <v>227</v>
      </c>
      <c r="D56" s="571"/>
      <c r="E56" s="60" t="s">
        <v>114</v>
      </c>
      <c r="F56" s="60" t="s">
        <v>114</v>
      </c>
      <c r="G56" s="60" t="s">
        <v>114</v>
      </c>
      <c r="H56" s="73">
        <f>SUM(H57:H75)</f>
        <v>0</v>
      </c>
      <c r="I56" s="73">
        <f>SUM(I57:I75)</f>
        <v>0</v>
      </c>
      <c r="J56" s="73">
        <f>SUM(J57:J75)</f>
        <v>0</v>
      </c>
      <c r="K56" s="65" t="s">
        <v>154</v>
      </c>
      <c r="L56" s="73">
        <f>SUM(L57:L75)</f>
        <v>0</v>
      </c>
      <c r="M56" s="91" t="s">
        <v>154</v>
      </c>
      <c r="AG56" s="64" t="s">
        <v>154</v>
      </c>
      <c r="AQ56" s="59">
        <f>SUM(AH57:AH75)</f>
        <v>0</v>
      </c>
      <c r="AR56" s="59">
        <f>SUM(AI57:AI75)</f>
        <v>0</v>
      </c>
      <c r="AS56" s="59">
        <f>SUM(AJ57:AJ75)</f>
        <v>0</v>
      </c>
    </row>
    <row r="57" spans="1:73" ht="13.5" customHeight="1" x14ac:dyDescent="0.3">
      <c r="A57" s="82" t="s">
        <v>232</v>
      </c>
      <c r="B57" s="60" t="s">
        <v>229</v>
      </c>
      <c r="C57" s="551" t="s">
        <v>230</v>
      </c>
      <c r="D57" s="565"/>
      <c r="E57" s="60" t="s">
        <v>196</v>
      </c>
      <c r="F57" s="70">
        <v>3.49</v>
      </c>
      <c r="G57" s="311">
        <v>0</v>
      </c>
      <c r="H57" s="70">
        <f>F57*AM57</f>
        <v>0</v>
      </c>
      <c r="I57" s="70">
        <f>F57*AN57</f>
        <v>0</v>
      </c>
      <c r="J57" s="70">
        <f>F57*G57</f>
        <v>0</v>
      </c>
      <c r="K57" s="70">
        <v>0</v>
      </c>
      <c r="L57" s="70">
        <f>F57*K57</f>
        <v>0</v>
      </c>
      <c r="M57" s="89" t="s">
        <v>472</v>
      </c>
      <c r="X57" s="70">
        <f>IF(AO57="5",BH57,0)</f>
        <v>0</v>
      </c>
      <c r="Z57" s="70">
        <f>IF(AO57="1",BF57,0)</f>
        <v>0</v>
      </c>
      <c r="AA57" s="70">
        <f>IF(AO57="1",BG57,0)</f>
        <v>0</v>
      </c>
      <c r="AB57" s="70">
        <f>IF(AO57="7",BF57,0)</f>
        <v>0</v>
      </c>
      <c r="AC57" s="70">
        <f>IF(AO57="7",BG57,0)</f>
        <v>0</v>
      </c>
      <c r="AD57" s="70">
        <f>IF(AO57="2",BF57,0)</f>
        <v>0</v>
      </c>
      <c r="AE57" s="70">
        <f>IF(AO57="2",BG57,0)</f>
        <v>0</v>
      </c>
      <c r="AF57" s="70">
        <f>IF(AO57="0",BH57,0)</f>
        <v>0</v>
      </c>
      <c r="AG57" s="64" t="s">
        <v>154</v>
      </c>
      <c r="AH57" s="70">
        <f>IF(AL57=0,J57,0)</f>
        <v>0</v>
      </c>
      <c r="AI57" s="70">
        <f>IF(AL57=15,J57,0)</f>
        <v>0</v>
      </c>
      <c r="AJ57" s="70">
        <f>IF(AL57=21,J57,0)</f>
        <v>0</v>
      </c>
      <c r="AL57" s="70">
        <v>21</v>
      </c>
      <c r="AM57" s="70">
        <f>G57*0</f>
        <v>0</v>
      </c>
      <c r="AN57" s="70">
        <f>G57*(1-0)</f>
        <v>0</v>
      </c>
      <c r="AO57" s="71" t="s">
        <v>157</v>
      </c>
      <c r="AT57" s="70">
        <f>AU57+AV57</f>
        <v>0</v>
      </c>
      <c r="AU57" s="70">
        <f>F57*AM57</f>
        <v>0</v>
      </c>
      <c r="AV57" s="70">
        <f>F57*AN57</f>
        <v>0</v>
      </c>
      <c r="AW57" s="71" t="s">
        <v>231</v>
      </c>
      <c r="AX57" s="71" t="s">
        <v>163</v>
      </c>
      <c r="AY57" s="64" t="s">
        <v>164</v>
      </c>
      <c r="BA57" s="70">
        <f>AU57+AV57</f>
        <v>0</v>
      </c>
      <c r="BB57" s="70">
        <f>G57/(100-BC57)*100</f>
        <v>0</v>
      </c>
      <c r="BC57" s="70">
        <v>0</v>
      </c>
      <c r="BD57" s="70">
        <f>L57</f>
        <v>0</v>
      </c>
      <c r="BF57" s="70">
        <f>F57*AM57</f>
        <v>0</v>
      </c>
      <c r="BG57" s="70">
        <f>F57*AN57</f>
        <v>0</v>
      </c>
      <c r="BH57" s="70">
        <f>F57*G57</f>
        <v>0</v>
      </c>
      <c r="BI57" s="70"/>
      <c r="BJ57" s="70">
        <v>16</v>
      </c>
      <c r="BU57" s="70" t="e">
        <f>#REF!</f>
        <v>#REF!</v>
      </c>
    </row>
    <row r="58" spans="1:73" ht="54" customHeight="1" x14ac:dyDescent="0.3">
      <c r="A58" s="90"/>
      <c r="B58" s="72" t="s">
        <v>165</v>
      </c>
      <c r="C58" s="581" t="s">
        <v>842</v>
      </c>
      <c r="D58" s="582"/>
      <c r="E58" s="582"/>
      <c r="F58" s="582"/>
      <c r="G58" s="582"/>
      <c r="H58" s="582"/>
      <c r="I58" s="582"/>
      <c r="J58" s="582"/>
      <c r="K58" s="582"/>
      <c r="L58" s="582"/>
      <c r="M58" s="583"/>
    </row>
    <row r="59" spans="1:73" ht="13.5" customHeight="1" x14ac:dyDescent="0.3">
      <c r="A59" s="82" t="s">
        <v>235</v>
      </c>
      <c r="B59" s="60" t="s">
        <v>233</v>
      </c>
      <c r="C59" s="551" t="s">
        <v>234</v>
      </c>
      <c r="D59" s="565"/>
      <c r="E59" s="60" t="s">
        <v>196</v>
      </c>
      <c r="F59" s="70">
        <v>0.53</v>
      </c>
      <c r="G59" s="311">
        <v>0</v>
      </c>
      <c r="H59" s="70">
        <f>F59*AM59</f>
        <v>0</v>
      </c>
      <c r="I59" s="70">
        <f>F59*AN59</f>
        <v>0</v>
      </c>
      <c r="J59" s="70">
        <f>F59*G59</f>
        <v>0</v>
      </c>
      <c r="K59" s="70">
        <v>0</v>
      </c>
      <c r="L59" s="70">
        <f>F59*K59</f>
        <v>0</v>
      </c>
      <c r="M59" s="89" t="s">
        <v>472</v>
      </c>
      <c r="X59" s="70">
        <f>IF(AO59="5",BH59,0)</f>
        <v>0</v>
      </c>
      <c r="Z59" s="70">
        <f>IF(AO59="1",BF59,0)</f>
        <v>0</v>
      </c>
      <c r="AA59" s="70">
        <f>IF(AO59="1",BG59,0)</f>
        <v>0</v>
      </c>
      <c r="AB59" s="70">
        <f>IF(AO59="7",BF59,0)</f>
        <v>0</v>
      </c>
      <c r="AC59" s="70">
        <f>IF(AO59="7",BG59,0)</f>
        <v>0</v>
      </c>
      <c r="AD59" s="70">
        <f>IF(AO59="2",BF59,0)</f>
        <v>0</v>
      </c>
      <c r="AE59" s="70">
        <f>IF(AO59="2",BG59,0)</f>
        <v>0</v>
      </c>
      <c r="AF59" s="70">
        <f>IF(AO59="0",BH59,0)</f>
        <v>0</v>
      </c>
      <c r="AG59" s="64" t="s">
        <v>154</v>
      </c>
      <c r="AH59" s="70">
        <f>IF(AL59=0,J59,0)</f>
        <v>0</v>
      </c>
      <c r="AI59" s="70">
        <f>IF(AL59=15,J59,0)</f>
        <v>0</v>
      </c>
      <c r="AJ59" s="70">
        <f>IF(AL59=21,J59,0)</f>
        <v>0</v>
      </c>
      <c r="AL59" s="70">
        <v>21</v>
      </c>
      <c r="AM59" s="70">
        <f>G59*0</f>
        <v>0</v>
      </c>
      <c r="AN59" s="70">
        <f>G59*(1-0)</f>
        <v>0</v>
      </c>
      <c r="AO59" s="71" t="s">
        <v>157</v>
      </c>
      <c r="AT59" s="70">
        <f>AU59+AV59</f>
        <v>0</v>
      </c>
      <c r="AU59" s="70">
        <f>F59*AM59</f>
        <v>0</v>
      </c>
      <c r="AV59" s="70">
        <f>F59*AN59</f>
        <v>0</v>
      </c>
      <c r="AW59" s="71" t="s">
        <v>231</v>
      </c>
      <c r="AX59" s="71" t="s">
        <v>163</v>
      </c>
      <c r="AY59" s="64" t="s">
        <v>164</v>
      </c>
      <c r="BA59" s="70">
        <f>AU59+AV59</f>
        <v>0</v>
      </c>
      <c r="BB59" s="70">
        <f>G59/(100-BC59)*100</f>
        <v>0</v>
      </c>
      <c r="BC59" s="70">
        <v>0</v>
      </c>
      <c r="BD59" s="70">
        <f>L59</f>
        <v>0</v>
      </c>
      <c r="BF59" s="70">
        <f>F59*AM59</f>
        <v>0</v>
      </c>
      <c r="BG59" s="70">
        <f>F59*AN59</f>
        <v>0</v>
      </c>
      <c r="BH59" s="70">
        <f>F59*G59</f>
        <v>0</v>
      </c>
      <c r="BI59" s="70"/>
      <c r="BJ59" s="70">
        <v>16</v>
      </c>
      <c r="BU59" s="70" t="e">
        <f>#REF!</f>
        <v>#REF!</v>
      </c>
    </row>
    <row r="60" spans="1:73" ht="54" customHeight="1" x14ac:dyDescent="0.3">
      <c r="A60" s="90"/>
      <c r="B60" s="72" t="s">
        <v>165</v>
      </c>
      <c r="C60" s="581" t="s">
        <v>843</v>
      </c>
      <c r="D60" s="582"/>
      <c r="E60" s="582"/>
      <c r="F60" s="582"/>
      <c r="G60" s="582"/>
      <c r="H60" s="582"/>
      <c r="I60" s="582"/>
      <c r="J60" s="582"/>
      <c r="K60" s="582"/>
      <c r="L60" s="582"/>
      <c r="M60" s="583"/>
    </row>
    <row r="61" spans="1:73" ht="13.5" customHeight="1" x14ac:dyDescent="0.3">
      <c r="A61" s="82" t="s">
        <v>238</v>
      </c>
      <c r="B61" s="60" t="s">
        <v>503</v>
      </c>
      <c r="C61" s="551" t="s">
        <v>237</v>
      </c>
      <c r="D61" s="565"/>
      <c r="E61" s="60" t="s">
        <v>196</v>
      </c>
      <c r="F61" s="70">
        <v>36.07</v>
      </c>
      <c r="G61" s="311">
        <v>0</v>
      </c>
      <c r="H61" s="70">
        <f>F61*AM61</f>
        <v>0</v>
      </c>
      <c r="I61" s="70">
        <f>F61*AN61</f>
        <v>0</v>
      </c>
      <c r="J61" s="70">
        <f>F61*G61</f>
        <v>0</v>
      </c>
      <c r="K61" s="70">
        <v>0</v>
      </c>
      <c r="L61" s="70">
        <f>F61*K61</f>
        <v>0</v>
      </c>
      <c r="M61" s="89" t="s">
        <v>472</v>
      </c>
      <c r="X61" s="70">
        <f>IF(AO61="5",BH61,0)</f>
        <v>0</v>
      </c>
      <c r="Z61" s="70">
        <f>IF(AO61="1",BF61,0)</f>
        <v>0</v>
      </c>
      <c r="AA61" s="70">
        <f>IF(AO61="1",BG61,0)</f>
        <v>0</v>
      </c>
      <c r="AB61" s="70">
        <f>IF(AO61="7",BF61,0)</f>
        <v>0</v>
      </c>
      <c r="AC61" s="70">
        <f>IF(AO61="7",BG61,0)</f>
        <v>0</v>
      </c>
      <c r="AD61" s="70">
        <f>IF(AO61="2",BF61,0)</f>
        <v>0</v>
      </c>
      <c r="AE61" s="70">
        <f>IF(AO61="2",BG61,0)</f>
        <v>0</v>
      </c>
      <c r="AF61" s="70">
        <f>IF(AO61="0",BH61,0)</f>
        <v>0</v>
      </c>
      <c r="AG61" s="64" t="s">
        <v>154</v>
      </c>
      <c r="AH61" s="70">
        <f>IF(AL61=0,J61,0)</f>
        <v>0</v>
      </c>
      <c r="AI61" s="70">
        <f>IF(AL61=15,J61,0)</f>
        <v>0</v>
      </c>
      <c r="AJ61" s="70">
        <f>IF(AL61=21,J61,0)</f>
        <v>0</v>
      </c>
      <c r="AL61" s="70">
        <v>21</v>
      </c>
      <c r="AM61" s="70">
        <f>G61*0</f>
        <v>0</v>
      </c>
      <c r="AN61" s="70">
        <f>G61*(1-0)</f>
        <v>0</v>
      </c>
      <c r="AO61" s="71" t="s">
        <v>157</v>
      </c>
      <c r="AT61" s="70">
        <f>AU61+AV61</f>
        <v>0</v>
      </c>
      <c r="AU61" s="70">
        <f>F61*AM61</f>
        <v>0</v>
      </c>
      <c r="AV61" s="70">
        <f>F61*AN61</f>
        <v>0</v>
      </c>
      <c r="AW61" s="71" t="s">
        <v>231</v>
      </c>
      <c r="AX61" s="71" t="s">
        <v>163</v>
      </c>
      <c r="AY61" s="64" t="s">
        <v>164</v>
      </c>
      <c r="BA61" s="70">
        <f>AU61+AV61</f>
        <v>0</v>
      </c>
      <c r="BB61" s="70">
        <f>G61/(100-BC61)*100</f>
        <v>0</v>
      </c>
      <c r="BC61" s="70">
        <v>0</v>
      </c>
      <c r="BD61" s="70">
        <f>L61</f>
        <v>0</v>
      </c>
      <c r="BF61" s="70">
        <f>F61*AM61</f>
        <v>0</v>
      </c>
      <c r="BG61" s="70">
        <f>F61*AN61</f>
        <v>0</v>
      </c>
      <c r="BH61" s="70">
        <f>F61*G61</f>
        <v>0</v>
      </c>
      <c r="BI61" s="70"/>
      <c r="BJ61" s="70">
        <v>16</v>
      </c>
      <c r="BU61" s="70" t="e">
        <f>#REF!</f>
        <v>#REF!</v>
      </c>
    </row>
    <row r="62" spans="1:73" ht="67.5" customHeight="1" x14ac:dyDescent="0.3">
      <c r="A62" s="90"/>
      <c r="B62" s="72" t="s">
        <v>165</v>
      </c>
      <c r="C62" s="581" t="s">
        <v>844</v>
      </c>
      <c r="D62" s="582"/>
      <c r="E62" s="582"/>
      <c r="F62" s="582"/>
      <c r="G62" s="582"/>
      <c r="H62" s="582"/>
      <c r="I62" s="582"/>
      <c r="J62" s="582"/>
      <c r="K62" s="582"/>
      <c r="L62" s="582"/>
      <c r="M62" s="583"/>
    </row>
    <row r="63" spans="1:73" ht="13.5" customHeight="1" x14ac:dyDescent="0.3">
      <c r="A63" s="82" t="s">
        <v>241</v>
      </c>
      <c r="B63" s="60" t="s">
        <v>504</v>
      </c>
      <c r="C63" s="551" t="s">
        <v>240</v>
      </c>
      <c r="D63" s="565"/>
      <c r="E63" s="60" t="s">
        <v>196</v>
      </c>
      <c r="F63" s="70">
        <v>504.98</v>
      </c>
      <c r="G63" s="311">
        <v>0</v>
      </c>
      <c r="H63" s="70">
        <f>F63*AM63</f>
        <v>0</v>
      </c>
      <c r="I63" s="70">
        <f>F63*AN63</f>
        <v>0</v>
      </c>
      <c r="J63" s="70">
        <f>F63*G63</f>
        <v>0</v>
      </c>
      <c r="K63" s="70">
        <v>0</v>
      </c>
      <c r="L63" s="70">
        <f>F63*K63</f>
        <v>0</v>
      </c>
      <c r="M63" s="89" t="s">
        <v>472</v>
      </c>
      <c r="X63" s="70">
        <f>IF(AO63="5",BH63,0)</f>
        <v>0</v>
      </c>
      <c r="Z63" s="70">
        <f>IF(AO63="1",BF63,0)</f>
        <v>0</v>
      </c>
      <c r="AA63" s="70">
        <f>IF(AO63="1",BG63,0)</f>
        <v>0</v>
      </c>
      <c r="AB63" s="70">
        <f>IF(AO63="7",BF63,0)</f>
        <v>0</v>
      </c>
      <c r="AC63" s="70">
        <f>IF(AO63="7",BG63,0)</f>
        <v>0</v>
      </c>
      <c r="AD63" s="70">
        <f>IF(AO63="2",BF63,0)</f>
        <v>0</v>
      </c>
      <c r="AE63" s="70">
        <f>IF(AO63="2",BG63,0)</f>
        <v>0</v>
      </c>
      <c r="AF63" s="70">
        <f>IF(AO63="0",BH63,0)</f>
        <v>0</v>
      </c>
      <c r="AG63" s="64" t="s">
        <v>154</v>
      </c>
      <c r="AH63" s="70">
        <f>IF(AL63=0,J63,0)</f>
        <v>0</v>
      </c>
      <c r="AI63" s="70">
        <f>IF(AL63=15,J63,0)</f>
        <v>0</v>
      </c>
      <c r="AJ63" s="70">
        <f>IF(AL63=21,J63,0)</f>
        <v>0</v>
      </c>
      <c r="AL63" s="70">
        <v>21</v>
      </c>
      <c r="AM63" s="70">
        <f>G63*0</f>
        <v>0</v>
      </c>
      <c r="AN63" s="70">
        <f>G63*(1-0)</f>
        <v>0</v>
      </c>
      <c r="AO63" s="71" t="s">
        <v>157</v>
      </c>
      <c r="AT63" s="70">
        <f>AU63+AV63</f>
        <v>0</v>
      </c>
      <c r="AU63" s="70">
        <f>F63*AM63</f>
        <v>0</v>
      </c>
      <c r="AV63" s="70">
        <f>F63*AN63</f>
        <v>0</v>
      </c>
      <c r="AW63" s="71" t="s">
        <v>231</v>
      </c>
      <c r="AX63" s="71" t="s">
        <v>163</v>
      </c>
      <c r="AY63" s="64" t="s">
        <v>164</v>
      </c>
      <c r="BA63" s="70">
        <f>AU63+AV63</f>
        <v>0</v>
      </c>
      <c r="BB63" s="70">
        <f>G63/(100-BC63)*100</f>
        <v>0</v>
      </c>
      <c r="BC63" s="70">
        <v>0</v>
      </c>
      <c r="BD63" s="70">
        <f>L63</f>
        <v>0</v>
      </c>
      <c r="BF63" s="70">
        <f>F63*AM63</f>
        <v>0</v>
      </c>
      <c r="BG63" s="70">
        <f>F63*AN63</f>
        <v>0</v>
      </c>
      <c r="BH63" s="70">
        <f>F63*G63</f>
        <v>0</v>
      </c>
      <c r="BI63" s="70"/>
      <c r="BJ63" s="70">
        <v>16</v>
      </c>
      <c r="BU63" s="70" t="e">
        <f>#REF!</f>
        <v>#REF!</v>
      </c>
    </row>
    <row r="64" spans="1:73" ht="54" customHeight="1" x14ac:dyDescent="0.3">
      <c r="A64" s="90"/>
      <c r="B64" s="72" t="s">
        <v>165</v>
      </c>
      <c r="C64" s="581" t="s">
        <v>845</v>
      </c>
      <c r="D64" s="582"/>
      <c r="E64" s="582"/>
      <c r="F64" s="582"/>
      <c r="G64" s="582"/>
      <c r="H64" s="582"/>
      <c r="I64" s="582"/>
      <c r="J64" s="582"/>
      <c r="K64" s="582"/>
      <c r="L64" s="582"/>
      <c r="M64" s="583"/>
    </row>
    <row r="65" spans="1:73" ht="13.5" customHeight="1" x14ac:dyDescent="0.3">
      <c r="A65" s="82" t="s">
        <v>244</v>
      </c>
      <c r="B65" s="60" t="s">
        <v>505</v>
      </c>
      <c r="C65" s="551" t="s">
        <v>243</v>
      </c>
      <c r="D65" s="565"/>
      <c r="E65" s="60" t="s">
        <v>196</v>
      </c>
      <c r="F65" s="70">
        <v>17.690000000000001</v>
      </c>
      <c r="G65" s="311">
        <v>0</v>
      </c>
      <c r="H65" s="70">
        <f>F65*AM65</f>
        <v>0</v>
      </c>
      <c r="I65" s="70">
        <f>F65*AN65</f>
        <v>0</v>
      </c>
      <c r="J65" s="70">
        <f>F65*G65</f>
        <v>0</v>
      </c>
      <c r="K65" s="70">
        <v>0</v>
      </c>
      <c r="L65" s="70">
        <f>F65*K65</f>
        <v>0</v>
      </c>
      <c r="M65" s="89" t="s">
        <v>472</v>
      </c>
      <c r="X65" s="70">
        <f>IF(AO65="5",BH65,0)</f>
        <v>0</v>
      </c>
      <c r="Z65" s="70">
        <f>IF(AO65="1",BF65,0)</f>
        <v>0</v>
      </c>
      <c r="AA65" s="70">
        <f>IF(AO65="1",BG65,0)</f>
        <v>0</v>
      </c>
      <c r="AB65" s="70">
        <f>IF(AO65="7",BF65,0)</f>
        <v>0</v>
      </c>
      <c r="AC65" s="70">
        <f>IF(AO65="7",BG65,0)</f>
        <v>0</v>
      </c>
      <c r="AD65" s="70">
        <f>IF(AO65="2",BF65,0)</f>
        <v>0</v>
      </c>
      <c r="AE65" s="70">
        <f>IF(AO65="2",BG65,0)</f>
        <v>0</v>
      </c>
      <c r="AF65" s="70">
        <f>IF(AO65="0",BH65,0)</f>
        <v>0</v>
      </c>
      <c r="AG65" s="64" t="s">
        <v>154</v>
      </c>
      <c r="AH65" s="70">
        <f>IF(AL65=0,J65,0)</f>
        <v>0</v>
      </c>
      <c r="AI65" s="70">
        <f>IF(AL65=15,J65,0)</f>
        <v>0</v>
      </c>
      <c r="AJ65" s="70">
        <f>IF(AL65=21,J65,0)</f>
        <v>0</v>
      </c>
      <c r="AL65" s="70">
        <v>21</v>
      </c>
      <c r="AM65" s="70">
        <f>G65*0</f>
        <v>0</v>
      </c>
      <c r="AN65" s="70">
        <f>G65*(1-0)</f>
        <v>0</v>
      </c>
      <c r="AO65" s="71" t="s">
        <v>157</v>
      </c>
      <c r="AT65" s="70">
        <f>AU65+AV65</f>
        <v>0</v>
      </c>
      <c r="AU65" s="70">
        <f>F65*AM65</f>
        <v>0</v>
      </c>
      <c r="AV65" s="70">
        <f>F65*AN65</f>
        <v>0</v>
      </c>
      <c r="AW65" s="71" t="s">
        <v>231</v>
      </c>
      <c r="AX65" s="71" t="s">
        <v>163</v>
      </c>
      <c r="AY65" s="64" t="s">
        <v>164</v>
      </c>
      <c r="BA65" s="70">
        <f>AU65+AV65</f>
        <v>0</v>
      </c>
      <c r="BB65" s="70">
        <f>G65/(100-BC65)*100</f>
        <v>0</v>
      </c>
      <c r="BC65" s="70">
        <v>0</v>
      </c>
      <c r="BD65" s="70">
        <f>L65</f>
        <v>0</v>
      </c>
      <c r="BF65" s="70">
        <f>F65*AM65</f>
        <v>0</v>
      </c>
      <c r="BG65" s="70">
        <f>F65*AN65</f>
        <v>0</v>
      </c>
      <c r="BH65" s="70">
        <f>F65*G65</f>
        <v>0</v>
      </c>
      <c r="BI65" s="70"/>
      <c r="BJ65" s="70">
        <v>16</v>
      </c>
      <c r="BU65" s="70" t="e">
        <f>#REF!</f>
        <v>#REF!</v>
      </c>
    </row>
    <row r="66" spans="1:73" ht="54" customHeight="1" x14ac:dyDescent="0.3">
      <c r="A66" s="90"/>
      <c r="B66" s="72" t="s">
        <v>165</v>
      </c>
      <c r="C66" s="581" t="s">
        <v>846</v>
      </c>
      <c r="D66" s="582"/>
      <c r="E66" s="582"/>
      <c r="F66" s="582"/>
      <c r="G66" s="582"/>
      <c r="H66" s="582"/>
      <c r="I66" s="582"/>
      <c r="J66" s="582"/>
      <c r="K66" s="582"/>
      <c r="L66" s="582"/>
      <c r="M66" s="583"/>
    </row>
    <row r="67" spans="1:73" ht="13.5" customHeight="1" x14ac:dyDescent="0.3">
      <c r="A67" s="82" t="s">
        <v>247</v>
      </c>
      <c r="B67" s="60" t="s">
        <v>506</v>
      </c>
      <c r="C67" s="551" t="s">
        <v>246</v>
      </c>
      <c r="D67" s="565"/>
      <c r="E67" s="60" t="s">
        <v>196</v>
      </c>
      <c r="F67" s="70">
        <v>247.66</v>
      </c>
      <c r="G67" s="311">
        <v>0</v>
      </c>
      <c r="H67" s="70">
        <f>F67*AM67</f>
        <v>0</v>
      </c>
      <c r="I67" s="70">
        <f>F67*AN67</f>
        <v>0</v>
      </c>
      <c r="J67" s="70">
        <f>F67*G67</f>
        <v>0</v>
      </c>
      <c r="K67" s="70">
        <v>0</v>
      </c>
      <c r="L67" s="70">
        <f>F67*K67</f>
        <v>0</v>
      </c>
      <c r="M67" s="89" t="s">
        <v>472</v>
      </c>
      <c r="X67" s="70">
        <f>IF(AO67="5",BH67,0)</f>
        <v>0</v>
      </c>
      <c r="Z67" s="70">
        <f>IF(AO67="1",BF67,0)</f>
        <v>0</v>
      </c>
      <c r="AA67" s="70">
        <f>IF(AO67="1",BG67,0)</f>
        <v>0</v>
      </c>
      <c r="AB67" s="70">
        <f>IF(AO67="7",BF67,0)</f>
        <v>0</v>
      </c>
      <c r="AC67" s="70">
        <f>IF(AO67="7",BG67,0)</f>
        <v>0</v>
      </c>
      <c r="AD67" s="70">
        <f>IF(AO67="2",BF67,0)</f>
        <v>0</v>
      </c>
      <c r="AE67" s="70">
        <f>IF(AO67="2",BG67,0)</f>
        <v>0</v>
      </c>
      <c r="AF67" s="70">
        <f>IF(AO67="0",BH67,0)</f>
        <v>0</v>
      </c>
      <c r="AG67" s="64" t="s">
        <v>154</v>
      </c>
      <c r="AH67" s="70">
        <f>IF(AL67=0,J67,0)</f>
        <v>0</v>
      </c>
      <c r="AI67" s="70">
        <f>IF(AL67=15,J67,0)</f>
        <v>0</v>
      </c>
      <c r="AJ67" s="70">
        <f>IF(AL67=21,J67,0)</f>
        <v>0</v>
      </c>
      <c r="AL67" s="70">
        <v>21</v>
      </c>
      <c r="AM67" s="70">
        <f>G67*0</f>
        <v>0</v>
      </c>
      <c r="AN67" s="70">
        <f>G67*(1-0)</f>
        <v>0</v>
      </c>
      <c r="AO67" s="71" t="s">
        <v>157</v>
      </c>
      <c r="AT67" s="70">
        <f>AU67+AV67</f>
        <v>0</v>
      </c>
      <c r="AU67" s="70">
        <f>F67*AM67</f>
        <v>0</v>
      </c>
      <c r="AV67" s="70">
        <f>F67*AN67</f>
        <v>0</v>
      </c>
      <c r="AW67" s="71" t="s">
        <v>231</v>
      </c>
      <c r="AX67" s="71" t="s">
        <v>163</v>
      </c>
      <c r="AY67" s="64" t="s">
        <v>164</v>
      </c>
      <c r="BA67" s="70">
        <f>AU67+AV67</f>
        <v>0</v>
      </c>
      <c r="BB67" s="70">
        <f>G67/(100-BC67)*100</f>
        <v>0</v>
      </c>
      <c r="BC67" s="70">
        <v>0</v>
      </c>
      <c r="BD67" s="70">
        <f>L67</f>
        <v>0</v>
      </c>
      <c r="BF67" s="70">
        <f>F67*AM67</f>
        <v>0</v>
      </c>
      <c r="BG67" s="70">
        <f>F67*AN67</f>
        <v>0</v>
      </c>
      <c r="BH67" s="70">
        <f>F67*G67</f>
        <v>0</v>
      </c>
      <c r="BI67" s="70"/>
      <c r="BJ67" s="70">
        <v>16</v>
      </c>
      <c r="BU67" s="70" t="e">
        <f>#REF!</f>
        <v>#REF!</v>
      </c>
    </row>
    <row r="68" spans="1:73" ht="54" customHeight="1" x14ac:dyDescent="0.3">
      <c r="A68" s="90"/>
      <c r="B68" s="72" t="s">
        <v>165</v>
      </c>
      <c r="C68" s="581" t="s">
        <v>847</v>
      </c>
      <c r="D68" s="582"/>
      <c r="E68" s="582"/>
      <c r="F68" s="582"/>
      <c r="G68" s="582"/>
      <c r="H68" s="582"/>
      <c r="I68" s="582"/>
      <c r="J68" s="582"/>
      <c r="K68" s="582"/>
      <c r="L68" s="582"/>
      <c r="M68" s="583"/>
    </row>
    <row r="69" spans="1:73" ht="13.5" customHeight="1" x14ac:dyDescent="0.3">
      <c r="A69" s="82" t="s">
        <v>250</v>
      </c>
      <c r="B69" s="60" t="s">
        <v>248</v>
      </c>
      <c r="C69" s="551" t="s">
        <v>249</v>
      </c>
      <c r="D69" s="565"/>
      <c r="E69" s="60" t="s">
        <v>196</v>
      </c>
      <c r="F69" s="70">
        <v>160.78</v>
      </c>
      <c r="G69" s="311">
        <v>0</v>
      </c>
      <c r="H69" s="70">
        <f>F69*AM69</f>
        <v>0</v>
      </c>
      <c r="I69" s="70">
        <f>F69*AN69</f>
        <v>0</v>
      </c>
      <c r="J69" s="70">
        <f>F69*G69</f>
        <v>0</v>
      </c>
      <c r="K69" s="70">
        <v>0</v>
      </c>
      <c r="L69" s="70">
        <f>F69*K69</f>
        <v>0</v>
      </c>
      <c r="M69" s="89" t="s">
        <v>472</v>
      </c>
      <c r="X69" s="70">
        <f>IF(AO69="5",BH69,0)</f>
        <v>0</v>
      </c>
      <c r="Z69" s="70">
        <f>IF(AO69="1",BF69,0)</f>
        <v>0</v>
      </c>
      <c r="AA69" s="70">
        <f>IF(AO69="1",BG69,0)</f>
        <v>0</v>
      </c>
      <c r="AB69" s="70">
        <f>IF(AO69="7",BF69,0)</f>
        <v>0</v>
      </c>
      <c r="AC69" s="70">
        <f>IF(AO69="7",BG69,0)</f>
        <v>0</v>
      </c>
      <c r="AD69" s="70">
        <f>IF(AO69="2",BF69,0)</f>
        <v>0</v>
      </c>
      <c r="AE69" s="70">
        <f>IF(AO69="2",BG69,0)</f>
        <v>0</v>
      </c>
      <c r="AF69" s="70">
        <f>IF(AO69="0",BH69,0)</f>
        <v>0</v>
      </c>
      <c r="AG69" s="64" t="s">
        <v>154</v>
      </c>
      <c r="AH69" s="70">
        <f>IF(AL69=0,J69,0)</f>
        <v>0</v>
      </c>
      <c r="AI69" s="70">
        <f>IF(AL69=15,J69,0)</f>
        <v>0</v>
      </c>
      <c r="AJ69" s="70">
        <f>IF(AL69=21,J69,0)</f>
        <v>0</v>
      </c>
      <c r="AL69" s="70">
        <v>21</v>
      </c>
      <c r="AM69" s="70">
        <f>G69*0</f>
        <v>0</v>
      </c>
      <c r="AN69" s="70">
        <f>G69*(1-0)</f>
        <v>0</v>
      </c>
      <c r="AO69" s="71" t="s">
        <v>157</v>
      </c>
      <c r="AT69" s="70">
        <f>AU69+AV69</f>
        <v>0</v>
      </c>
      <c r="AU69" s="70">
        <f>F69*AM69</f>
        <v>0</v>
      </c>
      <c r="AV69" s="70">
        <f>F69*AN69</f>
        <v>0</v>
      </c>
      <c r="AW69" s="71" t="s">
        <v>231</v>
      </c>
      <c r="AX69" s="71" t="s">
        <v>163</v>
      </c>
      <c r="AY69" s="64" t="s">
        <v>164</v>
      </c>
      <c r="BA69" s="70">
        <f>AU69+AV69</f>
        <v>0</v>
      </c>
      <c r="BB69" s="70">
        <f>G69/(100-BC69)*100</f>
        <v>0</v>
      </c>
      <c r="BC69" s="70">
        <v>0</v>
      </c>
      <c r="BD69" s="70">
        <f>L69</f>
        <v>0</v>
      </c>
      <c r="BF69" s="70">
        <f>F69*AM69</f>
        <v>0</v>
      </c>
      <c r="BG69" s="70">
        <f>F69*AN69</f>
        <v>0</v>
      </c>
      <c r="BH69" s="70">
        <f>F69*G69</f>
        <v>0</v>
      </c>
      <c r="BI69" s="70"/>
      <c r="BJ69" s="70">
        <v>16</v>
      </c>
      <c r="BU69" s="70" t="e">
        <f>#REF!</f>
        <v>#REF!</v>
      </c>
    </row>
    <row r="70" spans="1:73" ht="40.5" customHeight="1" x14ac:dyDescent="0.3">
      <c r="A70" s="92"/>
      <c r="B70" s="93" t="s">
        <v>165</v>
      </c>
      <c r="C70" s="584" t="s">
        <v>848</v>
      </c>
      <c r="D70" s="585"/>
      <c r="E70" s="585"/>
      <c r="F70" s="585"/>
      <c r="G70" s="585"/>
      <c r="H70" s="585"/>
      <c r="I70" s="585"/>
      <c r="J70" s="585"/>
      <c r="K70" s="585"/>
      <c r="L70" s="585"/>
      <c r="M70" s="586"/>
    </row>
    <row r="71" spans="1:73" ht="13.5" customHeight="1" x14ac:dyDescent="0.3">
      <c r="A71" s="84" t="s">
        <v>253</v>
      </c>
      <c r="B71" s="85" t="s">
        <v>251</v>
      </c>
      <c r="C71" s="587" t="s">
        <v>252</v>
      </c>
      <c r="D71" s="588"/>
      <c r="E71" s="85" t="s">
        <v>196</v>
      </c>
      <c r="F71" s="94">
        <v>160.78</v>
      </c>
      <c r="G71" s="311">
        <v>0</v>
      </c>
      <c r="H71" s="94">
        <f>F71*AM71</f>
        <v>0</v>
      </c>
      <c r="I71" s="94">
        <f>F71*AN71</f>
        <v>0</v>
      </c>
      <c r="J71" s="94">
        <f>F71*G71</f>
        <v>0</v>
      </c>
      <c r="K71" s="94">
        <v>0</v>
      </c>
      <c r="L71" s="94">
        <f>F71*K71</f>
        <v>0</v>
      </c>
      <c r="M71" s="95" t="s">
        <v>472</v>
      </c>
      <c r="X71" s="70">
        <f>IF(AO71="5",BH71,0)</f>
        <v>0</v>
      </c>
      <c r="Z71" s="70">
        <f>IF(AO71="1",BF71,0)</f>
        <v>0</v>
      </c>
      <c r="AA71" s="70">
        <f>IF(AO71="1",BG71,0)</f>
        <v>0</v>
      </c>
      <c r="AB71" s="70">
        <f>IF(AO71="7",BF71,0)</f>
        <v>0</v>
      </c>
      <c r="AC71" s="70">
        <f>IF(AO71="7",BG71,0)</f>
        <v>0</v>
      </c>
      <c r="AD71" s="70">
        <f>IF(AO71="2",BF71,0)</f>
        <v>0</v>
      </c>
      <c r="AE71" s="70">
        <f>IF(AO71="2",BG71,0)</f>
        <v>0</v>
      </c>
      <c r="AF71" s="70">
        <f>IF(AO71="0",BH71,0)</f>
        <v>0</v>
      </c>
      <c r="AG71" s="64" t="s">
        <v>154</v>
      </c>
      <c r="AH71" s="70">
        <f>IF(AL71=0,J71,0)</f>
        <v>0</v>
      </c>
      <c r="AI71" s="70">
        <f>IF(AL71=15,J71,0)</f>
        <v>0</v>
      </c>
      <c r="AJ71" s="70">
        <f>IF(AL71=21,J71,0)</f>
        <v>0</v>
      </c>
      <c r="AL71" s="70">
        <v>21</v>
      </c>
      <c r="AM71" s="70">
        <f>G71*0</f>
        <v>0</v>
      </c>
      <c r="AN71" s="70">
        <f>G71*(1-0)</f>
        <v>0</v>
      </c>
      <c r="AO71" s="71" t="s">
        <v>157</v>
      </c>
      <c r="AT71" s="70">
        <f>AU71+AV71</f>
        <v>0</v>
      </c>
      <c r="AU71" s="70">
        <f>F71*AM71</f>
        <v>0</v>
      </c>
      <c r="AV71" s="70">
        <f>F71*AN71</f>
        <v>0</v>
      </c>
      <c r="AW71" s="71" t="s">
        <v>231</v>
      </c>
      <c r="AX71" s="71" t="s">
        <v>163</v>
      </c>
      <c r="AY71" s="64" t="s">
        <v>164</v>
      </c>
      <c r="BA71" s="70">
        <f>AU71+AV71</f>
        <v>0</v>
      </c>
      <c r="BB71" s="70">
        <f>G71/(100-BC71)*100</f>
        <v>0</v>
      </c>
      <c r="BC71" s="70">
        <v>0</v>
      </c>
      <c r="BD71" s="70">
        <f>L71</f>
        <v>0</v>
      </c>
      <c r="BF71" s="70">
        <f>F71*AM71</f>
        <v>0</v>
      </c>
      <c r="BG71" s="70">
        <f>F71*AN71</f>
        <v>0</v>
      </c>
      <c r="BH71" s="70">
        <f>F71*G71</f>
        <v>0</v>
      </c>
      <c r="BI71" s="70"/>
      <c r="BJ71" s="70">
        <v>16</v>
      </c>
      <c r="BU71" s="70" t="e">
        <f>#REF!</f>
        <v>#REF!</v>
      </c>
    </row>
    <row r="72" spans="1:73" ht="40.5" customHeight="1" x14ac:dyDescent="0.3">
      <c r="A72" s="90"/>
      <c r="B72" s="72" t="s">
        <v>165</v>
      </c>
      <c r="C72" s="581" t="s">
        <v>849</v>
      </c>
      <c r="D72" s="582"/>
      <c r="E72" s="582"/>
      <c r="F72" s="582"/>
      <c r="G72" s="582"/>
      <c r="H72" s="582"/>
      <c r="I72" s="582"/>
      <c r="J72" s="582"/>
      <c r="K72" s="582"/>
      <c r="L72" s="582"/>
      <c r="M72" s="583"/>
    </row>
    <row r="73" spans="1:73" ht="13.5" customHeight="1" x14ac:dyDescent="0.3">
      <c r="A73" s="82" t="s">
        <v>256</v>
      </c>
      <c r="B73" s="60" t="s">
        <v>254</v>
      </c>
      <c r="C73" s="551" t="s">
        <v>255</v>
      </c>
      <c r="D73" s="565"/>
      <c r="E73" s="60" t="s">
        <v>196</v>
      </c>
      <c r="F73" s="70">
        <v>21.9</v>
      </c>
      <c r="G73" s="311">
        <v>0</v>
      </c>
      <c r="H73" s="70">
        <f>F73*AM73</f>
        <v>0</v>
      </c>
      <c r="I73" s="70">
        <f>F73*AN73</f>
        <v>0</v>
      </c>
      <c r="J73" s="70">
        <f>F73*G73</f>
        <v>0</v>
      </c>
      <c r="K73" s="70">
        <v>0</v>
      </c>
      <c r="L73" s="70">
        <f>F73*K73</f>
        <v>0</v>
      </c>
      <c r="M73" s="89" t="s">
        <v>472</v>
      </c>
      <c r="X73" s="70">
        <f>IF(AO73="5",BH73,0)</f>
        <v>0</v>
      </c>
      <c r="Z73" s="70">
        <f>IF(AO73="1",BF73,0)</f>
        <v>0</v>
      </c>
      <c r="AA73" s="70">
        <f>IF(AO73="1",BG73,0)</f>
        <v>0</v>
      </c>
      <c r="AB73" s="70">
        <f>IF(AO73="7",BF73,0)</f>
        <v>0</v>
      </c>
      <c r="AC73" s="70">
        <f>IF(AO73="7",BG73,0)</f>
        <v>0</v>
      </c>
      <c r="AD73" s="70">
        <f>IF(AO73="2",BF73,0)</f>
        <v>0</v>
      </c>
      <c r="AE73" s="70">
        <f>IF(AO73="2",BG73,0)</f>
        <v>0</v>
      </c>
      <c r="AF73" s="70">
        <f>IF(AO73="0",BH73,0)</f>
        <v>0</v>
      </c>
      <c r="AG73" s="64" t="s">
        <v>154</v>
      </c>
      <c r="AH73" s="70">
        <f>IF(AL73=0,J73,0)</f>
        <v>0</v>
      </c>
      <c r="AI73" s="70">
        <f>IF(AL73=15,J73,0)</f>
        <v>0</v>
      </c>
      <c r="AJ73" s="70">
        <f>IF(AL73=21,J73,0)</f>
        <v>0</v>
      </c>
      <c r="AL73" s="70">
        <v>21</v>
      </c>
      <c r="AM73" s="70">
        <f>G73*0</f>
        <v>0</v>
      </c>
      <c r="AN73" s="70">
        <f>G73*(1-0)</f>
        <v>0</v>
      </c>
      <c r="AO73" s="71" t="s">
        <v>157</v>
      </c>
      <c r="AT73" s="70">
        <f>AU73+AV73</f>
        <v>0</v>
      </c>
      <c r="AU73" s="70">
        <f>F73*AM73</f>
        <v>0</v>
      </c>
      <c r="AV73" s="70">
        <f>F73*AN73</f>
        <v>0</v>
      </c>
      <c r="AW73" s="71" t="s">
        <v>231</v>
      </c>
      <c r="AX73" s="71" t="s">
        <v>163</v>
      </c>
      <c r="AY73" s="64" t="s">
        <v>164</v>
      </c>
      <c r="BA73" s="70">
        <f>AU73+AV73</f>
        <v>0</v>
      </c>
      <c r="BB73" s="70">
        <f>G73/(100-BC73)*100</f>
        <v>0</v>
      </c>
      <c r="BC73" s="70">
        <v>0</v>
      </c>
      <c r="BD73" s="70">
        <f>L73</f>
        <v>0</v>
      </c>
      <c r="BF73" s="70">
        <f>F73*AM73</f>
        <v>0</v>
      </c>
      <c r="BG73" s="70">
        <f>F73*AN73</f>
        <v>0</v>
      </c>
      <c r="BH73" s="70">
        <f>F73*G73</f>
        <v>0</v>
      </c>
      <c r="BI73" s="70"/>
      <c r="BJ73" s="70">
        <v>16</v>
      </c>
      <c r="BU73" s="70" t="e">
        <f>#REF!</f>
        <v>#REF!</v>
      </c>
    </row>
    <row r="74" spans="1:73" ht="40.5" customHeight="1" x14ac:dyDescent="0.3">
      <c r="A74" s="90"/>
      <c r="B74" s="72" t="s">
        <v>165</v>
      </c>
      <c r="C74" s="581" t="s">
        <v>850</v>
      </c>
      <c r="D74" s="582"/>
      <c r="E74" s="582"/>
      <c r="F74" s="582"/>
      <c r="G74" s="582"/>
      <c r="H74" s="582"/>
      <c r="I74" s="582"/>
      <c r="J74" s="582"/>
      <c r="K74" s="582"/>
      <c r="L74" s="582"/>
      <c r="M74" s="583"/>
    </row>
    <row r="75" spans="1:73" ht="13.5" customHeight="1" x14ac:dyDescent="0.3">
      <c r="A75" s="82" t="s">
        <v>260</v>
      </c>
      <c r="B75" s="60" t="s">
        <v>257</v>
      </c>
      <c r="C75" s="551" t="s">
        <v>258</v>
      </c>
      <c r="D75" s="565"/>
      <c r="E75" s="60" t="s">
        <v>196</v>
      </c>
      <c r="F75" s="70">
        <v>21.9</v>
      </c>
      <c r="G75" s="311">
        <v>0</v>
      </c>
      <c r="H75" s="70">
        <f>F75*AM75</f>
        <v>0</v>
      </c>
      <c r="I75" s="70">
        <f>F75*AN75</f>
        <v>0</v>
      </c>
      <c r="J75" s="70">
        <f>F75*G75</f>
        <v>0</v>
      </c>
      <c r="K75" s="70">
        <v>0</v>
      </c>
      <c r="L75" s="70">
        <f>F75*K75</f>
        <v>0</v>
      </c>
      <c r="M75" s="89" t="s">
        <v>472</v>
      </c>
      <c r="X75" s="70">
        <f>IF(AO75="5",BH75,0)</f>
        <v>0</v>
      </c>
      <c r="Z75" s="70">
        <f>IF(AO75="1",BF75,0)</f>
        <v>0</v>
      </c>
      <c r="AA75" s="70">
        <f>IF(AO75="1",BG75,0)</f>
        <v>0</v>
      </c>
      <c r="AB75" s="70">
        <f>IF(AO75="7",BF75,0)</f>
        <v>0</v>
      </c>
      <c r="AC75" s="70">
        <f>IF(AO75="7",BG75,0)</f>
        <v>0</v>
      </c>
      <c r="AD75" s="70">
        <f>IF(AO75="2",BF75,0)</f>
        <v>0</v>
      </c>
      <c r="AE75" s="70">
        <f>IF(AO75="2",BG75,0)</f>
        <v>0</v>
      </c>
      <c r="AF75" s="70">
        <f>IF(AO75="0",BH75,0)</f>
        <v>0</v>
      </c>
      <c r="AG75" s="64" t="s">
        <v>154</v>
      </c>
      <c r="AH75" s="70">
        <f>IF(AL75=0,J75,0)</f>
        <v>0</v>
      </c>
      <c r="AI75" s="70">
        <f>IF(AL75=15,J75,0)</f>
        <v>0</v>
      </c>
      <c r="AJ75" s="70">
        <f>IF(AL75=21,J75,0)</f>
        <v>0</v>
      </c>
      <c r="AL75" s="70">
        <v>21</v>
      </c>
      <c r="AM75" s="70">
        <f>G75*0</f>
        <v>0</v>
      </c>
      <c r="AN75" s="70">
        <f>G75*(1-0)</f>
        <v>0</v>
      </c>
      <c r="AO75" s="71" t="s">
        <v>157</v>
      </c>
      <c r="AT75" s="70">
        <f>AU75+AV75</f>
        <v>0</v>
      </c>
      <c r="AU75" s="70">
        <f>F75*AM75</f>
        <v>0</v>
      </c>
      <c r="AV75" s="70">
        <f>F75*AN75</f>
        <v>0</v>
      </c>
      <c r="AW75" s="71" t="s">
        <v>231</v>
      </c>
      <c r="AX75" s="71" t="s">
        <v>163</v>
      </c>
      <c r="AY75" s="64" t="s">
        <v>164</v>
      </c>
      <c r="BA75" s="70">
        <f>AU75+AV75</f>
        <v>0</v>
      </c>
      <c r="BB75" s="70">
        <f>G75/(100-BC75)*100</f>
        <v>0</v>
      </c>
      <c r="BC75" s="70">
        <v>0</v>
      </c>
      <c r="BD75" s="70">
        <f>L75</f>
        <v>0</v>
      </c>
      <c r="BF75" s="70">
        <f>F75*AM75</f>
        <v>0</v>
      </c>
      <c r="BG75" s="70">
        <f>F75*AN75</f>
        <v>0</v>
      </c>
      <c r="BH75" s="70">
        <f>F75*G75</f>
        <v>0</v>
      </c>
      <c r="BI75" s="70"/>
      <c r="BJ75" s="70">
        <v>16</v>
      </c>
      <c r="BU75" s="70" t="e">
        <f>#REF!</f>
        <v>#REF!</v>
      </c>
    </row>
    <row r="76" spans="1:73" ht="40.5" customHeight="1" x14ac:dyDescent="0.3">
      <c r="A76" s="90"/>
      <c r="B76" s="72" t="s">
        <v>165</v>
      </c>
      <c r="C76" s="581" t="s">
        <v>851</v>
      </c>
      <c r="D76" s="582"/>
      <c r="E76" s="582"/>
      <c r="F76" s="582"/>
      <c r="G76" s="582"/>
      <c r="H76" s="582"/>
      <c r="I76" s="582"/>
      <c r="J76" s="582"/>
      <c r="K76" s="582"/>
      <c r="L76" s="582"/>
      <c r="M76" s="583"/>
    </row>
    <row r="77" spans="1:73" ht="15" customHeight="1" x14ac:dyDescent="0.3">
      <c r="A77" s="82" t="s">
        <v>154</v>
      </c>
      <c r="B77" s="61" t="s">
        <v>220</v>
      </c>
      <c r="C77" s="564" t="s">
        <v>259</v>
      </c>
      <c r="D77" s="571"/>
      <c r="E77" s="60" t="s">
        <v>114</v>
      </c>
      <c r="F77" s="60" t="s">
        <v>114</v>
      </c>
      <c r="G77" s="60" t="s">
        <v>114</v>
      </c>
      <c r="H77" s="73">
        <f>SUM(H78:H81)</f>
        <v>0</v>
      </c>
      <c r="I77" s="73">
        <f>SUM(I78:I81)</f>
        <v>0</v>
      </c>
      <c r="J77" s="73">
        <f>SUM(J78:J81)</f>
        <v>0</v>
      </c>
      <c r="K77" s="65" t="s">
        <v>154</v>
      </c>
      <c r="L77" s="73">
        <f>SUM(L78:L81)</f>
        <v>21.266999999999999</v>
      </c>
      <c r="M77" s="91" t="s">
        <v>154</v>
      </c>
      <c r="AG77" s="64" t="s">
        <v>154</v>
      </c>
      <c r="AQ77" s="59">
        <f>SUM(AH78:AH81)</f>
        <v>0</v>
      </c>
      <c r="AR77" s="59">
        <f>SUM(AI78:AI81)</f>
        <v>0</v>
      </c>
      <c r="AS77" s="59">
        <f>SUM(AJ78:AJ81)</f>
        <v>0</v>
      </c>
    </row>
    <row r="78" spans="1:73" ht="13.5" customHeight="1" x14ac:dyDescent="0.3">
      <c r="A78" s="82" t="s">
        <v>264</v>
      </c>
      <c r="B78" s="60" t="s">
        <v>261</v>
      </c>
      <c r="C78" s="551" t="s">
        <v>262</v>
      </c>
      <c r="D78" s="565"/>
      <c r="E78" s="60" t="s">
        <v>196</v>
      </c>
      <c r="F78" s="70">
        <v>12.51</v>
      </c>
      <c r="G78" s="311">
        <v>0</v>
      </c>
      <c r="H78" s="70">
        <f>F78*AM78</f>
        <v>0</v>
      </c>
      <c r="I78" s="70">
        <f>F78*AN78</f>
        <v>0</v>
      </c>
      <c r="J78" s="70">
        <f>F78*G78</f>
        <v>0</v>
      </c>
      <c r="K78" s="70">
        <v>1.7</v>
      </c>
      <c r="L78" s="70">
        <f>F78*K78</f>
        <v>21.266999999999999</v>
      </c>
      <c r="M78" s="89" t="s">
        <v>472</v>
      </c>
      <c r="X78" s="70">
        <f>IF(AO78="5",BH78,0)</f>
        <v>0</v>
      </c>
      <c r="Z78" s="70">
        <f>IF(AO78="1",BF78,0)</f>
        <v>0</v>
      </c>
      <c r="AA78" s="70">
        <f>IF(AO78="1",BG78,0)</f>
        <v>0</v>
      </c>
      <c r="AB78" s="70">
        <f>IF(AO78="7",BF78,0)</f>
        <v>0</v>
      </c>
      <c r="AC78" s="70">
        <f>IF(AO78="7",BG78,0)</f>
        <v>0</v>
      </c>
      <c r="AD78" s="70">
        <f>IF(AO78="2",BF78,0)</f>
        <v>0</v>
      </c>
      <c r="AE78" s="70">
        <f>IF(AO78="2",BG78,0)</f>
        <v>0</v>
      </c>
      <c r="AF78" s="70">
        <f>IF(AO78="0",BH78,0)</f>
        <v>0</v>
      </c>
      <c r="AG78" s="64" t="s">
        <v>154</v>
      </c>
      <c r="AH78" s="70">
        <f>IF(AL78=0,J78,0)</f>
        <v>0</v>
      </c>
      <c r="AI78" s="70">
        <f>IF(AL78=15,J78,0)</f>
        <v>0</v>
      </c>
      <c r="AJ78" s="70">
        <f>IF(AL78=21,J78,0)</f>
        <v>0</v>
      </c>
      <c r="AL78" s="70">
        <v>21</v>
      </c>
      <c r="AM78" s="70">
        <f>G78*0.517505126452495</f>
        <v>0</v>
      </c>
      <c r="AN78" s="70">
        <f>G78*(1-0.517505126452495)</f>
        <v>0</v>
      </c>
      <c r="AO78" s="71" t="s">
        <v>157</v>
      </c>
      <c r="AT78" s="70">
        <f>AU78+AV78</f>
        <v>0</v>
      </c>
      <c r="AU78" s="70">
        <f>F78*AM78</f>
        <v>0</v>
      </c>
      <c r="AV78" s="70">
        <f>F78*AN78</f>
        <v>0</v>
      </c>
      <c r="AW78" s="71" t="s">
        <v>263</v>
      </c>
      <c r="AX78" s="71" t="s">
        <v>163</v>
      </c>
      <c r="AY78" s="64" t="s">
        <v>164</v>
      </c>
      <c r="BA78" s="70">
        <f>AU78+AV78</f>
        <v>0</v>
      </c>
      <c r="BB78" s="70">
        <f>G78/(100-BC78)*100</f>
        <v>0</v>
      </c>
      <c r="BC78" s="70">
        <v>0</v>
      </c>
      <c r="BD78" s="70">
        <f>L78</f>
        <v>21.266999999999999</v>
      </c>
      <c r="BF78" s="70">
        <f>F78*AM78</f>
        <v>0</v>
      </c>
      <c r="BG78" s="70">
        <f>F78*AN78</f>
        <v>0</v>
      </c>
      <c r="BH78" s="70">
        <f>F78*G78</f>
        <v>0</v>
      </c>
      <c r="BI78" s="70"/>
      <c r="BJ78" s="70">
        <v>17</v>
      </c>
      <c r="BU78" s="70" t="e">
        <f>#REF!</f>
        <v>#REF!</v>
      </c>
    </row>
    <row r="79" spans="1:73" ht="67.5" customHeight="1" x14ac:dyDescent="0.3">
      <c r="A79" s="90"/>
      <c r="B79" s="72" t="s">
        <v>165</v>
      </c>
      <c r="C79" s="581" t="s">
        <v>852</v>
      </c>
      <c r="D79" s="582"/>
      <c r="E79" s="582"/>
      <c r="F79" s="582"/>
      <c r="G79" s="582"/>
      <c r="H79" s="582"/>
      <c r="I79" s="582"/>
      <c r="J79" s="582"/>
      <c r="K79" s="582"/>
      <c r="L79" s="582"/>
      <c r="M79" s="583"/>
    </row>
    <row r="80" spans="1:73" ht="13.5" customHeight="1" x14ac:dyDescent="0.3">
      <c r="A80" s="82" t="s">
        <v>267</v>
      </c>
      <c r="B80" s="60" t="s">
        <v>265</v>
      </c>
      <c r="C80" s="551" t="s">
        <v>266</v>
      </c>
      <c r="D80" s="565"/>
      <c r="E80" s="60" t="s">
        <v>196</v>
      </c>
      <c r="F80" s="70">
        <v>12.51</v>
      </c>
      <c r="G80" s="311">
        <v>0</v>
      </c>
      <c r="H80" s="70">
        <f>F80*AM80</f>
        <v>0</v>
      </c>
      <c r="I80" s="70">
        <f>F80*AN80</f>
        <v>0</v>
      </c>
      <c r="J80" s="70">
        <f>F80*G80</f>
        <v>0</v>
      </c>
      <c r="K80" s="70">
        <v>0</v>
      </c>
      <c r="L80" s="70">
        <f>F80*K80</f>
        <v>0</v>
      </c>
      <c r="M80" s="89" t="s">
        <v>472</v>
      </c>
      <c r="X80" s="70">
        <f>IF(AO80="5",BH80,0)</f>
        <v>0</v>
      </c>
      <c r="Z80" s="70">
        <f>IF(AO80="1",BF80,0)</f>
        <v>0</v>
      </c>
      <c r="AA80" s="70">
        <f>IF(AO80="1",BG80,0)</f>
        <v>0</v>
      </c>
      <c r="AB80" s="70">
        <f>IF(AO80="7",BF80,0)</f>
        <v>0</v>
      </c>
      <c r="AC80" s="70">
        <f>IF(AO80="7",BG80,0)</f>
        <v>0</v>
      </c>
      <c r="AD80" s="70">
        <f>IF(AO80="2",BF80,0)</f>
        <v>0</v>
      </c>
      <c r="AE80" s="70">
        <f>IF(AO80="2",BG80,0)</f>
        <v>0</v>
      </c>
      <c r="AF80" s="70">
        <f>IF(AO80="0",BH80,0)</f>
        <v>0</v>
      </c>
      <c r="AG80" s="64" t="s">
        <v>154</v>
      </c>
      <c r="AH80" s="70">
        <f>IF(AL80=0,J80,0)</f>
        <v>0</v>
      </c>
      <c r="AI80" s="70">
        <f>IF(AL80=15,J80,0)</f>
        <v>0</v>
      </c>
      <c r="AJ80" s="70">
        <f>IF(AL80=21,J80,0)</f>
        <v>0</v>
      </c>
      <c r="AL80" s="70">
        <v>21</v>
      </c>
      <c r="AM80" s="70">
        <f>G80*0</f>
        <v>0</v>
      </c>
      <c r="AN80" s="70">
        <f>G80*(1-0)</f>
        <v>0</v>
      </c>
      <c r="AO80" s="71" t="s">
        <v>157</v>
      </c>
      <c r="AT80" s="70">
        <f>AU80+AV80</f>
        <v>0</v>
      </c>
      <c r="AU80" s="70">
        <f>F80*AM80</f>
        <v>0</v>
      </c>
      <c r="AV80" s="70">
        <f>F80*AN80</f>
        <v>0</v>
      </c>
      <c r="AW80" s="71" t="s">
        <v>263</v>
      </c>
      <c r="AX80" s="71" t="s">
        <v>163</v>
      </c>
      <c r="AY80" s="64" t="s">
        <v>164</v>
      </c>
      <c r="BA80" s="70">
        <f>AU80+AV80</f>
        <v>0</v>
      </c>
      <c r="BB80" s="70">
        <f>G80/(100-BC80)*100</f>
        <v>0</v>
      </c>
      <c r="BC80" s="70">
        <v>0</v>
      </c>
      <c r="BD80" s="70">
        <f>L80</f>
        <v>0</v>
      </c>
      <c r="BF80" s="70">
        <f>F80*AM80</f>
        <v>0</v>
      </c>
      <c r="BG80" s="70">
        <f>F80*AN80</f>
        <v>0</v>
      </c>
      <c r="BH80" s="70">
        <f>F80*G80</f>
        <v>0</v>
      </c>
      <c r="BI80" s="70"/>
      <c r="BJ80" s="70">
        <v>17</v>
      </c>
      <c r="BU80" s="70" t="e">
        <f>#REF!</f>
        <v>#REF!</v>
      </c>
    </row>
    <row r="81" spans="1:73" ht="13.5" customHeight="1" x14ac:dyDescent="0.3">
      <c r="A81" s="82" t="s">
        <v>271</v>
      </c>
      <c r="B81" s="60" t="s">
        <v>268</v>
      </c>
      <c r="C81" s="551" t="s">
        <v>269</v>
      </c>
      <c r="D81" s="565"/>
      <c r="E81" s="60" t="s">
        <v>196</v>
      </c>
      <c r="F81" s="70">
        <v>80.39</v>
      </c>
      <c r="G81" s="311">
        <v>0</v>
      </c>
      <c r="H81" s="70">
        <f>F81*AM81</f>
        <v>0</v>
      </c>
      <c r="I81" s="70">
        <f>F81*AN81</f>
        <v>0</v>
      </c>
      <c r="J81" s="70">
        <f>F81*G81</f>
        <v>0</v>
      </c>
      <c r="K81" s="70">
        <v>0</v>
      </c>
      <c r="L81" s="70">
        <f>F81*K81</f>
        <v>0</v>
      </c>
      <c r="M81" s="89" t="s">
        <v>472</v>
      </c>
      <c r="X81" s="70">
        <f>IF(AO81="5",BH81,0)</f>
        <v>0</v>
      </c>
      <c r="Z81" s="70">
        <f>IF(AO81="1",BF81,0)</f>
        <v>0</v>
      </c>
      <c r="AA81" s="70">
        <f>IF(AO81="1",BG81,0)</f>
        <v>0</v>
      </c>
      <c r="AB81" s="70">
        <f>IF(AO81="7",BF81,0)</f>
        <v>0</v>
      </c>
      <c r="AC81" s="70">
        <f>IF(AO81="7",BG81,0)</f>
        <v>0</v>
      </c>
      <c r="AD81" s="70">
        <f>IF(AO81="2",BF81,0)</f>
        <v>0</v>
      </c>
      <c r="AE81" s="70">
        <f>IF(AO81="2",BG81,0)</f>
        <v>0</v>
      </c>
      <c r="AF81" s="70">
        <f>IF(AO81="0",BH81,0)</f>
        <v>0</v>
      </c>
      <c r="AG81" s="64" t="s">
        <v>154</v>
      </c>
      <c r="AH81" s="70">
        <f>IF(AL81=0,J81,0)</f>
        <v>0</v>
      </c>
      <c r="AI81" s="70">
        <f>IF(AL81=15,J81,0)</f>
        <v>0</v>
      </c>
      <c r="AJ81" s="70">
        <f>IF(AL81=21,J81,0)</f>
        <v>0</v>
      </c>
      <c r="AL81" s="70">
        <v>21</v>
      </c>
      <c r="AM81" s="70">
        <f>G81*0</f>
        <v>0</v>
      </c>
      <c r="AN81" s="70">
        <f>G81*(1-0)</f>
        <v>0</v>
      </c>
      <c r="AO81" s="71" t="s">
        <v>157</v>
      </c>
      <c r="AT81" s="70">
        <f>AU81+AV81</f>
        <v>0</v>
      </c>
      <c r="AU81" s="70">
        <f>F81*AM81</f>
        <v>0</v>
      </c>
      <c r="AV81" s="70">
        <f>F81*AN81</f>
        <v>0</v>
      </c>
      <c r="AW81" s="71" t="s">
        <v>263</v>
      </c>
      <c r="AX81" s="71" t="s">
        <v>163</v>
      </c>
      <c r="AY81" s="64" t="s">
        <v>164</v>
      </c>
      <c r="BA81" s="70">
        <f>AU81+AV81</f>
        <v>0</v>
      </c>
      <c r="BB81" s="70">
        <f>G81/(100-BC81)*100</f>
        <v>0</v>
      </c>
      <c r="BC81" s="70">
        <v>0</v>
      </c>
      <c r="BD81" s="70">
        <f>L81</f>
        <v>0</v>
      </c>
      <c r="BF81" s="70">
        <f>F81*AM81</f>
        <v>0</v>
      </c>
      <c r="BG81" s="70">
        <f>F81*AN81</f>
        <v>0</v>
      </c>
      <c r="BH81" s="70">
        <f>F81*G81</f>
        <v>0</v>
      </c>
      <c r="BI81" s="70"/>
      <c r="BJ81" s="70">
        <v>17</v>
      </c>
      <c r="BU81" s="70" t="e">
        <f>#REF!</f>
        <v>#REF!</v>
      </c>
    </row>
    <row r="82" spans="1:73" ht="108" customHeight="1" x14ac:dyDescent="0.3">
      <c r="A82" s="90"/>
      <c r="B82" s="72" t="s">
        <v>165</v>
      </c>
      <c r="C82" s="581" t="s">
        <v>853</v>
      </c>
      <c r="D82" s="582"/>
      <c r="E82" s="582"/>
      <c r="F82" s="582"/>
      <c r="G82" s="582"/>
      <c r="H82" s="582"/>
      <c r="I82" s="582"/>
      <c r="J82" s="582"/>
      <c r="K82" s="582"/>
      <c r="L82" s="582"/>
      <c r="M82" s="583"/>
    </row>
    <row r="83" spans="1:73" ht="15" customHeight="1" x14ac:dyDescent="0.3">
      <c r="A83" s="82" t="s">
        <v>154</v>
      </c>
      <c r="B83" s="61" t="s">
        <v>224</v>
      </c>
      <c r="C83" s="564" t="s">
        <v>270</v>
      </c>
      <c r="D83" s="571"/>
      <c r="E83" s="60" t="s">
        <v>114</v>
      </c>
      <c r="F83" s="60" t="s">
        <v>114</v>
      </c>
      <c r="G83" s="60" t="s">
        <v>114</v>
      </c>
      <c r="H83" s="73">
        <f>SUM(H84:H84)</f>
        <v>0</v>
      </c>
      <c r="I83" s="73">
        <f>SUM(I84:I84)</f>
        <v>0</v>
      </c>
      <c r="J83" s="73">
        <f>SUM(J84:J84)</f>
        <v>0</v>
      </c>
      <c r="K83" s="65" t="s">
        <v>154</v>
      </c>
      <c r="L83" s="73">
        <f>SUM(L84:L84)</f>
        <v>1.6431000000000002E-3</v>
      </c>
      <c r="M83" s="91" t="s">
        <v>154</v>
      </c>
      <c r="AG83" s="64" t="s">
        <v>154</v>
      </c>
      <c r="AQ83" s="59">
        <f>SUM(AH84:AH84)</f>
        <v>0</v>
      </c>
      <c r="AR83" s="59">
        <f>SUM(AI84:AI84)</f>
        <v>0</v>
      </c>
      <c r="AS83" s="59">
        <f>SUM(AJ84:AJ84)</f>
        <v>0</v>
      </c>
    </row>
    <row r="84" spans="1:73" ht="13.5" customHeight="1" x14ac:dyDescent="0.3">
      <c r="A84" s="82" t="s">
        <v>276</v>
      </c>
      <c r="B84" s="60" t="s">
        <v>272</v>
      </c>
      <c r="C84" s="551" t="s">
        <v>273</v>
      </c>
      <c r="D84" s="565"/>
      <c r="E84" s="60" t="s">
        <v>180</v>
      </c>
      <c r="F84" s="70">
        <v>54.77</v>
      </c>
      <c r="G84" s="311">
        <v>0</v>
      </c>
      <c r="H84" s="70">
        <f>F84*AM84</f>
        <v>0</v>
      </c>
      <c r="I84" s="70">
        <f>F84*AN84</f>
        <v>0</v>
      </c>
      <c r="J84" s="70">
        <f>F84*G84</f>
        <v>0</v>
      </c>
      <c r="K84" s="70">
        <v>3.0000000000000001E-5</v>
      </c>
      <c r="L84" s="70">
        <f>F84*K84</f>
        <v>1.6431000000000002E-3</v>
      </c>
      <c r="M84" s="89" t="s">
        <v>472</v>
      </c>
      <c r="X84" s="70">
        <f>IF(AO84="5",BH84,0)</f>
        <v>0</v>
      </c>
      <c r="Z84" s="70">
        <f>IF(AO84="1",BF84,0)</f>
        <v>0</v>
      </c>
      <c r="AA84" s="70">
        <f>IF(AO84="1",BG84,0)</f>
        <v>0</v>
      </c>
      <c r="AB84" s="70">
        <f>IF(AO84="7",BF84,0)</f>
        <v>0</v>
      </c>
      <c r="AC84" s="70">
        <f>IF(AO84="7",BG84,0)</f>
        <v>0</v>
      </c>
      <c r="AD84" s="70">
        <f>IF(AO84="2",BF84,0)</f>
        <v>0</v>
      </c>
      <c r="AE84" s="70">
        <f>IF(AO84="2",BG84,0)</f>
        <v>0</v>
      </c>
      <c r="AF84" s="70">
        <f>IF(AO84="0",BH84,0)</f>
        <v>0</v>
      </c>
      <c r="AG84" s="64" t="s">
        <v>154</v>
      </c>
      <c r="AH84" s="70">
        <f>IF(AL84=0,J84,0)</f>
        <v>0</v>
      </c>
      <c r="AI84" s="70">
        <f>IF(AL84=15,J84,0)</f>
        <v>0</v>
      </c>
      <c r="AJ84" s="70">
        <f>IF(AL84=21,J84,0)</f>
        <v>0</v>
      </c>
      <c r="AL84" s="70">
        <v>21</v>
      </c>
      <c r="AM84" s="70">
        <f>G84*0.0417159256874539</f>
        <v>0</v>
      </c>
      <c r="AN84" s="70">
        <f>G84*(1-0.0417159256874539)</f>
        <v>0</v>
      </c>
      <c r="AO84" s="71" t="s">
        <v>157</v>
      </c>
      <c r="AT84" s="70">
        <f>AU84+AV84</f>
        <v>0</v>
      </c>
      <c r="AU84" s="70">
        <f>F84*AM84</f>
        <v>0</v>
      </c>
      <c r="AV84" s="70">
        <f>F84*AN84</f>
        <v>0</v>
      </c>
      <c r="AW84" s="71" t="s">
        <v>274</v>
      </c>
      <c r="AX84" s="71" t="s">
        <v>163</v>
      </c>
      <c r="AY84" s="64" t="s">
        <v>164</v>
      </c>
      <c r="BA84" s="70">
        <f>AU84+AV84</f>
        <v>0</v>
      </c>
      <c r="BB84" s="70">
        <f>G84/(100-BC84)*100</f>
        <v>0</v>
      </c>
      <c r="BC84" s="70">
        <v>0</v>
      </c>
      <c r="BD84" s="70">
        <f>L84</f>
        <v>1.6431000000000002E-3</v>
      </c>
      <c r="BF84" s="70">
        <f>F84*AM84</f>
        <v>0</v>
      </c>
      <c r="BG84" s="70">
        <f>F84*AN84</f>
        <v>0</v>
      </c>
      <c r="BH84" s="70">
        <f>F84*G84</f>
        <v>0</v>
      </c>
      <c r="BI84" s="70"/>
      <c r="BJ84" s="70">
        <v>18</v>
      </c>
      <c r="BU84" s="70" t="e">
        <f>#REF!</f>
        <v>#REF!</v>
      </c>
    </row>
    <row r="85" spans="1:73" ht="67.5" customHeight="1" x14ac:dyDescent="0.3">
      <c r="A85" s="90"/>
      <c r="B85" s="72" t="s">
        <v>165</v>
      </c>
      <c r="C85" s="581" t="s">
        <v>854</v>
      </c>
      <c r="D85" s="582"/>
      <c r="E85" s="582"/>
      <c r="F85" s="582"/>
      <c r="G85" s="582"/>
      <c r="H85" s="582"/>
      <c r="I85" s="582"/>
      <c r="J85" s="582"/>
      <c r="K85" s="582"/>
      <c r="L85" s="582"/>
      <c r="M85" s="583"/>
    </row>
    <row r="86" spans="1:73" ht="15" customHeight="1" x14ac:dyDescent="0.3">
      <c r="A86" s="82" t="s">
        <v>154</v>
      </c>
      <c r="B86" s="61" t="s">
        <v>228</v>
      </c>
      <c r="C86" s="564" t="s">
        <v>275</v>
      </c>
      <c r="D86" s="571"/>
      <c r="E86" s="60" t="s">
        <v>114</v>
      </c>
      <c r="F86" s="60" t="s">
        <v>114</v>
      </c>
      <c r="G86" s="60" t="s">
        <v>114</v>
      </c>
      <c r="H86" s="73">
        <f>SUM(H87:H89)</f>
        <v>0</v>
      </c>
      <c r="I86" s="73">
        <f>SUM(I87:I89)</f>
        <v>0</v>
      </c>
      <c r="J86" s="73">
        <f>SUM(J87:J89)</f>
        <v>0</v>
      </c>
      <c r="K86" s="65" t="s">
        <v>154</v>
      </c>
      <c r="L86" s="73">
        <f>SUM(L87:L89)</f>
        <v>0</v>
      </c>
      <c r="M86" s="91" t="s">
        <v>154</v>
      </c>
      <c r="AG86" s="64" t="s">
        <v>154</v>
      </c>
      <c r="AQ86" s="59">
        <f>SUM(AH87:AH89)</f>
        <v>0</v>
      </c>
      <c r="AR86" s="59">
        <f>SUM(AI87:AI89)</f>
        <v>0</v>
      </c>
      <c r="AS86" s="59">
        <f>SUM(AJ87:AJ89)</f>
        <v>0</v>
      </c>
    </row>
    <row r="87" spans="1:73" ht="13.5" customHeight="1" x14ac:dyDescent="0.3">
      <c r="A87" s="82" t="s">
        <v>281</v>
      </c>
      <c r="B87" s="60" t="s">
        <v>277</v>
      </c>
      <c r="C87" s="551" t="s">
        <v>278</v>
      </c>
      <c r="D87" s="565"/>
      <c r="E87" s="60" t="s">
        <v>196</v>
      </c>
      <c r="F87" s="70">
        <v>36.07</v>
      </c>
      <c r="G87" s="311">
        <v>0</v>
      </c>
      <c r="H87" s="70">
        <f>F87*AM87</f>
        <v>0</v>
      </c>
      <c r="I87" s="70">
        <f>F87*AN87</f>
        <v>0</v>
      </c>
      <c r="J87" s="70">
        <f>F87*G87</f>
        <v>0</v>
      </c>
      <c r="K87" s="70">
        <v>0</v>
      </c>
      <c r="L87" s="70">
        <f>F87*K87</f>
        <v>0</v>
      </c>
      <c r="M87" s="89" t="s">
        <v>472</v>
      </c>
      <c r="X87" s="70">
        <f>IF(AO87="5",BH87,0)</f>
        <v>0</v>
      </c>
      <c r="Z87" s="70">
        <f>IF(AO87="1",BF87,0)</f>
        <v>0</v>
      </c>
      <c r="AA87" s="70">
        <f>IF(AO87="1",BG87,0)</f>
        <v>0</v>
      </c>
      <c r="AB87" s="70">
        <f>IF(AO87="7",BF87,0)</f>
        <v>0</v>
      </c>
      <c r="AC87" s="70">
        <f>IF(AO87="7",BG87,0)</f>
        <v>0</v>
      </c>
      <c r="AD87" s="70">
        <f>IF(AO87="2",BF87,0)</f>
        <v>0</v>
      </c>
      <c r="AE87" s="70">
        <f>IF(AO87="2",BG87,0)</f>
        <v>0</v>
      </c>
      <c r="AF87" s="70">
        <f>IF(AO87="0",BH87,0)</f>
        <v>0</v>
      </c>
      <c r="AG87" s="64" t="s">
        <v>154</v>
      </c>
      <c r="AH87" s="70">
        <f>IF(AL87=0,J87,0)</f>
        <v>0</v>
      </c>
      <c r="AI87" s="70">
        <f>IF(AL87=15,J87,0)</f>
        <v>0</v>
      </c>
      <c r="AJ87" s="70">
        <f>IF(AL87=21,J87,0)</f>
        <v>0</v>
      </c>
      <c r="AL87" s="70">
        <v>21</v>
      </c>
      <c r="AM87" s="70">
        <f>G87*0</f>
        <v>0</v>
      </c>
      <c r="AN87" s="70">
        <f>G87*(1-0)</f>
        <v>0</v>
      </c>
      <c r="AO87" s="71" t="s">
        <v>157</v>
      </c>
      <c r="AT87" s="70">
        <f>AU87+AV87</f>
        <v>0</v>
      </c>
      <c r="AU87" s="70">
        <f>F87*AM87</f>
        <v>0</v>
      </c>
      <c r="AV87" s="70">
        <f>F87*AN87</f>
        <v>0</v>
      </c>
      <c r="AW87" s="71" t="s">
        <v>279</v>
      </c>
      <c r="AX87" s="71" t="s">
        <v>163</v>
      </c>
      <c r="AY87" s="64" t="s">
        <v>164</v>
      </c>
      <c r="BA87" s="70">
        <f>AU87+AV87</f>
        <v>0</v>
      </c>
      <c r="BB87" s="70">
        <f>G87/(100-BC87)*100</f>
        <v>0</v>
      </c>
      <c r="BC87" s="70">
        <v>0</v>
      </c>
      <c r="BD87" s="70">
        <f>L87</f>
        <v>0</v>
      </c>
      <c r="BF87" s="70">
        <f>F87*AM87</f>
        <v>0</v>
      </c>
      <c r="BG87" s="70">
        <f>F87*AN87</f>
        <v>0</v>
      </c>
      <c r="BH87" s="70">
        <f>F87*G87</f>
        <v>0</v>
      </c>
      <c r="BI87" s="70"/>
      <c r="BJ87" s="70">
        <v>19</v>
      </c>
      <c r="BU87" s="70" t="e">
        <f>#REF!</f>
        <v>#REF!</v>
      </c>
    </row>
    <row r="88" spans="1:73" ht="13.5" customHeight="1" x14ac:dyDescent="0.3">
      <c r="A88" s="90"/>
      <c r="B88" s="72" t="s">
        <v>165</v>
      </c>
      <c r="C88" s="581" t="s">
        <v>280</v>
      </c>
      <c r="D88" s="582"/>
      <c r="E88" s="582"/>
      <c r="F88" s="582"/>
      <c r="G88" s="582"/>
      <c r="H88" s="582"/>
      <c r="I88" s="582"/>
      <c r="J88" s="582"/>
      <c r="K88" s="582"/>
      <c r="L88" s="582"/>
      <c r="M88" s="583"/>
    </row>
    <row r="89" spans="1:73" ht="13.5" customHeight="1" x14ac:dyDescent="0.3">
      <c r="A89" s="82" t="s">
        <v>285</v>
      </c>
      <c r="B89" s="60" t="s">
        <v>282</v>
      </c>
      <c r="C89" s="551" t="s">
        <v>283</v>
      </c>
      <c r="D89" s="565"/>
      <c r="E89" s="60" t="s">
        <v>196</v>
      </c>
      <c r="F89" s="70">
        <v>17.690000000000001</v>
      </c>
      <c r="G89" s="311">
        <v>0</v>
      </c>
      <c r="H89" s="70">
        <f>F89*AM89</f>
        <v>0</v>
      </c>
      <c r="I89" s="70">
        <f>F89*AN89</f>
        <v>0</v>
      </c>
      <c r="J89" s="70">
        <f>F89*G89</f>
        <v>0</v>
      </c>
      <c r="K89" s="70">
        <v>0</v>
      </c>
      <c r="L89" s="70">
        <f>F89*K89</f>
        <v>0</v>
      </c>
      <c r="M89" s="89" t="s">
        <v>472</v>
      </c>
      <c r="X89" s="70">
        <f>IF(AO89="5",BH89,0)</f>
        <v>0</v>
      </c>
      <c r="Z89" s="70">
        <f>IF(AO89="1",BF89,0)</f>
        <v>0</v>
      </c>
      <c r="AA89" s="70">
        <f>IF(AO89="1",BG89,0)</f>
        <v>0</v>
      </c>
      <c r="AB89" s="70">
        <f>IF(AO89="7",BF89,0)</f>
        <v>0</v>
      </c>
      <c r="AC89" s="70">
        <f>IF(AO89="7",BG89,0)</f>
        <v>0</v>
      </c>
      <c r="AD89" s="70">
        <f>IF(AO89="2",BF89,0)</f>
        <v>0</v>
      </c>
      <c r="AE89" s="70">
        <f>IF(AO89="2",BG89,0)</f>
        <v>0</v>
      </c>
      <c r="AF89" s="70">
        <f>IF(AO89="0",BH89,0)</f>
        <v>0</v>
      </c>
      <c r="AG89" s="64" t="s">
        <v>154</v>
      </c>
      <c r="AH89" s="70">
        <f>IF(AL89=0,J89,0)</f>
        <v>0</v>
      </c>
      <c r="AI89" s="70">
        <f>IF(AL89=15,J89,0)</f>
        <v>0</v>
      </c>
      <c r="AJ89" s="70">
        <f>IF(AL89=21,J89,0)</f>
        <v>0</v>
      </c>
      <c r="AL89" s="70">
        <v>21</v>
      </c>
      <c r="AM89" s="70">
        <f>G89*0</f>
        <v>0</v>
      </c>
      <c r="AN89" s="70">
        <f>G89*(1-0)</f>
        <v>0</v>
      </c>
      <c r="AO89" s="71" t="s">
        <v>157</v>
      </c>
      <c r="AT89" s="70">
        <f>AU89+AV89</f>
        <v>0</v>
      </c>
      <c r="AU89" s="70">
        <f>F89*AM89</f>
        <v>0</v>
      </c>
      <c r="AV89" s="70">
        <f>F89*AN89</f>
        <v>0</v>
      </c>
      <c r="AW89" s="71" t="s">
        <v>279</v>
      </c>
      <c r="AX89" s="71" t="s">
        <v>163</v>
      </c>
      <c r="AY89" s="64" t="s">
        <v>164</v>
      </c>
      <c r="BA89" s="70">
        <f>AU89+AV89</f>
        <v>0</v>
      </c>
      <c r="BB89" s="70">
        <f>G89/(100-BC89)*100</f>
        <v>0</v>
      </c>
      <c r="BC89" s="70">
        <v>0</v>
      </c>
      <c r="BD89" s="70">
        <f>L89</f>
        <v>0</v>
      </c>
      <c r="BF89" s="70">
        <f>F89*AM89</f>
        <v>0</v>
      </c>
      <c r="BG89" s="70">
        <f>F89*AN89</f>
        <v>0</v>
      </c>
      <c r="BH89" s="70">
        <f>F89*G89</f>
        <v>0</v>
      </c>
      <c r="BI89" s="70"/>
      <c r="BJ89" s="70">
        <v>19</v>
      </c>
      <c r="BU89" s="70" t="e">
        <f>#REF!</f>
        <v>#REF!</v>
      </c>
    </row>
    <row r="90" spans="1:73" ht="13.5" customHeight="1" x14ac:dyDescent="0.3">
      <c r="A90" s="90"/>
      <c r="B90" s="72" t="s">
        <v>165</v>
      </c>
      <c r="C90" s="581" t="s">
        <v>280</v>
      </c>
      <c r="D90" s="582"/>
      <c r="E90" s="582"/>
      <c r="F90" s="582"/>
      <c r="G90" s="582"/>
      <c r="H90" s="582"/>
      <c r="I90" s="582"/>
      <c r="J90" s="582"/>
      <c r="K90" s="582"/>
      <c r="L90" s="582"/>
      <c r="M90" s="583"/>
    </row>
    <row r="91" spans="1:73" ht="15" customHeight="1" x14ac:dyDescent="0.3">
      <c r="A91" s="82" t="s">
        <v>154</v>
      </c>
      <c r="B91" s="61" t="s">
        <v>235</v>
      </c>
      <c r="C91" s="564" t="s">
        <v>284</v>
      </c>
      <c r="D91" s="571"/>
      <c r="E91" s="60" t="s">
        <v>114</v>
      </c>
      <c r="F91" s="60" t="s">
        <v>114</v>
      </c>
      <c r="G91" s="60" t="s">
        <v>114</v>
      </c>
      <c r="H91" s="73">
        <f>SUM(H92:H94)</f>
        <v>0</v>
      </c>
      <c r="I91" s="73">
        <f>SUM(I92:I94)</f>
        <v>0</v>
      </c>
      <c r="J91" s="73">
        <f>SUM(J92:J94)</f>
        <v>0</v>
      </c>
      <c r="K91" s="65" t="s">
        <v>154</v>
      </c>
      <c r="L91" s="73">
        <f>SUM(L92:L94)</f>
        <v>4.3625000000000007</v>
      </c>
      <c r="M91" s="91" t="s">
        <v>154</v>
      </c>
      <c r="AG91" s="64" t="s">
        <v>154</v>
      </c>
      <c r="AQ91" s="59">
        <f>SUM(AH92:AH94)</f>
        <v>0</v>
      </c>
      <c r="AR91" s="59">
        <f>SUM(AI92:AI94)</f>
        <v>0</v>
      </c>
      <c r="AS91" s="59">
        <f>SUM(AJ92:AJ94)</f>
        <v>0</v>
      </c>
    </row>
    <row r="92" spans="1:73" ht="13.5" customHeight="1" x14ac:dyDescent="0.3">
      <c r="A92" s="82" t="s">
        <v>290</v>
      </c>
      <c r="B92" s="60" t="s">
        <v>507</v>
      </c>
      <c r="C92" s="551" t="s">
        <v>287</v>
      </c>
      <c r="D92" s="565"/>
      <c r="E92" s="60" t="s">
        <v>180</v>
      </c>
      <c r="F92" s="70">
        <v>29.03</v>
      </c>
      <c r="G92" s="311">
        <v>0</v>
      </c>
      <c r="H92" s="70">
        <f>F92*AM92</f>
        <v>0</v>
      </c>
      <c r="I92" s="70">
        <f>F92*AN92</f>
        <v>0</v>
      </c>
      <c r="J92" s="70">
        <f>F92*G92</f>
        <v>0</v>
      </c>
      <c r="K92" s="70">
        <v>0</v>
      </c>
      <c r="L92" s="70">
        <f>F92*K92</f>
        <v>0</v>
      </c>
      <c r="M92" s="89" t="s">
        <v>472</v>
      </c>
      <c r="X92" s="70">
        <f>IF(AO92="5",BH92,0)</f>
        <v>0</v>
      </c>
      <c r="Z92" s="70">
        <f>IF(AO92="1",BF92,0)</f>
        <v>0</v>
      </c>
      <c r="AA92" s="70">
        <f>IF(AO92="1",BG92,0)</f>
        <v>0</v>
      </c>
      <c r="AB92" s="70">
        <f>IF(AO92="7",BF92,0)</f>
        <v>0</v>
      </c>
      <c r="AC92" s="70">
        <f>IF(AO92="7",BG92,0)</f>
        <v>0</v>
      </c>
      <c r="AD92" s="70">
        <f>IF(AO92="2",BF92,0)</f>
        <v>0</v>
      </c>
      <c r="AE92" s="70">
        <f>IF(AO92="2",BG92,0)</f>
        <v>0</v>
      </c>
      <c r="AF92" s="70">
        <f>IF(AO92="0",BH92,0)</f>
        <v>0</v>
      </c>
      <c r="AG92" s="64" t="s">
        <v>154</v>
      </c>
      <c r="AH92" s="70">
        <f>IF(AL92=0,J92,0)</f>
        <v>0</v>
      </c>
      <c r="AI92" s="70">
        <f>IF(AL92=15,J92,0)</f>
        <v>0</v>
      </c>
      <c r="AJ92" s="70">
        <f>IF(AL92=21,J92,0)</f>
        <v>0</v>
      </c>
      <c r="AL92" s="70">
        <v>21</v>
      </c>
      <c r="AM92" s="70">
        <f>G92*0</f>
        <v>0</v>
      </c>
      <c r="AN92" s="70">
        <f>G92*(1-0)</f>
        <v>0</v>
      </c>
      <c r="AO92" s="71" t="s">
        <v>157</v>
      </c>
      <c r="AT92" s="70">
        <f>AU92+AV92</f>
        <v>0</v>
      </c>
      <c r="AU92" s="70">
        <f>F92*AM92</f>
        <v>0</v>
      </c>
      <c r="AV92" s="70">
        <f>F92*AN92</f>
        <v>0</v>
      </c>
      <c r="AW92" s="71" t="s">
        <v>288</v>
      </c>
      <c r="AX92" s="71" t="s">
        <v>289</v>
      </c>
      <c r="AY92" s="64" t="s">
        <v>164</v>
      </c>
      <c r="BA92" s="70">
        <f>AU92+AV92</f>
        <v>0</v>
      </c>
      <c r="BB92" s="70">
        <f>G92/(100-BC92)*100</f>
        <v>0</v>
      </c>
      <c r="BC92" s="70">
        <v>0</v>
      </c>
      <c r="BD92" s="70">
        <f>L92</f>
        <v>0</v>
      </c>
      <c r="BF92" s="70">
        <f>F92*AM92</f>
        <v>0</v>
      </c>
      <c r="BG92" s="70">
        <f>F92*AN92</f>
        <v>0</v>
      </c>
      <c r="BH92" s="70">
        <f>F92*G92</f>
        <v>0</v>
      </c>
      <c r="BI92" s="70"/>
      <c r="BJ92" s="70">
        <v>21</v>
      </c>
      <c r="BU92" s="70" t="e">
        <f>#REF!</f>
        <v>#REF!</v>
      </c>
    </row>
    <row r="93" spans="1:73" ht="40.5" customHeight="1" x14ac:dyDescent="0.3">
      <c r="A93" s="90"/>
      <c r="B93" s="72" t="s">
        <v>165</v>
      </c>
      <c r="C93" s="581" t="s">
        <v>855</v>
      </c>
      <c r="D93" s="582"/>
      <c r="E93" s="582"/>
      <c r="F93" s="582"/>
      <c r="G93" s="582"/>
      <c r="H93" s="582"/>
      <c r="I93" s="582"/>
      <c r="J93" s="582"/>
      <c r="K93" s="582"/>
      <c r="L93" s="582"/>
      <c r="M93" s="583"/>
    </row>
    <row r="94" spans="1:73" ht="13.5" customHeight="1" x14ac:dyDescent="0.3">
      <c r="A94" s="82" t="s">
        <v>294</v>
      </c>
      <c r="B94" s="60" t="s">
        <v>291</v>
      </c>
      <c r="C94" s="551" t="s">
        <v>292</v>
      </c>
      <c r="D94" s="565"/>
      <c r="E94" s="60" t="s">
        <v>160</v>
      </c>
      <c r="F94" s="70">
        <v>10</v>
      </c>
      <c r="G94" s="311">
        <v>0</v>
      </c>
      <c r="H94" s="70">
        <f>F94*AM94</f>
        <v>0</v>
      </c>
      <c r="I94" s="70">
        <f>F94*AN94</f>
        <v>0</v>
      </c>
      <c r="J94" s="70">
        <f>F94*G94</f>
        <v>0</v>
      </c>
      <c r="K94" s="70">
        <v>0.43625000000000003</v>
      </c>
      <c r="L94" s="70">
        <f>F94*K94</f>
        <v>4.3625000000000007</v>
      </c>
      <c r="M94" s="89" t="s">
        <v>472</v>
      </c>
      <c r="X94" s="70">
        <f>IF(AO94="5",BH94,0)</f>
        <v>0</v>
      </c>
      <c r="Z94" s="70">
        <f>IF(AO94="1",BF94,0)</f>
        <v>0</v>
      </c>
      <c r="AA94" s="70">
        <f>IF(AO94="1",BG94,0)</f>
        <v>0</v>
      </c>
      <c r="AB94" s="70">
        <f>IF(AO94="7",BF94,0)</f>
        <v>0</v>
      </c>
      <c r="AC94" s="70">
        <f>IF(AO94="7",BG94,0)</f>
        <v>0</v>
      </c>
      <c r="AD94" s="70">
        <f>IF(AO94="2",BF94,0)</f>
        <v>0</v>
      </c>
      <c r="AE94" s="70">
        <f>IF(AO94="2",BG94,0)</f>
        <v>0</v>
      </c>
      <c r="AF94" s="70">
        <f>IF(AO94="0",BH94,0)</f>
        <v>0</v>
      </c>
      <c r="AG94" s="64" t="s">
        <v>154</v>
      </c>
      <c r="AH94" s="70">
        <f>IF(AL94=0,J94,0)</f>
        <v>0</v>
      </c>
      <c r="AI94" s="70">
        <f>IF(AL94=15,J94,0)</f>
        <v>0</v>
      </c>
      <c r="AJ94" s="70">
        <f>IF(AL94=21,J94,0)</f>
        <v>0</v>
      </c>
      <c r="AL94" s="70">
        <v>21</v>
      </c>
      <c r="AM94" s="70">
        <f>G94*0.447203745511296</f>
        <v>0</v>
      </c>
      <c r="AN94" s="70">
        <f>G94*(1-0.447203745511296)</f>
        <v>0</v>
      </c>
      <c r="AO94" s="71" t="s">
        <v>157</v>
      </c>
      <c r="AT94" s="70">
        <f>AU94+AV94</f>
        <v>0</v>
      </c>
      <c r="AU94" s="70">
        <f>F94*AM94</f>
        <v>0</v>
      </c>
      <c r="AV94" s="70">
        <f>F94*AN94</f>
        <v>0</v>
      </c>
      <c r="AW94" s="71" t="s">
        <v>288</v>
      </c>
      <c r="AX94" s="71" t="s">
        <v>289</v>
      </c>
      <c r="AY94" s="64" t="s">
        <v>164</v>
      </c>
      <c r="BA94" s="70">
        <f>AU94+AV94</f>
        <v>0</v>
      </c>
      <c r="BB94" s="70">
        <f>G94/(100-BC94)*100</f>
        <v>0</v>
      </c>
      <c r="BC94" s="70">
        <v>0</v>
      </c>
      <c r="BD94" s="70">
        <f>L94</f>
        <v>4.3625000000000007</v>
      </c>
      <c r="BF94" s="70">
        <f>F94*AM94</f>
        <v>0</v>
      </c>
      <c r="BG94" s="70">
        <f>F94*AN94</f>
        <v>0</v>
      </c>
      <c r="BH94" s="70">
        <f>F94*G94</f>
        <v>0</v>
      </c>
      <c r="BI94" s="70"/>
      <c r="BJ94" s="70">
        <v>21</v>
      </c>
      <c r="BU94" s="70" t="e">
        <f>#REF!</f>
        <v>#REF!</v>
      </c>
    </row>
    <row r="95" spans="1:73" ht="27" customHeight="1" x14ac:dyDescent="0.3">
      <c r="A95" s="90"/>
      <c r="B95" s="72" t="s">
        <v>165</v>
      </c>
      <c r="C95" s="581" t="s">
        <v>856</v>
      </c>
      <c r="D95" s="582"/>
      <c r="E95" s="582"/>
      <c r="F95" s="582"/>
      <c r="G95" s="582"/>
      <c r="H95" s="582"/>
      <c r="I95" s="582"/>
      <c r="J95" s="582"/>
      <c r="K95" s="582"/>
      <c r="L95" s="582"/>
      <c r="M95" s="583"/>
    </row>
    <row r="96" spans="1:73" ht="15" customHeight="1" x14ac:dyDescent="0.3">
      <c r="A96" s="82" t="s">
        <v>154</v>
      </c>
      <c r="B96" s="61" t="s">
        <v>318</v>
      </c>
      <c r="C96" s="564" t="s">
        <v>508</v>
      </c>
      <c r="D96" s="571"/>
      <c r="E96" s="60" t="s">
        <v>114</v>
      </c>
      <c r="F96" s="60" t="s">
        <v>114</v>
      </c>
      <c r="G96" s="60" t="s">
        <v>114</v>
      </c>
      <c r="H96" s="73">
        <f>SUM(H97:H99)</f>
        <v>0</v>
      </c>
      <c r="I96" s="73">
        <f>SUM(I97:I99)</f>
        <v>0</v>
      </c>
      <c r="J96" s="73">
        <f>SUM(J97:J99)</f>
        <v>0</v>
      </c>
      <c r="K96" s="65" t="s">
        <v>154</v>
      </c>
      <c r="L96" s="73">
        <f>SUM(L97:L99)</f>
        <v>3.5999999999999997E-2</v>
      </c>
      <c r="M96" s="91" t="s">
        <v>154</v>
      </c>
      <c r="AG96" s="64" t="s">
        <v>154</v>
      </c>
      <c r="AQ96" s="59">
        <f>SUM(AH97:AH99)</f>
        <v>0</v>
      </c>
      <c r="AR96" s="59">
        <f>SUM(AI97:AI99)</f>
        <v>0</v>
      </c>
      <c r="AS96" s="59">
        <f>SUM(AJ97:AJ99)</f>
        <v>0</v>
      </c>
    </row>
    <row r="97" spans="1:73" ht="13.5" customHeight="1" x14ac:dyDescent="0.3">
      <c r="A97" s="82" t="s">
        <v>300</v>
      </c>
      <c r="B97" s="60" t="s">
        <v>509</v>
      </c>
      <c r="C97" s="551" t="s">
        <v>510</v>
      </c>
      <c r="D97" s="565"/>
      <c r="E97" s="60" t="s">
        <v>365</v>
      </c>
      <c r="F97" s="70">
        <v>10</v>
      </c>
      <c r="G97" s="311">
        <v>0</v>
      </c>
      <c r="H97" s="70">
        <f>F97*AM97</f>
        <v>0</v>
      </c>
      <c r="I97" s="70">
        <f>F97*AN97</f>
        <v>0</v>
      </c>
      <c r="J97" s="70">
        <f>F97*G97</f>
        <v>0</v>
      </c>
      <c r="K97" s="70">
        <v>3.0000000000000001E-3</v>
      </c>
      <c r="L97" s="70">
        <f>F97*K97</f>
        <v>0.03</v>
      </c>
      <c r="M97" s="89" t="s">
        <v>472</v>
      </c>
      <c r="X97" s="70">
        <f>IF(AO97="5",BH97,0)</f>
        <v>0</v>
      </c>
      <c r="Z97" s="70">
        <f>IF(AO97="1",BF97,0)</f>
        <v>0</v>
      </c>
      <c r="AA97" s="70">
        <f>IF(AO97="1",BG97,0)</f>
        <v>0</v>
      </c>
      <c r="AB97" s="70">
        <f>IF(AO97="7",BF97,0)</f>
        <v>0</v>
      </c>
      <c r="AC97" s="70">
        <f>IF(AO97="7",BG97,0)</f>
        <v>0</v>
      </c>
      <c r="AD97" s="70">
        <f>IF(AO97="2",BF97,0)</f>
        <v>0</v>
      </c>
      <c r="AE97" s="70">
        <f>IF(AO97="2",BG97,0)</f>
        <v>0</v>
      </c>
      <c r="AF97" s="70">
        <f>IF(AO97="0",BH97,0)</f>
        <v>0</v>
      </c>
      <c r="AG97" s="64" t="s">
        <v>154</v>
      </c>
      <c r="AH97" s="70">
        <f>IF(AL97=0,J97,0)</f>
        <v>0</v>
      </c>
      <c r="AI97" s="70">
        <f>IF(AL97=15,J97,0)</f>
        <v>0</v>
      </c>
      <c r="AJ97" s="70">
        <f>IF(AL97=21,J97,0)</f>
        <v>0</v>
      </c>
      <c r="AL97" s="70">
        <v>21</v>
      </c>
      <c r="AM97" s="70">
        <f>G97*0.0118645702710524</f>
        <v>0</v>
      </c>
      <c r="AN97" s="70">
        <f>G97*(1-0.0118645702710524)</f>
        <v>0</v>
      </c>
      <c r="AO97" s="71" t="s">
        <v>157</v>
      </c>
      <c r="AT97" s="70">
        <f>AU97+AV97</f>
        <v>0</v>
      </c>
      <c r="AU97" s="70">
        <f>F97*AM97</f>
        <v>0</v>
      </c>
      <c r="AV97" s="70">
        <f>F97*AN97</f>
        <v>0</v>
      </c>
      <c r="AW97" s="71" t="s">
        <v>511</v>
      </c>
      <c r="AX97" s="71" t="s">
        <v>304</v>
      </c>
      <c r="AY97" s="64" t="s">
        <v>164</v>
      </c>
      <c r="BA97" s="70">
        <f>AU97+AV97</f>
        <v>0</v>
      </c>
      <c r="BB97" s="70">
        <f>G97/(100-BC97)*100</f>
        <v>0</v>
      </c>
      <c r="BC97" s="70">
        <v>0</v>
      </c>
      <c r="BD97" s="70">
        <f>L97</f>
        <v>0.03</v>
      </c>
      <c r="BF97" s="70">
        <f>F97*AM97</f>
        <v>0</v>
      </c>
      <c r="BG97" s="70">
        <f>F97*AN97</f>
        <v>0</v>
      </c>
      <c r="BH97" s="70">
        <f>F97*G97</f>
        <v>0</v>
      </c>
      <c r="BI97" s="70"/>
      <c r="BJ97" s="70">
        <v>42</v>
      </c>
      <c r="BU97" s="70" t="e">
        <f>#REF!</f>
        <v>#REF!</v>
      </c>
    </row>
    <row r="98" spans="1:73" ht="13.5" customHeight="1" x14ac:dyDescent="0.3">
      <c r="A98" s="90"/>
      <c r="B98" s="72" t="s">
        <v>165</v>
      </c>
      <c r="C98" s="581" t="s">
        <v>512</v>
      </c>
      <c r="D98" s="582"/>
      <c r="E98" s="582"/>
      <c r="F98" s="582"/>
      <c r="G98" s="582"/>
      <c r="H98" s="582"/>
      <c r="I98" s="582"/>
      <c r="J98" s="582"/>
      <c r="K98" s="582"/>
      <c r="L98" s="582"/>
      <c r="M98" s="583"/>
    </row>
    <row r="99" spans="1:73" ht="13.5" customHeight="1" x14ac:dyDescent="0.3">
      <c r="A99" s="82" t="s">
        <v>307</v>
      </c>
      <c r="B99" s="60" t="s">
        <v>509</v>
      </c>
      <c r="C99" s="551" t="s">
        <v>510</v>
      </c>
      <c r="D99" s="565"/>
      <c r="E99" s="60" t="s">
        <v>365</v>
      </c>
      <c r="F99" s="70">
        <v>2</v>
      </c>
      <c r="G99" s="311">
        <v>0</v>
      </c>
      <c r="H99" s="70">
        <f>F99*AM99</f>
        <v>0</v>
      </c>
      <c r="I99" s="70">
        <f>F99*AN99</f>
        <v>0</v>
      </c>
      <c r="J99" s="70">
        <f>F99*G99</f>
        <v>0</v>
      </c>
      <c r="K99" s="70">
        <v>3.0000000000000001E-3</v>
      </c>
      <c r="L99" s="70">
        <f>F99*K99</f>
        <v>6.0000000000000001E-3</v>
      </c>
      <c r="M99" s="89" t="s">
        <v>472</v>
      </c>
      <c r="X99" s="70">
        <f>IF(AO99="5",BH99,0)</f>
        <v>0</v>
      </c>
      <c r="Z99" s="70">
        <f>IF(AO99="1",BF99,0)</f>
        <v>0</v>
      </c>
      <c r="AA99" s="70">
        <f>IF(AO99="1",BG99,0)</f>
        <v>0</v>
      </c>
      <c r="AB99" s="70">
        <f>IF(AO99="7",BF99,0)</f>
        <v>0</v>
      </c>
      <c r="AC99" s="70">
        <f>IF(AO99="7",BG99,0)</f>
        <v>0</v>
      </c>
      <c r="AD99" s="70">
        <f>IF(AO99="2",BF99,0)</f>
        <v>0</v>
      </c>
      <c r="AE99" s="70">
        <f>IF(AO99="2",BG99,0)</f>
        <v>0</v>
      </c>
      <c r="AF99" s="70">
        <f>IF(AO99="0",BH99,0)</f>
        <v>0</v>
      </c>
      <c r="AG99" s="64" t="s">
        <v>154</v>
      </c>
      <c r="AH99" s="70">
        <f>IF(AL99=0,J99,0)</f>
        <v>0</v>
      </c>
      <c r="AI99" s="70">
        <f>IF(AL99=15,J99,0)</f>
        <v>0</v>
      </c>
      <c r="AJ99" s="70">
        <f>IF(AL99=21,J99,0)</f>
        <v>0</v>
      </c>
      <c r="AL99" s="70">
        <v>21</v>
      </c>
      <c r="AM99" s="70">
        <f>G99*0.0118645702710524</f>
        <v>0</v>
      </c>
      <c r="AN99" s="70">
        <f>G99*(1-0.0118645702710524)</f>
        <v>0</v>
      </c>
      <c r="AO99" s="71" t="s">
        <v>157</v>
      </c>
      <c r="AT99" s="70">
        <f>AU99+AV99</f>
        <v>0</v>
      </c>
      <c r="AU99" s="70">
        <f>F99*AM99</f>
        <v>0</v>
      </c>
      <c r="AV99" s="70">
        <f>F99*AN99</f>
        <v>0</v>
      </c>
      <c r="AW99" s="71" t="s">
        <v>511</v>
      </c>
      <c r="AX99" s="71" t="s">
        <v>304</v>
      </c>
      <c r="AY99" s="64" t="s">
        <v>164</v>
      </c>
      <c r="BA99" s="70">
        <f>AU99+AV99</f>
        <v>0</v>
      </c>
      <c r="BB99" s="70">
        <f>G99/(100-BC99)*100</f>
        <v>0</v>
      </c>
      <c r="BC99" s="70">
        <v>0</v>
      </c>
      <c r="BD99" s="70">
        <f>L99</f>
        <v>6.0000000000000001E-3</v>
      </c>
      <c r="BF99" s="70">
        <f>F99*AM99</f>
        <v>0</v>
      </c>
      <c r="BG99" s="70">
        <f>F99*AN99</f>
        <v>0</v>
      </c>
      <c r="BH99" s="70">
        <f>F99*G99</f>
        <v>0</v>
      </c>
      <c r="BI99" s="70"/>
      <c r="BJ99" s="70">
        <v>42</v>
      </c>
      <c r="BU99" s="70" t="e">
        <f>#REF!</f>
        <v>#REF!</v>
      </c>
    </row>
    <row r="100" spans="1:73" ht="13.5" customHeight="1" x14ac:dyDescent="0.3">
      <c r="A100" s="90"/>
      <c r="B100" s="72" t="s">
        <v>165</v>
      </c>
      <c r="C100" s="581" t="s">
        <v>857</v>
      </c>
      <c r="D100" s="582"/>
      <c r="E100" s="582"/>
      <c r="F100" s="582"/>
      <c r="G100" s="582"/>
      <c r="H100" s="582"/>
      <c r="I100" s="582"/>
      <c r="J100" s="582"/>
      <c r="K100" s="582"/>
      <c r="L100" s="582"/>
      <c r="M100" s="583"/>
    </row>
    <row r="101" spans="1:73" ht="15" customHeight="1" x14ac:dyDescent="0.3">
      <c r="A101" s="82" t="s">
        <v>154</v>
      </c>
      <c r="B101" s="61" t="s">
        <v>298</v>
      </c>
      <c r="C101" s="564" t="s">
        <v>299</v>
      </c>
      <c r="D101" s="571"/>
      <c r="E101" s="60" t="s">
        <v>114</v>
      </c>
      <c r="F101" s="60" t="s">
        <v>114</v>
      </c>
      <c r="G101" s="60" t="s">
        <v>114</v>
      </c>
      <c r="H101" s="73">
        <f>SUM(H102:H102)</f>
        <v>0</v>
      </c>
      <c r="I101" s="73">
        <f>SUM(I102:I102)</f>
        <v>0</v>
      </c>
      <c r="J101" s="73">
        <f>SUM(J102:J102)</f>
        <v>0</v>
      </c>
      <c r="K101" s="65" t="s">
        <v>154</v>
      </c>
      <c r="L101" s="73">
        <f>SUM(L102:L102)</f>
        <v>8.6030034999999998</v>
      </c>
      <c r="M101" s="91" t="s">
        <v>154</v>
      </c>
      <c r="AG101" s="64" t="s">
        <v>154</v>
      </c>
      <c r="AQ101" s="59">
        <f>SUM(AH102:AH102)</f>
        <v>0</v>
      </c>
      <c r="AR101" s="59">
        <f>SUM(AI102:AI102)</f>
        <v>0</v>
      </c>
      <c r="AS101" s="59">
        <f>SUM(AJ102:AJ102)</f>
        <v>0</v>
      </c>
    </row>
    <row r="102" spans="1:73" ht="13.5" customHeight="1" x14ac:dyDescent="0.3">
      <c r="A102" s="82" t="s">
        <v>312</v>
      </c>
      <c r="B102" s="60" t="s">
        <v>301</v>
      </c>
      <c r="C102" s="551" t="s">
        <v>302</v>
      </c>
      <c r="D102" s="565"/>
      <c r="E102" s="60" t="s">
        <v>196</v>
      </c>
      <c r="F102" s="70">
        <v>4.55</v>
      </c>
      <c r="G102" s="311">
        <v>0</v>
      </c>
      <c r="H102" s="70">
        <f>F102*AM102</f>
        <v>0</v>
      </c>
      <c r="I102" s="70">
        <f>F102*AN102</f>
        <v>0</v>
      </c>
      <c r="J102" s="70">
        <f>F102*G102</f>
        <v>0</v>
      </c>
      <c r="K102" s="70">
        <v>1.8907700000000001</v>
      </c>
      <c r="L102" s="70">
        <f>F102*K102</f>
        <v>8.6030034999999998</v>
      </c>
      <c r="M102" s="89" t="s">
        <v>472</v>
      </c>
      <c r="X102" s="70">
        <f>IF(AO102="5",BH102,0)</f>
        <v>0</v>
      </c>
      <c r="Z102" s="70">
        <f>IF(AO102="1",BF102,0)</f>
        <v>0</v>
      </c>
      <c r="AA102" s="70">
        <f>IF(AO102="1",BG102,0)</f>
        <v>0</v>
      </c>
      <c r="AB102" s="70">
        <f>IF(AO102="7",BF102,0)</f>
        <v>0</v>
      </c>
      <c r="AC102" s="70">
        <f>IF(AO102="7",BG102,0)</f>
        <v>0</v>
      </c>
      <c r="AD102" s="70">
        <f>IF(AO102="2",BF102,0)</f>
        <v>0</v>
      </c>
      <c r="AE102" s="70">
        <f>IF(AO102="2",BG102,0)</f>
        <v>0</v>
      </c>
      <c r="AF102" s="70">
        <f>IF(AO102="0",BH102,0)</f>
        <v>0</v>
      </c>
      <c r="AG102" s="64" t="s">
        <v>154</v>
      </c>
      <c r="AH102" s="70">
        <f>IF(AL102=0,J102,0)</f>
        <v>0</v>
      </c>
      <c r="AI102" s="70">
        <f>IF(AL102=15,J102,0)</f>
        <v>0</v>
      </c>
      <c r="AJ102" s="70">
        <f>IF(AL102=21,J102,0)</f>
        <v>0</v>
      </c>
      <c r="AL102" s="70">
        <v>21</v>
      </c>
      <c r="AM102" s="70">
        <f>G102*0.49238301559792</f>
        <v>0</v>
      </c>
      <c r="AN102" s="70">
        <f>G102*(1-0.49238301559792)</f>
        <v>0</v>
      </c>
      <c r="AO102" s="71" t="s">
        <v>157</v>
      </c>
      <c r="AT102" s="70">
        <f>AU102+AV102</f>
        <v>0</v>
      </c>
      <c r="AU102" s="70">
        <f>F102*AM102</f>
        <v>0</v>
      </c>
      <c r="AV102" s="70">
        <f>F102*AN102</f>
        <v>0</v>
      </c>
      <c r="AW102" s="71" t="s">
        <v>303</v>
      </c>
      <c r="AX102" s="71" t="s">
        <v>304</v>
      </c>
      <c r="AY102" s="64" t="s">
        <v>164</v>
      </c>
      <c r="BA102" s="70">
        <f>AU102+AV102</f>
        <v>0</v>
      </c>
      <c r="BB102" s="70">
        <f>G102/(100-BC102)*100</f>
        <v>0</v>
      </c>
      <c r="BC102" s="70">
        <v>0</v>
      </c>
      <c r="BD102" s="70">
        <f>L102</f>
        <v>8.6030034999999998</v>
      </c>
      <c r="BF102" s="70">
        <f>F102*AM102</f>
        <v>0</v>
      </c>
      <c r="BG102" s="70">
        <f>F102*AN102</f>
        <v>0</v>
      </c>
      <c r="BH102" s="70">
        <f>F102*G102</f>
        <v>0</v>
      </c>
      <c r="BI102" s="70"/>
      <c r="BJ102" s="70">
        <v>45</v>
      </c>
      <c r="BU102" s="70" t="e">
        <f>#REF!</f>
        <v>#REF!</v>
      </c>
    </row>
    <row r="103" spans="1:73" ht="54" customHeight="1" x14ac:dyDescent="0.3">
      <c r="A103" s="92"/>
      <c r="B103" s="93" t="s">
        <v>165</v>
      </c>
      <c r="C103" s="584" t="s">
        <v>858</v>
      </c>
      <c r="D103" s="585"/>
      <c r="E103" s="585"/>
      <c r="F103" s="585"/>
      <c r="G103" s="585"/>
      <c r="H103" s="585"/>
      <c r="I103" s="585"/>
      <c r="J103" s="585"/>
      <c r="K103" s="585"/>
      <c r="L103" s="585"/>
      <c r="M103" s="586"/>
    </row>
    <row r="104" spans="1:73" ht="15" customHeight="1" x14ac:dyDescent="0.3">
      <c r="A104" s="84" t="s">
        <v>154</v>
      </c>
      <c r="B104" s="81" t="s">
        <v>305</v>
      </c>
      <c r="C104" s="573" t="s">
        <v>306</v>
      </c>
      <c r="D104" s="574"/>
      <c r="E104" s="85" t="s">
        <v>114</v>
      </c>
      <c r="F104" s="85" t="s">
        <v>114</v>
      </c>
      <c r="G104" s="85" t="s">
        <v>114</v>
      </c>
      <c r="H104" s="86">
        <f>SUM(H105:H111)</f>
        <v>0</v>
      </c>
      <c r="I104" s="86">
        <f>SUM(I105:I111)</f>
        <v>0</v>
      </c>
      <c r="J104" s="86">
        <f>SUM(J105:J111)</f>
        <v>0</v>
      </c>
      <c r="K104" s="87" t="s">
        <v>154</v>
      </c>
      <c r="L104" s="86">
        <f>SUM(L105:L111)</f>
        <v>29.149124800000003</v>
      </c>
      <c r="M104" s="88" t="s">
        <v>154</v>
      </c>
      <c r="AG104" s="64" t="s">
        <v>154</v>
      </c>
      <c r="AQ104" s="59">
        <f>SUM(AH105:AH111)</f>
        <v>0</v>
      </c>
      <c r="AR104" s="59">
        <f>SUM(AI105:AI111)</f>
        <v>0</v>
      </c>
      <c r="AS104" s="59">
        <f>SUM(AJ105:AJ111)</f>
        <v>0</v>
      </c>
    </row>
    <row r="105" spans="1:73" ht="13.5" customHeight="1" x14ac:dyDescent="0.3">
      <c r="A105" s="82" t="s">
        <v>315</v>
      </c>
      <c r="B105" s="60" t="s">
        <v>325</v>
      </c>
      <c r="C105" s="551" t="s">
        <v>859</v>
      </c>
      <c r="D105" s="565"/>
      <c r="E105" s="60" t="s">
        <v>180</v>
      </c>
      <c r="F105" s="70">
        <v>18.62</v>
      </c>
      <c r="G105" s="311">
        <v>0</v>
      </c>
      <c r="H105" s="70">
        <f>F105*AM105</f>
        <v>0</v>
      </c>
      <c r="I105" s="70">
        <f>F105*AN105</f>
        <v>0</v>
      </c>
      <c r="J105" s="70">
        <f>F105*G105</f>
        <v>0</v>
      </c>
      <c r="K105" s="70">
        <v>0.55125000000000002</v>
      </c>
      <c r="L105" s="70">
        <f>F105*K105</f>
        <v>10.264275000000001</v>
      </c>
      <c r="M105" s="89" t="s">
        <v>472</v>
      </c>
      <c r="X105" s="70">
        <f>IF(AO105="5",BH105,0)</f>
        <v>0</v>
      </c>
      <c r="Z105" s="70">
        <f>IF(AO105="1",BF105,0)</f>
        <v>0</v>
      </c>
      <c r="AA105" s="70">
        <f>IF(AO105="1",BG105,0)</f>
        <v>0</v>
      </c>
      <c r="AB105" s="70">
        <f>IF(AO105="7",BF105,0)</f>
        <v>0</v>
      </c>
      <c r="AC105" s="70">
        <f>IF(AO105="7",BG105,0)</f>
        <v>0</v>
      </c>
      <c r="AD105" s="70">
        <f>IF(AO105="2",BF105,0)</f>
        <v>0</v>
      </c>
      <c r="AE105" s="70">
        <f>IF(AO105="2",BG105,0)</f>
        <v>0</v>
      </c>
      <c r="AF105" s="70">
        <f>IF(AO105="0",BH105,0)</f>
        <v>0</v>
      </c>
      <c r="AG105" s="64" t="s">
        <v>154</v>
      </c>
      <c r="AH105" s="70">
        <f>IF(AL105=0,J105,0)</f>
        <v>0</v>
      </c>
      <c r="AI105" s="70">
        <f>IF(AL105=15,J105,0)</f>
        <v>0</v>
      </c>
      <c r="AJ105" s="70">
        <f>IF(AL105=21,J105,0)</f>
        <v>0</v>
      </c>
      <c r="AL105" s="70">
        <v>21</v>
      </c>
      <c r="AM105" s="70">
        <f>G105*0.875292096219931</f>
        <v>0</v>
      </c>
      <c r="AN105" s="70">
        <f>G105*(1-0.875292096219931)</f>
        <v>0</v>
      </c>
      <c r="AO105" s="71" t="s">
        <v>157</v>
      </c>
      <c r="AT105" s="70">
        <f>AU105+AV105</f>
        <v>0</v>
      </c>
      <c r="AU105" s="70">
        <f>F105*AM105</f>
        <v>0</v>
      </c>
      <c r="AV105" s="70">
        <f>F105*AN105</f>
        <v>0</v>
      </c>
      <c r="AW105" s="71" t="s">
        <v>310</v>
      </c>
      <c r="AX105" s="71" t="s">
        <v>311</v>
      </c>
      <c r="AY105" s="64" t="s">
        <v>164</v>
      </c>
      <c r="BA105" s="70">
        <f>AU105+AV105</f>
        <v>0</v>
      </c>
      <c r="BB105" s="70">
        <f>G105/(100-BC105)*100</f>
        <v>0</v>
      </c>
      <c r="BC105" s="70">
        <v>0</v>
      </c>
      <c r="BD105" s="70">
        <f>L105</f>
        <v>10.264275000000001</v>
      </c>
      <c r="BF105" s="70">
        <f>F105*AM105</f>
        <v>0</v>
      </c>
      <c r="BG105" s="70">
        <f>F105*AN105</f>
        <v>0</v>
      </c>
      <c r="BH105" s="70">
        <f>F105*G105</f>
        <v>0</v>
      </c>
      <c r="BI105" s="70"/>
      <c r="BJ105" s="70">
        <v>56</v>
      </c>
      <c r="BU105" s="70" t="e">
        <f>#REF!</f>
        <v>#REF!</v>
      </c>
    </row>
    <row r="106" spans="1:73" ht="40.5" customHeight="1" x14ac:dyDescent="0.3">
      <c r="A106" s="90"/>
      <c r="B106" s="72" t="s">
        <v>165</v>
      </c>
      <c r="C106" s="581" t="s">
        <v>860</v>
      </c>
      <c r="D106" s="582"/>
      <c r="E106" s="582"/>
      <c r="F106" s="582"/>
      <c r="G106" s="582"/>
      <c r="H106" s="582"/>
      <c r="I106" s="582"/>
      <c r="J106" s="582"/>
      <c r="K106" s="582"/>
      <c r="L106" s="582"/>
      <c r="M106" s="583"/>
    </row>
    <row r="107" spans="1:73" ht="13.5" customHeight="1" x14ac:dyDescent="0.3">
      <c r="A107" s="82" t="s">
        <v>318</v>
      </c>
      <c r="B107" s="60" t="s">
        <v>316</v>
      </c>
      <c r="C107" s="551" t="s">
        <v>328</v>
      </c>
      <c r="D107" s="565"/>
      <c r="E107" s="60" t="s">
        <v>180</v>
      </c>
      <c r="F107" s="70">
        <v>18.62</v>
      </c>
      <c r="G107" s="311">
        <v>0</v>
      </c>
      <c r="H107" s="70">
        <f>F107*AM107</f>
        <v>0</v>
      </c>
      <c r="I107" s="70">
        <f>F107*AN107</f>
        <v>0</v>
      </c>
      <c r="J107" s="70">
        <f>F107*G107</f>
        <v>0</v>
      </c>
      <c r="K107" s="70">
        <v>0.48574000000000001</v>
      </c>
      <c r="L107" s="70">
        <f>F107*K107</f>
        <v>9.0444788000000003</v>
      </c>
      <c r="M107" s="89" t="s">
        <v>472</v>
      </c>
      <c r="X107" s="70">
        <f>IF(AO107="5",BH107,0)</f>
        <v>0</v>
      </c>
      <c r="Z107" s="70">
        <f>IF(AO107="1",BF107,0)</f>
        <v>0</v>
      </c>
      <c r="AA107" s="70">
        <f>IF(AO107="1",BG107,0)</f>
        <v>0</v>
      </c>
      <c r="AB107" s="70">
        <f>IF(AO107="7",BF107,0)</f>
        <v>0</v>
      </c>
      <c r="AC107" s="70">
        <f>IF(AO107="7",BG107,0)</f>
        <v>0</v>
      </c>
      <c r="AD107" s="70">
        <f>IF(AO107="2",BF107,0)</f>
        <v>0</v>
      </c>
      <c r="AE107" s="70">
        <f>IF(AO107="2",BG107,0)</f>
        <v>0</v>
      </c>
      <c r="AF107" s="70">
        <f>IF(AO107="0",BH107,0)</f>
        <v>0</v>
      </c>
      <c r="AG107" s="64" t="s">
        <v>154</v>
      </c>
      <c r="AH107" s="70">
        <f>IF(AL107=0,J107,0)</f>
        <v>0</v>
      </c>
      <c r="AI107" s="70">
        <f>IF(AL107=15,J107,0)</f>
        <v>0</v>
      </c>
      <c r="AJ107" s="70">
        <f>IF(AL107=21,J107,0)</f>
        <v>0</v>
      </c>
      <c r="AL107" s="70">
        <v>21</v>
      </c>
      <c r="AM107" s="70">
        <f>G107*0.812876100628931</f>
        <v>0</v>
      </c>
      <c r="AN107" s="70">
        <f>G107*(1-0.812876100628931)</f>
        <v>0</v>
      </c>
      <c r="AO107" s="71" t="s">
        <v>157</v>
      </c>
      <c r="AT107" s="70">
        <f>AU107+AV107</f>
        <v>0</v>
      </c>
      <c r="AU107" s="70">
        <f>F107*AM107</f>
        <v>0</v>
      </c>
      <c r="AV107" s="70">
        <f>F107*AN107</f>
        <v>0</v>
      </c>
      <c r="AW107" s="71" t="s">
        <v>310</v>
      </c>
      <c r="AX107" s="71" t="s">
        <v>311</v>
      </c>
      <c r="AY107" s="64" t="s">
        <v>164</v>
      </c>
      <c r="BA107" s="70">
        <f>AU107+AV107</f>
        <v>0</v>
      </c>
      <c r="BB107" s="70">
        <f>G107/(100-BC107)*100</f>
        <v>0</v>
      </c>
      <c r="BC107" s="70">
        <v>0</v>
      </c>
      <c r="BD107" s="70">
        <f>L107</f>
        <v>9.0444788000000003</v>
      </c>
      <c r="BF107" s="70">
        <f>F107*AM107</f>
        <v>0</v>
      </c>
      <c r="BG107" s="70">
        <f>F107*AN107</f>
        <v>0</v>
      </c>
      <c r="BH107" s="70">
        <f>F107*G107</f>
        <v>0</v>
      </c>
      <c r="BI107" s="70"/>
      <c r="BJ107" s="70">
        <v>56</v>
      </c>
      <c r="BU107" s="70" t="e">
        <f>#REF!</f>
        <v>#REF!</v>
      </c>
    </row>
    <row r="108" spans="1:73" ht="40.5" customHeight="1" x14ac:dyDescent="0.3">
      <c r="A108" s="90"/>
      <c r="B108" s="72" t="s">
        <v>165</v>
      </c>
      <c r="C108" s="581" t="s">
        <v>861</v>
      </c>
      <c r="D108" s="582"/>
      <c r="E108" s="582"/>
      <c r="F108" s="582"/>
      <c r="G108" s="582"/>
      <c r="H108" s="582"/>
      <c r="I108" s="582"/>
      <c r="J108" s="582"/>
      <c r="K108" s="582"/>
      <c r="L108" s="582"/>
      <c r="M108" s="583"/>
    </row>
    <row r="109" spans="1:73" ht="13.5" customHeight="1" x14ac:dyDescent="0.3">
      <c r="A109" s="82" t="s">
        <v>319</v>
      </c>
      <c r="B109" s="60" t="s">
        <v>330</v>
      </c>
      <c r="C109" s="551" t="s">
        <v>331</v>
      </c>
      <c r="D109" s="565"/>
      <c r="E109" s="60" t="s">
        <v>180</v>
      </c>
      <c r="F109" s="70">
        <v>18.350000000000001</v>
      </c>
      <c r="G109" s="311">
        <v>0</v>
      </c>
      <c r="H109" s="70">
        <f>F109*AM109</f>
        <v>0</v>
      </c>
      <c r="I109" s="70">
        <f>F109*AN109</f>
        <v>0</v>
      </c>
      <c r="J109" s="70">
        <f>F109*G109</f>
        <v>0</v>
      </c>
      <c r="K109" s="70">
        <v>0.378</v>
      </c>
      <c r="L109" s="70">
        <f>F109*K109</f>
        <v>6.936300000000001</v>
      </c>
      <c r="M109" s="89" t="s">
        <v>472</v>
      </c>
      <c r="X109" s="70">
        <f>IF(AO109="5",BH109,0)</f>
        <v>0</v>
      </c>
      <c r="Z109" s="70">
        <f>IF(AO109="1",BF109,0)</f>
        <v>0</v>
      </c>
      <c r="AA109" s="70">
        <f>IF(AO109="1",BG109,0)</f>
        <v>0</v>
      </c>
      <c r="AB109" s="70">
        <f>IF(AO109="7",BF109,0)</f>
        <v>0</v>
      </c>
      <c r="AC109" s="70">
        <f>IF(AO109="7",BG109,0)</f>
        <v>0</v>
      </c>
      <c r="AD109" s="70">
        <f>IF(AO109="2",BF109,0)</f>
        <v>0</v>
      </c>
      <c r="AE109" s="70">
        <f>IF(AO109="2",BG109,0)</f>
        <v>0</v>
      </c>
      <c r="AF109" s="70">
        <f>IF(AO109="0",BH109,0)</f>
        <v>0</v>
      </c>
      <c r="AG109" s="64" t="s">
        <v>154</v>
      </c>
      <c r="AH109" s="70">
        <f>IF(AL109=0,J109,0)</f>
        <v>0</v>
      </c>
      <c r="AI109" s="70">
        <f>IF(AL109=15,J109,0)</f>
        <v>0</v>
      </c>
      <c r="AJ109" s="70">
        <f>IF(AL109=21,J109,0)</f>
        <v>0</v>
      </c>
      <c r="AL109" s="70">
        <v>21</v>
      </c>
      <c r="AM109" s="70">
        <f>G109*0.825274058722807</f>
        <v>0</v>
      </c>
      <c r="AN109" s="70">
        <f>G109*(1-0.825274058722807)</f>
        <v>0</v>
      </c>
      <c r="AO109" s="71" t="s">
        <v>157</v>
      </c>
      <c r="AT109" s="70">
        <f>AU109+AV109</f>
        <v>0</v>
      </c>
      <c r="AU109" s="70">
        <f>F109*AM109</f>
        <v>0</v>
      </c>
      <c r="AV109" s="70">
        <f>F109*AN109</f>
        <v>0</v>
      </c>
      <c r="AW109" s="71" t="s">
        <v>310</v>
      </c>
      <c r="AX109" s="71" t="s">
        <v>311</v>
      </c>
      <c r="AY109" s="64" t="s">
        <v>164</v>
      </c>
      <c r="BA109" s="70">
        <f>AU109+AV109</f>
        <v>0</v>
      </c>
      <c r="BB109" s="70">
        <f>G109/(100-BC109)*100</f>
        <v>0</v>
      </c>
      <c r="BC109" s="70">
        <v>0</v>
      </c>
      <c r="BD109" s="70">
        <f>L109</f>
        <v>6.936300000000001</v>
      </c>
      <c r="BF109" s="70">
        <f>F109*AM109</f>
        <v>0</v>
      </c>
      <c r="BG109" s="70">
        <f>F109*AN109</f>
        <v>0</v>
      </c>
      <c r="BH109" s="70">
        <f>F109*G109</f>
        <v>0</v>
      </c>
      <c r="BI109" s="70"/>
      <c r="BJ109" s="70">
        <v>56</v>
      </c>
      <c r="BU109" s="70" t="e">
        <f>#REF!</f>
        <v>#REF!</v>
      </c>
    </row>
    <row r="110" spans="1:73" ht="40.5" customHeight="1" x14ac:dyDescent="0.3">
      <c r="A110" s="90"/>
      <c r="B110" s="72" t="s">
        <v>165</v>
      </c>
      <c r="C110" s="581" t="s">
        <v>862</v>
      </c>
      <c r="D110" s="582"/>
      <c r="E110" s="582"/>
      <c r="F110" s="582"/>
      <c r="G110" s="582"/>
      <c r="H110" s="582"/>
      <c r="I110" s="582"/>
      <c r="J110" s="582"/>
      <c r="K110" s="582"/>
      <c r="L110" s="582"/>
      <c r="M110" s="583"/>
    </row>
    <row r="111" spans="1:73" ht="13.5" customHeight="1" x14ac:dyDescent="0.3">
      <c r="A111" s="82" t="s">
        <v>322</v>
      </c>
      <c r="B111" s="60" t="s">
        <v>333</v>
      </c>
      <c r="C111" s="551" t="s">
        <v>334</v>
      </c>
      <c r="D111" s="565"/>
      <c r="E111" s="60" t="s">
        <v>180</v>
      </c>
      <c r="F111" s="70">
        <v>18.350000000000001</v>
      </c>
      <c r="G111" s="311">
        <v>0</v>
      </c>
      <c r="H111" s="70">
        <f>F111*AM111</f>
        <v>0</v>
      </c>
      <c r="I111" s="70">
        <f>F111*AN111</f>
        <v>0</v>
      </c>
      <c r="J111" s="70">
        <f>F111*G111</f>
        <v>0</v>
      </c>
      <c r="K111" s="70">
        <v>0.15826000000000001</v>
      </c>
      <c r="L111" s="70">
        <f>F111*K111</f>
        <v>2.9040710000000005</v>
      </c>
      <c r="M111" s="89" t="s">
        <v>472</v>
      </c>
      <c r="X111" s="70">
        <f>IF(AO111="5",BH111,0)</f>
        <v>0</v>
      </c>
      <c r="Z111" s="70">
        <f>IF(AO111="1",BF111,0)</f>
        <v>0</v>
      </c>
      <c r="AA111" s="70">
        <f>IF(AO111="1",BG111,0)</f>
        <v>0</v>
      </c>
      <c r="AB111" s="70">
        <f>IF(AO111="7",BF111,0)</f>
        <v>0</v>
      </c>
      <c r="AC111" s="70">
        <f>IF(AO111="7",BG111,0)</f>
        <v>0</v>
      </c>
      <c r="AD111" s="70">
        <f>IF(AO111="2",BF111,0)</f>
        <v>0</v>
      </c>
      <c r="AE111" s="70">
        <f>IF(AO111="2",BG111,0)</f>
        <v>0</v>
      </c>
      <c r="AF111" s="70">
        <f>IF(AO111="0",BH111,0)</f>
        <v>0</v>
      </c>
      <c r="AG111" s="64" t="s">
        <v>154</v>
      </c>
      <c r="AH111" s="70">
        <f>IF(AL111=0,J111,0)</f>
        <v>0</v>
      </c>
      <c r="AI111" s="70">
        <f>IF(AL111=15,J111,0)</f>
        <v>0</v>
      </c>
      <c r="AJ111" s="70">
        <f>IF(AL111=21,J111,0)</f>
        <v>0</v>
      </c>
      <c r="AL111" s="70">
        <v>21</v>
      </c>
      <c r="AM111" s="70">
        <f>G111*0.800346891418712</f>
        <v>0</v>
      </c>
      <c r="AN111" s="70">
        <f>G111*(1-0.800346891418712)</f>
        <v>0</v>
      </c>
      <c r="AO111" s="71" t="s">
        <v>157</v>
      </c>
      <c r="AT111" s="70">
        <f>AU111+AV111</f>
        <v>0</v>
      </c>
      <c r="AU111" s="70">
        <f>F111*AM111</f>
        <v>0</v>
      </c>
      <c r="AV111" s="70">
        <f>F111*AN111</f>
        <v>0</v>
      </c>
      <c r="AW111" s="71" t="s">
        <v>310</v>
      </c>
      <c r="AX111" s="71" t="s">
        <v>311</v>
      </c>
      <c r="AY111" s="64" t="s">
        <v>164</v>
      </c>
      <c r="BA111" s="70">
        <f>AU111+AV111</f>
        <v>0</v>
      </c>
      <c r="BB111" s="70">
        <f>G111/(100-BC111)*100</f>
        <v>0</v>
      </c>
      <c r="BC111" s="70">
        <v>0</v>
      </c>
      <c r="BD111" s="70">
        <f>L111</f>
        <v>2.9040710000000005</v>
      </c>
      <c r="BF111" s="70">
        <f>F111*AM111</f>
        <v>0</v>
      </c>
      <c r="BG111" s="70">
        <f>F111*AN111</f>
        <v>0</v>
      </c>
      <c r="BH111" s="70">
        <f>F111*G111</f>
        <v>0</v>
      </c>
      <c r="BI111" s="70"/>
      <c r="BJ111" s="70">
        <v>56</v>
      </c>
      <c r="BU111" s="70" t="e">
        <f>#REF!</f>
        <v>#REF!</v>
      </c>
    </row>
    <row r="112" spans="1:73" ht="40.5" customHeight="1" x14ac:dyDescent="0.3">
      <c r="A112" s="90"/>
      <c r="B112" s="72" t="s">
        <v>165</v>
      </c>
      <c r="C112" s="581" t="s">
        <v>863</v>
      </c>
      <c r="D112" s="582"/>
      <c r="E112" s="582"/>
      <c r="F112" s="582"/>
      <c r="G112" s="582"/>
      <c r="H112" s="582"/>
      <c r="I112" s="582"/>
      <c r="J112" s="582"/>
      <c r="K112" s="582"/>
      <c r="L112" s="582"/>
      <c r="M112" s="583"/>
    </row>
    <row r="113" spans="1:73" ht="15" customHeight="1" x14ac:dyDescent="0.3">
      <c r="A113" s="82" t="s">
        <v>154</v>
      </c>
      <c r="B113" s="61" t="s">
        <v>335</v>
      </c>
      <c r="C113" s="564" t="s">
        <v>336</v>
      </c>
      <c r="D113" s="571"/>
      <c r="E113" s="60" t="s">
        <v>114</v>
      </c>
      <c r="F113" s="60" t="s">
        <v>114</v>
      </c>
      <c r="G113" s="60" t="s">
        <v>114</v>
      </c>
      <c r="H113" s="73">
        <f>SUM(H114:H114)</f>
        <v>0</v>
      </c>
      <c r="I113" s="73">
        <f>SUM(I114:I114)</f>
        <v>0</v>
      </c>
      <c r="J113" s="73">
        <f>SUM(J114:J114)</f>
        <v>0</v>
      </c>
      <c r="K113" s="65" t="s">
        <v>154</v>
      </c>
      <c r="L113" s="73">
        <f>SUM(L114:L114)</f>
        <v>1.2845000000000001E-2</v>
      </c>
      <c r="M113" s="91" t="s">
        <v>154</v>
      </c>
      <c r="AG113" s="64" t="s">
        <v>154</v>
      </c>
      <c r="AQ113" s="59">
        <f>SUM(AH114:AH114)</f>
        <v>0</v>
      </c>
      <c r="AR113" s="59">
        <f>SUM(AI114:AI114)</f>
        <v>0</v>
      </c>
      <c r="AS113" s="59">
        <f>SUM(AJ114:AJ114)</f>
        <v>0</v>
      </c>
    </row>
    <row r="114" spans="1:73" ht="13.5" customHeight="1" x14ac:dyDescent="0.3">
      <c r="A114" s="82" t="s">
        <v>298</v>
      </c>
      <c r="B114" s="60" t="s">
        <v>342</v>
      </c>
      <c r="C114" s="551" t="s">
        <v>343</v>
      </c>
      <c r="D114" s="565"/>
      <c r="E114" s="60" t="s">
        <v>180</v>
      </c>
      <c r="F114" s="70">
        <v>18.350000000000001</v>
      </c>
      <c r="G114" s="311">
        <v>0</v>
      </c>
      <c r="H114" s="70">
        <f>F114*AM114</f>
        <v>0</v>
      </c>
      <c r="I114" s="70">
        <f>F114*AN114</f>
        <v>0</v>
      </c>
      <c r="J114" s="70">
        <f>F114*G114</f>
        <v>0</v>
      </c>
      <c r="K114" s="70">
        <v>6.9999999999999999E-4</v>
      </c>
      <c r="L114" s="70">
        <f>F114*K114</f>
        <v>1.2845000000000001E-2</v>
      </c>
      <c r="M114" s="89" t="s">
        <v>472</v>
      </c>
      <c r="X114" s="70">
        <f>IF(AO114="5",BH114,0)</f>
        <v>0</v>
      </c>
      <c r="Z114" s="70">
        <f>IF(AO114="1",BF114,0)</f>
        <v>0</v>
      </c>
      <c r="AA114" s="70">
        <f>IF(AO114="1",BG114,0)</f>
        <v>0</v>
      </c>
      <c r="AB114" s="70">
        <f>IF(AO114="7",BF114,0)</f>
        <v>0</v>
      </c>
      <c r="AC114" s="70">
        <f>IF(AO114="7",BG114,0)</f>
        <v>0</v>
      </c>
      <c r="AD114" s="70">
        <f>IF(AO114="2",BF114,0)</f>
        <v>0</v>
      </c>
      <c r="AE114" s="70">
        <f>IF(AO114="2",BG114,0)</f>
        <v>0</v>
      </c>
      <c r="AF114" s="70">
        <f>IF(AO114="0",BH114,0)</f>
        <v>0</v>
      </c>
      <c r="AG114" s="64" t="s">
        <v>154</v>
      </c>
      <c r="AH114" s="70">
        <f>IF(AL114=0,J114,0)</f>
        <v>0</v>
      </c>
      <c r="AI114" s="70">
        <f>IF(AL114=15,J114,0)</f>
        <v>0</v>
      </c>
      <c r="AJ114" s="70">
        <f>IF(AL114=21,J114,0)</f>
        <v>0</v>
      </c>
      <c r="AL114" s="70">
        <v>21</v>
      </c>
      <c r="AM114" s="70">
        <f>G114*0.931514590212343</f>
        <v>0</v>
      </c>
      <c r="AN114" s="70">
        <f>G114*(1-0.931514590212343)</f>
        <v>0</v>
      </c>
      <c r="AO114" s="71" t="s">
        <v>157</v>
      </c>
      <c r="AT114" s="70">
        <f>AU114+AV114</f>
        <v>0</v>
      </c>
      <c r="AU114" s="70">
        <f>F114*AM114</f>
        <v>0</v>
      </c>
      <c r="AV114" s="70">
        <f>F114*AN114</f>
        <v>0</v>
      </c>
      <c r="AW114" s="71" t="s">
        <v>340</v>
      </c>
      <c r="AX114" s="71" t="s">
        <v>311</v>
      </c>
      <c r="AY114" s="64" t="s">
        <v>164</v>
      </c>
      <c r="BA114" s="70">
        <f>AU114+AV114</f>
        <v>0</v>
      </c>
      <c r="BB114" s="70">
        <f>G114/(100-BC114)*100</f>
        <v>0</v>
      </c>
      <c r="BC114" s="70">
        <v>0</v>
      </c>
      <c r="BD114" s="70">
        <f>L114</f>
        <v>1.2845000000000001E-2</v>
      </c>
      <c r="BF114" s="70">
        <f>F114*AM114</f>
        <v>0</v>
      </c>
      <c r="BG114" s="70">
        <f>F114*AN114</f>
        <v>0</v>
      </c>
      <c r="BH114" s="70">
        <f>F114*G114</f>
        <v>0</v>
      </c>
      <c r="BI114" s="70"/>
      <c r="BJ114" s="70">
        <v>57</v>
      </c>
      <c r="BU114" s="70" t="e">
        <f>#REF!</f>
        <v>#REF!</v>
      </c>
    </row>
    <row r="115" spans="1:73" ht="40.5" customHeight="1" x14ac:dyDescent="0.3">
      <c r="A115" s="90"/>
      <c r="B115" s="72" t="s">
        <v>165</v>
      </c>
      <c r="C115" s="581" t="s">
        <v>864</v>
      </c>
      <c r="D115" s="582"/>
      <c r="E115" s="582"/>
      <c r="F115" s="582"/>
      <c r="G115" s="582"/>
      <c r="H115" s="582"/>
      <c r="I115" s="582"/>
      <c r="J115" s="582"/>
      <c r="K115" s="582"/>
      <c r="L115" s="582"/>
      <c r="M115" s="583"/>
    </row>
    <row r="116" spans="1:73" ht="15" customHeight="1" x14ac:dyDescent="0.3">
      <c r="A116" s="82" t="s">
        <v>154</v>
      </c>
      <c r="B116" s="61" t="s">
        <v>428</v>
      </c>
      <c r="C116" s="564" t="s">
        <v>429</v>
      </c>
      <c r="D116" s="571"/>
      <c r="E116" s="60" t="s">
        <v>114</v>
      </c>
      <c r="F116" s="60" t="s">
        <v>114</v>
      </c>
      <c r="G116" s="60" t="s">
        <v>114</v>
      </c>
      <c r="H116" s="73">
        <f>SUM(H117:H117)</f>
        <v>0</v>
      </c>
      <c r="I116" s="73">
        <f>SUM(I117:I117)</f>
        <v>0</v>
      </c>
      <c r="J116" s="73">
        <f>SUM(J117:J117)</f>
        <v>0</v>
      </c>
      <c r="K116" s="65" t="s">
        <v>154</v>
      </c>
      <c r="L116" s="73">
        <f>SUM(L117:L117)</f>
        <v>0</v>
      </c>
      <c r="M116" s="91" t="s">
        <v>154</v>
      </c>
      <c r="AG116" s="64" t="s">
        <v>154</v>
      </c>
      <c r="AQ116" s="59">
        <f>SUM(AH117:AH117)</f>
        <v>0</v>
      </c>
      <c r="AR116" s="59">
        <f>SUM(AI117:AI117)</f>
        <v>0</v>
      </c>
      <c r="AS116" s="59">
        <f>SUM(AJ117:AJ117)</f>
        <v>0</v>
      </c>
    </row>
    <row r="117" spans="1:73" ht="13.5" customHeight="1" x14ac:dyDescent="0.3">
      <c r="A117" s="82" t="s">
        <v>327</v>
      </c>
      <c r="B117" s="60" t="s">
        <v>514</v>
      </c>
      <c r="C117" s="551" t="s">
        <v>515</v>
      </c>
      <c r="D117" s="565"/>
      <c r="E117" s="60" t="s">
        <v>365</v>
      </c>
      <c r="F117" s="70">
        <v>1</v>
      </c>
      <c r="G117" s="311">
        <v>0</v>
      </c>
      <c r="H117" s="70">
        <f>F117*AM117</f>
        <v>0</v>
      </c>
      <c r="I117" s="70">
        <f>F117*AN117</f>
        <v>0</v>
      </c>
      <c r="J117" s="70">
        <f>F117*G117</f>
        <v>0</v>
      </c>
      <c r="K117" s="70">
        <v>0</v>
      </c>
      <c r="L117" s="70">
        <f>F117*K117</f>
        <v>0</v>
      </c>
      <c r="M117" s="89" t="s">
        <v>472</v>
      </c>
      <c r="X117" s="70">
        <f>IF(AO117="5",BH117,0)</f>
        <v>0</v>
      </c>
      <c r="Z117" s="70">
        <f>IF(AO117="1",BF117,0)</f>
        <v>0</v>
      </c>
      <c r="AA117" s="70">
        <f>IF(AO117="1",BG117,0)</f>
        <v>0</v>
      </c>
      <c r="AB117" s="70">
        <f>IF(AO117="7",BF117,0)</f>
        <v>0</v>
      </c>
      <c r="AC117" s="70">
        <f>IF(AO117="7",BG117,0)</f>
        <v>0</v>
      </c>
      <c r="AD117" s="70">
        <f>IF(AO117="2",BF117,0)</f>
        <v>0</v>
      </c>
      <c r="AE117" s="70">
        <f>IF(AO117="2",BG117,0)</f>
        <v>0</v>
      </c>
      <c r="AF117" s="70">
        <f>IF(AO117="0",BH117,0)</f>
        <v>0</v>
      </c>
      <c r="AG117" s="64" t="s">
        <v>154</v>
      </c>
      <c r="AH117" s="70">
        <f>IF(AL117=0,J117,0)</f>
        <v>0</v>
      </c>
      <c r="AI117" s="70">
        <f>IF(AL117=15,J117,0)</f>
        <v>0</v>
      </c>
      <c r="AJ117" s="70">
        <f>IF(AL117=21,J117,0)</f>
        <v>0</v>
      </c>
      <c r="AL117" s="70">
        <v>21</v>
      </c>
      <c r="AM117" s="70">
        <f>G117*0.0670003850596843</f>
        <v>0</v>
      </c>
      <c r="AN117" s="70">
        <f>G117*(1-0.0670003850596843)</f>
        <v>0</v>
      </c>
      <c r="AO117" s="71" t="s">
        <v>184</v>
      </c>
      <c r="AT117" s="70">
        <f>AU117+AV117</f>
        <v>0</v>
      </c>
      <c r="AU117" s="70">
        <f>F117*AM117</f>
        <v>0</v>
      </c>
      <c r="AV117" s="70">
        <f>F117*AN117</f>
        <v>0</v>
      </c>
      <c r="AW117" s="71" t="s">
        <v>432</v>
      </c>
      <c r="AX117" s="71" t="s">
        <v>433</v>
      </c>
      <c r="AY117" s="64" t="s">
        <v>164</v>
      </c>
      <c r="BA117" s="70">
        <f>AU117+AV117</f>
        <v>0</v>
      </c>
      <c r="BB117" s="70">
        <f>G117/(100-BC117)*100</f>
        <v>0</v>
      </c>
      <c r="BC117" s="70">
        <v>0</v>
      </c>
      <c r="BD117" s="70">
        <f>L117</f>
        <v>0</v>
      </c>
      <c r="BF117" s="70">
        <f>F117*AM117</f>
        <v>0</v>
      </c>
      <c r="BG117" s="70">
        <f>F117*AN117</f>
        <v>0</v>
      </c>
      <c r="BH117" s="70">
        <f>F117*G117</f>
        <v>0</v>
      </c>
      <c r="BI117" s="70"/>
      <c r="BJ117" s="70">
        <v>722</v>
      </c>
      <c r="BU117" s="70" t="e">
        <f>#REF!</f>
        <v>#REF!</v>
      </c>
    </row>
    <row r="118" spans="1:73" ht="40.5" customHeight="1" x14ac:dyDescent="0.3">
      <c r="A118" s="90"/>
      <c r="B118" s="72" t="s">
        <v>165</v>
      </c>
      <c r="C118" s="581" t="s">
        <v>516</v>
      </c>
      <c r="D118" s="582"/>
      <c r="E118" s="582"/>
      <c r="F118" s="582"/>
      <c r="G118" s="582"/>
      <c r="H118" s="582"/>
      <c r="I118" s="582"/>
      <c r="J118" s="582"/>
      <c r="K118" s="582"/>
      <c r="L118" s="582"/>
      <c r="M118" s="583"/>
    </row>
    <row r="119" spans="1:73" ht="15" customHeight="1" x14ac:dyDescent="0.3">
      <c r="A119" s="82" t="s">
        <v>154</v>
      </c>
      <c r="B119" s="61" t="s">
        <v>517</v>
      </c>
      <c r="C119" s="564" t="s">
        <v>518</v>
      </c>
      <c r="D119" s="571"/>
      <c r="E119" s="60" t="s">
        <v>114</v>
      </c>
      <c r="F119" s="60" t="s">
        <v>114</v>
      </c>
      <c r="G119" s="60" t="s">
        <v>114</v>
      </c>
      <c r="H119" s="73">
        <f>SUM(H120:H120)</f>
        <v>0</v>
      </c>
      <c r="I119" s="73">
        <f>SUM(I120:I120)</f>
        <v>0</v>
      </c>
      <c r="J119" s="73">
        <f>SUM(J120:J120)</f>
        <v>0</v>
      </c>
      <c r="K119" s="65" t="s">
        <v>154</v>
      </c>
      <c r="L119" s="73">
        <f>SUM(L120:L120)</f>
        <v>4.0000000000000002E-4</v>
      </c>
      <c r="M119" s="91" t="s">
        <v>154</v>
      </c>
      <c r="AG119" s="64" t="s">
        <v>154</v>
      </c>
      <c r="AQ119" s="59">
        <f>SUM(AH120:AH120)</f>
        <v>0</v>
      </c>
      <c r="AR119" s="59">
        <f>SUM(AI120:AI120)</f>
        <v>0</v>
      </c>
      <c r="AS119" s="59">
        <f>SUM(AJ120:AJ120)</f>
        <v>0</v>
      </c>
    </row>
    <row r="120" spans="1:73" ht="13.5" customHeight="1" x14ac:dyDescent="0.3">
      <c r="A120" s="82" t="s">
        <v>329</v>
      </c>
      <c r="B120" s="60" t="s">
        <v>519</v>
      </c>
      <c r="C120" s="551" t="s">
        <v>520</v>
      </c>
      <c r="D120" s="565"/>
      <c r="E120" s="60" t="s">
        <v>365</v>
      </c>
      <c r="F120" s="70">
        <v>5</v>
      </c>
      <c r="G120" s="311">
        <v>0</v>
      </c>
      <c r="H120" s="70">
        <f>F120*AM120</f>
        <v>0</v>
      </c>
      <c r="I120" s="70">
        <f>F120*AN120</f>
        <v>0</v>
      </c>
      <c r="J120" s="70">
        <f>F120*G120</f>
        <v>0</v>
      </c>
      <c r="K120" s="70">
        <v>8.0000000000000007E-5</v>
      </c>
      <c r="L120" s="70">
        <f>F120*K120</f>
        <v>4.0000000000000002E-4</v>
      </c>
      <c r="M120" s="89" t="s">
        <v>472</v>
      </c>
      <c r="X120" s="70">
        <f>IF(AO120="5",BH120,0)</f>
        <v>0</v>
      </c>
      <c r="Z120" s="70">
        <f>IF(AO120="1",BF120,0)</f>
        <v>0</v>
      </c>
      <c r="AA120" s="70">
        <f>IF(AO120="1",BG120,0)</f>
        <v>0</v>
      </c>
      <c r="AB120" s="70">
        <f>IF(AO120="7",BF120,0)</f>
        <v>0</v>
      </c>
      <c r="AC120" s="70">
        <f>IF(AO120="7",BG120,0)</f>
        <v>0</v>
      </c>
      <c r="AD120" s="70">
        <f>IF(AO120="2",BF120,0)</f>
        <v>0</v>
      </c>
      <c r="AE120" s="70">
        <f>IF(AO120="2",BG120,0)</f>
        <v>0</v>
      </c>
      <c r="AF120" s="70">
        <f>IF(AO120="0",BH120,0)</f>
        <v>0</v>
      </c>
      <c r="AG120" s="64" t="s">
        <v>154</v>
      </c>
      <c r="AH120" s="70">
        <f>IF(AL120=0,J120,0)</f>
        <v>0</v>
      </c>
      <c r="AI120" s="70">
        <f>IF(AL120=15,J120,0)</f>
        <v>0</v>
      </c>
      <c r="AJ120" s="70">
        <f>IF(AL120=21,J120,0)</f>
        <v>0</v>
      </c>
      <c r="AL120" s="70">
        <v>21</v>
      </c>
      <c r="AM120" s="70">
        <f>G120*0.00493697478991597</f>
        <v>0</v>
      </c>
      <c r="AN120" s="70">
        <f>G120*(1-0.00493697478991597)</f>
        <v>0</v>
      </c>
      <c r="AO120" s="71" t="s">
        <v>184</v>
      </c>
      <c r="AT120" s="70">
        <f>AU120+AV120</f>
        <v>0</v>
      </c>
      <c r="AU120" s="70">
        <f>F120*AM120</f>
        <v>0</v>
      </c>
      <c r="AV120" s="70">
        <f>F120*AN120</f>
        <v>0</v>
      </c>
      <c r="AW120" s="71" t="s">
        <v>521</v>
      </c>
      <c r="AX120" s="71" t="s">
        <v>522</v>
      </c>
      <c r="AY120" s="64" t="s">
        <v>164</v>
      </c>
      <c r="BA120" s="70">
        <f>AU120+AV120</f>
        <v>0</v>
      </c>
      <c r="BB120" s="70">
        <f>G120/(100-BC120)*100</f>
        <v>0</v>
      </c>
      <c r="BC120" s="70">
        <v>0</v>
      </c>
      <c r="BD120" s="70">
        <f>L120</f>
        <v>4.0000000000000002E-4</v>
      </c>
      <c r="BF120" s="70">
        <f>F120*AM120</f>
        <v>0</v>
      </c>
      <c r="BG120" s="70">
        <f>F120*AN120</f>
        <v>0</v>
      </c>
      <c r="BH120" s="70">
        <f>F120*G120</f>
        <v>0</v>
      </c>
      <c r="BI120" s="70"/>
      <c r="BJ120" s="70">
        <v>733</v>
      </c>
      <c r="BU120" s="70" t="e">
        <f>#REF!</f>
        <v>#REF!</v>
      </c>
    </row>
    <row r="121" spans="1:73" ht="40.5" customHeight="1" x14ac:dyDescent="0.3">
      <c r="A121" s="90"/>
      <c r="B121" s="72" t="s">
        <v>165</v>
      </c>
      <c r="C121" s="581" t="s">
        <v>523</v>
      </c>
      <c r="D121" s="582"/>
      <c r="E121" s="582"/>
      <c r="F121" s="582"/>
      <c r="G121" s="582"/>
      <c r="H121" s="582"/>
      <c r="I121" s="582"/>
      <c r="J121" s="582"/>
      <c r="K121" s="582"/>
      <c r="L121" s="582"/>
      <c r="M121" s="583"/>
    </row>
    <row r="122" spans="1:73" ht="15" customHeight="1" x14ac:dyDescent="0.3">
      <c r="A122" s="82" t="s">
        <v>154</v>
      </c>
      <c r="B122" s="61" t="s">
        <v>529</v>
      </c>
      <c r="C122" s="564" t="s">
        <v>530</v>
      </c>
      <c r="D122" s="571"/>
      <c r="E122" s="60" t="s">
        <v>114</v>
      </c>
      <c r="F122" s="60" t="s">
        <v>114</v>
      </c>
      <c r="G122" s="60" t="s">
        <v>114</v>
      </c>
      <c r="H122" s="73">
        <f>SUM(H123:H123)</f>
        <v>0</v>
      </c>
      <c r="I122" s="73">
        <f>SUM(I123:I123)</f>
        <v>0</v>
      </c>
      <c r="J122" s="73">
        <f>SUM(J123:J123)</f>
        <v>0</v>
      </c>
      <c r="K122" s="65" t="s">
        <v>154</v>
      </c>
      <c r="L122" s="73">
        <f>SUM(L123:L123)</f>
        <v>8.1999999999999998E-4</v>
      </c>
      <c r="M122" s="91" t="s">
        <v>154</v>
      </c>
      <c r="AG122" s="64" t="s">
        <v>154</v>
      </c>
      <c r="AQ122" s="59">
        <f>SUM(AH123:AH123)</f>
        <v>0</v>
      </c>
      <c r="AR122" s="59">
        <f>SUM(AI123:AI123)</f>
        <v>0</v>
      </c>
      <c r="AS122" s="59">
        <f>SUM(AJ123:AJ123)</f>
        <v>0</v>
      </c>
    </row>
    <row r="123" spans="1:73" ht="13.5" customHeight="1" x14ac:dyDescent="0.3">
      <c r="A123" s="82" t="s">
        <v>332</v>
      </c>
      <c r="B123" s="60" t="s">
        <v>534</v>
      </c>
      <c r="C123" s="551" t="s">
        <v>535</v>
      </c>
      <c r="D123" s="565"/>
      <c r="E123" s="60" t="s">
        <v>365</v>
      </c>
      <c r="F123" s="70">
        <v>2</v>
      </c>
      <c r="G123" s="311">
        <v>0</v>
      </c>
      <c r="H123" s="70">
        <f>F123*AM123</f>
        <v>0</v>
      </c>
      <c r="I123" s="70">
        <f>F123*AN123</f>
        <v>0</v>
      </c>
      <c r="J123" s="70">
        <f>F123*G123</f>
        <v>0</v>
      </c>
      <c r="K123" s="70">
        <v>4.0999999999999999E-4</v>
      </c>
      <c r="L123" s="70">
        <f>F123*K123</f>
        <v>8.1999999999999998E-4</v>
      </c>
      <c r="M123" s="89" t="s">
        <v>472</v>
      </c>
      <c r="X123" s="70">
        <f>IF(AO123="5",BH123,0)</f>
        <v>0</v>
      </c>
      <c r="Z123" s="70">
        <f>IF(AO123="1",BF123,0)</f>
        <v>0</v>
      </c>
      <c r="AA123" s="70">
        <f>IF(AO123="1",BG123,0)</f>
        <v>0</v>
      </c>
      <c r="AB123" s="70">
        <f>IF(AO123="7",BF123,0)</f>
        <v>0</v>
      </c>
      <c r="AC123" s="70">
        <f>IF(AO123="7",BG123,0)</f>
        <v>0</v>
      </c>
      <c r="AD123" s="70">
        <f>IF(AO123="2",BF123,0)</f>
        <v>0</v>
      </c>
      <c r="AE123" s="70">
        <f>IF(AO123="2",BG123,0)</f>
        <v>0</v>
      </c>
      <c r="AF123" s="70">
        <f>IF(AO123="0",BH123,0)</f>
        <v>0</v>
      </c>
      <c r="AG123" s="64" t="s">
        <v>154</v>
      </c>
      <c r="AH123" s="70">
        <f>IF(AL123=0,J123,0)</f>
        <v>0</v>
      </c>
      <c r="AI123" s="70">
        <f>IF(AL123=15,J123,0)</f>
        <v>0</v>
      </c>
      <c r="AJ123" s="70">
        <f>IF(AL123=21,J123,0)</f>
        <v>0</v>
      </c>
      <c r="AL123" s="70">
        <v>21</v>
      </c>
      <c r="AM123" s="70">
        <f>G123*0.302760252365931</f>
        <v>0</v>
      </c>
      <c r="AN123" s="70">
        <f>G123*(1-0.302760252365931)</f>
        <v>0</v>
      </c>
      <c r="AO123" s="71" t="s">
        <v>157</v>
      </c>
      <c r="AT123" s="70">
        <f>AU123+AV123</f>
        <v>0</v>
      </c>
      <c r="AU123" s="70">
        <f>F123*AM123</f>
        <v>0</v>
      </c>
      <c r="AV123" s="70">
        <f>F123*AN123</f>
        <v>0</v>
      </c>
      <c r="AW123" s="71" t="s">
        <v>533</v>
      </c>
      <c r="AX123" s="71" t="s">
        <v>356</v>
      </c>
      <c r="AY123" s="64" t="s">
        <v>164</v>
      </c>
      <c r="BA123" s="70">
        <f>AU123+AV123</f>
        <v>0</v>
      </c>
      <c r="BB123" s="70">
        <f>G123/(100-BC123)*100</f>
        <v>0</v>
      </c>
      <c r="BC123" s="70">
        <v>0</v>
      </c>
      <c r="BD123" s="70">
        <f>L123</f>
        <v>8.1999999999999998E-4</v>
      </c>
      <c r="BF123" s="70">
        <f>F123*AM123</f>
        <v>0</v>
      </c>
      <c r="BG123" s="70">
        <f>F123*AN123</f>
        <v>0</v>
      </c>
      <c r="BH123" s="70">
        <f>F123*G123</f>
        <v>0</v>
      </c>
      <c r="BI123" s="70"/>
      <c r="BJ123" s="70">
        <v>85</v>
      </c>
      <c r="BU123" s="70" t="e">
        <f>#REF!</f>
        <v>#REF!</v>
      </c>
    </row>
    <row r="124" spans="1:73" ht="40.5" customHeight="1" x14ac:dyDescent="0.3">
      <c r="A124" s="90"/>
      <c r="B124" s="72" t="s">
        <v>165</v>
      </c>
      <c r="C124" s="581" t="s">
        <v>536</v>
      </c>
      <c r="D124" s="582"/>
      <c r="E124" s="582"/>
      <c r="F124" s="582"/>
      <c r="G124" s="582"/>
      <c r="H124" s="582"/>
      <c r="I124" s="582"/>
      <c r="J124" s="582"/>
      <c r="K124" s="582"/>
      <c r="L124" s="582"/>
      <c r="M124" s="583"/>
    </row>
    <row r="125" spans="1:73" ht="15" customHeight="1" x14ac:dyDescent="0.3">
      <c r="A125" s="82" t="s">
        <v>154</v>
      </c>
      <c r="B125" s="61" t="s">
        <v>539</v>
      </c>
      <c r="C125" s="564" t="s">
        <v>540</v>
      </c>
      <c r="D125" s="571"/>
      <c r="E125" s="60" t="s">
        <v>114</v>
      </c>
      <c r="F125" s="60" t="s">
        <v>114</v>
      </c>
      <c r="G125" s="60" t="s">
        <v>114</v>
      </c>
      <c r="H125" s="73">
        <f>SUM(H126:H132)</f>
        <v>0</v>
      </c>
      <c r="I125" s="73">
        <f>SUM(I126:I132)</f>
        <v>0</v>
      </c>
      <c r="J125" s="73">
        <f>SUM(J126:J132)</f>
        <v>0</v>
      </c>
      <c r="K125" s="65" t="s">
        <v>154</v>
      </c>
      <c r="L125" s="73">
        <f>SUM(L126:L132)</f>
        <v>0</v>
      </c>
      <c r="M125" s="91" t="s">
        <v>154</v>
      </c>
      <c r="AG125" s="64" t="s">
        <v>154</v>
      </c>
      <c r="AQ125" s="59">
        <f>SUM(AH126:AH132)</f>
        <v>0</v>
      </c>
      <c r="AR125" s="59">
        <f>SUM(AI126:AI132)</f>
        <v>0</v>
      </c>
      <c r="AS125" s="59">
        <f>SUM(AJ126:AJ132)</f>
        <v>0</v>
      </c>
    </row>
    <row r="126" spans="1:73" ht="13.5" customHeight="1" x14ac:dyDescent="0.3">
      <c r="A126" s="82" t="s">
        <v>337</v>
      </c>
      <c r="B126" s="60" t="s">
        <v>541</v>
      </c>
      <c r="C126" s="551" t="s">
        <v>542</v>
      </c>
      <c r="D126" s="565"/>
      <c r="E126" s="60" t="s">
        <v>160</v>
      </c>
      <c r="F126" s="70">
        <v>12</v>
      </c>
      <c r="G126" s="311">
        <v>0</v>
      </c>
      <c r="H126" s="70">
        <f>F126*AM126</f>
        <v>0</v>
      </c>
      <c r="I126" s="70">
        <f>F126*AN126</f>
        <v>0</v>
      </c>
      <c r="J126" s="70">
        <f>F126*G126</f>
        <v>0</v>
      </c>
      <c r="K126" s="70">
        <v>0</v>
      </c>
      <c r="L126" s="70">
        <f>F126*K126</f>
        <v>0</v>
      </c>
      <c r="M126" s="89" t="s">
        <v>472</v>
      </c>
      <c r="X126" s="70">
        <f>IF(AO126="5",BH126,0)</f>
        <v>0</v>
      </c>
      <c r="Z126" s="70">
        <f>IF(AO126="1",BF126,0)</f>
        <v>0</v>
      </c>
      <c r="AA126" s="70">
        <f>IF(AO126="1",BG126,0)</f>
        <v>0</v>
      </c>
      <c r="AB126" s="70">
        <f>IF(AO126="7",BF126,0)</f>
        <v>0</v>
      </c>
      <c r="AC126" s="70">
        <f>IF(AO126="7",BG126,0)</f>
        <v>0</v>
      </c>
      <c r="AD126" s="70">
        <f>IF(AO126="2",BF126,0)</f>
        <v>0</v>
      </c>
      <c r="AE126" s="70">
        <f>IF(AO126="2",BG126,0)</f>
        <v>0</v>
      </c>
      <c r="AF126" s="70">
        <f>IF(AO126="0",BH126,0)</f>
        <v>0</v>
      </c>
      <c r="AG126" s="64" t="s">
        <v>154</v>
      </c>
      <c r="AH126" s="70">
        <f>IF(AL126=0,J126,0)</f>
        <v>0</v>
      </c>
      <c r="AI126" s="70">
        <f>IF(AL126=15,J126,0)</f>
        <v>0</v>
      </c>
      <c r="AJ126" s="70">
        <f>IF(AL126=21,J126,0)</f>
        <v>0</v>
      </c>
      <c r="AL126" s="70">
        <v>21</v>
      </c>
      <c r="AM126" s="70">
        <f>G126*0</f>
        <v>0</v>
      </c>
      <c r="AN126" s="70">
        <f>G126*(1-0)</f>
        <v>0</v>
      </c>
      <c r="AO126" s="71" t="s">
        <v>157</v>
      </c>
      <c r="AT126" s="70">
        <f>AU126+AV126</f>
        <v>0</v>
      </c>
      <c r="AU126" s="70">
        <f>F126*AM126</f>
        <v>0</v>
      </c>
      <c r="AV126" s="70">
        <f>F126*AN126</f>
        <v>0</v>
      </c>
      <c r="AW126" s="71" t="s">
        <v>543</v>
      </c>
      <c r="AX126" s="71" t="s">
        <v>356</v>
      </c>
      <c r="AY126" s="64" t="s">
        <v>164</v>
      </c>
      <c r="BA126" s="70">
        <f>AU126+AV126</f>
        <v>0</v>
      </c>
      <c r="BB126" s="70">
        <f>G126/(100-BC126)*100</f>
        <v>0</v>
      </c>
      <c r="BC126" s="70">
        <v>0</v>
      </c>
      <c r="BD126" s="70">
        <f>L126</f>
        <v>0</v>
      </c>
      <c r="BF126" s="70">
        <f>F126*AM126</f>
        <v>0</v>
      </c>
      <c r="BG126" s="70">
        <f>F126*AN126</f>
        <v>0</v>
      </c>
      <c r="BH126" s="70">
        <f>F126*G126</f>
        <v>0</v>
      </c>
      <c r="BI126" s="70"/>
      <c r="BJ126" s="70">
        <v>87</v>
      </c>
      <c r="BU126" s="70" t="e">
        <f>#REF!</f>
        <v>#REF!</v>
      </c>
    </row>
    <row r="127" spans="1:73" ht="54" customHeight="1" x14ac:dyDescent="0.3">
      <c r="A127" s="90"/>
      <c r="B127" s="72" t="s">
        <v>165</v>
      </c>
      <c r="C127" s="581" t="s">
        <v>544</v>
      </c>
      <c r="D127" s="582"/>
      <c r="E127" s="582"/>
      <c r="F127" s="582"/>
      <c r="G127" s="582"/>
      <c r="H127" s="582"/>
      <c r="I127" s="582"/>
      <c r="J127" s="582"/>
      <c r="K127" s="582"/>
      <c r="L127" s="582"/>
      <c r="M127" s="583"/>
    </row>
    <row r="128" spans="1:73" ht="13.5" customHeight="1" x14ac:dyDescent="0.3">
      <c r="A128" s="82" t="s">
        <v>341</v>
      </c>
      <c r="B128" s="60" t="s">
        <v>545</v>
      </c>
      <c r="C128" s="551" t="s">
        <v>546</v>
      </c>
      <c r="D128" s="565"/>
      <c r="E128" s="60" t="s">
        <v>160</v>
      </c>
      <c r="F128" s="70">
        <v>5</v>
      </c>
      <c r="G128" s="311">
        <v>0</v>
      </c>
      <c r="H128" s="70">
        <f>F128*AM128</f>
        <v>0</v>
      </c>
      <c r="I128" s="70">
        <f>F128*AN128</f>
        <v>0</v>
      </c>
      <c r="J128" s="70">
        <f>F128*G128</f>
        <v>0</v>
      </c>
      <c r="K128" s="70">
        <v>0</v>
      </c>
      <c r="L128" s="70">
        <f>F128*K128</f>
        <v>0</v>
      </c>
      <c r="M128" s="89" t="s">
        <v>472</v>
      </c>
      <c r="X128" s="70">
        <f>IF(AO128="5",BH128,0)</f>
        <v>0</v>
      </c>
      <c r="Z128" s="70">
        <f>IF(AO128="1",BF128,0)</f>
        <v>0</v>
      </c>
      <c r="AA128" s="70">
        <f>IF(AO128="1",BG128,0)</f>
        <v>0</v>
      </c>
      <c r="AB128" s="70">
        <f>IF(AO128="7",BF128,0)</f>
        <v>0</v>
      </c>
      <c r="AC128" s="70">
        <f>IF(AO128="7",BG128,0)</f>
        <v>0</v>
      </c>
      <c r="AD128" s="70">
        <f>IF(AO128="2",BF128,0)</f>
        <v>0</v>
      </c>
      <c r="AE128" s="70">
        <f>IF(AO128="2",BG128,0)</f>
        <v>0</v>
      </c>
      <c r="AF128" s="70">
        <f>IF(AO128="0",BH128,0)</f>
        <v>0</v>
      </c>
      <c r="AG128" s="64" t="s">
        <v>154</v>
      </c>
      <c r="AH128" s="70">
        <f>IF(AL128=0,J128,0)</f>
        <v>0</v>
      </c>
      <c r="AI128" s="70">
        <f>IF(AL128=15,J128,0)</f>
        <v>0</v>
      </c>
      <c r="AJ128" s="70">
        <f>IF(AL128=21,J128,0)</f>
        <v>0</v>
      </c>
      <c r="AL128" s="70">
        <v>21</v>
      </c>
      <c r="AM128" s="70">
        <f>G128*0</f>
        <v>0</v>
      </c>
      <c r="AN128" s="70">
        <f>G128*(1-0)</f>
        <v>0</v>
      </c>
      <c r="AO128" s="71" t="s">
        <v>157</v>
      </c>
      <c r="AT128" s="70">
        <f>AU128+AV128</f>
        <v>0</v>
      </c>
      <c r="AU128" s="70">
        <f>F128*AM128</f>
        <v>0</v>
      </c>
      <c r="AV128" s="70">
        <f>F128*AN128</f>
        <v>0</v>
      </c>
      <c r="AW128" s="71" t="s">
        <v>543</v>
      </c>
      <c r="AX128" s="71" t="s">
        <v>356</v>
      </c>
      <c r="AY128" s="64" t="s">
        <v>164</v>
      </c>
      <c r="BA128" s="70">
        <f>AU128+AV128</f>
        <v>0</v>
      </c>
      <c r="BB128" s="70">
        <f>G128/(100-BC128)*100</f>
        <v>0</v>
      </c>
      <c r="BC128" s="70">
        <v>0</v>
      </c>
      <c r="BD128" s="70">
        <f>L128</f>
        <v>0</v>
      </c>
      <c r="BF128" s="70">
        <f>F128*AM128</f>
        <v>0</v>
      </c>
      <c r="BG128" s="70">
        <f>F128*AN128</f>
        <v>0</v>
      </c>
      <c r="BH128" s="70">
        <f>F128*G128</f>
        <v>0</v>
      </c>
      <c r="BI128" s="70"/>
      <c r="BJ128" s="70">
        <v>87</v>
      </c>
      <c r="BU128" s="70" t="e">
        <f>#REF!</f>
        <v>#REF!</v>
      </c>
    </row>
    <row r="129" spans="1:73" ht="54" customHeight="1" x14ac:dyDescent="0.3">
      <c r="A129" s="90"/>
      <c r="B129" s="72" t="s">
        <v>165</v>
      </c>
      <c r="C129" s="581" t="s">
        <v>547</v>
      </c>
      <c r="D129" s="582"/>
      <c r="E129" s="582"/>
      <c r="F129" s="582"/>
      <c r="G129" s="582"/>
      <c r="H129" s="582"/>
      <c r="I129" s="582"/>
      <c r="J129" s="582"/>
      <c r="K129" s="582"/>
      <c r="L129" s="582"/>
      <c r="M129" s="583"/>
    </row>
    <row r="130" spans="1:73" ht="13.5" customHeight="1" x14ac:dyDescent="0.3">
      <c r="A130" s="82" t="s">
        <v>346</v>
      </c>
      <c r="B130" s="60" t="s">
        <v>549</v>
      </c>
      <c r="C130" s="551" t="s">
        <v>550</v>
      </c>
      <c r="D130" s="565"/>
      <c r="E130" s="60" t="s">
        <v>160</v>
      </c>
      <c r="F130" s="70">
        <v>41</v>
      </c>
      <c r="G130" s="311">
        <v>0</v>
      </c>
      <c r="H130" s="70">
        <f>F130*AM130</f>
        <v>0</v>
      </c>
      <c r="I130" s="70">
        <f>F130*AN130</f>
        <v>0</v>
      </c>
      <c r="J130" s="70">
        <f>F130*G130</f>
        <v>0</v>
      </c>
      <c r="K130" s="70">
        <v>0</v>
      </c>
      <c r="L130" s="70">
        <f>F130*K130</f>
        <v>0</v>
      </c>
      <c r="M130" s="89" t="s">
        <v>472</v>
      </c>
      <c r="X130" s="70">
        <f>IF(AO130="5",BH130,0)</f>
        <v>0</v>
      </c>
      <c r="Z130" s="70">
        <f>IF(AO130="1",BF130,0)</f>
        <v>0</v>
      </c>
      <c r="AA130" s="70">
        <f>IF(AO130="1",BG130,0)</f>
        <v>0</v>
      </c>
      <c r="AB130" s="70">
        <f>IF(AO130="7",BF130,0)</f>
        <v>0</v>
      </c>
      <c r="AC130" s="70">
        <f>IF(AO130="7",BG130,0)</f>
        <v>0</v>
      </c>
      <c r="AD130" s="70">
        <f>IF(AO130="2",BF130,0)</f>
        <v>0</v>
      </c>
      <c r="AE130" s="70">
        <f>IF(AO130="2",BG130,0)</f>
        <v>0</v>
      </c>
      <c r="AF130" s="70">
        <f>IF(AO130="0",BH130,0)</f>
        <v>0</v>
      </c>
      <c r="AG130" s="64" t="s">
        <v>154</v>
      </c>
      <c r="AH130" s="70">
        <f>IF(AL130=0,J130,0)</f>
        <v>0</v>
      </c>
      <c r="AI130" s="70">
        <f>IF(AL130=15,J130,0)</f>
        <v>0</v>
      </c>
      <c r="AJ130" s="70">
        <f>IF(AL130=21,J130,0)</f>
        <v>0</v>
      </c>
      <c r="AL130" s="70">
        <v>21</v>
      </c>
      <c r="AM130" s="70">
        <f>G130*0</f>
        <v>0</v>
      </c>
      <c r="AN130" s="70">
        <f>G130*(1-0)</f>
        <v>0</v>
      </c>
      <c r="AO130" s="71" t="s">
        <v>157</v>
      </c>
      <c r="AT130" s="70">
        <f>AU130+AV130</f>
        <v>0</v>
      </c>
      <c r="AU130" s="70">
        <f>F130*AM130</f>
        <v>0</v>
      </c>
      <c r="AV130" s="70">
        <f>F130*AN130</f>
        <v>0</v>
      </c>
      <c r="AW130" s="71" t="s">
        <v>543</v>
      </c>
      <c r="AX130" s="71" t="s">
        <v>356</v>
      </c>
      <c r="AY130" s="64" t="s">
        <v>164</v>
      </c>
      <c r="BA130" s="70">
        <f>AU130+AV130</f>
        <v>0</v>
      </c>
      <c r="BB130" s="70">
        <f>G130/(100-BC130)*100</f>
        <v>0</v>
      </c>
      <c r="BC130" s="70">
        <v>0</v>
      </c>
      <c r="BD130" s="70">
        <f>L130</f>
        <v>0</v>
      </c>
      <c r="BF130" s="70">
        <f>F130*AM130</f>
        <v>0</v>
      </c>
      <c r="BG130" s="70">
        <f>F130*AN130</f>
        <v>0</v>
      </c>
      <c r="BH130" s="70">
        <f>F130*G130</f>
        <v>0</v>
      </c>
      <c r="BI130" s="70"/>
      <c r="BJ130" s="70">
        <v>87</v>
      </c>
      <c r="BU130" s="70" t="e">
        <f>#REF!</f>
        <v>#REF!</v>
      </c>
    </row>
    <row r="131" spans="1:73" ht="54" customHeight="1" x14ac:dyDescent="0.3">
      <c r="A131" s="90"/>
      <c r="B131" s="72" t="s">
        <v>165</v>
      </c>
      <c r="C131" s="581" t="s">
        <v>865</v>
      </c>
      <c r="D131" s="582"/>
      <c r="E131" s="582"/>
      <c r="F131" s="582"/>
      <c r="G131" s="582"/>
      <c r="H131" s="582"/>
      <c r="I131" s="582"/>
      <c r="J131" s="582"/>
      <c r="K131" s="582"/>
      <c r="L131" s="582"/>
      <c r="M131" s="583"/>
    </row>
    <row r="132" spans="1:73" ht="13.5" customHeight="1" x14ac:dyDescent="0.3">
      <c r="A132" s="82" t="s">
        <v>352</v>
      </c>
      <c r="B132" s="60" t="s">
        <v>556</v>
      </c>
      <c r="C132" s="551" t="s">
        <v>557</v>
      </c>
      <c r="D132" s="565"/>
      <c r="E132" s="60" t="s">
        <v>365</v>
      </c>
      <c r="F132" s="70">
        <v>13</v>
      </c>
      <c r="G132" s="311">
        <v>0</v>
      </c>
      <c r="H132" s="70">
        <f>F132*AM132</f>
        <v>0</v>
      </c>
      <c r="I132" s="70">
        <f>F132*AN132</f>
        <v>0</v>
      </c>
      <c r="J132" s="70">
        <f>F132*G132</f>
        <v>0</v>
      </c>
      <c r="K132" s="70">
        <v>0</v>
      </c>
      <c r="L132" s="70">
        <f>F132*K132</f>
        <v>0</v>
      </c>
      <c r="M132" s="89" t="s">
        <v>472</v>
      </c>
      <c r="X132" s="70">
        <f>IF(AO132="5",BH132,0)</f>
        <v>0</v>
      </c>
      <c r="Z132" s="70">
        <f>IF(AO132="1",BF132,0)</f>
        <v>0</v>
      </c>
      <c r="AA132" s="70">
        <f>IF(AO132="1",BG132,0)</f>
        <v>0</v>
      </c>
      <c r="AB132" s="70">
        <f>IF(AO132="7",BF132,0)</f>
        <v>0</v>
      </c>
      <c r="AC132" s="70">
        <f>IF(AO132="7",BG132,0)</f>
        <v>0</v>
      </c>
      <c r="AD132" s="70">
        <f>IF(AO132="2",BF132,0)</f>
        <v>0</v>
      </c>
      <c r="AE132" s="70">
        <f>IF(AO132="2",BG132,0)</f>
        <v>0</v>
      </c>
      <c r="AF132" s="70">
        <f>IF(AO132="0",BH132,0)</f>
        <v>0</v>
      </c>
      <c r="AG132" s="64" t="s">
        <v>154</v>
      </c>
      <c r="AH132" s="70">
        <f>IF(AL132=0,J132,0)</f>
        <v>0</v>
      </c>
      <c r="AI132" s="70">
        <f>IF(AL132=15,J132,0)</f>
        <v>0</v>
      </c>
      <c r="AJ132" s="70">
        <f>IF(AL132=21,J132,0)</f>
        <v>0</v>
      </c>
      <c r="AL132" s="70">
        <v>21</v>
      </c>
      <c r="AM132" s="70">
        <f>G132*0</f>
        <v>0</v>
      </c>
      <c r="AN132" s="70">
        <f>G132*(1-0)</f>
        <v>0</v>
      </c>
      <c r="AO132" s="71" t="s">
        <v>157</v>
      </c>
      <c r="AT132" s="70">
        <f>AU132+AV132</f>
        <v>0</v>
      </c>
      <c r="AU132" s="70">
        <f>F132*AM132</f>
        <v>0</v>
      </c>
      <c r="AV132" s="70">
        <f>F132*AN132</f>
        <v>0</v>
      </c>
      <c r="AW132" s="71" t="s">
        <v>543</v>
      </c>
      <c r="AX132" s="71" t="s">
        <v>356</v>
      </c>
      <c r="AY132" s="64" t="s">
        <v>164</v>
      </c>
      <c r="BA132" s="70">
        <f>AU132+AV132</f>
        <v>0</v>
      </c>
      <c r="BB132" s="70">
        <f>G132/(100-BC132)*100</f>
        <v>0</v>
      </c>
      <c r="BC132" s="70">
        <v>0</v>
      </c>
      <c r="BD132" s="70">
        <f>L132</f>
        <v>0</v>
      </c>
      <c r="BF132" s="70">
        <f>F132*AM132</f>
        <v>0</v>
      </c>
      <c r="BG132" s="70">
        <f>F132*AN132</f>
        <v>0</v>
      </c>
      <c r="BH132" s="70">
        <f>F132*G132</f>
        <v>0</v>
      </c>
      <c r="BI132" s="70"/>
      <c r="BJ132" s="70">
        <v>87</v>
      </c>
      <c r="BU132" s="70" t="e">
        <f>#REF!</f>
        <v>#REF!</v>
      </c>
    </row>
    <row r="133" spans="1:73" ht="27" customHeight="1" x14ac:dyDescent="0.3">
      <c r="A133" s="92"/>
      <c r="B133" s="93" t="s">
        <v>165</v>
      </c>
      <c r="C133" s="584" t="s">
        <v>558</v>
      </c>
      <c r="D133" s="585"/>
      <c r="E133" s="585"/>
      <c r="F133" s="585"/>
      <c r="G133" s="585"/>
      <c r="H133" s="585"/>
      <c r="I133" s="585"/>
      <c r="J133" s="585"/>
      <c r="K133" s="585"/>
      <c r="L133" s="585"/>
      <c r="M133" s="586"/>
    </row>
    <row r="134" spans="1:73" ht="15" customHeight="1" x14ac:dyDescent="0.3">
      <c r="A134" s="84" t="s">
        <v>154</v>
      </c>
      <c r="B134" s="81" t="s">
        <v>360</v>
      </c>
      <c r="C134" s="573" t="s">
        <v>361</v>
      </c>
      <c r="D134" s="574"/>
      <c r="E134" s="85" t="s">
        <v>114</v>
      </c>
      <c r="F134" s="85" t="s">
        <v>114</v>
      </c>
      <c r="G134" s="85" t="s">
        <v>114</v>
      </c>
      <c r="H134" s="86">
        <f>SUM(H135:H145)</f>
        <v>0</v>
      </c>
      <c r="I134" s="86">
        <f>SUM(I135:I145)</f>
        <v>0</v>
      </c>
      <c r="J134" s="86">
        <f>SUM(J135:J145)</f>
        <v>0</v>
      </c>
      <c r="K134" s="87" t="s">
        <v>154</v>
      </c>
      <c r="L134" s="86">
        <f>SUM(L135:L145)</f>
        <v>0.12327</v>
      </c>
      <c r="M134" s="88" t="s">
        <v>154</v>
      </c>
      <c r="AG134" s="64" t="s">
        <v>154</v>
      </c>
      <c r="AQ134" s="59">
        <f>SUM(AH135:AH145)</f>
        <v>0</v>
      </c>
      <c r="AR134" s="59">
        <f>SUM(AI135:AI145)</f>
        <v>0</v>
      </c>
      <c r="AS134" s="59">
        <f>SUM(AJ135:AJ145)</f>
        <v>0</v>
      </c>
    </row>
    <row r="135" spans="1:73" ht="13.5" customHeight="1" x14ac:dyDescent="0.3">
      <c r="A135" s="82" t="s">
        <v>357</v>
      </c>
      <c r="B135" s="60" t="s">
        <v>563</v>
      </c>
      <c r="C135" s="551" t="s">
        <v>564</v>
      </c>
      <c r="D135" s="565"/>
      <c r="E135" s="60" t="s">
        <v>365</v>
      </c>
      <c r="F135" s="70">
        <v>1</v>
      </c>
      <c r="G135" s="311">
        <v>0</v>
      </c>
      <c r="H135" s="70">
        <f>F135*AM135</f>
        <v>0</v>
      </c>
      <c r="I135" s="70">
        <f>F135*AN135</f>
        <v>0</v>
      </c>
      <c r="J135" s="70">
        <f>F135*G135</f>
        <v>0</v>
      </c>
      <c r="K135" s="70">
        <v>0</v>
      </c>
      <c r="L135" s="70">
        <f>F135*K135</f>
        <v>0</v>
      </c>
      <c r="M135" s="89" t="s">
        <v>472</v>
      </c>
      <c r="X135" s="70">
        <f>IF(AO135="5",BH135,0)</f>
        <v>0</v>
      </c>
      <c r="Z135" s="70">
        <f>IF(AO135="1",BF135,0)</f>
        <v>0</v>
      </c>
      <c r="AA135" s="70">
        <f>IF(AO135="1",BG135,0)</f>
        <v>0</v>
      </c>
      <c r="AB135" s="70">
        <f>IF(AO135="7",BF135,0)</f>
        <v>0</v>
      </c>
      <c r="AC135" s="70">
        <f>IF(AO135="7",BG135,0)</f>
        <v>0</v>
      </c>
      <c r="AD135" s="70">
        <f>IF(AO135="2",BF135,0)</f>
        <v>0</v>
      </c>
      <c r="AE135" s="70">
        <f>IF(AO135="2",BG135,0)</f>
        <v>0</v>
      </c>
      <c r="AF135" s="70">
        <f>IF(AO135="0",BH135,0)</f>
        <v>0</v>
      </c>
      <c r="AG135" s="64" t="s">
        <v>154</v>
      </c>
      <c r="AH135" s="70">
        <f>IF(AL135=0,J135,0)</f>
        <v>0</v>
      </c>
      <c r="AI135" s="70">
        <f>IF(AL135=15,J135,0)</f>
        <v>0</v>
      </c>
      <c r="AJ135" s="70">
        <f>IF(AL135=21,J135,0)</f>
        <v>0</v>
      </c>
      <c r="AL135" s="70">
        <v>21</v>
      </c>
      <c r="AM135" s="70">
        <f>G135*0</f>
        <v>0</v>
      </c>
      <c r="AN135" s="70">
        <f>G135*(1-0)</f>
        <v>0</v>
      </c>
      <c r="AO135" s="71" t="s">
        <v>157</v>
      </c>
      <c r="AT135" s="70">
        <f>AU135+AV135</f>
        <v>0</v>
      </c>
      <c r="AU135" s="70">
        <f>F135*AM135</f>
        <v>0</v>
      </c>
      <c r="AV135" s="70">
        <f>F135*AN135</f>
        <v>0</v>
      </c>
      <c r="AW135" s="71" t="s">
        <v>366</v>
      </c>
      <c r="AX135" s="71" t="s">
        <v>356</v>
      </c>
      <c r="AY135" s="64" t="s">
        <v>164</v>
      </c>
      <c r="BA135" s="70">
        <f>AU135+AV135</f>
        <v>0</v>
      </c>
      <c r="BB135" s="70">
        <f>G135/(100-BC135)*100</f>
        <v>0</v>
      </c>
      <c r="BC135" s="70">
        <v>0</v>
      </c>
      <c r="BD135" s="70">
        <f>L135</f>
        <v>0</v>
      </c>
      <c r="BF135" s="70">
        <f>F135*AM135</f>
        <v>0</v>
      </c>
      <c r="BG135" s="70">
        <f>F135*AN135</f>
        <v>0</v>
      </c>
      <c r="BH135" s="70">
        <f>F135*G135</f>
        <v>0</v>
      </c>
      <c r="BI135" s="70"/>
      <c r="BJ135" s="70">
        <v>89</v>
      </c>
      <c r="BU135" s="70" t="e">
        <f>#REF!</f>
        <v>#REF!</v>
      </c>
    </row>
    <row r="136" spans="1:73" ht="67.5" customHeight="1" x14ac:dyDescent="0.3">
      <c r="A136" s="90"/>
      <c r="B136" s="72" t="s">
        <v>165</v>
      </c>
      <c r="C136" s="581" t="s">
        <v>565</v>
      </c>
      <c r="D136" s="582"/>
      <c r="E136" s="582"/>
      <c r="F136" s="582"/>
      <c r="G136" s="582"/>
      <c r="H136" s="582"/>
      <c r="I136" s="582"/>
      <c r="J136" s="582"/>
      <c r="K136" s="582"/>
      <c r="L136" s="582"/>
      <c r="M136" s="583"/>
    </row>
    <row r="137" spans="1:73" ht="13.5" customHeight="1" x14ac:dyDescent="0.3">
      <c r="A137" s="82" t="s">
        <v>362</v>
      </c>
      <c r="B137" s="60" t="s">
        <v>567</v>
      </c>
      <c r="C137" s="551" t="s">
        <v>568</v>
      </c>
      <c r="D137" s="565"/>
      <c r="E137" s="60" t="s">
        <v>365</v>
      </c>
      <c r="F137" s="70">
        <v>1</v>
      </c>
      <c r="G137" s="311">
        <v>0</v>
      </c>
      <c r="H137" s="70">
        <f>F137*AM137</f>
        <v>0</v>
      </c>
      <c r="I137" s="70">
        <f>F137*AN137</f>
        <v>0</v>
      </c>
      <c r="J137" s="70">
        <f>F137*G137</f>
        <v>0</v>
      </c>
      <c r="K137" s="70">
        <v>0.12303</v>
      </c>
      <c r="L137" s="70">
        <f>F137*K137</f>
        <v>0.12303</v>
      </c>
      <c r="M137" s="89" t="s">
        <v>472</v>
      </c>
      <c r="X137" s="70">
        <f>IF(AO137="5",BH137,0)</f>
        <v>0</v>
      </c>
      <c r="Z137" s="70">
        <f>IF(AO137="1",BF137,0)</f>
        <v>0</v>
      </c>
      <c r="AA137" s="70">
        <f>IF(AO137="1",BG137,0)</f>
        <v>0</v>
      </c>
      <c r="AB137" s="70">
        <f>IF(AO137="7",BF137,0)</f>
        <v>0</v>
      </c>
      <c r="AC137" s="70">
        <f>IF(AO137="7",BG137,0)</f>
        <v>0</v>
      </c>
      <c r="AD137" s="70">
        <f>IF(AO137="2",BF137,0)</f>
        <v>0</v>
      </c>
      <c r="AE137" s="70">
        <f>IF(AO137="2",BG137,0)</f>
        <v>0</v>
      </c>
      <c r="AF137" s="70">
        <f>IF(AO137="0",BH137,0)</f>
        <v>0</v>
      </c>
      <c r="AG137" s="64" t="s">
        <v>154</v>
      </c>
      <c r="AH137" s="70">
        <f>IF(AL137=0,J137,0)</f>
        <v>0</v>
      </c>
      <c r="AI137" s="70">
        <f>IF(AL137=15,J137,0)</f>
        <v>0</v>
      </c>
      <c r="AJ137" s="70">
        <f>IF(AL137=21,J137,0)</f>
        <v>0</v>
      </c>
      <c r="AL137" s="70">
        <v>21</v>
      </c>
      <c r="AM137" s="70">
        <f>G137*0.42892998678996</f>
        <v>0</v>
      </c>
      <c r="AN137" s="70">
        <f>G137*(1-0.42892998678996)</f>
        <v>0</v>
      </c>
      <c r="AO137" s="71" t="s">
        <v>157</v>
      </c>
      <c r="AT137" s="70">
        <f>AU137+AV137</f>
        <v>0</v>
      </c>
      <c r="AU137" s="70">
        <f>F137*AM137</f>
        <v>0</v>
      </c>
      <c r="AV137" s="70">
        <f>F137*AN137</f>
        <v>0</v>
      </c>
      <c r="AW137" s="71" t="s">
        <v>366</v>
      </c>
      <c r="AX137" s="71" t="s">
        <v>356</v>
      </c>
      <c r="AY137" s="64" t="s">
        <v>164</v>
      </c>
      <c r="BA137" s="70">
        <f>AU137+AV137</f>
        <v>0</v>
      </c>
      <c r="BB137" s="70">
        <f>G137/(100-BC137)*100</f>
        <v>0</v>
      </c>
      <c r="BC137" s="70">
        <v>0</v>
      </c>
      <c r="BD137" s="70">
        <f>L137</f>
        <v>0.12303</v>
      </c>
      <c r="BF137" s="70">
        <f>F137*AM137</f>
        <v>0</v>
      </c>
      <c r="BG137" s="70">
        <f>F137*AN137</f>
        <v>0</v>
      </c>
      <c r="BH137" s="70">
        <f>F137*G137</f>
        <v>0</v>
      </c>
      <c r="BI137" s="70"/>
      <c r="BJ137" s="70">
        <v>89</v>
      </c>
      <c r="BU137" s="70" t="e">
        <f>#REF!</f>
        <v>#REF!</v>
      </c>
    </row>
    <row r="138" spans="1:73" ht="40.5" customHeight="1" x14ac:dyDescent="0.3">
      <c r="A138" s="90"/>
      <c r="B138" s="72" t="s">
        <v>165</v>
      </c>
      <c r="C138" s="581" t="s">
        <v>569</v>
      </c>
      <c r="D138" s="582"/>
      <c r="E138" s="582"/>
      <c r="F138" s="582"/>
      <c r="G138" s="582"/>
      <c r="H138" s="582"/>
      <c r="I138" s="582"/>
      <c r="J138" s="582"/>
      <c r="K138" s="582"/>
      <c r="L138" s="582"/>
      <c r="M138" s="583"/>
    </row>
    <row r="139" spans="1:73" ht="13.5" customHeight="1" x14ac:dyDescent="0.3">
      <c r="A139" s="82" t="s">
        <v>367</v>
      </c>
      <c r="B139" s="60" t="s">
        <v>571</v>
      </c>
      <c r="C139" s="551" t="s">
        <v>572</v>
      </c>
      <c r="D139" s="565"/>
      <c r="E139" s="60" t="s">
        <v>160</v>
      </c>
      <c r="F139" s="70">
        <v>41</v>
      </c>
      <c r="G139" s="311">
        <v>0</v>
      </c>
      <c r="H139" s="70">
        <f>F139*AM139</f>
        <v>0</v>
      </c>
      <c r="I139" s="70">
        <f>F139*AN139</f>
        <v>0</v>
      </c>
      <c r="J139" s="70">
        <f>F139*G139</f>
        <v>0</v>
      </c>
      <c r="K139" s="70">
        <v>0</v>
      </c>
      <c r="L139" s="70">
        <f>F139*K139</f>
        <v>0</v>
      </c>
      <c r="M139" s="89" t="s">
        <v>472</v>
      </c>
      <c r="X139" s="70">
        <f>IF(AO139="5",BH139,0)</f>
        <v>0</v>
      </c>
      <c r="Z139" s="70">
        <f>IF(AO139="1",BF139,0)</f>
        <v>0</v>
      </c>
      <c r="AA139" s="70">
        <f>IF(AO139="1",BG139,0)</f>
        <v>0</v>
      </c>
      <c r="AB139" s="70">
        <f>IF(AO139="7",BF139,0)</f>
        <v>0</v>
      </c>
      <c r="AC139" s="70">
        <f>IF(AO139="7",BG139,0)</f>
        <v>0</v>
      </c>
      <c r="AD139" s="70">
        <f>IF(AO139="2",BF139,0)</f>
        <v>0</v>
      </c>
      <c r="AE139" s="70">
        <f>IF(AO139="2",BG139,0)</f>
        <v>0</v>
      </c>
      <c r="AF139" s="70">
        <f>IF(AO139="0",BH139,0)</f>
        <v>0</v>
      </c>
      <c r="AG139" s="64" t="s">
        <v>154</v>
      </c>
      <c r="AH139" s="70">
        <f>IF(AL139=0,J139,0)</f>
        <v>0</v>
      </c>
      <c r="AI139" s="70">
        <f>IF(AL139=15,J139,0)</f>
        <v>0</v>
      </c>
      <c r="AJ139" s="70">
        <f>IF(AL139=21,J139,0)</f>
        <v>0</v>
      </c>
      <c r="AL139" s="70">
        <v>21</v>
      </c>
      <c r="AM139" s="70">
        <f>G139*0.0308714341539664</f>
        <v>0</v>
      </c>
      <c r="AN139" s="70">
        <f>G139*(1-0.0308714341539664)</f>
        <v>0</v>
      </c>
      <c r="AO139" s="71" t="s">
        <v>157</v>
      </c>
      <c r="AT139" s="70">
        <f>AU139+AV139</f>
        <v>0</v>
      </c>
      <c r="AU139" s="70">
        <f>F139*AM139</f>
        <v>0</v>
      </c>
      <c r="AV139" s="70">
        <f>F139*AN139</f>
        <v>0</v>
      </c>
      <c r="AW139" s="71" t="s">
        <v>366</v>
      </c>
      <c r="AX139" s="71" t="s">
        <v>356</v>
      </c>
      <c r="AY139" s="64" t="s">
        <v>164</v>
      </c>
      <c r="BA139" s="70">
        <f>AU139+AV139</f>
        <v>0</v>
      </c>
      <c r="BB139" s="70">
        <f>G139/(100-BC139)*100</f>
        <v>0</v>
      </c>
      <c r="BC139" s="70">
        <v>0</v>
      </c>
      <c r="BD139" s="70">
        <f>L139</f>
        <v>0</v>
      </c>
      <c r="BF139" s="70">
        <f>F139*AM139</f>
        <v>0</v>
      </c>
      <c r="BG139" s="70">
        <f>F139*AN139</f>
        <v>0</v>
      </c>
      <c r="BH139" s="70">
        <f>F139*G139</f>
        <v>0</v>
      </c>
      <c r="BI139" s="70"/>
      <c r="BJ139" s="70">
        <v>89</v>
      </c>
      <c r="BU139" s="70" t="e">
        <f>#REF!</f>
        <v>#REF!</v>
      </c>
    </row>
    <row r="140" spans="1:73" ht="40.5" customHeight="1" x14ac:dyDescent="0.3">
      <c r="A140" s="90"/>
      <c r="B140" s="72" t="s">
        <v>165</v>
      </c>
      <c r="C140" s="581" t="s">
        <v>866</v>
      </c>
      <c r="D140" s="582"/>
      <c r="E140" s="582"/>
      <c r="F140" s="582"/>
      <c r="G140" s="582"/>
      <c r="H140" s="582"/>
      <c r="I140" s="582"/>
      <c r="J140" s="582"/>
      <c r="K140" s="582"/>
      <c r="L140" s="582"/>
      <c r="M140" s="583"/>
    </row>
    <row r="141" spans="1:73" ht="13.5" customHeight="1" x14ac:dyDescent="0.3">
      <c r="A141" s="82" t="s">
        <v>305</v>
      </c>
      <c r="B141" s="60" t="s">
        <v>574</v>
      </c>
      <c r="C141" s="551" t="s">
        <v>575</v>
      </c>
      <c r="D141" s="565"/>
      <c r="E141" s="60" t="s">
        <v>160</v>
      </c>
      <c r="F141" s="70">
        <v>41</v>
      </c>
      <c r="G141" s="311">
        <v>0</v>
      </c>
      <c r="H141" s="70">
        <f>F141*AM141</f>
        <v>0</v>
      </c>
      <c r="I141" s="70">
        <f>F141*AN141</f>
        <v>0</v>
      </c>
      <c r="J141" s="70">
        <f>F141*G141</f>
        <v>0</v>
      </c>
      <c r="K141" s="70">
        <v>0</v>
      </c>
      <c r="L141" s="70">
        <f>F141*K141</f>
        <v>0</v>
      </c>
      <c r="M141" s="89" t="s">
        <v>472</v>
      </c>
      <c r="X141" s="70">
        <f>IF(AO141="5",BH141,0)</f>
        <v>0</v>
      </c>
      <c r="Z141" s="70">
        <f>IF(AO141="1",BF141,0)</f>
        <v>0</v>
      </c>
      <c r="AA141" s="70">
        <f>IF(AO141="1",BG141,0)</f>
        <v>0</v>
      </c>
      <c r="AB141" s="70">
        <f>IF(AO141="7",BF141,0)</f>
        <v>0</v>
      </c>
      <c r="AC141" s="70">
        <f>IF(AO141="7",BG141,0)</f>
        <v>0</v>
      </c>
      <c r="AD141" s="70">
        <f>IF(AO141="2",BF141,0)</f>
        <v>0</v>
      </c>
      <c r="AE141" s="70">
        <f>IF(AO141="2",BG141,0)</f>
        <v>0</v>
      </c>
      <c r="AF141" s="70">
        <f>IF(AO141="0",BH141,0)</f>
        <v>0</v>
      </c>
      <c r="AG141" s="64" t="s">
        <v>154</v>
      </c>
      <c r="AH141" s="70">
        <f>IF(AL141=0,J141,0)</f>
        <v>0</v>
      </c>
      <c r="AI141" s="70">
        <f>IF(AL141=15,J141,0)</f>
        <v>0</v>
      </c>
      <c r="AJ141" s="70">
        <f>IF(AL141=21,J141,0)</f>
        <v>0</v>
      </c>
      <c r="AL141" s="70">
        <v>21</v>
      </c>
      <c r="AM141" s="70">
        <f>G141*0.0256326530612245</f>
        <v>0</v>
      </c>
      <c r="AN141" s="70">
        <f>G141*(1-0.0256326530612245)</f>
        <v>0</v>
      </c>
      <c r="AO141" s="71" t="s">
        <v>157</v>
      </c>
      <c r="AT141" s="70">
        <f>AU141+AV141</f>
        <v>0</v>
      </c>
      <c r="AU141" s="70">
        <f>F141*AM141</f>
        <v>0</v>
      </c>
      <c r="AV141" s="70">
        <f>F141*AN141</f>
        <v>0</v>
      </c>
      <c r="AW141" s="71" t="s">
        <v>366</v>
      </c>
      <c r="AX141" s="71" t="s">
        <v>356</v>
      </c>
      <c r="AY141" s="64" t="s">
        <v>164</v>
      </c>
      <c r="BA141" s="70">
        <f>AU141+AV141</f>
        <v>0</v>
      </c>
      <c r="BB141" s="70">
        <f>G141/(100-BC141)*100</f>
        <v>0</v>
      </c>
      <c r="BC141" s="70">
        <v>0</v>
      </c>
      <c r="BD141" s="70">
        <f>L141</f>
        <v>0</v>
      </c>
      <c r="BF141" s="70">
        <f>F141*AM141</f>
        <v>0</v>
      </c>
      <c r="BG141" s="70">
        <f>F141*AN141</f>
        <v>0</v>
      </c>
      <c r="BH141" s="70">
        <f>F141*G141</f>
        <v>0</v>
      </c>
      <c r="BI141" s="70"/>
      <c r="BJ141" s="70">
        <v>89</v>
      </c>
      <c r="BU141" s="70" t="e">
        <f>#REF!</f>
        <v>#REF!</v>
      </c>
    </row>
    <row r="142" spans="1:73" ht="40.5" customHeight="1" x14ac:dyDescent="0.3">
      <c r="A142" s="90"/>
      <c r="B142" s="72" t="s">
        <v>165</v>
      </c>
      <c r="C142" s="581" t="s">
        <v>867</v>
      </c>
      <c r="D142" s="582"/>
      <c r="E142" s="582"/>
      <c r="F142" s="582"/>
      <c r="G142" s="582"/>
      <c r="H142" s="582"/>
      <c r="I142" s="582"/>
      <c r="J142" s="582"/>
      <c r="K142" s="582"/>
      <c r="L142" s="582"/>
      <c r="M142" s="583"/>
    </row>
    <row r="143" spans="1:73" ht="13.5" customHeight="1" x14ac:dyDescent="0.3">
      <c r="A143" s="82" t="s">
        <v>335</v>
      </c>
      <c r="B143" s="60" t="s">
        <v>438</v>
      </c>
      <c r="C143" s="551" t="s">
        <v>439</v>
      </c>
      <c r="D143" s="565"/>
      <c r="E143" s="60" t="s">
        <v>160</v>
      </c>
      <c r="F143" s="70">
        <v>45.1</v>
      </c>
      <c r="G143" s="311">
        <v>0</v>
      </c>
      <c r="H143" s="70">
        <f>F143*AM143</f>
        <v>0</v>
      </c>
      <c r="I143" s="70">
        <f>F143*AN143</f>
        <v>0</v>
      </c>
      <c r="J143" s="70">
        <f>F143*G143</f>
        <v>0</v>
      </c>
      <c r="K143" s="70">
        <v>0</v>
      </c>
      <c r="L143" s="70">
        <f>F143*K143</f>
        <v>0</v>
      </c>
      <c r="M143" s="89" t="s">
        <v>472</v>
      </c>
      <c r="X143" s="70">
        <f>IF(AO143="5",BH143,0)</f>
        <v>0</v>
      </c>
      <c r="Z143" s="70">
        <f>IF(AO143="1",BF143,0)</f>
        <v>0</v>
      </c>
      <c r="AA143" s="70">
        <f>IF(AO143="1",BG143,0)</f>
        <v>0</v>
      </c>
      <c r="AB143" s="70">
        <f>IF(AO143="7",BF143,0)</f>
        <v>0</v>
      </c>
      <c r="AC143" s="70">
        <f>IF(AO143="7",BG143,0)</f>
        <v>0</v>
      </c>
      <c r="AD143" s="70">
        <f>IF(AO143="2",BF143,0)</f>
        <v>0</v>
      </c>
      <c r="AE143" s="70">
        <f>IF(AO143="2",BG143,0)</f>
        <v>0</v>
      </c>
      <c r="AF143" s="70">
        <f>IF(AO143="0",BH143,0)</f>
        <v>0</v>
      </c>
      <c r="AG143" s="64" t="s">
        <v>154</v>
      </c>
      <c r="AH143" s="70">
        <f>IF(AL143=0,J143,0)</f>
        <v>0</v>
      </c>
      <c r="AI143" s="70">
        <f>IF(AL143=15,J143,0)</f>
        <v>0</v>
      </c>
      <c r="AJ143" s="70">
        <f>IF(AL143=21,J143,0)</f>
        <v>0</v>
      </c>
      <c r="AL143" s="70">
        <v>21</v>
      </c>
      <c r="AM143" s="70">
        <f>G143*0.35399262138807</f>
        <v>0</v>
      </c>
      <c r="AN143" s="70">
        <f>G143*(1-0.35399262138807)</f>
        <v>0</v>
      </c>
      <c r="AO143" s="71" t="s">
        <v>157</v>
      </c>
      <c r="AT143" s="70">
        <f>AU143+AV143</f>
        <v>0</v>
      </c>
      <c r="AU143" s="70">
        <f>F143*AM143</f>
        <v>0</v>
      </c>
      <c r="AV143" s="70">
        <f>F143*AN143</f>
        <v>0</v>
      </c>
      <c r="AW143" s="71" t="s">
        <v>366</v>
      </c>
      <c r="AX143" s="71" t="s">
        <v>356</v>
      </c>
      <c r="AY143" s="64" t="s">
        <v>164</v>
      </c>
      <c r="BA143" s="70">
        <f>AU143+AV143</f>
        <v>0</v>
      </c>
      <c r="BB143" s="70">
        <f>G143/(100-BC143)*100</f>
        <v>0</v>
      </c>
      <c r="BC143" s="70">
        <v>0</v>
      </c>
      <c r="BD143" s="70">
        <f>L143</f>
        <v>0</v>
      </c>
      <c r="BF143" s="70">
        <f>F143*AM143</f>
        <v>0</v>
      </c>
      <c r="BG143" s="70">
        <f>F143*AN143</f>
        <v>0</v>
      </c>
      <c r="BH143" s="70">
        <f>F143*G143</f>
        <v>0</v>
      </c>
      <c r="BI143" s="70"/>
      <c r="BJ143" s="70">
        <v>89</v>
      </c>
      <c r="BU143" s="70" t="e">
        <f>#REF!</f>
        <v>#REF!</v>
      </c>
    </row>
    <row r="144" spans="1:73" ht="40.5" customHeight="1" x14ac:dyDescent="0.3">
      <c r="A144" s="90"/>
      <c r="B144" s="72" t="s">
        <v>165</v>
      </c>
      <c r="C144" s="581" t="s">
        <v>868</v>
      </c>
      <c r="D144" s="582"/>
      <c r="E144" s="582"/>
      <c r="F144" s="582"/>
      <c r="G144" s="582"/>
      <c r="H144" s="582"/>
      <c r="I144" s="582"/>
      <c r="J144" s="582"/>
      <c r="K144" s="582"/>
      <c r="L144" s="582"/>
      <c r="M144" s="583"/>
    </row>
    <row r="145" spans="1:73" ht="13.5" customHeight="1" x14ac:dyDescent="0.3">
      <c r="A145" s="82" t="s">
        <v>384</v>
      </c>
      <c r="B145" s="60" t="s">
        <v>590</v>
      </c>
      <c r="C145" s="551" t="s">
        <v>591</v>
      </c>
      <c r="D145" s="565"/>
      <c r="E145" s="60" t="s">
        <v>365</v>
      </c>
      <c r="F145" s="70">
        <v>1</v>
      </c>
      <c r="G145" s="311">
        <v>0</v>
      </c>
      <c r="H145" s="70">
        <f>F145*AM145</f>
        <v>0</v>
      </c>
      <c r="I145" s="70">
        <f>F145*AN145</f>
        <v>0</v>
      </c>
      <c r="J145" s="70">
        <f>F145*G145</f>
        <v>0</v>
      </c>
      <c r="K145" s="70">
        <v>2.4000000000000001E-4</v>
      </c>
      <c r="L145" s="70">
        <f>F145*K145</f>
        <v>2.4000000000000001E-4</v>
      </c>
      <c r="M145" s="89" t="s">
        <v>472</v>
      </c>
      <c r="X145" s="70">
        <f>IF(AO145="5",BH145,0)</f>
        <v>0</v>
      </c>
      <c r="Z145" s="70">
        <f>IF(AO145="1",BF145,0)</f>
        <v>0</v>
      </c>
      <c r="AA145" s="70">
        <f>IF(AO145="1",BG145,0)</f>
        <v>0</v>
      </c>
      <c r="AB145" s="70">
        <f>IF(AO145="7",BF145,0)</f>
        <v>0</v>
      </c>
      <c r="AC145" s="70">
        <f>IF(AO145="7",BG145,0)</f>
        <v>0</v>
      </c>
      <c r="AD145" s="70">
        <f>IF(AO145="2",BF145,0)</f>
        <v>0</v>
      </c>
      <c r="AE145" s="70">
        <f>IF(AO145="2",BG145,0)</f>
        <v>0</v>
      </c>
      <c r="AF145" s="70">
        <f>IF(AO145="0",BH145,0)</f>
        <v>0</v>
      </c>
      <c r="AG145" s="64" t="s">
        <v>154</v>
      </c>
      <c r="AH145" s="70">
        <f>IF(AL145=0,J145,0)</f>
        <v>0</v>
      </c>
      <c r="AI145" s="70">
        <f>IF(AL145=15,J145,0)</f>
        <v>0</v>
      </c>
      <c r="AJ145" s="70">
        <f>IF(AL145=21,J145,0)</f>
        <v>0</v>
      </c>
      <c r="AL145" s="70">
        <v>21</v>
      </c>
      <c r="AM145" s="70">
        <f>G145*0.344185351270553</f>
        <v>0</v>
      </c>
      <c r="AN145" s="70">
        <f>G145*(1-0.344185351270553)</f>
        <v>0</v>
      </c>
      <c r="AO145" s="71" t="s">
        <v>157</v>
      </c>
      <c r="AT145" s="70">
        <f>AU145+AV145</f>
        <v>0</v>
      </c>
      <c r="AU145" s="70">
        <f>F145*AM145</f>
        <v>0</v>
      </c>
      <c r="AV145" s="70">
        <f>F145*AN145</f>
        <v>0</v>
      </c>
      <c r="AW145" s="71" t="s">
        <v>366</v>
      </c>
      <c r="AX145" s="71" t="s">
        <v>356</v>
      </c>
      <c r="AY145" s="64" t="s">
        <v>164</v>
      </c>
      <c r="BA145" s="70">
        <f>AU145+AV145</f>
        <v>0</v>
      </c>
      <c r="BB145" s="70">
        <f>G145/(100-BC145)*100</f>
        <v>0</v>
      </c>
      <c r="BC145" s="70">
        <v>0</v>
      </c>
      <c r="BD145" s="70">
        <f>L145</f>
        <v>2.4000000000000001E-4</v>
      </c>
      <c r="BF145" s="70">
        <f>F145*AM145</f>
        <v>0</v>
      </c>
      <c r="BG145" s="70">
        <f>F145*AN145</f>
        <v>0</v>
      </c>
      <c r="BH145" s="70">
        <f>F145*G145</f>
        <v>0</v>
      </c>
      <c r="BI145" s="70"/>
      <c r="BJ145" s="70">
        <v>89</v>
      </c>
      <c r="BU145" s="70" t="e">
        <f>#REF!</f>
        <v>#REF!</v>
      </c>
    </row>
    <row r="146" spans="1:73" ht="27" customHeight="1" x14ac:dyDescent="0.3">
      <c r="A146" s="90"/>
      <c r="B146" s="72" t="s">
        <v>165</v>
      </c>
      <c r="C146" s="581" t="s">
        <v>592</v>
      </c>
      <c r="D146" s="582"/>
      <c r="E146" s="582"/>
      <c r="F146" s="582"/>
      <c r="G146" s="582"/>
      <c r="H146" s="582"/>
      <c r="I146" s="582"/>
      <c r="J146" s="582"/>
      <c r="K146" s="582"/>
      <c r="L146" s="582"/>
      <c r="M146" s="583"/>
    </row>
    <row r="147" spans="1:73" ht="15" customHeight="1" x14ac:dyDescent="0.3">
      <c r="A147" s="82" t="s">
        <v>154</v>
      </c>
      <c r="B147" s="61" t="s">
        <v>468</v>
      </c>
      <c r="C147" s="564" t="s">
        <v>361</v>
      </c>
      <c r="D147" s="571"/>
      <c r="E147" s="60" t="s">
        <v>114</v>
      </c>
      <c r="F147" s="60" t="s">
        <v>114</v>
      </c>
      <c r="G147" s="60" t="s">
        <v>114</v>
      </c>
      <c r="H147" s="73">
        <f>SUM(H148:H148)</f>
        <v>0</v>
      </c>
      <c r="I147" s="73">
        <f>SUM(I148:I148)</f>
        <v>0</v>
      </c>
      <c r="J147" s="73">
        <f>SUM(J148:J148)</f>
        <v>0</v>
      </c>
      <c r="K147" s="65" t="s">
        <v>154</v>
      </c>
      <c r="L147" s="73">
        <f>SUM(L148:L148)</f>
        <v>0.02</v>
      </c>
      <c r="M147" s="91" t="s">
        <v>154</v>
      </c>
      <c r="AG147" s="64" t="s">
        <v>154</v>
      </c>
      <c r="AQ147" s="59">
        <f>SUM(AH148:AH148)</f>
        <v>0</v>
      </c>
      <c r="AR147" s="59">
        <f>SUM(AI148:AI148)</f>
        <v>0</v>
      </c>
      <c r="AS147" s="59">
        <f>SUM(AJ148:AJ148)</f>
        <v>0</v>
      </c>
    </row>
    <row r="148" spans="1:73" ht="13.5" customHeight="1" x14ac:dyDescent="0.3">
      <c r="A148" s="82" t="s">
        <v>344</v>
      </c>
      <c r="B148" s="60" t="s">
        <v>469</v>
      </c>
      <c r="C148" s="551" t="s">
        <v>470</v>
      </c>
      <c r="D148" s="565"/>
      <c r="E148" s="60" t="s">
        <v>471</v>
      </c>
      <c r="F148" s="70">
        <v>2</v>
      </c>
      <c r="G148" s="311">
        <v>0</v>
      </c>
      <c r="H148" s="70">
        <f>F148*AM148</f>
        <v>0</v>
      </c>
      <c r="I148" s="70">
        <f>F148*AN148</f>
        <v>0</v>
      </c>
      <c r="J148" s="70">
        <f>F148*G148</f>
        <v>0</v>
      </c>
      <c r="K148" s="70">
        <v>0.01</v>
      </c>
      <c r="L148" s="70">
        <f>F148*K148</f>
        <v>0.02</v>
      </c>
      <c r="M148" s="89" t="s">
        <v>472</v>
      </c>
      <c r="X148" s="70">
        <f>IF(AO148="5",BH148,0)</f>
        <v>0</v>
      </c>
      <c r="Z148" s="70">
        <f>IF(AO148="1",BF148,0)</f>
        <v>0</v>
      </c>
      <c r="AA148" s="70">
        <f>IF(AO148="1",BG148,0)</f>
        <v>0</v>
      </c>
      <c r="AB148" s="70">
        <f>IF(AO148="7",BF148,0)</f>
        <v>0</v>
      </c>
      <c r="AC148" s="70">
        <f>IF(AO148="7",BG148,0)</f>
        <v>0</v>
      </c>
      <c r="AD148" s="70">
        <f>IF(AO148="2",BF148,0)</f>
        <v>0</v>
      </c>
      <c r="AE148" s="70">
        <f>IF(AO148="2",BG148,0)</f>
        <v>0</v>
      </c>
      <c r="AF148" s="70">
        <f>IF(AO148="0",BH148,0)</f>
        <v>0</v>
      </c>
      <c r="AG148" s="64" t="s">
        <v>154</v>
      </c>
      <c r="AH148" s="70">
        <f>IF(AL148=0,J148,0)</f>
        <v>0</v>
      </c>
      <c r="AI148" s="70">
        <f>IF(AL148=15,J148,0)</f>
        <v>0</v>
      </c>
      <c r="AJ148" s="70">
        <f>IF(AL148=21,J148,0)</f>
        <v>0</v>
      </c>
      <c r="AL148" s="70">
        <v>21</v>
      </c>
      <c r="AM148" s="70">
        <f>G148*0.275766016713092</f>
        <v>0</v>
      </c>
      <c r="AN148" s="70">
        <f>G148*(1-0.275766016713092)</f>
        <v>0</v>
      </c>
      <c r="AO148" s="71" t="s">
        <v>157</v>
      </c>
      <c r="AT148" s="70">
        <f>AU148+AV148</f>
        <v>0</v>
      </c>
      <c r="AU148" s="70">
        <f>F148*AM148</f>
        <v>0</v>
      </c>
      <c r="AV148" s="70">
        <f>F148*AN148</f>
        <v>0</v>
      </c>
      <c r="AW148" s="71" t="s">
        <v>473</v>
      </c>
      <c r="AX148" s="71" t="s">
        <v>467</v>
      </c>
      <c r="AY148" s="64" t="s">
        <v>164</v>
      </c>
      <c r="BA148" s="70">
        <f>AU148+AV148</f>
        <v>0</v>
      </c>
      <c r="BB148" s="70">
        <f>G148/(100-BC148)*100</f>
        <v>0</v>
      </c>
      <c r="BC148" s="70">
        <v>0</v>
      </c>
      <c r="BD148" s="70">
        <f>L148</f>
        <v>0.02</v>
      </c>
      <c r="BF148" s="70">
        <f>F148*AM148</f>
        <v>0</v>
      </c>
      <c r="BG148" s="70">
        <f>F148*AN148</f>
        <v>0</v>
      </c>
      <c r="BH148" s="70">
        <f>F148*G148</f>
        <v>0</v>
      </c>
      <c r="BI148" s="70"/>
      <c r="BJ148" s="70"/>
      <c r="BU148" s="70" t="e">
        <f>#REF!</f>
        <v>#REF!</v>
      </c>
    </row>
    <row r="149" spans="1:73" ht="40.5" customHeight="1" x14ac:dyDescent="0.3">
      <c r="A149" s="90"/>
      <c r="B149" s="72" t="s">
        <v>165</v>
      </c>
      <c r="C149" s="581" t="s">
        <v>474</v>
      </c>
      <c r="D149" s="582"/>
      <c r="E149" s="582"/>
      <c r="F149" s="582"/>
      <c r="G149" s="582"/>
      <c r="H149" s="582"/>
      <c r="I149" s="582"/>
      <c r="J149" s="582"/>
      <c r="K149" s="582"/>
      <c r="L149" s="582"/>
      <c r="M149" s="583"/>
    </row>
    <row r="150" spans="1:73" ht="15" customHeight="1" x14ac:dyDescent="0.3">
      <c r="A150" s="82" t="s">
        <v>154</v>
      </c>
      <c r="B150" s="61" t="s">
        <v>376</v>
      </c>
      <c r="C150" s="564" t="s">
        <v>377</v>
      </c>
      <c r="D150" s="571"/>
      <c r="E150" s="60" t="s">
        <v>114</v>
      </c>
      <c r="F150" s="60" t="s">
        <v>114</v>
      </c>
      <c r="G150" s="60" t="s">
        <v>114</v>
      </c>
      <c r="H150" s="73">
        <f>SUM(H151:H151)</f>
        <v>0</v>
      </c>
      <c r="I150" s="73">
        <f>SUM(I151:I151)</f>
        <v>0</v>
      </c>
      <c r="J150" s="73">
        <f>SUM(J151:J151)</f>
        <v>0</v>
      </c>
      <c r="K150" s="65" t="s">
        <v>154</v>
      </c>
      <c r="L150" s="73">
        <f>SUM(L151:L151)</f>
        <v>0</v>
      </c>
      <c r="M150" s="91" t="s">
        <v>154</v>
      </c>
      <c r="AG150" s="64" t="s">
        <v>154</v>
      </c>
      <c r="AQ150" s="59">
        <f>SUM(AH151:AH151)</f>
        <v>0</v>
      </c>
      <c r="AR150" s="59">
        <f>SUM(AI151:AI151)</f>
        <v>0</v>
      </c>
      <c r="AS150" s="59">
        <f>SUM(AJ151:AJ151)</f>
        <v>0</v>
      </c>
    </row>
    <row r="151" spans="1:73" ht="13.5" customHeight="1" x14ac:dyDescent="0.3">
      <c r="A151" s="82" t="s">
        <v>390</v>
      </c>
      <c r="B151" s="60" t="s">
        <v>378</v>
      </c>
      <c r="C151" s="551" t="s">
        <v>379</v>
      </c>
      <c r="D151" s="565"/>
      <c r="E151" s="60" t="s">
        <v>380</v>
      </c>
      <c r="F151" s="70">
        <v>17.55</v>
      </c>
      <c r="G151" s="311">
        <v>0</v>
      </c>
      <c r="H151" s="70">
        <f>F151*AM151</f>
        <v>0</v>
      </c>
      <c r="I151" s="70">
        <f>F151*AN151</f>
        <v>0</v>
      </c>
      <c r="J151" s="70">
        <f>F151*G151</f>
        <v>0</v>
      </c>
      <c r="K151" s="70">
        <v>0</v>
      </c>
      <c r="L151" s="70">
        <f>F151*K151</f>
        <v>0</v>
      </c>
      <c r="M151" s="89" t="s">
        <v>472</v>
      </c>
      <c r="X151" s="70">
        <f>IF(AO151="5",BH151,0)</f>
        <v>0</v>
      </c>
      <c r="Z151" s="70">
        <f>IF(AO151="1",BF151,0)</f>
        <v>0</v>
      </c>
      <c r="AA151" s="70">
        <f>IF(AO151="1",BG151,0)</f>
        <v>0</v>
      </c>
      <c r="AB151" s="70">
        <f>IF(AO151="7",BF151,0)</f>
        <v>0</v>
      </c>
      <c r="AC151" s="70">
        <f>IF(AO151="7",BG151,0)</f>
        <v>0</v>
      </c>
      <c r="AD151" s="70">
        <f>IF(AO151="2",BF151,0)</f>
        <v>0</v>
      </c>
      <c r="AE151" s="70">
        <f>IF(AO151="2",BG151,0)</f>
        <v>0</v>
      </c>
      <c r="AF151" s="70">
        <f>IF(AO151="0",BH151,0)</f>
        <v>0</v>
      </c>
      <c r="AG151" s="64" t="s">
        <v>154</v>
      </c>
      <c r="AH151" s="70">
        <f>IF(AL151=0,J151,0)</f>
        <v>0</v>
      </c>
      <c r="AI151" s="70">
        <f>IF(AL151=15,J151,0)</f>
        <v>0</v>
      </c>
      <c r="AJ151" s="70">
        <f>IF(AL151=21,J151,0)</f>
        <v>0</v>
      </c>
      <c r="AL151" s="70">
        <v>21</v>
      </c>
      <c r="AM151" s="70">
        <f>G151*0</f>
        <v>0</v>
      </c>
      <c r="AN151" s="70">
        <f>G151*(1-0)</f>
        <v>0</v>
      </c>
      <c r="AO151" s="71" t="s">
        <v>157</v>
      </c>
      <c r="AT151" s="70">
        <f>AU151+AV151</f>
        <v>0</v>
      </c>
      <c r="AU151" s="70">
        <f>F151*AM151</f>
        <v>0</v>
      </c>
      <c r="AV151" s="70">
        <f>F151*AN151</f>
        <v>0</v>
      </c>
      <c r="AW151" s="71" t="s">
        <v>381</v>
      </c>
      <c r="AX151" s="71" t="s">
        <v>375</v>
      </c>
      <c r="AY151" s="64" t="s">
        <v>164</v>
      </c>
      <c r="BA151" s="70">
        <f>AU151+AV151</f>
        <v>0</v>
      </c>
      <c r="BB151" s="70">
        <f>G151/(100-BC151)*100</f>
        <v>0</v>
      </c>
      <c r="BC151" s="70">
        <v>0</v>
      </c>
      <c r="BD151" s="70">
        <f>L151</f>
        <v>0</v>
      </c>
      <c r="BF151" s="70">
        <f>F151*AM151</f>
        <v>0</v>
      </c>
      <c r="BG151" s="70">
        <f>F151*AN151</f>
        <v>0</v>
      </c>
      <c r="BH151" s="70">
        <f>F151*G151</f>
        <v>0</v>
      </c>
      <c r="BI151" s="70"/>
      <c r="BJ151" s="70">
        <v>97</v>
      </c>
      <c r="BU151" s="70" t="e">
        <f>#REF!</f>
        <v>#REF!</v>
      </c>
    </row>
    <row r="152" spans="1:73" ht="27" customHeight="1" x14ac:dyDescent="0.3">
      <c r="A152" s="90"/>
      <c r="B152" s="72" t="s">
        <v>165</v>
      </c>
      <c r="C152" s="581" t="s">
        <v>869</v>
      </c>
      <c r="D152" s="582"/>
      <c r="E152" s="582"/>
      <c r="F152" s="582"/>
      <c r="G152" s="582"/>
      <c r="H152" s="582"/>
      <c r="I152" s="582"/>
      <c r="J152" s="582"/>
      <c r="K152" s="582"/>
      <c r="L152" s="582"/>
      <c r="M152" s="583"/>
    </row>
    <row r="153" spans="1:73" ht="15" customHeight="1" x14ac:dyDescent="0.3">
      <c r="A153" s="82" t="s">
        <v>154</v>
      </c>
      <c r="B153" s="61" t="s">
        <v>382</v>
      </c>
      <c r="C153" s="564" t="s">
        <v>383</v>
      </c>
      <c r="D153" s="571"/>
      <c r="E153" s="60" t="s">
        <v>114</v>
      </c>
      <c r="F153" s="60" t="s">
        <v>114</v>
      </c>
      <c r="G153" s="60" t="s">
        <v>114</v>
      </c>
      <c r="H153" s="73">
        <f>SUM(H154:H159)</f>
        <v>0</v>
      </c>
      <c r="I153" s="73">
        <f>SUM(I154:I159)</f>
        <v>0</v>
      </c>
      <c r="J153" s="73">
        <f>SUM(J154:J159)</f>
        <v>0</v>
      </c>
      <c r="K153" s="65" t="s">
        <v>154</v>
      </c>
      <c r="L153" s="73">
        <f>SUM(L154:L159)</f>
        <v>0</v>
      </c>
      <c r="M153" s="91" t="s">
        <v>154</v>
      </c>
      <c r="AG153" s="64" t="s">
        <v>154</v>
      </c>
      <c r="AQ153" s="59">
        <f>SUM(AH154:AH159)</f>
        <v>0</v>
      </c>
      <c r="AR153" s="59">
        <f>SUM(AI154:AI159)</f>
        <v>0</v>
      </c>
      <c r="AS153" s="59">
        <f>SUM(AJ154:AJ159)</f>
        <v>0</v>
      </c>
    </row>
    <row r="154" spans="1:73" ht="13.5" customHeight="1" x14ac:dyDescent="0.3">
      <c r="A154" s="82" t="s">
        <v>393</v>
      </c>
      <c r="B154" s="60" t="s">
        <v>385</v>
      </c>
      <c r="C154" s="551" t="s">
        <v>386</v>
      </c>
      <c r="D154" s="565"/>
      <c r="E154" s="60" t="s">
        <v>380</v>
      </c>
      <c r="F154" s="70">
        <v>23.4</v>
      </c>
      <c r="G154" s="311">
        <v>0</v>
      </c>
      <c r="H154" s="70">
        <f>F154*AM154</f>
        <v>0</v>
      </c>
      <c r="I154" s="70">
        <f>F154*AN154</f>
        <v>0</v>
      </c>
      <c r="J154" s="70">
        <f>F154*G154</f>
        <v>0</v>
      </c>
      <c r="K154" s="70">
        <v>0</v>
      </c>
      <c r="L154" s="70">
        <f>F154*K154</f>
        <v>0</v>
      </c>
      <c r="M154" s="89" t="s">
        <v>472</v>
      </c>
      <c r="X154" s="70">
        <f>IF(AO154="5",BH154,0)</f>
        <v>0</v>
      </c>
      <c r="Z154" s="70">
        <f>IF(AO154="1",BF154,0)</f>
        <v>0</v>
      </c>
      <c r="AA154" s="70">
        <f>IF(AO154="1",BG154,0)</f>
        <v>0</v>
      </c>
      <c r="AB154" s="70">
        <f>IF(AO154="7",BF154,0)</f>
        <v>0</v>
      </c>
      <c r="AC154" s="70">
        <f>IF(AO154="7",BG154,0)</f>
        <v>0</v>
      </c>
      <c r="AD154" s="70">
        <f>IF(AO154="2",BF154,0)</f>
        <v>0</v>
      </c>
      <c r="AE154" s="70">
        <f>IF(AO154="2",BG154,0)</f>
        <v>0</v>
      </c>
      <c r="AF154" s="70">
        <f>IF(AO154="0",BH154,0)</f>
        <v>0</v>
      </c>
      <c r="AG154" s="64" t="s">
        <v>154</v>
      </c>
      <c r="AH154" s="70">
        <f>IF(AL154=0,J154,0)</f>
        <v>0</v>
      </c>
      <c r="AI154" s="70">
        <f>IF(AL154=15,J154,0)</f>
        <v>0</v>
      </c>
      <c r="AJ154" s="70">
        <f>IF(AL154=21,J154,0)</f>
        <v>0</v>
      </c>
      <c r="AL154" s="70">
        <v>21</v>
      </c>
      <c r="AM154" s="70">
        <f>G154*0</f>
        <v>0</v>
      </c>
      <c r="AN154" s="70">
        <f>G154*(1-0)</f>
        <v>0</v>
      </c>
      <c r="AO154" s="71" t="s">
        <v>177</v>
      </c>
      <c r="AT154" s="70">
        <f>AU154+AV154</f>
        <v>0</v>
      </c>
      <c r="AU154" s="70">
        <f>F154*AM154</f>
        <v>0</v>
      </c>
      <c r="AV154" s="70">
        <f>F154*AN154</f>
        <v>0</v>
      </c>
      <c r="AW154" s="71" t="s">
        <v>387</v>
      </c>
      <c r="AX154" s="71" t="s">
        <v>375</v>
      </c>
      <c r="AY154" s="64" t="s">
        <v>164</v>
      </c>
      <c r="BA154" s="70">
        <f>AU154+AV154</f>
        <v>0</v>
      </c>
      <c r="BB154" s="70">
        <f>G154/(100-BC154)*100</f>
        <v>0</v>
      </c>
      <c r="BC154" s="70">
        <v>0</v>
      </c>
      <c r="BD154" s="70">
        <f>L154</f>
        <v>0</v>
      </c>
      <c r="BF154" s="70">
        <f>F154*AM154</f>
        <v>0</v>
      </c>
      <c r="BG154" s="70">
        <f>F154*AN154</f>
        <v>0</v>
      </c>
      <c r="BH154" s="70">
        <f>F154*G154</f>
        <v>0</v>
      </c>
      <c r="BI154" s="70"/>
      <c r="BJ154" s="70"/>
      <c r="BU154" s="70" t="e">
        <f>#REF!</f>
        <v>#REF!</v>
      </c>
    </row>
    <row r="155" spans="1:73" ht="13.5" customHeight="1" x14ac:dyDescent="0.3">
      <c r="A155" s="82" t="s">
        <v>396</v>
      </c>
      <c r="B155" s="60" t="s">
        <v>388</v>
      </c>
      <c r="C155" s="551" t="s">
        <v>389</v>
      </c>
      <c r="D155" s="565"/>
      <c r="E155" s="60" t="s">
        <v>380</v>
      </c>
      <c r="F155" s="70">
        <v>403.65</v>
      </c>
      <c r="G155" s="311">
        <v>0</v>
      </c>
      <c r="H155" s="70">
        <f>F155*AM155</f>
        <v>0</v>
      </c>
      <c r="I155" s="70">
        <f>F155*AN155</f>
        <v>0</v>
      </c>
      <c r="J155" s="70">
        <f>F155*G155</f>
        <v>0</v>
      </c>
      <c r="K155" s="70">
        <v>0</v>
      </c>
      <c r="L155" s="70">
        <f>F155*K155</f>
        <v>0</v>
      </c>
      <c r="M155" s="89" t="s">
        <v>472</v>
      </c>
      <c r="X155" s="70">
        <f>IF(AO155="5",BH155,0)</f>
        <v>0</v>
      </c>
      <c r="Z155" s="70">
        <f>IF(AO155="1",BF155,0)</f>
        <v>0</v>
      </c>
      <c r="AA155" s="70">
        <f>IF(AO155="1",BG155,0)</f>
        <v>0</v>
      </c>
      <c r="AB155" s="70">
        <f>IF(AO155="7",BF155,0)</f>
        <v>0</v>
      </c>
      <c r="AC155" s="70">
        <f>IF(AO155="7",BG155,0)</f>
        <v>0</v>
      </c>
      <c r="AD155" s="70">
        <f>IF(AO155="2",BF155,0)</f>
        <v>0</v>
      </c>
      <c r="AE155" s="70">
        <f>IF(AO155="2",BG155,0)</f>
        <v>0</v>
      </c>
      <c r="AF155" s="70">
        <f>IF(AO155="0",BH155,0)</f>
        <v>0</v>
      </c>
      <c r="AG155" s="64" t="s">
        <v>154</v>
      </c>
      <c r="AH155" s="70">
        <f>IF(AL155=0,J155,0)</f>
        <v>0</v>
      </c>
      <c r="AI155" s="70">
        <f>IF(AL155=15,J155,0)</f>
        <v>0</v>
      </c>
      <c r="AJ155" s="70">
        <f>IF(AL155=21,J155,0)</f>
        <v>0</v>
      </c>
      <c r="AL155" s="70">
        <v>21</v>
      </c>
      <c r="AM155" s="70">
        <f>G155*0</f>
        <v>0</v>
      </c>
      <c r="AN155" s="70">
        <f>G155*(1-0)</f>
        <v>0</v>
      </c>
      <c r="AO155" s="71" t="s">
        <v>177</v>
      </c>
      <c r="AT155" s="70">
        <f>AU155+AV155</f>
        <v>0</v>
      </c>
      <c r="AU155" s="70">
        <f>F155*AM155</f>
        <v>0</v>
      </c>
      <c r="AV155" s="70">
        <f>F155*AN155</f>
        <v>0</v>
      </c>
      <c r="AW155" s="71" t="s">
        <v>387</v>
      </c>
      <c r="AX155" s="71" t="s">
        <v>375</v>
      </c>
      <c r="AY155" s="64" t="s">
        <v>164</v>
      </c>
      <c r="BA155" s="70">
        <f>AU155+AV155</f>
        <v>0</v>
      </c>
      <c r="BB155" s="70">
        <f>G155/(100-BC155)*100</f>
        <v>0</v>
      </c>
      <c r="BC155" s="70">
        <v>0</v>
      </c>
      <c r="BD155" s="70">
        <f>L155</f>
        <v>0</v>
      </c>
      <c r="BF155" s="70">
        <f>F155*AM155</f>
        <v>0</v>
      </c>
      <c r="BG155" s="70">
        <f>F155*AN155</f>
        <v>0</v>
      </c>
      <c r="BH155" s="70">
        <f>F155*G155</f>
        <v>0</v>
      </c>
      <c r="BI155" s="70"/>
      <c r="BJ155" s="70"/>
      <c r="BU155" s="70" t="e">
        <f>#REF!</f>
        <v>#REF!</v>
      </c>
    </row>
    <row r="156" spans="1:73" ht="40.5" customHeight="1" x14ac:dyDescent="0.3">
      <c r="A156" s="90"/>
      <c r="B156" s="72" t="s">
        <v>165</v>
      </c>
      <c r="C156" s="581" t="s">
        <v>870</v>
      </c>
      <c r="D156" s="582"/>
      <c r="E156" s="582"/>
      <c r="F156" s="582"/>
      <c r="G156" s="582"/>
      <c r="H156" s="582"/>
      <c r="I156" s="582"/>
      <c r="J156" s="582"/>
      <c r="K156" s="582"/>
      <c r="L156" s="582"/>
      <c r="M156" s="583"/>
    </row>
    <row r="157" spans="1:73" ht="13.5" customHeight="1" x14ac:dyDescent="0.3">
      <c r="A157" s="82" t="s">
        <v>401</v>
      </c>
      <c r="B157" s="60" t="s">
        <v>391</v>
      </c>
      <c r="C157" s="551" t="s">
        <v>392</v>
      </c>
      <c r="D157" s="565"/>
      <c r="E157" s="60" t="s">
        <v>380</v>
      </c>
      <c r="F157" s="70">
        <v>5.85</v>
      </c>
      <c r="G157" s="311">
        <v>0</v>
      </c>
      <c r="H157" s="70">
        <f>F157*AM157</f>
        <v>0</v>
      </c>
      <c r="I157" s="70">
        <f>F157*AN157</f>
        <v>0</v>
      </c>
      <c r="J157" s="70">
        <f>F157*G157</f>
        <v>0</v>
      </c>
      <c r="K157" s="70">
        <v>0</v>
      </c>
      <c r="L157" s="70">
        <f>F157*K157</f>
        <v>0</v>
      </c>
      <c r="M157" s="89" t="s">
        <v>472</v>
      </c>
      <c r="X157" s="70">
        <f>IF(AO157="5",BH157,0)</f>
        <v>0</v>
      </c>
      <c r="Z157" s="70">
        <f>IF(AO157="1",BF157,0)</f>
        <v>0</v>
      </c>
      <c r="AA157" s="70">
        <f>IF(AO157="1",BG157,0)</f>
        <v>0</v>
      </c>
      <c r="AB157" s="70">
        <f>IF(AO157="7",BF157,0)</f>
        <v>0</v>
      </c>
      <c r="AC157" s="70">
        <f>IF(AO157="7",BG157,0)</f>
        <v>0</v>
      </c>
      <c r="AD157" s="70">
        <f>IF(AO157="2",BF157,0)</f>
        <v>0</v>
      </c>
      <c r="AE157" s="70">
        <f>IF(AO157="2",BG157,0)</f>
        <v>0</v>
      </c>
      <c r="AF157" s="70">
        <f>IF(AO157="0",BH157,0)</f>
        <v>0</v>
      </c>
      <c r="AG157" s="64" t="s">
        <v>154</v>
      </c>
      <c r="AH157" s="70">
        <f>IF(AL157=0,J157,0)</f>
        <v>0</v>
      </c>
      <c r="AI157" s="70">
        <f>IF(AL157=15,J157,0)</f>
        <v>0</v>
      </c>
      <c r="AJ157" s="70">
        <f>IF(AL157=21,J157,0)</f>
        <v>0</v>
      </c>
      <c r="AL157" s="70">
        <v>21</v>
      </c>
      <c r="AM157" s="70">
        <f>G157*0</f>
        <v>0</v>
      </c>
      <c r="AN157" s="70">
        <f>G157*(1-0)</f>
        <v>0</v>
      </c>
      <c r="AO157" s="71" t="s">
        <v>177</v>
      </c>
      <c r="AT157" s="70">
        <f>AU157+AV157</f>
        <v>0</v>
      </c>
      <c r="AU157" s="70">
        <f>F157*AM157</f>
        <v>0</v>
      </c>
      <c r="AV157" s="70">
        <f>F157*AN157</f>
        <v>0</v>
      </c>
      <c r="AW157" s="71" t="s">
        <v>387</v>
      </c>
      <c r="AX157" s="71" t="s">
        <v>375</v>
      </c>
      <c r="AY157" s="64" t="s">
        <v>164</v>
      </c>
      <c r="BA157" s="70">
        <f>AU157+AV157</f>
        <v>0</v>
      </c>
      <c r="BB157" s="70">
        <f>G157/(100-BC157)*100</f>
        <v>0</v>
      </c>
      <c r="BC157" s="70">
        <v>0</v>
      </c>
      <c r="BD157" s="70">
        <f>L157</f>
        <v>0</v>
      </c>
      <c r="BF157" s="70">
        <f>F157*AM157</f>
        <v>0</v>
      </c>
      <c r="BG157" s="70">
        <f>F157*AN157</f>
        <v>0</v>
      </c>
      <c r="BH157" s="70">
        <f>F157*G157</f>
        <v>0</v>
      </c>
      <c r="BI157" s="70"/>
      <c r="BJ157" s="70"/>
      <c r="BU157" s="70" t="e">
        <f>#REF!</f>
        <v>#REF!</v>
      </c>
    </row>
    <row r="158" spans="1:73" ht="40.5" customHeight="1" x14ac:dyDescent="0.3">
      <c r="A158" s="90"/>
      <c r="B158" s="72" t="s">
        <v>165</v>
      </c>
      <c r="C158" s="581" t="s">
        <v>871</v>
      </c>
      <c r="D158" s="582"/>
      <c r="E158" s="582"/>
      <c r="F158" s="582"/>
      <c r="G158" s="582"/>
      <c r="H158" s="582"/>
      <c r="I158" s="582"/>
      <c r="J158" s="582"/>
      <c r="K158" s="582"/>
      <c r="L158" s="582"/>
      <c r="M158" s="583"/>
    </row>
    <row r="159" spans="1:73" ht="27" customHeight="1" x14ac:dyDescent="0.3">
      <c r="A159" s="82" t="s">
        <v>405</v>
      </c>
      <c r="B159" s="60" t="s">
        <v>385</v>
      </c>
      <c r="C159" s="551" t="s">
        <v>443</v>
      </c>
      <c r="D159" s="565"/>
      <c r="E159" s="60" t="s">
        <v>380</v>
      </c>
      <c r="F159" s="70">
        <v>29.16</v>
      </c>
      <c r="G159" s="311">
        <v>0</v>
      </c>
      <c r="H159" s="70">
        <f>F159*AM159</f>
        <v>0</v>
      </c>
      <c r="I159" s="70">
        <f>F159*AN159</f>
        <v>0</v>
      </c>
      <c r="J159" s="70">
        <f>F159*G159</f>
        <v>0</v>
      </c>
      <c r="K159" s="70">
        <v>0</v>
      </c>
      <c r="L159" s="70">
        <f>F159*K159</f>
        <v>0</v>
      </c>
      <c r="M159" s="89" t="s">
        <v>472</v>
      </c>
      <c r="X159" s="70">
        <f>IF(AO159="5",BH159,0)</f>
        <v>0</v>
      </c>
      <c r="Z159" s="70">
        <f>IF(AO159="1",BF159,0)</f>
        <v>0</v>
      </c>
      <c r="AA159" s="70">
        <f>IF(AO159="1",BG159,0)</f>
        <v>0</v>
      </c>
      <c r="AB159" s="70">
        <f>IF(AO159="7",BF159,0)</f>
        <v>0</v>
      </c>
      <c r="AC159" s="70">
        <f>IF(AO159="7",BG159,0)</f>
        <v>0</v>
      </c>
      <c r="AD159" s="70">
        <f>IF(AO159="2",BF159,0)</f>
        <v>0</v>
      </c>
      <c r="AE159" s="70">
        <f>IF(AO159="2",BG159,0)</f>
        <v>0</v>
      </c>
      <c r="AF159" s="70">
        <f>IF(AO159="0",BH159,0)</f>
        <v>0</v>
      </c>
      <c r="AG159" s="64" t="s">
        <v>154</v>
      </c>
      <c r="AH159" s="70">
        <f>IF(AL159=0,J159,0)</f>
        <v>0</v>
      </c>
      <c r="AI159" s="70">
        <f>IF(AL159=15,J159,0)</f>
        <v>0</v>
      </c>
      <c r="AJ159" s="70">
        <f>IF(AL159=21,J159,0)</f>
        <v>0</v>
      </c>
      <c r="AL159" s="70">
        <v>21</v>
      </c>
      <c r="AM159" s="70">
        <f>G159*0</f>
        <v>0</v>
      </c>
      <c r="AN159" s="70">
        <f>G159*(1-0)</f>
        <v>0</v>
      </c>
      <c r="AO159" s="71" t="s">
        <v>177</v>
      </c>
      <c r="AT159" s="70">
        <f>AU159+AV159</f>
        <v>0</v>
      </c>
      <c r="AU159" s="70">
        <f>F159*AM159</f>
        <v>0</v>
      </c>
      <c r="AV159" s="70">
        <f>F159*AN159</f>
        <v>0</v>
      </c>
      <c r="AW159" s="71" t="s">
        <v>387</v>
      </c>
      <c r="AX159" s="71" t="s">
        <v>375</v>
      </c>
      <c r="AY159" s="64" t="s">
        <v>164</v>
      </c>
      <c r="BA159" s="70">
        <f>AU159+AV159</f>
        <v>0</v>
      </c>
      <c r="BB159" s="70">
        <f>G159/(100-BC159)*100</f>
        <v>0</v>
      </c>
      <c r="BC159" s="70">
        <v>0</v>
      </c>
      <c r="BD159" s="70">
        <f>L159</f>
        <v>0</v>
      </c>
      <c r="BF159" s="70">
        <f>F159*AM159</f>
        <v>0</v>
      </c>
      <c r="BG159" s="70">
        <f>F159*AN159</f>
        <v>0</v>
      </c>
      <c r="BH159" s="70">
        <f>F159*G159</f>
        <v>0</v>
      </c>
      <c r="BI159" s="70"/>
      <c r="BJ159" s="70"/>
      <c r="BU159" s="70" t="e">
        <f>#REF!</f>
        <v>#REF!</v>
      </c>
    </row>
    <row r="160" spans="1:73" ht="15" customHeight="1" x14ac:dyDescent="0.3">
      <c r="A160" s="82" t="s">
        <v>154</v>
      </c>
      <c r="B160" s="61" t="s">
        <v>399</v>
      </c>
      <c r="C160" s="564" t="s">
        <v>400</v>
      </c>
      <c r="D160" s="571"/>
      <c r="E160" s="60" t="s">
        <v>114</v>
      </c>
      <c r="F160" s="60" t="s">
        <v>114</v>
      </c>
      <c r="G160" s="60" t="s">
        <v>114</v>
      </c>
      <c r="H160" s="73">
        <f>SUM(H161:H162)</f>
        <v>0</v>
      </c>
      <c r="I160" s="73">
        <f>SUM(I161:I162)</f>
        <v>0</v>
      </c>
      <c r="J160" s="73">
        <f>SUM(J161:J162)</f>
        <v>0</v>
      </c>
      <c r="K160" s="65" t="s">
        <v>154</v>
      </c>
      <c r="L160" s="73">
        <f>SUM(L161:L162)</f>
        <v>0</v>
      </c>
      <c r="M160" s="91" t="s">
        <v>154</v>
      </c>
      <c r="AG160" s="64" t="s">
        <v>154</v>
      </c>
      <c r="AQ160" s="59">
        <f>SUM(AH161:AH162)</f>
        <v>0</v>
      </c>
      <c r="AR160" s="59">
        <f>SUM(AI161:AI162)</f>
        <v>0</v>
      </c>
      <c r="AS160" s="59">
        <f>SUM(AJ161:AJ162)</f>
        <v>0</v>
      </c>
    </row>
    <row r="161" spans="1:73" ht="13.5" customHeight="1" x14ac:dyDescent="0.3">
      <c r="A161" s="82" t="s">
        <v>408</v>
      </c>
      <c r="B161" s="60" t="s">
        <v>402</v>
      </c>
      <c r="C161" s="551" t="s">
        <v>403</v>
      </c>
      <c r="D161" s="565"/>
      <c r="E161" s="60" t="s">
        <v>380</v>
      </c>
      <c r="F161" s="70">
        <v>1.1200000000000001</v>
      </c>
      <c r="G161" s="311">
        <v>0</v>
      </c>
      <c r="H161" s="70">
        <f>F161*AM161</f>
        <v>0</v>
      </c>
      <c r="I161" s="70">
        <f>F161*AN161</f>
        <v>0</v>
      </c>
      <c r="J161" s="70">
        <f>F161*G161</f>
        <v>0</v>
      </c>
      <c r="K161" s="70">
        <v>0</v>
      </c>
      <c r="L161" s="70">
        <f>F161*K161</f>
        <v>0</v>
      </c>
      <c r="M161" s="89" t="s">
        <v>472</v>
      </c>
      <c r="X161" s="70">
        <f>IF(AO161="5",BH161,0)</f>
        <v>0</v>
      </c>
      <c r="Z161" s="70">
        <f>IF(AO161="1",BF161,0)</f>
        <v>0</v>
      </c>
      <c r="AA161" s="70">
        <f>IF(AO161="1",BG161,0)</f>
        <v>0</v>
      </c>
      <c r="AB161" s="70">
        <f>IF(AO161="7",BF161,0)</f>
        <v>0</v>
      </c>
      <c r="AC161" s="70">
        <f>IF(AO161="7",BG161,0)</f>
        <v>0</v>
      </c>
      <c r="AD161" s="70">
        <f>IF(AO161="2",BF161,0)</f>
        <v>0</v>
      </c>
      <c r="AE161" s="70">
        <f>IF(AO161="2",BG161,0)</f>
        <v>0</v>
      </c>
      <c r="AF161" s="70">
        <f>IF(AO161="0",BH161,0)</f>
        <v>0</v>
      </c>
      <c r="AG161" s="64" t="s">
        <v>154</v>
      </c>
      <c r="AH161" s="70">
        <f>IF(AL161=0,J161,0)</f>
        <v>0</v>
      </c>
      <c r="AI161" s="70">
        <f>IF(AL161=15,J161,0)</f>
        <v>0</v>
      </c>
      <c r="AJ161" s="70">
        <f>IF(AL161=21,J161,0)</f>
        <v>0</v>
      </c>
      <c r="AL161" s="70">
        <v>21</v>
      </c>
      <c r="AM161" s="70">
        <f>G161*0</f>
        <v>0</v>
      </c>
      <c r="AN161" s="70">
        <f>G161*(1-0)</f>
        <v>0</v>
      </c>
      <c r="AO161" s="71" t="s">
        <v>177</v>
      </c>
      <c r="AT161" s="70">
        <f>AU161+AV161</f>
        <v>0</v>
      </c>
      <c r="AU161" s="70">
        <f>F161*AM161</f>
        <v>0</v>
      </c>
      <c r="AV161" s="70">
        <f>F161*AN161</f>
        <v>0</v>
      </c>
      <c r="AW161" s="71" t="s">
        <v>404</v>
      </c>
      <c r="AX161" s="71" t="s">
        <v>375</v>
      </c>
      <c r="AY161" s="64" t="s">
        <v>164</v>
      </c>
      <c r="BA161" s="70">
        <f>AU161+AV161</f>
        <v>0</v>
      </c>
      <c r="BB161" s="70">
        <f>G161/(100-BC161)*100</f>
        <v>0</v>
      </c>
      <c r="BC161" s="70">
        <v>0</v>
      </c>
      <c r="BD161" s="70">
        <f>L161</f>
        <v>0</v>
      </c>
      <c r="BF161" s="70">
        <f>F161*AM161</f>
        <v>0</v>
      </c>
      <c r="BG161" s="70">
        <f>F161*AN161</f>
        <v>0</v>
      </c>
      <c r="BH161" s="70">
        <f>F161*G161</f>
        <v>0</v>
      </c>
      <c r="BI161" s="70"/>
      <c r="BJ161" s="70"/>
      <c r="BU161" s="70" t="e">
        <f>#REF!</f>
        <v>#REF!</v>
      </c>
    </row>
    <row r="162" spans="1:73" ht="13.5" customHeight="1" x14ac:dyDescent="0.3">
      <c r="A162" s="82" t="s">
        <v>413</v>
      </c>
      <c r="B162" s="60" t="s">
        <v>406</v>
      </c>
      <c r="C162" s="551" t="s">
        <v>407</v>
      </c>
      <c r="D162" s="565"/>
      <c r="E162" s="60" t="s">
        <v>380</v>
      </c>
      <c r="F162" s="70">
        <v>29.87</v>
      </c>
      <c r="G162" s="311">
        <v>0</v>
      </c>
      <c r="H162" s="70">
        <f>F162*AM162</f>
        <v>0</v>
      </c>
      <c r="I162" s="70">
        <f>F162*AN162</f>
        <v>0</v>
      </c>
      <c r="J162" s="70">
        <f>F162*G162</f>
        <v>0</v>
      </c>
      <c r="K162" s="70">
        <v>0</v>
      </c>
      <c r="L162" s="70">
        <f>F162*K162</f>
        <v>0</v>
      </c>
      <c r="M162" s="89" t="s">
        <v>472</v>
      </c>
      <c r="X162" s="70">
        <f>IF(AO162="5",BH162,0)</f>
        <v>0</v>
      </c>
      <c r="Z162" s="70">
        <f>IF(AO162="1",BF162,0)</f>
        <v>0</v>
      </c>
      <c r="AA162" s="70">
        <f>IF(AO162="1",BG162,0)</f>
        <v>0</v>
      </c>
      <c r="AB162" s="70">
        <f>IF(AO162="7",BF162,0)</f>
        <v>0</v>
      </c>
      <c r="AC162" s="70">
        <f>IF(AO162="7",BG162,0)</f>
        <v>0</v>
      </c>
      <c r="AD162" s="70">
        <f>IF(AO162="2",BF162,0)</f>
        <v>0</v>
      </c>
      <c r="AE162" s="70">
        <f>IF(AO162="2",BG162,0)</f>
        <v>0</v>
      </c>
      <c r="AF162" s="70">
        <f>IF(AO162="0",BH162,0)</f>
        <v>0</v>
      </c>
      <c r="AG162" s="64" t="s">
        <v>154</v>
      </c>
      <c r="AH162" s="70">
        <f>IF(AL162=0,J162,0)</f>
        <v>0</v>
      </c>
      <c r="AI162" s="70">
        <f>IF(AL162=15,J162,0)</f>
        <v>0</v>
      </c>
      <c r="AJ162" s="70">
        <f>IF(AL162=21,J162,0)</f>
        <v>0</v>
      </c>
      <c r="AL162" s="70">
        <v>21</v>
      </c>
      <c r="AM162" s="70">
        <f>G162*0</f>
        <v>0</v>
      </c>
      <c r="AN162" s="70">
        <f>G162*(1-0)</f>
        <v>0</v>
      </c>
      <c r="AO162" s="71" t="s">
        <v>177</v>
      </c>
      <c r="AT162" s="70">
        <f>AU162+AV162</f>
        <v>0</v>
      </c>
      <c r="AU162" s="70">
        <f>F162*AM162</f>
        <v>0</v>
      </c>
      <c r="AV162" s="70">
        <f>F162*AN162</f>
        <v>0</v>
      </c>
      <c r="AW162" s="71" t="s">
        <v>404</v>
      </c>
      <c r="AX162" s="71" t="s">
        <v>375</v>
      </c>
      <c r="AY162" s="64" t="s">
        <v>164</v>
      </c>
      <c r="BA162" s="70">
        <f>AU162+AV162</f>
        <v>0</v>
      </c>
      <c r="BB162" s="70">
        <f>G162/(100-BC162)*100</f>
        <v>0</v>
      </c>
      <c r="BC162" s="70">
        <v>0</v>
      </c>
      <c r="BD162" s="70">
        <f>L162</f>
        <v>0</v>
      </c>
      <c r="BF162" s="70">
        <f>F162*AM162</f>
        <v>0</v>
      </c>
      <c r="BG162" s="70">
        <f>F162*AN162</f>
        <v>0</v>
      </c>
      <c r="BH162" s="70">
        <f>F162*G162</f>
        <v>0</v>
      </c>
      <c r="BI162" s="70"/>
      <c r="BJ162" s="70"/>
      <c r="BU162" s="70" t="e">
        <f>#REF!</f>
        <v>#REF!</v>
      </c>
    </row>
    <row r="163" spans="1:73" ht="15" customHeight="1" x14ac:dyDescent="0.3">
      <c r="A163" s="82" t="s">
        <v>154</v>
      </c>
      <c r="B163" s="61" t="s">
        <v>444</v>
      </c>
      <c r="C163" s="564" t="s">
        <v>445</v>
      </c>
      <c r="D163" s="571"/>
      <c r="E163" s="60" t="s">
        <v>114</v>
      </c>
      <c r="F163" s="60" t="s">
        <v>114</v>
      </c>
      <c r="G163" s="60" t="s">
        <v>114</v>
      </c>
      <c r="H163" s="73">
        <f>SUM(H164:H164)</f>
        <v>0</v>
      </c>
      <c r="I163" s="73">
        <f>SUM(I164:I164)</f>
        <v>0</v>
      </c>
      <c r="J163" s="73">
        <f>SUM(J164:J164)</f>
        <v>0</v>
      </c>
      <c r="K163" s="65" t="s">
        <v>154</v>
      </c>
      <c r="L163" s="73">
        <f>SUM(L164:L164)</f>
        <v>0</v>
      </c>
      <c r="M163" s="91" t="s">
        <v>154</v>
      </c>
      <c r="AG163" s="64" t="s">
        <v>154</v>
      </c>
      <c r="AQ163" s="59">
        <f>SUM(AH164:AH164)</f>
        <v>0</v>
      </c>
      <c r="AR163" s="59">
        <f>SUM(AI164:AI164)</f>
        <v>0</v>
      </c>
      <c r="AS163" s="59">
        <f>SUM(AJ164:AJ164)</f>
        <v>0</v>
      </c>
    </row>
    <row r="164" spans="1:73" ht="13.5" customHeight="1" x14ac:dyDescent="0.3">
      <c r="A164" s="82" t="s">
        <v>419</v>
      </c>
      <c r="B164" s="60" t="s">
        <v>446</v>
      </c>
      <c r="C164" s="551" t="s">
        <v>447</v>
      </c>
      <c r="D164" s="565"/>
      <c r="E164" s="60" t="s">
        <v>380</v>
      </c>
      <c r="F164" s="70">
        <v>0.01</v>
      </c>
      <c r="G164" s="311">
        <v>0</v>
      </c>
      <c r="H164" s="70">
        <f>F164*AM164</f>
        <v>0</v>
      </c>
      <c r="I164" s="70">
        <f>F164*AN164</f>
        <v>0</v>
      </c>
      <c r="J164" s="70">
        <f>F164*G164</f>
        <v>0</v>
      </c>
      <c r="K164" s="70">
        <v>0</v>
      </c>
      <c r="L164" s="70">
        <f>F164*K164</f>
        <v>0</v>
      </c>
      <c r="M164" s="89" t="s">
        <v>472</v>
      </c>
      <c r="X164" s="70">
        <f>IF(AO164="5",BH164,0)</f>
        <v>0</v>
      </c>
      <c r="Z164" s="70">
        <f>IF(AO164="1",BF164,0)</f>
        <v>0</v>
      </c>
      <c r="AA164" s="70">
        <f>IF(AO164="1",BG164,0)</f>
        <v>0</v>
      </c>
      <c r="AB164" s="70">
        <f>IF(AO164="7",BF164,0)</f>
        <v>0</v>
      </c>
      <c r="AC164" s="70">
        <f>IF(AO164="7",BG164,0)</f>
        <v>0</v>
      </c>
      <c r="AD164" s="70">
        <f>IF(AO164="2",BF164,0)</f>
        <v>0</v>
      </c>
      <c r="AE164" s="70">
        <f>IF(AO164="2",BG164,0)</f>
        <v>0</v>
      </c>
      <c r="AF164" s="70">
        <f>IF(AO164="0",BH164,0)</f>
        <v>0</v>
      </c>
      <c r="AG164" s="64" t="s">
        <v>154</v>
      </c>
      <c r="AH164" s="70">
        <f>IF(AL164=0,J164,0)</f>
        <v>0</v>
      </c>
      <c r="AI164" s="70">
        <f>IF(AL164=15,J164,0)</f>
        <v>0</v>
      </c>
      <c r="AJ164" s="70">
        <f>IF(AL164=21,J164,0)</f>
        <v>0</v>
      </c>
      <c r="AL164" s="70">
        <v>21</v>
      </c>
      <c r="AM164" s="70">
        <f>G164*0</f>
        <v>0</v>
      </c>
      <c r="AN164" s="70">
        <f>G164*(1-0)</f>
        <v>0</v>
      </c>
      <c r="AO164" s="71" t="s">
        <v>177</v>
      </c>
      <c r="AT164" s="70">
        <f>AU164+AV164</f>
        <v>0</v>
      </c>
      <c r="AU164" s="70">
        <f>F164*AM164</f>
        <v>0</v>
      </c>
      <c r="AV164" s="70">
        <f>F164*AN164</f>
        <v>0</v>
      </c>
      <c r="AW164" s="71" t="s">
        <v>448</v>
      </c>
      <c r="AX164" s="71" t="s">
        <v>375</v>
      </c>
      <c r="AY164" s="64" t="s">
        <v>164</v>
      </c>
      <c r="BA164" s="70">
        <f>AU164+AV164</f>
        <v>0</v>
      </c>
      <c r="BB164" s="70">
        <f>G164/(100-BC164)*100</f>
        <v>0</v>
      </c>
      <c r="BC164" s="70">
        <v>0</v>
      </c>
      <c r="BD164" s="70">
        <f>L164</f>
        <v>0</v>
      </c>
      <c r="BF164" s="70">
        <f>F164*AM164</f>
        <v>0</v>
      </c>
      <c r="BG164" s="70">
        <f>F164*AN164</f>
        <v>0</v>
      </c>
      <c r="BH164" s="70">
        <f>F164*G164</f>
        <v>0</v>
      </c>
      <c r="BI164" s="70"/>
      <c r="BJ164" s="70"/>
      <c r="BU164" s="70" t="e">
        <f>#REF!</f>
        <v>#REF!</v>
      </c>
    </row>
    <row r="165" spans="1:73" ht="15" customHeight="1" x14ac:dyDescent="0.3">
      <c r="A165" s="82" t="s">
        <v>154</v>
      </c>
      <c r="B165" s="61" t="s">
        <v>411</v>
      </c>
      <c r="C165" s="564" t="s">
        <v>412</v>
      </c>
      <c r="D165" s="571"/>
      <c r="E165" s="60" t="s">
        <v>114</v>
      </c>
      <c r="F165" s="60" t="s">
        <v>114</v>
      </c>
      <c r="G165" s="60" t="s">
        <v>114</v>
      </c>
      <c r="H165" s="73">
        <f>SUM(H166:H166)</f>
        <v>0</v>
      </c>
      <c r="I165" s="73">
        <f>SUM(I166:I166)</f>
        <v>0</v>
      </c>
      <c r="J165" s="73">
        <f>SUM(J166:J166)</f>
        <v>0</v>
      </c>
      <c r="K165" s="65" t="s">
        <v>154</v>
      </c>
      <c r="L165" s="73">
        <f>SUM(L166:L166)</f>
        <v>0</v>
      </c>
      <c r="M165" s="91" t="s">
        <v>154</v>
      </c>
      <c r="AG165" s="64" t="s">
        <v>154</v>
      </c>
      <c r="AQ165" s="59">
        <f>SUM(AH166:AH166)</f>
        <v>0</v>
      </c>
      <c r="AR165" s="59">
        <f>SUM(AI166:AI166)</f>
        <v>0</v>
      </c>
      <c r="AS165" s="59">
        <f>SUM(AJ166:AJ166)</f>
        <v>0</v>
      </c>
    </row>
    <row r="166" spans="1:73" ht="13.5" customHeight="1" x14ac:dyDescent="0.3">
      <c r="A166" s="82" t="s">
        <v>548</v>
      </c>
      <c r="B166" s="60" t="s">
        <v>414</v>
      </c>
      <c r="C166" s="551" t="s">
        <v>415</v>
      </c>
      <c r="D166" s="565"/>
      <c r="E166" s="60" t="s">
        <v>380</v>
      </c>
      <c r="F166" s="70">
        <v>4.3600000000000003</v>
      </c>
      <c r="G166" s="311">
        <v>0</v>
      </c>
      <c r="H166" s="70">
        <f>F166*AM166</f>
        <v>0</v>
      </c>
      <c r="I166" s="70">
        <f>F166*AN166</f>
        <v>0</v>
      </c>
      <c r="J166" s="70">
        <f>F166*G166</f>
        <v>0</v>
      </c>
      <c r="K166" s="70">
        <v>0</v>
      </c>
      <c r="L166" s="70">
        <f>F166*K166</f>
        <v>0</v>
      </c>
      <c r="M166" s="89" t="s">
        <v>472</v>
      </c>
      <c r="X166" s="70">
        <f>IF(AO166="5",BH166,0)</f>
        <v>0</v>
      </c>
      <c r="Z166" s="70">
        <f>IF(AO166="1",BF166,0)</f>
        <v>0</v>
      </c>
      <c r="AA166" s="70">
        <f>IF(AO166="1",BG166,0)</f>
        <v>0</v>
      </c>
      <c r="AB166" s="70">
        <f>IF(AO166="7",BF166,0)</f>
        <v>0</v>
      </c>
      <c r="AC166" s="70">
        <f>IF(AO166="7",BG166,0)</f>
        <v>0</v>
      </c>
      <c r="AD166" s="70">
        <f>IF(AO166="2",BF166,0)</f>
        <v>0</v>
      </c>
      <c r="AE166" s="70">
        <f>IF(AO166="2",BG166,0)</f>
        <v>0</v>
      </c>
      <c r="AF166" s="70">
        <f>IF(AO166="0",BH166,0)</f>
        <v>0</v>
      </c>
      <c r="AG166" s="64" t="s">
        <v>154</v>
      </c>
      <c r="AH166" s="70">
        <f>IF(AL166=0,J166,0)</f>
        <v>0</v>
      </c>
      <c r="AI166" s="70">
        <f>IF(AL166=15,J166,0)</f>
        <v>0</v>
      </c>
      <c r="AJ166" s="70">
        <f>IF(AL166=21,J166,0)</f>
        <v>0</v>
      </c>
      <c r="AL166" s="70">
        <v>21</v>
      </c>
      <c r="AM166" s="70">
        <f>G166*0</f>
        <v>0</v>
      </c>
      <c r="AN166" s="70">
        <f>G166*(1-0)</f>
        <v>0</v>
      </c>
      <c r="AO166" s="71" t="s">
        <v>177</v>
      </c>
      <c r="AT166" s="70">
        <f>AU166+AV166</f>
        <v>0</v>
      </c>
      <c r="AU166" s="70">
        <f>F166*AM166</f>
        <v>0</v>
      </c>
      <c r="AV166" s="70">
        <f>F166*AN166</f>
        <v>0</v>
      </c>
      <c r="AW166" s="71" t="s">
        <v>416</v>
      </c>
      <c r="AX166" s="71" t="s">
        <v>375</v>
      </c>
      <c r="AY166" s="64" t="s">
        <v>164</v>
      </c>
      <c r="BA166" s="70">
        <f>AU166+AV166</f>
        <v>0</v>
      </c>
      <c r="BB166" s="70">
        <f>G166/(100-BC166)*100</f>
        <v>0</v>
      </c>
      <c r="BC166" s="70">
        <v>0</v>
      </c>
      <c r="BD166" s="70">
        <f>L166</f>
        <v>0</v>
      </c>
      <c r="BF166" s="70">
        <f>F166*AM166</f>
        <v>0</v>
      </c>
      <c r="BG166" s="70">
        <f>F166*AN166</f>
        <v>0</v>
      </c>
      <c r="BH166" s="70">
        <f>F166*G166</f>
        <v>0</v>
      </c>
      <c r="BI166" s="70"/>
      <c r="BJ166" s="70"/>
      <c r="BU166" s="70" t="e">
        <f>#REF!</f>
        <v>#REF!</v>
      </c>
    </row>
    <row r="167" spans="1:73" ht="15" customHeight="1" x14ac:dyDescent="0.3">
      <c r="A167" s="82" t="s">
        <v>154</v>
      </c>
      <c r="B167" s="61" t="s">
        <v>621</v>
      </c>
      <c r="C167" s="564" t="s">
        <v>622</v>
      </c>
      <c r="D167" s="571"/>
      <c r="E167" s="60" t="s">
        <v>114</v>
      </c>
      <c r="F167" s="60" t="s">
        <v>114</v>
      </c>
      <c r="G167" s="60" t="s">
        <v>114</v>
      </c>
      <c r="H167" s="73">
        <f>SUM(H168:H168)</f>
        <v>0</v>
      </c>
      <c r="I167" s="73">
        <f>SUM(I168:I168)</f>
        <v>0</v>
      </c>
      <c r="J167" s="73">
        <f>SUM(J168:J168)</f>
        <v>0</v>
      </c>
      <c r="K167" s="65" t="s">
        <v>154</v>
      </c>
      <c r="L167" s="73">
        <f>SUM(L168:L168)</f>
        <v>0</v>
      </c>
      <c r="M167" s="91" t="s">
        <v>154</v>
      </c>
      <c r="AG167" s="64" t="s">
        <v>154</v>
      </c>
      <c r="AQ167" s="59">
        <f>SUM(AH168:AH168)</f>
        <v>0</v>
      </c>
      <c r="AR167" s="59">
        <f>SUM(AI168:AI168)</f>
        <v>0</v>
      </c>
      <c r="AS167" s="59">
        <f>SUM(AJ168:AJ168)</f>
        <v>0</v>
      </c>
    </row>
    <row r="168" spans="1:73" ht="13.5" customHeight="1" x14ac:dyDescent="0.3">
      <c r="A168" s="82" t="s">
        <v>551</v>
      </c>
      <c r="B168" s="60" t="s">
        <v>624</v>
      </c>
      <c r="C168" s="551" t="s">
        <v>625</v>
      </c>
      <c r="D168" s="565"/>
      <c r="E168" s="60" t="s">
        <v>160</v>
      </c>
      <c r="F168" s="70">
        <v>41</v>
      </c>
      <c r="G168" s="311">
        <v>0</v>
      </c>
      <c r="H168" s="70">
        <f>F168*AM168</f>
        <v>0</v>
      </c>
      <c r="I168" s="70">
        <f>F168*AN168</f>
        <v>0</v>
      </c>
      <c r="J168" s="70">
        <f>F168*G168</f>
        <v>0</v>
      </c>
      <c r="K168" s="70">
        <v>0</v>
      </c>
      <c r="L168" s="70">
        <f>F168*K168</f>
        <v>0</v>
      </c>
      <c r="M168" s="89" t="s">
        <v>472</v>
      </c>
      <c r="X168" s="70">
        <f>IF(AO168="5",BH168,0)</f>
        <v>0</v>
      </c>
      <c r="Z168" s="70">
        <f>IF(AO168="1",BF168,0)</f>
        <v>0</v>
      </c>
      <c r="AA168" s="70">
        <f>IF(AO168="1",BG168,0)</f>
        <v>0</v>
      </c>
      <c r="AB168" s="70">
        <f>IF(AO168="7",BF168,0)</f>
        <v>0</v>
      </c>
      <c r="AC168" s="70">
        <f>IF(AO168="7",BG168,0)</f>
        <v>0</v>
      </c>
      <c r="AD168" s="70">
        <f>IF(AO168="2",BF168,0)</f>
        <v>0</v>
      </c>
      <c r="AE168" s="70">
        <f>IF(AO168="2",BG168,0)</f>
        <v>0</v>
      </c>
      <c r="AF168" s="70">
        <f>IF(AO168="0",BH168,0)</f>
        <v>0</v>
      </c>
      <c r="AG168" s="64" t="s">
        <v>154</v>
      </c>
      <c r="AH168" s="70">
        <f>IF(AL168=0,J168,0)</f>
        <v>0</v>
      </c>
      <c r="AI168" s="70">
        <f>IF(AL168=15,J168,0)</f>
        <v>0</v>
      </c>
      <c r="AJ168" s="70">
        <f>IF(AL168=21,J168,0)</f>
        <v>0</v>
      </c>
      <c r="AL168" s="70">
        <v>21</v>
      </c>
      <c r="AM168" s="70">
        <f>G168*0</f>
        <v>0</v>
      </c>
      <c r="AN168" s="70">
        <f>G168*(1-0)</f>
        <v>0</v>
      </c>
      <c r="AO168" s="71" t="s">
        <v>166</v>
      </c>
      <c r="AT168" s="70">
        <f>AU168+AV168</f>
        <v>0</v>
      </c>
      <c r="AU168" s="70">
        <f>F168*AM168</f>
        <v>0</v>
      </c>
      <c r="AV168" s="70">
        <f>F168*AN168</f>
        <v>0</v>
      </c>
      <c r="AW168" s="71" t="s">
        <v>626</v>
      </c>
      <c r="AX168" s="71" t="s">
        <v>375</v>
      </c>
      <c r="AY168" s="64" t="s">
        <v>164</v>
      </c>
      <c r="BA168" s="70">
        <f>AU168+AV168</f>
        <v>0</v>
      </c>
      <c r="BB168" s="70">
        <f>G168/(100-BC168)*100</f>
        <v>0</v>
      </c>
      <c r="BC168" s="70">
        <v>0</v>
      </c>
      <c r="BD168" s="70">
        <f>L168</f>
        <v>0</v>
      </c>
      <c r="BF168" s="70">
        <f>F168*AM168</f>
        <v>0</v>
      </c>
      <c r="BG168" s="70">
        <f>F168*AN168</f>
        <v>0</v>
      </c>
      <c r="BH168" s="70">
        <f>F168*G168</f>
        <v>0</v>
      </c>
      <c r="BI168" s="70"/>
      <c r="BJ168" s="70"/>
      <c r="BU168" s="70" t="e">
        <f>#REF!</f>
        <v>#REF!</v>
      </c>
    </row>
    <row r="169" spans="1:73" ht="27" customHeight="1" x14ac:dyDescent="0.3">
      <c r="A169" s="92"/>
      <c r="B169" s="93" t="s">
        <v>165</v>
      </c>
      <c r="C169" s="584" t="s">
        <v>872</v>
      </c>
      <c r="D169" s="585"/>
      <c r="E169" s="585"/>
      <c r="F169" s="585"/>
      <c r="G169" s="585"/>
      <c r="H169" s="585"/>
      <c r="I169" s="585"/>
      <c r="J169" s="585"/>
      <c r="K169" s="585"/>
      <c r="L169" s="585"/>
      <c r="M169" s="586"/>
    </row>
    <row r="170" spans="1:73" ht="15" customHeight="1" x14ac:dyDescent="0.3">
      <c r="A170" s="84" t="s">
        <v>154</v>
      </c>
      <c r="B170" s="81" t="s">
        <v>627</v>
      </c>
      <c r="C170" s="573" t="s">
        <v>628</v>
      </c>
      <c r="D170" s="574"/>
      <c r="E170" s="85" t="s">
        <v>114</v>
      </c>
      <c r="F170" s="85" t="s">
        <v>114</v>
      </c>
      <c r="G170" s="85" t="s">
        <v>114</v>
      </c>
      <c r="H170" s="86">
        <f>SUM(H171:H175)</f>
        <v>0</v>
      </c>
      <c r="I170" s="86">
        <f>SUM(I171:I175)</f>
        <v>0</v>
      </c>
      <c r="J170" s="86">
        <f>SUM(J171:J175)</f>
        <v>0</v>
      </c>
      <c r="K170" s="87" t="s">
        <v>154</v>
      </c>
      <c r="L170" s="86">
        <f>SUM(L171:L175)</f>
        <v>0.32543999999999995</v>
      </c>
      <c r="M170" s="88" t="s">
        <v>154</v>
      </c>
      <c r="AG170" s="64" t="s">
        <v>154</v>
      </c>
      <c r="AQ170" s="59">
        <f>SUM(AH171:AH175)</f>
        <v>0</v>
      </c>
      <c r="AR170" s="59">
        <f>SUM(AI171:AI175)</f>
        <v>0</v>
      </c>
      <c r="AS170" s="59">
        <f>SUM(AJ171:AJ175)</f>
        <v>0</v>
      </c>
    </row>
    <row r="171" spans="1:73" ht="13.5" customHeight="1" x14ac:dyDescent="0.3">
      <c r="A171" s="82" t="s">
        <v>555</v>
      </c>
      <c r="B171" s="60" t="s">
        <v>630</v>
      </c>
      <c r="C171" s="551" t="s">
        <v>631</v>
      </c>
      <c r="D171" s="565"/>
      <c r="E171" s="60" t="s">
        <v>160</v>
      </c>
      <c r="F171" s="70">
        <v>12</v>
      </c>
      <c r="G171" s="311">
        <v>0</v>
      </c>
      <c r="H171" s="70">
        <f>F171*AM171</f>
        <v>0</v>
      </c>
      <c r="I171" s="70">
        <f>F171*AN171</f>
        <v>0</v>
      </c>
      <c r="J171" s="70">
        <f>F171*G171</f>
        <v>0</v>
      </c>
      <c r="K171" s="70">
        <v>2.7119999999999998E-2</v>
      </c>
      <c r="L171" s="70">
        <f>F171*K171</f>
        <v>0.32543999999999995</v>
      </c>
      <c r="M171" s="89" t="s">
        <v>472</v>
      </c>
      <c r="X171" s="70">
        <f>IF(AO171="5",BH171,0)</f>
        <v>0</v>
      </c>
      <c r="Z171" s="70">
        <f>IF(AO171="1",BF171,0)</f>
        <v>0</v>
      </c>
      <c r="AA171" s="70">
        <f>IF(AO171="1",BG171,0)</f>
        <v>0</v>
      </c>
      <c r="AB171" s="70">
        <f>IF(AO171="7",BF171,0)</f>
        <v>0</v>
      </c>
      <c r="AC171" s="70">
        <f>IF(AO171="7",BG171,0)</f>
        <v>0</v>
      </c>
      <c r="AD171" s="70">
        <f>IF(AO171="2",BF171,0)</f>
        <v>0</v>
      </c>
      <c r="AE171" s="70">
        <f>IF(AO171="2",BG171,0)</f>
        <v>0</v>
      </c>
      <c r="AF171" s="70">
        <f>IF(AO171="0",BH171,0)</f>
        <v>0</v>
      </c>
      <c r="AG171" s="64" t="s">
        <v>154</v>
      </c>
      <c r="AH171" s="70">
        <f>IF(AL171=0,J171,0)</f>
        <v>0</v>
      </c>
      <c r="AI171" s="70">
        <f>IF(AL171=15,J171,0)</f>
        <v>0</v>
      </c>
      <c r="AJ171" s="70">
        <f>IF(AL171=21,J171,0)</f>
        <v>0</v>
      </c>
      <c r="AL171" s="70">
        <v>21</v>
      </c>
      <c r="AM171" s="70">
        <f>G171*0.309135483870968</f>
        <v>0</v>
      </c>
      <c r="AN171" s="70">
        <f>G171*(1-0.309135483870968)</f>
        <v>0</v>
      </c>
      <c r="AO171" s="71" t="s">
        <v>166</v>
      </c>
      <c r="AT171" s="70">
        <f>AU171+AV171</f>
        <v>0</v>
      </c>
      <c r="AU171" s="70">
        <f>F171*AM171</f>
        <v>0</v>
      </c>
      <c r="AV171" s="70">
        <f>F171*AN171</f>
        <v>0</v>
      </c>
      <c r="AW171" s="71" t="s">
        <v>632</v>
      </c>
      <c r="AX171" s="71" t="s">
        <v>375</v>
      </c>
      <c r="AY171" s="64" t="s">
        <v>164</v>
      </c>
      <c r="BA171" s="70">
        <f>AU171+AV171</f>
        <v>0</v>
      </c>
      <c r="BB171" s="70">
        <f>G171/(100-BC171)*100</f>
        <v>0</v>
      </c>
      <c r="BC171" s="70">
        <v>0</v>
      </c>
      <c r="BD171" s="70">
        <f>L171</f>
        <v>0.32543999999999995</v>
      </c>
      <c r="BF171" s="70">
        <f>F171*AM171</f>
        <v>0</v>
      </c>
      <c r="BG171" s="70">
        <f>F171*AN171</f>
        <v>0</v>
      </c>
      <c r="BH171" s="70">
        <f>F171*G171</f>
        <v>0</v>
      </c>
      <c r="BI171" s="70"/>
      <c r="BJ171" s="70"/>
      <c r="BU171" s="70" t="e">
        <f>#REF!</f>
        <v>#REF!</v>
      </c>
    </row>
    <row r="172" spans="1:73" ht="40.5" customHeight="1" x14ac:dyDescent="0.3">
      <c r="A172" s="90"/>
      <c r="B172" s="72" t="s">
        <v>165</v>
      </c>
      <c r="C172" s="581" t="s">
        <v>633</v>
      </c>
      <c r="D172" s="582"/>
      <c r="E172" s="582"/>
      <c r="F172" s="582"/>
      <c r="G172" s="582"/>
      <c r="H172" s="582"/>
      <c r="I172" s="582"/>
      <c r="J172" s="582"/>
      <c r="K172" s="582"/>
      <c r="L172" s="582"/>
      <c r="M172" s="583"/>
    </row>
    <row r="173" spans="1:73" ht="13.5" customHeight="1" x14ac:dyDescent="0.3">
      <c r="A173" s="82" t="s">
        <v>559</v>
      </c>
      <c r="B173" s="60" t="s">
        <v>635</v>
      </c>
      <c r="C173" s="551" t="s">
        <v>636</v>
      </c>
      <c r="D173" s="565"/>
      <c r="E173" s="60" t="s">
        <v>365</v>
      </c>
      <c r="F173" s="70">
        <v>8</v>
      </c>
      <c r="G173" s="311">
        <v>0</v>
      </c>
      <c r="H173" s="70">
        <f>F173*AM173</f>
        <v>0</v>
      </c>
      <c r="I173" s="70">
        <f>F173*AN173</f>
        <v>0</v>
      </c>
      <c r="J173" s="70">
        <f>F173*G173</f>
        <v>0</v>
      </c>
      <c r="K173" s="70">
        <v>0</v>
      </c>
      <c r="L173" s="70">
        <f>F173*K173</f>
        <v>0</v>
      </c>
      <c r="M173" s="89" t="s">
        <v>472</v>
      </c>
      <c r="X173" s="70">
        <f>IF(AO173="5",BH173,0)</f>
        <v>0</v>
      </c>
      <c r="Z173" s="70">
        <f>IF(AO173="1",BF173,0)</f>
        <v>0</v>
      </c>
      <c r="AA173" s="70">
        <f>IF(AO173="1",BG173,0)</f>
        <v>0</v>
      </c>
      <c r="AB173" s="70">
        <f>IF(AO173="7",BF173,0)</f>
        <v>0</v>
      </c>
      <c r="AC173" s="70">
        <f>IF(AO173="7",BG173,0)</f>
        <v>0</v>
      </c>
      <c r="AD173" s="70">
        <f>IF(AO173="2",BF173,0)</f>
        <v>0</v>
      </c>
      <c r="AE173" s="70">
        <f>IF(AO173="2",BG173,0)</f>
        <v>0</v>
      </c>
      <c r="AF173" s="70">
        <f>IF(AO173="0",BH173,0)</f>
        <v>0</v>
      </c>
      <c r="AG173" s="64" t="s">
        <v>154</v>
      </c>
      <c r="AH173" s="70">
        <f>IF(AL173=0,J173,0)</f>
        <v>0</v>
      </c>
      <c r="AI173" s="70">
        <f>IF(AL173=15,J173,0)</f>
        <v>0</v>
      </c>
      <c r="AJ173" s="70">
        <f>IF(AL173=21,J173,0)</f>
        <v>0</v>
      </c>
      <c r="AL173" s="70">
        <v>21</v>
      </c>
      <c r="AM173" s="70">
        <f>G173*0</f>
        <v>0</v>
      </c>
      <c r="AN173" s="70">
        <f>G173*(1-0)</f>
        <v>0</v>
      </c>
      <c r="AO173" s="71" t="s">
        <v>166</v>
      </c>
      <c r="AT173" s="70">
        <f>AU173+AV173</f>
        <v>0</v>
      </c>
      <c r="AU173" s="70">
        <f>F173*AM173</f>
        <v>0</v>
      </c>
      <c r="AV173" s="70">
        <f>F173*AN173</f>
        <v>0</v>
      </c>
      <c r="AW173" s="71" t="s">
        <v>632</v>
      </c>
      <c r="AX173" s="71" t="s">
        <v>375</v>
      </c>
      <c r="AY173" s="64" t="s">
        <v>164</v>
      </c>
      <c r="BA173" s="70">
        <f>AU173+AV173</f>
        <v>0</v>
      </c>
      <c r="BB173" s="70">
        <f>G173/(100-BC173)*100</f>
        <v>0</v>
      </c>
      <c r="BC173" s="70">
        <v>0</v>
      </c>
      <c r="BD173" s="70">
        <f>L173</f>
        <v>0</v>
      </c>
      <c r="BF173" s="70">
        <f>F173*AM173</f>
        <v>0</v>
      </c>
      <c r="BG173" s="70">
        <f>F173*AN173</f>
        <v>0</v>
      </c>
      <c r="BH173" s="70">
        <f>F173*G173</f>
        <v>0</v>
      </c>
      <c r="BI173" s="70"/>
      <c r="BJ173" s="70"/>
      <c r="BU173" s="70" t="e">
        <f>#REF!</f>
        <v>#REF!</v>
      </c>
    </row>
    <row r="174" spans="1:73" ht="40.5" customHeight="1" x14ac:dyDescent="0.3">
      <c r="A174" s="90"/>
      <c r="B174" s="72" t="s">
        <v>165</v>
      </c>
      <c r="C174" s="581" t="s">
        <v>637</v>
      </c>
      <c r="D174" s="582"/>
      <c r="E174" s="582"/>
      <c r="F174" s="582"/>
      <c r="G174" s="582"/>
      <c r="H174" s="582"/>
      <c r="I174" s="582"/>
      <c r="J174" s="582"/>
      <c r="K174" s="582"/>
      <c r="L174" s="582"/>
      <c r="M174" s="583"/>
    </row>
    <row r="175" spans="1:73" ht="13.5" customHeight="1" x14ac:dyDescent="0.3">
      <c r="A175" s="82" t="s">
        <v>562</v>
      </c>
      <c r="B175" s="60" t="s">
        <v>639</v>
      </c>
      <c r="C175" s="551" t="s">
        <v>640</v>
      </c>
      <c r="D175" s="565"/>
      <c r="E175" s="60" t="s">
        <v>365</v>
      </c>
      <c r="F175" s="70">
        <v>2</v>
      </c>
      <c r="G175" s="311">
        <v>0</v>
      </c>
      <c r="H175" s="70">
        <f>F175*AM175</f>
        <v>0</v>
      </c>
      <c r="I175" s="70">
        <f>F175*AN175</f>
        <v>0</v>
      </c>
      <c r="J175" s="70">
        <f>F175*G175</f>
        <v>0</v>
      </c>
      <c r="K175" s="70">
        <v>0</v>
      </c>
      <c r="L175" s="70">
        <f>F175*K175</f>
        <v>0</v>
      </c>
      <c r="M175" s="89" t="s">
        <v>472</v>
      </c>
      <c r="X175" s="70">
        <f>IF(AO175="5",BH175,0)</f>
        <v>0</v>
      </c>
      <c r="Z175" s="70">
        <f>IF(AO175="1",BF175,0)</f>
        <v>0</v>
      </c>
      <c r="AA175" s="70">
        <f>IF(AO175="1",BG175,0)</f>
        <v>0</v>
      </c>
      <c r="AB175" s="70">
        <f>IF(AO175="7",BF175,0)</f>
        <v>0</v>
      </c>
      <c r="AC175" s="70">
        <f>IF(AO175="7",BG175,0)</f>
        <v>0</v>
      </c>
      <c r="AD175" s="70">
        <f>IF(AO175="2",BF175,0)</f>
        <v>0</v>
      </c>
      <c r="AE175" s="70">
        <f>IF(AO175="2",BG175,0)</f>
        <v>0</v>
      </c>
      <c r="AF175" s="70">
        <f>IF(AO175="0",BH175,0)</f>
        <v>0</v>
      </c>
      <c r="AG175" s="64" t="s">
        <v>154</v>
      </c>
      <c r="AH175" s="70">
        <f>IF(AL175=0,J175,0)</f>
        <v>0</v>
      </c>
      <c r="AI175" s="70">
        <f>IF(AL175=15,J175,0)</f>
        <v>0</v>
      </c>
      <c r="AJ175" s="70">
        <f>IF(AL175=21,J175,0)</f>
        <v>0</v>
      </c>
      <c r="AL175" s="70">
        <v>21</v>
      </c>
      <c r="AM175" s="70">
        <f>G175*0</f>
        <v>0</v>
      </c>
      <c r="AN175" s="70">
        <f>G175*(1-0)</f>
        <v>0</v>
      </c>
      <c r="AO175" s="71" t="s">
        <v>166</v>
      </c>
      <c r="AT175" s="70">
        <f>AU175+AV175</f>
        <v>0</v>
      </c>
      <c r="AU175" s="70">
        <f>F175*AM175</f>
        <v>0</v>
      </c>
      <c r="AV175" s="70">
        <f>F175*AN175</f>
        <v>0</v>
      </c>
      <c r="AW175" s="71" t="s">
        <v>632</v>
      </c>
      <c r="AX175" s="71" t="s">
        <v>375</v>
      </c>
      <c r="AY175" s="64" t="s">
        <v>164</v>
      </c>
      <c r="BA175" s="70">
        <f>AU175+AV175</f>
        <v>0</v>
      </c>
      <c r="BB175" s="70">
        <f>G175/(100-BC175)*100</f>
        <v>0</v>
      </c>
      <c r="BC175" s="70">
        <v>0</v>
      </c>
      <c r="BD175" s="70">
        <f>L175</f>
        <v>0</v>
      </c>
      <c r="BF175" s="70">
        <f>F175*AM175</f>
        <v>0</v>
      </c>
      <c r="BG175" s="70">
        <f>F175*AN175</f>
        <v>0</v>
      </c>
      <c r="BH175" s="70">
        <f>F175*G175</f>
        <v>0</v>
      </c>
      <c r="BI175" s="70"/>
      <c r="BJ175" s="70"/>
      <c r="BU175" s="70" t="e">
        <f>#REF!</f>
        <v>#REF!</v>
      </c>
    </row>
    <row r="176" spans="1:73" ht="40.5" customHeight="1" x14ac:dyDescent="0.3">
      <c r="A176" s="90"/>
      <c r="B176" s="72" t="s">
        <v>165</v>
      </c>
      <c r="C176" s="581" t="s">
        <v>641</v>
      </c>
      <c r="D176" s="582"/>
      <c r="E176" s="582"/>
      <c r="F176" s="582"/>
      <c r="G176" s="582"/>
      <c r="H176" s="582"/>
      <c r="I176" s="582"/>
      <c r="J176" s="582"/>
      <c r="K176" s="582"/>
      <c r="L176" s="582"/>
      <c r="M176" s="583"/>
    </row>
    <row r="177" spans="1:73" ht="15" customHeight="1" x14ac:dyDescent="0.3">
      <c r="A177" s="82" t="s">
        <v>154</v>
      </c>
      <c r="B177" s="61" t="s">
        <v>154</v>
      </c>
      <c r="C177" s="564" t="s">
        <v>449</v>
      </c>
      <c r="D177" s="571"/>
      <c r="E177" s="60" t="s">
        <v>114</v>
      </c>
      <c r="F177" s="60" t="s">
        <v>114</v>
      </c>
      <c r="G177" s="60" t="s">
        <v>114</v>
      </c>
      <c r="H177" s="73">
        <f>SUM(H178:H209)</f>
        <v>0</v>
      </c>
      <c r="I177" s="73">
        <f>SUM(I178:I209)</f>
        <v>0</v>
      </c>
      <c r="J177" s="73">
        <f>SUM(J178:J209)</f>
        <v>0</v>
      </c>
      <c r="K177" s="65" t="s">
        <v>154</v>
      </c>
      <c r="L177" s="73">
        <f>SUM(L178:L209)</f>
        <v>0.80293800000000004</v>
      </c>
      <c r="M177" s="91" t="s">
        <v>154</v>
      </c>
      <c r="AG177" s="64" t="s">
        <v>154</v>
      </c>
      <c r="AQ177" s="59">
        <f>SUM(AH178:AH209)</f>
        <v>0</v>
      </c>
      <c r="AR177" s="59">
        <f>SUM(AI178:AI209)</f>
        <v>0</v>
      </c>
      <c r="AS177" s="59">
        <f>SUM(AJ178:AJ209)</f>
        <v>0</v>
      </c>
    </row>
    <row r="178" spans="1:73" ht="13.5" customHeight="1" x14ac:dyDescent="0.3">
      <c r="A178" s="82" t="s">
        <v>566</v>
      </c>
      <c r="B178" s="60" t="s">
        <v>650</v>
      </c>
      <c r="C178" s="551" t="s">
        <v>651</v>
      </c>
      <c r="D178" s="565"/>
      <c r="E178" s="60" t="s">
        <v>160</v>
      </c>
      <c r="F178" s="70">
        <v>13.2</v>
      </c>
      <c r="G178" s="311">
        <v>0</v>
      </c>
      <c r="H178" s="70">
        <f>F178*AM178</f>
        <v>0</v>
      </c>
      <c r="I178" s="70">
        <f>F178*AN178</f>
        <v>0</v>
      </c>
      <c r="J178" s="70">
        <f>F178*G178</f>
        <v>0</v>
      </c>
      <c r="K178" s="70">
        <v>1.12E-2</v>
      </c>
      <c r="L178" s="70">
        <f>F178*K178</f>
        <v>0.14784</v>
      </c>
      <c r="M178" s="89" t="s">
        <v>472</v>
      </c>
      <c r="X178" s="70">
        <f>IF(AO178="5",BH178,0)</f>
        <v>0</v>
      </c>
      <c r="Z178" s="70">
        <f>IF(AO178="1",BF178,0)</f>
        <v>0</v>
      </c>
      <c r="AA178" s="70">
        <f>IF(AO178="1",BG178,0)</f>
        <v>0</v>
      </c>
      <c r="AB178" s="70">
        <f>IF(AO178="7",BF178,0)</f>
        <v>0</v>
      </c>
      <c r="AC178" s="70">
        <f>IF(AO178="7",BG178,0)</f>
        <v>0</v>
      </c>
      <c r="AD178" s="70">
        <f>IF(AO178="2",BF178,0)</f>
        <v>0</v>
      </c>
      <c r="AE178" s="70">
        <f>IF(AO178="2",BG178,0)</f>
        <v>0</v>
      </c>
      <c r="AF178" s="70">
        <f>IF(AO178="0",BH178,0)</f>
        <v>0</v>
      </c>
      <c r="AG178" s="64" t="s">
        <v>154</v>
      </c>
      <c r="AH178" s="70">
        <f>IF(AL178=0,J178,0)</f>
        <v>0</v>
      </c>
      <c r="AI178" s="70">
        <f>IF(AL178=15,J178,0)</f>
        <v>0</v>
      </c>
      <c r="AJ178" s="70">
        <f>IF(AL178=21,J178,0)</f>
        <v>0</v>
      </c>
      <c r="AL178" s="70">
        <v>21</v>
      </c>
      <c r="AM178" s="70">
        <f>G178*1</f>
        <v>0</v>
      </c>
      <c r="AN178" s="70">
        <f>G178*(1-1)</f>
        <v>0</v>
      </c>
      <c r="AO178" s="71" t="s">
        <v>453</v>
      </c>
      <c r="AT178" s="70">
        <f>AU178+AV178</f>
        <v>0</v>
      </c>
      <c r="AU178" s="70">
        <f>F178*AM178</f>
        <v>0</v>
      </c>
      <c r="AV178" s="70">
        <f>F178*AN178</f>
        <v>0</v>
      </c>
      <c r="AW178" s="71" t="s">
        <v>454</v>
      </c>
      <c r="AX178" s="71" t="s">
        <v>455</v>
      </c>
      <c r="AY178" s="64" t="s">
        <v>164</v>
      </c>
      <c r="BA178" s="70">
        <f>AU178+AV178</f>
        <v>0</v>
      </c>
      <c r="BB178" s="70">
        <f>G178/(100-BC178)*100</f>
        <v>0</v>
      </c>
      <c r="BC178" s="70">
        <v>0</v>
      </c>
      <c r="BD178" s="70">
        <f>L178</f>
        <v>0.14784</v>
      </c>
      <c r="BF178" s="70">
        <f>F178*AM178</f>
        <v>0</v>
      </c>
      <c r="BG178" s="70">
        <f>F178*AN178</f>
        <v>0</v>
      </c>
      <c r="BH178" s="70">
        <f>F178*G178</f>
        <v>0</v>
      </c>
      <c r="BI178" s="70"/>
      <c r="BJ178" s="70"/>
      <c r="BU178" s="70" t="e">
        <f>#REF!</f>
        <v>#REF!</v>
      </c>
    </row>
    <row r="179" spans="1:73" ht="54" customHeight="1" x14ac:dyDescent="0.3">
      <c r="A179" s="90"/>
      <c r="B179" s="72" t="s">
        <v>165</v>
      </c>
      <c r="C179" s="581" t="s">
        <v>652</v>
      </c>
      <c r="D179" s="582"/>
      <c r="E179" s="582"/>
      <c r="F179" s="582"/>
      <c r="G179" s="582"/>
      <c r="H179" s="582"/>
      <c r="I179" s="582"/>
      <c r="J179" s="582"/>
      <c r="K179" s="582"/>
      <c r="L179" s="582"/>
      <c r="M179" s="583"/>
    </row>
    <row r="180" spans="1:73" ht="13.5" customHeight="1" x14ac:dyDescent="0.3">
      <c r="A180" s="82" t="s">
        <v>570</v>
      </c>
      <c r="B180" s="60" t="s">
        <v>654</v>
      </c>
      <c r="C180" s="551" t="s">
        <v>655</v>
      </c>
      <c r="D180" s="565"/>
      <c r="E180" s="60" t="s">
        <v>365</v>
      </c>
      <c r="F180" s="70">
        <v>8</v>
      </c>
      <c r="G180" s="311">
        <v>0</v>
      </c>
      <c r="H180" s="70">
        <f>F180*AM180</f>
        <v>0</v>
      </c>
      <c r="I180" s="70">
        <f>F180*AN180</f>
        <v>0</v>
      </c>
      <c r="J180" s="70">
        <f>F180*G180</f>
        <v>0</v>
      </c>
      <c r="K180" s="70">
        <v>4.0000000000000003E-5</v>
      </c>
      <c r="L180" s="70">
        <f>F180*K180</f>
        <v>3.2000000000000003E-4</v>
      </c>
      <c r="M180" s="89" t="s">
        <v>472</v>
      </c>
      <c r="X180" s="70">
        <f>IF(AO180="5",BH180,0)</f>
        <v>0</v>
      </c>
      <c r="Z180" s="70">
        <f>IF(AO180="1",BF180,0)</f>
        <v>0</v>
      </c>
      <c r="AA180" s="70">
        <f>IF(AO180="1",BG180,0)</f>
        <v>0</v>
      </c>
      <c r="AB180" s="70">
        <f>IF(AO180="7",BF180,0)</f>
        <v>0</v>
      </c>
      <c r="AC180" s="70">
        <f>IF(AO180="7",BG180,0)</f>
        <v>0</v>
      </c>
      <c r="AD180" s="70">
        <f>IF(AO180="2",BF180,0)</f>
        <v>0</v>
      </c>
      <c r="AE180" s="70">
        <f>IF(AO180="2",BG180,0)</f>
        <v>0</v>
      </c>
      <c r="AF180" s="70">
        <f>IF(AO180="0",BH180,0)</f>
        <v>0</v>
      </c>
      <c r="AG180" s="64" t="s">
        <v>154</v>
      </c>
      <c r="AH180" s="70">
        <f>IF(AL180=0,J180,0)</f>
        <v>0</v>
      </c>
      <c r="AI180" s="70">
        <f>IF(AL180=15,J180,0)</f>
        <v>0</v>
      </c>
      <c r="AJ180" s="70">
        <f>IF(AL180=21,J180,0)</f>
        <v>0</v>
      </c>
      <c r="AL180" s="70">
        <v>21</v>
      </c>
      <c r="AM180" s="70">
        <f>G180*1</f>
        <v>0</v>
      </c>
      <c r="AN180" s="70">
        <f>G180*(1-1)</f>
        <v>0</v>
      </c>
      <c r="AO180" s="71" t="s">
        <v>453</v>
      </c>
      <c r="AT180" s="70">
        <f>AU180+AV180</f>
        <v>0</v>
      </c>
      <c r="AU180" s="70">
        <f>F180*AM180</f>
        <v>0</v>
      </c>
      <c r="AV180" s="70">
        <f>F180*AN180</f>
        <v>0</v>
      </c>
      <c r="AW180" s="71" t="s">
        <v>454</v>
      </c>
      <c r="AX180" s="71" t="s">
        <v>455</v>
      </c>
      <c r="AY180" s="64" t="s">
        <v>164</v>
      </c>
      <c r="BA180" s="70">
        <f>AU180+AV180</f>
        <v>0</v>
      </c>
      <c r="BB180" s="70">
        <f>G180/(100-BC180)*100</f>
        <v>0</v>
      </c>
      <c r="BC180" s="70">
        <v>0</v>
      </c>
      <c r="BD180" s="70">
        <f>L180</f>
        <v>3.2000000000000003E-4</v>
      </c>
      <c r="BF180" s="70">
        <f>F180*AM180</f>
        <v>0</v>
      </c>
      <c r="BG180" s="70">
        <f>F180*AN180</f>
        <v>0</v>
      </c>
      <c r="BH180" s="70">
        <f>F180*G180</f>
        <v>0</v>
      </c>
      <c r="BI180" s="70"/>
      <c r="BJ180" s="70"/>
      <c r="BU180" s="70" t="e">
        <f>#REF!</f>
        <v>#REF!</v>
      </c>
    </row>
    <row r="181" spans="1:73" ht="121.5" customHeight="1" x14ac:dyDescent="0.3">
      <c r="A181" s="90"/>
      <c r="B181" s="72" t="s">
        <v>165</v>
      </c>
      <c r="C181" s="581" t="s">
        <v>656</v>
      </c>
      <c r="D181" s="582"/>
      <c r="E181" s="582"/>
      <c r="F181" s="582"/>
      <c r="G181" s="582"/>
      <c r="H181" s="582"/>
      <c r="I181" s="582"/>
      <c r="J181" s="582"/>
      <c r="K181" s="582"/>
      <c r="L181" s="582"/>
      <c r="M181" s="583"/>
    </row>
    <row r="182" spans="1:73" ht="13.5" customHeight="1" x14ac:dyDescent="0.3">
      <c r="A182" s="82" t="s">
        <v>573</v>
      </c>
      <c r="B182" s="60" t="s">
        <v>658</v>
      </c>
      <c r="C182" s="551" t="s">
        <v>659</v>
      </c>
      <c r="D182" s="565"/>
      <c r="E182" s="60" t="s">
        <v>365</v>
      </c>
      <c r="F182" s="70">
        <v>2</v>
      </c>
      <c r="G182" s="311">
        <v>0</v>
      </c>
      <c r="H182" s="70">
        <f>F182*AM182</f>
        <v>0</v>
      </c>
      <c r="I182" s="70">
        <f>F182*AN182</f>
        <v>0</v>
      </c>
      <c r="J182" s="70">
        <f>F182*G182</f>
        <v>0</v>
      </c>
      <c r="K182" s="70">
        <v>1E-3</v>
      </c>
      <c r="L182" s="70">
        <f>F182*K182</f>
        <v>2E-3</v>
      </c>
      <c r="M182" s="89" t="s">
        <v>472</v>
      </c>
      <c r="X182" s="70">
        <f>IF(AO182="5",BH182,0)</f>
        <v>0</v>
      </c>
      <c r="Z182" s="70">
        <f>IF(AO182="1",BF182,0)</f>
        <v>0</v>
      </c>
      <c r="AA182" s="70">
        <f>IF(AO182="1",BG182,0)</f>
        <v>0</v>
      </c>
      <c r="AB182" s="70">
        <f>IF(AO182="7",BF182,0)</f>
        <v>0</v>
      </c>
      <c r="AC182" s="70">
        <f>IF(AO182="7",BG182,0)</f>
        <v>0</v>
      </c>
      <c r="AD182" s="70">
        <f>IF(AO182="2",BF182,0)</f>
        <v>0</v>
      </c>
      <c r="AE182" s="70">
        <f>IF(AO182="2",BG182,0)</f>
        <v>0</v>
      </c>
      <c r="AF182" s="70">
        <f>IF(AO182="0",BH182,0)</f>
        <v>0</v>
      </c>
      <c r="AG182" s="64" t="s">
        <v>154</v>
      </c>
      <c r="AH182" s="70">
        <f>IF(AL182=0,J182,0)</f>
        <v>0</v>
      </c>
      <c r="AI182" s="70">
        <f>IF(AL182=15,J182,0)</f>
        <v>0</v>
      </c>
      <c r="AJ182" s="70">
        <f>IF(AL182=21,J182,0)</f>
        <v>0</v>
      </c>
      <c r="AL182" s="70">
        <v>21</v>
      </c>
      <c r="AM182" s="70">
        <f>G182*1</f>
        <v>0</v>
      </c>
      <c r="AN182" s="70">
        <f>G182*(1-1)</f>
        <v>0</v>
      </c>
      <c r="AO182" s="71" t="s">
        <v>453</v>
      </c>
      <c r="AT182" s="70">
        <f>AU182+AV182</f>
        <v>0</v>
      </c>
      <c r="AU182" s="70">
        <f>F182*AM182</f>
        <v>0</v>
      </c>
      <c r="AV182" s="70">
        <f>F182*AN182</f>
        <v>0</v>
      </c>
      <c r="AW182" s="71" t="s">
        <v>454</v>
      </c>
      <c r="AX182" s="71" t="s">
        <v>455</v>
      </c>
      <c r="AY182" s="64" t="s">
        <v>164</v>
      </c>
      <c r="BA182" s="70">
        <f>AU182+AV182</f>
        <v>0</v>
      </c>
      <c r="BB182" s="70">
        <f>G182/(100-BC182)*100</f>
        <v>0</v>
      </c>
      <c r="BC182" s="70">
        <v>0</v>
      </c>
      <c r="BD182" s="70">
        <f>L182</f>
        <v>2E-3</v>
      </c>
      <c r="BF182" s="70">
        <f>F182*AM182</f>
        <v>0</v>
      </c>
      <c r="BG182" s="70">
        <f>F182*AN182</f>
        <v>0</v>
      </c>
      <c r="BH182" s="70">
        <f>F182*G182</f>
        <v>0</v>
      </c>
      <c r="BI182" s="70"/>
      <c r="BJ182" s="70"/>
      <c r="BU182" s="70" t="e">
        <f>#REF!</f>
        <v>#REF!</v>
      </c>
    </row>
    <row r="183" spans="1:73" ht="67.5" customHeight="1" x14ac:dyDescent="0.3">
      <c r="A183" s="90"/>
      <c r="B183" s="72" t="s">
        <v>165</v>
      </c>
      <c r="C183" s="581" t="s">
        <v>660</v>
      </c>
      <c r="D183" s="582"/>
      <c r="E183" s="582"/>
      <c r="F183" s="582"/>
      <c r="G183" s="582"/>
      <c r="H183" s="582"/>
      <c r="I183" s="582"/>
      <c r="J183" s="582"/>
      <c r="K183" s="582"/>
      <c r="L183" s="582"/>
      <c r="M183" s="583"/>
    </row>
    <row r="184" spans="1:73" ht="13.5" customHeight="1" x14ac:dyDescent="0.3">
      <c r="A184" s="82" t="s">
        <v>576</v>
      </c>
      <c r="B184" s="60" t="s">
        <v>662</v>
      </c>
      <c r="C184" s="551" t="s">
        <v>663</v>
      </c>
      <c r="D184" s="565"/>
      <c r="E184" s="60" t="s">
        <v>471</v>
      </c>
      <c r="F184" s="70">
        <v>1</v>
      </c>
      <c r="G184" s="311">
        <v>0</v>
      </c>
      <c r="H184" s="70">
        <f>F184*AM184</f>
        <v>0</v>
      </c>
      <c r="I184" s="70">
        <f>F184*AN184</f>
        <v>0</v>
      </c>
      <c r="J184" s="70">
        <f>F184*G184</f>
        <v>0</v>
      </c>
      <c r="K184" s="70">
        <v>0</v>
      </c>
      <c r="L184" s="70">
        <f>F184*K184</f>
        <v>0</v>
      </c>
      <c r="M184" s="89" t="s">
        <v>472</v>
      </c>
      <c r="X184" s="70">
        <f>IF(AO184="5",BH184,0)</f>
        <v>0</v>
      </c>
      <c r="Z184" s="70">
        <f>IF(AO184="1",BF184,0)</f>
        <v>0</v>
      </c>
      <c r="AA184" s="70">
        <f>IF(AO184="1",BG184,0)</f>
        <v>0</v>
      </c>
      <c r="AB184" s="70">
        <f>IF(AO184="7",BF184,0)</f>
        <v>0</v>
      </c>
      <c r="AC184" s="70">
        <f>IF(AO184="7",BG184,0)</f>
        <v>0</v>
      </c>
      <c r="AD184" s="70">
        <f>IF(AO184="2",BF184,0)</f>
        <v>0</v>
      </c>
      <c r="AE184" s="70">
        <f>IF(AO184="2",BG184,0)</f>
        <v>0</v>
      </c>
      <c r="AF184" s="70">
        <f>IF(AO184="0",BH184,0)</f>
        <v>0</v>
      </c>
      <c r="AG184" s="64" t="s">
        <v>154</v>
      </c>
      <c r="AH184" s="70">
        <f>IF(AL184=0,J184,0)</f>
        <v>0</v>
      </c>
      <c r="AI184" s="70">
        <f>IF(AL184=15,J184,0)</f>
        <v>0</v>
      </c>
      <c r="AJ184" s="70">
        <f>IF(AL184=21,J184,0)</f>
        <v>0</v>
      </c>
      <c r="AL184" s="70">
        <v>21</v>
      </c>
      <c r="AM184" s="70">
        <f>G184*1</f>
        <v>0</v>
      </c>
      <c r="AN184" s="70">
        <f>G184*(1-1)</f>
        <v>0</v>
      </c>
      <c r="AO184" s="71" t="s">
        <v>453</v>
      </c>
      <c r="AT184" s="70">
        <f>AU184+AV184</f>
        <v>0</v>
      </c>
      <c r="AU184" s="70">
        <f>F184*AM184</f>
        <v>0</v>
      </c>
      <c r="AV184" s="70">
        <f>F184*AN184</f>
        <v>0</v>
      </c>
      <c r="AW184" s="71" t="s">
        <v>454</v>
      </c>
      <c r="AX184" s="71" t="s">
        <v>455</v>
      </c>
      <c r="AY184" s="64" t="s">
        <v>164</v>
      </c>
      <c r="BA184" s="70">
        <f>AU184+AV184</f>
        <v>0</v>
      </c>
      <c r="BB184" s="70">
        <f>G184/(100-BC184)*100</f>
        <v>0</v>
      </c>
      <c r="BC184" s="70">
        <v>0</v>
      </c>
      <c r="BD184" s="70">
        <f>L184</f>
        <v>0</v>
      </c>
      <c r="BF184" s="70">
        <f>F184*AM184</f>
        <v>0</v>
      </c>
      <c r="BG184" s="70">
        <f>F184*AN184</f>
        <v>0</v>
      </c>
      <c r="BH184" s="70">
        <f>F184*G184</f>
        <v>0</v>
      </c>
      <c r="BI184" s="70"/>
      <c r="BJ184" s="70"/>
      <c r="BU184" s="70" t="e">
        <f>#REF!</f>
        <v>#REF!</v>
      </c>
    </row>
    <row r="185" spans="1:73" ht="40.5" customHeight="1" x14ac:dyDescent="0.3">
      <c r="A185" s="90"/>
      <c r="B185" s="72" t="s">
        <v>165</v>
      </c>
      <c r="C185" s="581" t="s">
        <v>664</v>
      </c>
      <c r="D185" s="582"/>
      <c r="E185" s="582"/>
      <c r="F185" s="582"/>
      <c r="G185" s="582"/>
      <c r="H185" s="582"/>
      <c r="I185" s="582"/>
      <c r="J185" s="582"/>
      <c r="K185" s="582"/>
      <c r="L185" s="582"/>
      <c r="M185" s="583"/>
    </row>
    <row r="186" spans="1:73" ht="13.5" customHeight="1" x14ac:dyDescent="0.3">
      <c r="A186" s="82" t="s">
        <v>580</v>
      </c>
      <c r="B186" s="60" t="s">
        <v>666</v>
      </c>
      <c r="C186" s="551" t="s">
        <v>667</v>
      </c>
      <c r="D186" s="565"/>
      <c r="E186" s="60" t="s">
        <v>365</v>
      </c>
      <c r="F186" s="70">
        <v>1</v>
      </c>
      <c r="G186" s="311">
        <v>0</v>
      </c>
      <c r="H186" s="70">
        <f>F186*AM186</f>
        <v>0</v>
      </c>
      <c r="I186" s="70">
        <f>F186*AN186</f>
        <v>0</v>
      </c>
      <c r="J186" s="70">
        <f>F186*G186</f>
        <v>0</v>
      </c>
      <c r="K186" s="70">
        <v>0</v>
      </c>
      <c r="L186" s="70">
        <f>F186*K186</f>
        <v>0</v>
      </c>
      <c r="M186" s="89" t="s">
        <v>472</v>
      </c>
      <c r="X186" s="70">
        <f>IF(AO186="5",BH186,0)</f>
        <v>0</v>
      </c>
      <c r="Z186" s="70">
        <f>IF(AO186="1",BF186,0)</f>
        <v>0</v>
      </c>
      <c r="AA186" s="70">
        <f>IF(AO186="1",BG186,0)</f>
        <v>0</v>
      </c>
      <c r="AB186" s="70">
        <f>IF(AO186="7",BF186,0)</f>
        <v>0</v>
      </c>
      <c r="AC186" s="70">
        <f>IF(AO186="7",BG186,0)</f>
        <v>0</v>
      </c>
      <c r="AD186" s="70">
        <f>IF(AO186="2",BF186,0)</f>
        <v>0</v>
      </c>
      <c r="AE186" s="70">
        <f>IF(AO186="2",BG186,0)</f>
        <v>0</v>
      </c>
      <c r="AF186" s="70">
        <f>IF(AO186="0",BH186,0)</f>
        <v>0</v>
      </c>
      <c r="AG186" s="64" t="s">
        <v>154</v>
      </c>
      <c r="AH186" s="70">
        <f>IF(AL186=0,J186,0)</f>
        <v>0</v>
      </c>
      <c r="AI186" s="70">
        <f>IF(AL186=15,J186,0)</f>
        <v>0</v>
      </c>
      <c r="AJ186" s="70">
        <f>IF(AL186=21,J186,0)</f>
        <v>0</v>
      </c>
      <c r="AL186" s="70">
        <v>21</v>
      </c>
      <c r="AM186" s="70">
        <f>G186*1</f>
        <v>0</v>
      </c>
      <c r="AN186" s="70">
        <f>G186*(1-1)</f>
        <v>0</v>
      </c>
      <c r="AO186" s="71" t="s">
        <v>453</v>
      </c>
      <c r="AT186" s="70">
        <f>AU186+AV186</f>
        <v>0</v>
      </c>
      <c r="AU186" s="70">
        <f>F186*AM186</f>
        <v>0</v>
      </c>
      <c r="AV186" s="70">
        <f>F186*AN186</f>
        <v>0</v>
      </c>
      <c r="AW186" s="71" t="s">
        <v>454</v>
      </c>
      <c r="AX186" s="71" t="s">
        <v>455</v>
      </c>
      <c r="AY186" s="64" t="s">
        <v>164</v>
      </c>
      <c r="BA186" s="70">
        <f>AU186+AV186</f>
        <v>0</v>
      </c>
      <c r="BB186" s="70">
        <f>G186/(100-BC186)*100</f>
        <v>0</v>
      </c>
      <c r="BC186" s="70">
        <v>0</v>
      </c>
      <c r="BD186" s="70">
        <f>L186</f>
        <v>0</v>
      </c>
      <c r="BF186" s="70">
        <f>F186*AM186</f>
        <v>0</v>
      </c>
      <c r="BG186" s="70">
        <f>F186*AN186</f>
        <v>0</v>
      </c>
      <c r="BH186" s="70">
        <f>F186*G186</f>
        <v>0</v>
      </c>
      <c r="BI186" s="70"/>
      <c r="BJ186" s="70"/>
      <c r="BU186" s="70" t="e">
        <f>#REF!</f>
        <v>#REF!</v>
      </c>
    </row>
    <row r="187" spans="1:73" ht="40.5" customHeight="1" x14ac:dyDescent="0.3">
      <c r="A187" s="90"/>
      <c r="B187" s="72" t="s">
        <v>165</v>
      </c>
      <c r="C187" s="581" t="s">
        <v>668</v>
      </c>
      <c r="D187" s="582"/>
      <c r="E187" s="582"/>
      <c r="F187" s="582"/>
      <c r="G187" s="582"/>
      <c r="H187" s="582"/>
      <c r="I187" s="582"/>
      <c r="J187" s="582"/>
      <c r="K187" s="582"/>
      <c r="L187" s="582"/>
      <c r="M187" s="583"/>
    </row>
    <row r="188" spans="1:73" ht="13.5" customHeight="1" x14ac:dyDescent="0.3">
      <c r="A188" s="82" t="s">
        <v>584</v>
      </c>
      <c r="B188" s="60" t="s">
        <v>670</v>
      </c>
      <c r="C188" s="551" t="s">
        <v>671</v>
      </c>
      <c r="D188" s="565"/>
      <c r="E188" s="60" t="s">
        <v>471</v>
      </c>
      <c r="F188" s="70">
        <v>1</v>
      </c>
      <c r="G188" s="311">
        <v>0</v>
      </c>
      <c r="H188" s="70">
        <f>F188*AM188</f>
        <v>0</v>
      </c>
      <c r="I188" s="70">
        <f>F188*AN188</f>
        <v>0</v>
      </c>
      <c r="J188" s="70">
        <f>F188*G188</f>
        <v>0</v>
      </c>
      <c r="K188" s="70">
        <v>0</v>
      </c>
      <c r="L188" s="70">
        <f>F188*K188</f>
        <v>0</v>
      </c>
      <c r="M188" s="89" t="s">
        <v>154</v>
      </c>
      <c r="X188" s="70">
        <f>IF(AO188="5",BH188,0)</f>
        <v>0</v>
      </c>
      <c r="Z188" s="70">
        <f>IF(AO188="1",BF188,0)</f>
        <v>0</v>
      </c>
      <c r="AA188" s="70">
        <f>IF(AO188="1",BG188,0)</f>
        <v>0</v>
      </c>
      <c r="AB188" s="70">
        <f>IF(AO188="7",BF188,0)</f>
        <v>0</v>
      </c>
      <c r="AC188" s="70">
        <f>IF(AO188="7",BG188,0)</f>
        <v>0</v>
      </c>
      <c r="AD188" s="70">
        <f>IF(AO188="2",BF188,0)</f>
        <v>0</v>
      </c>
      <c r="AE188" s="70">
        <f>IF(AO188="2",BG188,0)</f>
        <v>0</v>
      </c>
      <c r="AF188" s="70">
        <f>IF(AO188="0",BH188,0)</f>
        <v>0</v>
      </c>
      <c r="AG188" s="64" t="s">
        <v>154</v>
      </c>
      <c r="AH188" s="70">
        <f>IF(AL188=0,J188,0)</f>
        <v>0</v>
      </c>
      <c r="AI188" s="70">
        <f>IF(AL188=15,J188,0)</f>
        <v>0</v>
      </c>
      <c r="AJ188" s="70">
        <f>IF(AL188=21,J188,0)</f>
        <v>0</v>
      </c>
      <c r="AL188" s="70">
        <v>21</v>
      </c>
      <c r="AM188" s="70">
        <f>G188*1</f>
        <v>0</v>
      </c>
      <c r="AN188" s="70">
        <f>G188*(1-1)</f>
        <v>0</v>
      </c>
      <c r="AO188" s="71" t="s">
        <v>453</v>
      </c>
      <c r="AT188" s="70">
        <f>AU188+AV188</f>
        <v>0</v>
      </c>
      <c r="AU188" s="70">
        <f>F188*AM188</f>
        <v>0</v>
      </c>
      <c r="AV188" s="70">
        <f>F188*AN188</f>
        <v>0</v>
      </c>
      <c r="AW188" s="71" t="s">
        <v>454</v>
      </c>
      <c r="AX188" s="71" t="s">
        <v>455</v>
      </c>
      <c r="AY188" s="64" t="s">
        <v>164</v>
      </c>
      <c r="BA188" s="70">
        <f>AU188+AV188</f>
        <v>0</v>
      </c>
      <c r="BB188" s="70">
        <f>G188/(100-BC188)*100</f>
        <v>0</v>
      </c>
      <c r="BC188" s="70">
        <v>0</v>
      </c>
      <c r="BD188" s="70">
        <f>L188</f>
        <v>0</v>
      </c>
      <c r="BF188" s="70">
        <f>F188*AM188</f>
        <v>0</v>
      </c>
      <c r="BG188" s="70">
        <f>F188*AN188</f>
        <v>0</v>
      </c>
      <c r="BH188" s="70">
        <f>F188*G188</f>
        <v>0</v>
      </c>
      <c r="BI188" s="70"/>
      <c r="BJ188" s="70"/>
      <c r="BU188" s="70" t="e">
        <f>#REF!</f>
        <v>#REF!</v>
      </c>
    </row>
    <row r="189" spans="1:73" ht="40.5" customHeight="1" x14ac:dyDescent="0.3">
      <c r="A189" s="90"/>
      <c r="B189" s="72" t="s">
        <v>165</v>
      </c>
      <c r="C189" s="581" t="s">
        <v>672</v>
      </c>
      <c r="D189" s="582"/>
      <c r="E189" s="582"/>
      <c r="F189" s="582"/>
      <c r="G189" s="582"/>
      <c r="H189" s="582"/>
      <c r="I189" s="582"/>
      <c r="J189" s="582"/>
      <c r="K189" s="582"/>
      <c r="L189" s="582"/>
      <c r="M189" s="583"/>
    </row>
    <row r="190" spans="1:73" ht="13.5" customHeight="1" x14ac:dyDescent="0.3">
      <c r="A190" s="82" t="s">
        <v>585</v>
      </c>
      <c r="B190" s="60" t="s">
        <v>674</v>
      </c>
      <c r="C190" s="551" t="s">
        <v>675</v>
      </c>
      <c r="D190" s="565"/>
      <c r="E190" s="60" t="s">
        <v>160</v>
      </c>
      <c r="F190" s="70">
        <v>5</v>
      </c>
      <c r="G190" s="311">
        <v>0</v>
      </c>
      <c r="H190" s="70">
        <f>F190*AM190</f>
        <v>0</v>
      </c>
      <c r="I190" s="70">
        <f>F190*AN190</f>
        <v>0</v>
      </c>
      <c r="J190" s="70">
        <f>F190*G190</f>
        <v>0</v>
      </c>
      <c r="K190" s="70">
        <v>3.8000000000000002E-4</v>
      </c>
      <c r="L190" s="70">
        <f>F190*K190</f>
        <v>1.9000000000000002E-3</v>
      </c>
      <c r="M190" s="89" t="s">
        <v>472</v>
      </c>
      <c r="X190" s="70">
        <f>IF(AO190="5",BH190,0)</f>
        <v>0</v>
      </c>
      <c r="Z190" s="70">
        <f>IF(AO190="1",BF190,0)</f>
        <v>0</v>
      </c>
      <c r="AA190" s="70">
        <f>IF(AO190="1",BG190,0)</f>
        <v>0</v>
      </c>
      <c r="AB190" s="70">
        <f>IF(AO190="7",BF190,0)</f>
        <v>0</v>
      </c>
      <c r="AC190" s="70">
        <f>IF(AO190="7",BG190,0)</f>
        <v>0</v>
      </c>
      <c r="AD190" s="70">
        <f>IF(AO190="2",BF190,0)</f>
        <v>0</v>
      </c>
      <c r="AE190" s="70">
        <f>IF(AO190="2",BG190,0)</f>
        <v>0</v>
      </c>
      <c r="AF190" s="70">
        <f>IF(AO190="0",BH190,0)</f>
        <v>0</v>
      </c>
      <c r="AG190" s="64" t="s">
        <v>154</v>
      </c>
      <c r="AH190" s="70">
        <f>IF(AL190=0,J190,0)</f>
        <v>0</v>
      </c>
      <c r="AI190" s="70">
        <f>IF(AL190=15,J190,0)</f>
        <v>0</v>
      </c>
      <c r="AJ190" s="70">
        <f>IF(AL190=21,J190,0)</f>
        <v>0</v>
      </c>
      <c r="AL190" s="70">
        <v>21</v>
      </c>
      <c r="AM190" s="70">
        <f>G190*1</f>
        <v>0</v>
      </c>
      <c r="AN190" s="70">
        <f>G190*(1-1)</f>
        <v>0</v>
      </c>
      <c r="AO190" s="71" t="s">
        <v>453</v>
      </c>
      <c r="AT190" s="70">
        <f>AU190+AV190</f>
        <v>0</v>
      </c>
      <c r="AU190" s="70">
        <f>F190*AM190</f>
        <v>0</v>
      </c>
      <c r="AV190" s="70">
        <f>F190*AN190</f>
        <v>0</v>
      </c>
      <c r="AW190" s="71" t="s">
        <v>454</v>
      </c>
      <c r="AX190" s="71" t="s">
        <v>455</v>
      </c>
      <c r="AY190" s="64" t="s">
        <v>164</v>
      </c>
      <c r="BA190" s="70">
        <f>AU190+AV190</f>
        <v>0</v>
      </c>
      <c r="BB190" s="70">
        <f>G190/(100-BC190)*100</f>
        <v>0</v>
      </c>
      <c r="BC190" s="70">
        <v>0</v>
      </c>
      <c r="BD190" s="70">
        <f>L190</f>
        <v>1.9000000000000002E-3</v>
      </c>
      <c r="BF190" s="70">
        <f>F190*AM190</f>
        <v>0</v>
      </c>
      <c r="BG190" s="70">
        <f>F190*AN190</f>
        <v>0</v>
      </c>
      <c r="BH190" s="70">
        <f>F190*G190</f>
        <v>0</v>
      </c>
      <c r="BI190" s="70"/>
      <c r="BJ190" s="70"/>
      <c r="BU190" s="70" t="e">
        <f>#REF!</f>
        <v>#REF!</v>
      </c>
    </row>
    <row r="191" spans="1:73" ht="67.5" customHeight="1" x14ac:dyDescent="0.3">
      <c r="A191" s="90"/>
      <c r="B191" s="72" t="s">
        <v>165</v>
      </c>
      <c r="C191" s="581" t="s">
        <v>676</v>
      </c>
      <c r="D191" s="582"/>
      <c r="E191" s="582"/>
      <c r="F191" s="582"/>
      <c r="G191" s="582"/>
      <c r="H191" s="582"/>
      <c r="I191" s="582"/>
      <c r="J191" s="582"/>
      <c r="K191" s="582"/>
      <c r="L191" s="582"/>
      <c r="M191" s="583"/>
    </row>
    <row r="192" spans="1:73" ht="13.5" customHeight="1" x14ac:dyDescent="0.3">
      <c r="A192" s="82" t="s">
        <v>589</v>
      </c>
      <c r="B192" s="60" t="s">
        <v>678</v>
      </c>
      <c r="C192" s="551" t="s">
        <v>679</v>
      </c>
      <c r="D192" s="565"/>
      <c r="E192" s="60" t="s">
        <v>160</v>
      </c>
      <c r="F192" s="70">
        <v>45.1</v>
      </c>
      <c r="G192" s="311">
        <v>0</v>
      </c>
      <c r="H192" s="70">
        <f>F192*AM192</f>
        <v>0</v>
      </c>
      <c r="I192" s="70">
        <f>F192*AN192</f>
        <v>0</v>
      </c>
      <c r="J192" s="70">
        <f>F192*G192</f>
        <v>0</v>
      </c>
      <c r="K192" s="70">
        <v>3.7000000000000002E-3</v>
      </c>
      <c r="L192" s="70">
        <f>F192*K192</f>
        <v>0.16687000000000002</v>
      </c>
      <c r="M192" s="89" t="s">
        <v>472</v>
      </c>
      <c r="X192" s="70">
        <f>IF(AO192="5",BH192,0)</f>
        <v>0</v>
      </c>
      <c r="Z192" s="70">
        <f>IF(AO192="1",BF192,0)</f>
        <v>0</v>
      </c>
      <c r="AA192" s="70">
        <f>IF(AO192="1",BG192,0)</f>
        <v>0</v>
      </c>
      <c r="AB192" s="70">
        <f>IF(AO192="7",BF192,0)</f>
        <v>0</v>
      </c>
      <c r="AC192" s="70">
        <f>IF(AO192="7",BG192,0)</f>
        <v>0</v>
      </c>
      <c r="AD192" s="70">
        <f>IF(AO192="2",BF192,0)</f>
        <v>0</v>
      </c>
      <c r="AE192" s="70">
        <f>IF(AO192="2",BG192,0)</f>
        <v>0</v>
      </c>
      <c r="AF192" s="70">
        <f>IF(AO192="0",BH192,0)</f>
        <v>0</v>
      </c>
      <c r="AG192" s="64" t="s">
        <v>154</v>
      </c>
      <c r="AH192" s="70">
        <f>IF(AL192=0,J192,0)</f>
        <v>0</v>
      </c>
      <c r="AI192" s="70">
        <f>IF(AL192=15,J192,0)</f>
        <v>0</v>
      </c>
      <c r="AJ192" s="70">
        <f>IF(AL192=21,J192,0)</f>
        <v>0</v>
      </c>
      <c r="AL192" s="70">
        <v>21</v>
      </c>
      <c r="AM192" s="70">
        <f>G192*1</f>
        <v>0</v>
      </c>
      <c r="AN192" s="70">
        <f>G192*(1-1)</f>
        <v>0</v>
      </c>
      <c r="AO192" s="71" t="s">
        <v>453</v>
      </c>
      <c r="AT192" s="70">
        <f>AU192+AV192</f>
        <v>0</v>
      </c>
      <c r="AU192" s="70">
        <f>F192*AM192</f>
        <v>0</v>
      </c>
      <c r="AV192" s="70">
        <f>F192*AN192</f>
        <v>0</v>
      </c>
      <c r="AW192" s="71" t="s">
        <v>454</v>
      </c>
      <c r="AX192" s="71" t="s">
        <v>455</v>
      </c>
      <c r="AY192" s="64" t="s">
        <v>164</v>
      </c>
      <c r="BA192" s="70">
        <f>AU192+AV192</f>
        <v>0</v>
      </c>
      <c r="BB192" s="70">
        <f>G192/(100-BC192)*100</f>
        <v>0</v>
      </c>
      <c r="BC192" s="70">
        <v>0</v>
      </c>
      <c r="BD192" s="70">
        <f>L192</f>
        <v>0.16687000000000002</v>
      </c>
      <c r="BF192" s="70">
        <f>F192*AM192</f>
        <v>0</v>
      </c>
      <c r="BG192" s="70">
        <f>F192*AN192</f>
        <v>0</v>
      </c>
      <c r="BH192" s="70">
        <f>F192*G192</f>
        <v>0</v>
      </c>
      <c r="BI192" s="70"/>
      <c r="BJ192" s="70"/>
      <c r="BU192" s="70" t="e">
        <f>#REF!</f>
        <v>#REF!</v>
      </c>
    </row>
    <row r="193" spans="1:73" ht="67.5" customHeight="1" x14ac:dyDescent="0.3">
      <c r="A193" s="90"/>
      <c r="B193" s="72" t="s">
        <v>165</v>
      </c>
      <c r="C193" s="581" t="s">
        <v>873</v>
      </c>
      <c r="D193" s="582"/>
      <c r="E193" s="582"/>
      <c r="F193" s="582"/>
      <c r="G193" s="582"/>
      <c r="H193" s="582"/>
      <c r="I193" s="582"/>
      <c r="J193" s="582"/>
      <c r="K193" s="582"/>
      <c r="L193" s="582"/>
      <c r="M193" s="583"/>
    </row>
    <row r="194" spans="1:73" ht="13.5" customHeight="1" x14ac:dyDescent="0.3">
      <c r="A194" s="82" t="s">
        <v>593</v>
      </c>
      <c r="B194" s="60" t="s">
        <v>681</v>
      </c>
      <c r="C194" s="551" t="s">
        <v>682</v>
      </c>
      <c r="D194" s="565"/>
      <c r="E194" s="60" t="s">
        <v>471</v>
      </c>
      <c r="F194" s="70">
        <v>9</v>
      </c>
      <c r="G194" s="311">
        <v>0</v>
      </c>
      <c r="H194" s="70">
        <f>F194*AM194</f>
        <v>0</v>
      </c>
      <c r="I194" s="70">
        <f>F194*AN194</f>
        <v>0</v>
      </c>
      <c r="J194" s="70">
        <f>F194*G194</f>
        <v>0</v>
      </c>
      <c r="K194" s="70">
        <v>0</v>
      </c>
      <c r="L194" s="70">
        <f>F194*K194</f>
        <v>0</v>
      </c>
      <c r="M194" s="89" t="s">
        <v>472</v>
      </c>
      <c r="X194" s="70">
        <f>IF(AO194="5",BH194,0)</f>
        <v>0</v>
      </c>
      <c r="Z194" s="70">
        <f>IF(AO194="1",BF194,0)</f>
        <v>0</v>
      </c>
      <c r="AA194" s="70">
        <f>IF(AO194="1",BG194,0)</f>
        <v>0</v>
      </c>
      <c r="AB194" s="70">
        <f>IF(AO194="7",BF194,0)</f>
        <v>0</v>
      </c>
      <c r="AC194" s="70">
        <f>IF(AO194="7",BG194,0)</f>
        <v>0</v>
      </c>
      <c r="AD194" s="70">
        <f>IF(AO194="2",BF194,0)</f>
        <v>0</v>
      </c>
      <c r="AE194" s="70">
        <f>IF(AO194="2",BG194,0)</f>
        <v>0</v>
      </c>
      <c r="AF194" s="70">
        <f>IF(AO194="0",BH194,0)</f>
        <v>0</v>
      </c>
      <c r="AG194" s="64" t="s">
        <v>154</v>
      </c>
      <c r="AH194" s="70">
        <f>IF(AL194=0,J194,0)</f>
        <v>0</v>
      </c>
      <c r="AI194" s="70">
        <f>IF(AL194=15,J194,0)</f>
        <v>0</v>
      </c>
      <c r="AJ194" s="70">
        <f>IF(AL194=21,J194,0)</f>
        <v>0</v>
      </c>
      <c r="AL194" s="70">
        <v>21</v>
      </c>
      <c r="AM194" s="70">
        <f>G194*1</f>
        <v>0</v>
      </c>
      <c r="AN194" s="70">
        <f>G194*(1-1)</f>
        <v>0</v>
      </c>
      <c r="AO194" s="71" t="s">
        <v>453</v>
      </c>
      <c r="AT194" s="70">
        <f>AU194+AV194</f>
        <v>0</v>
      </c>
      <c r="AU194" s="70">
        <f>F194*AM194</f>
        <v>0</v>
      </c>
      <c r="AV194" s="70">
        <f>F194*AN194</f>
        <v>0</v>
      </c>
      <c r="AW194" s="71" t="s">
        <v>454</v>
      </c>
      <c r="AX194" s="71" t="s">
        <v>455</v>
      </c>
      <c r="AY194" s="64" t="s">
        <v>164</v>
      </c>
      <c r="BA194" s="70">
        <f>AU194+AV194</f>
        <v>0</v>
      </c>
      <c r="BB194" s="70">
        <f>G194/(100-BC194)*100</f>
        <v>0</v>
      </c>
      <c r="BC194" s="70">
        <v>0</v>
      </c>
      <c r="BD194" s="70">
        <f>L194</f>
        <v>0</v>
      </c>
      <c r="BF194" s="70">
        <f>F194*AM194</f>
        <v>0</v>
      </c>
      <c r="BG194" s="70">
        <f>F194*AN194</f>
        <v>0</v>
      </c>
      <c r="BH194" s="70">
        <f>F194*G194</f>
        <v>0</v>
      </c>
      <c r="BI194" s="70"/>
      <c r="BJ194" s="70"/>
      <c r="BU194" s="70" t="e">
        <f>#REF!</f>
        <v>#REF!</v>
      </c>
    </row>
    <row r="195" spans="1:73" ht="13.5" customHeight="1" x14ac:dyDescent="0.3">
      <c r="A195" s="92"/>
      <c r="B195" s="93" t="s">
        <v>165</v>
      </c>
      <c r="C195" s="584" t="s">
        <v>683</v>
      </c>
      <c r="D195" s="585"/>
      <c r="E195" s="585"/>
      <c r="F195" s="585"/>
      <c r="G195" s="585"/>
      <c r="H195" s="585"/>
      <c r="I195" s="585"/>
      <c r="J195" s="585"/>
      <c r="K195" s="585"/>
      <c r="L195" s="585"/>
      <c r="M195" s="586"/>
    </row>
    <row r="196" spans="1:73" ht="13.5" customHeight="1" x14ac:dyDescent="0.3">
      <c r="A196" s="84" t="s">
        <v>597</v>
      </c>
      <c r="B196" s="85" t="s">
        <v>681</v>
      </c>
      <c r="C196" s="587" t="s">
        <v>682</v>
      </c>
      <c r="D196" s="588"/>
      <c r="E196" s="85" t="s">
        <v>471</v>
      </c>
      <c r="F196" s="94">
        <v>4</v>
      </c>
      <c r="G196" s="311">
        <v>0</v>
      </c>
      <c r="H196" s="94">
        <f>F196*AM196</f>
        <v>0</v>
      </c>
      <c r="I196" s="94">
        <f>F196*AN196</f>
        <v>0</v>
      </c>
      <c r="J196" s="94">
        <f>F196*G196</f>
        <v>0</v>
      </c>
      <c r="K196" s="94">
        <v>0</v>
      </c>
      <c r="L196" s="94">
        <f>F196*K196</f>
        <v>0</v>
      </c>
      <c r="M196" s="95" t="s">
        <v>472</v>
      </c>
      <c r="X196" s="70">
        <f>IF(AO196="5",BH196,0)</f>
        <v>0</v>
      </c>
      <c r="Z196" s="70">
        <f>IF(AO196="1",BF196,0)</f>
        <v>0</v>
      </c>
      <c r="AA196" s="70">
        <f>IF(AO196="1",BG196,0)</f>
        <v>0</v>
      </c>
      <c r="AB196" s="70">
        <f>IF(AO196="7",BF196,0)</f>
        <v>0</v>
      </c>
      <c r="AC196" s="70">
        <f>IF(AO196="7",BG196,0)</f>
        <v>0</v>
      </c>
      <c r="AD196" s="70">
        <f>IF(AO196="2",BF196,0)</f>
        <v>0</v>
      </c>
      <c r="AE196" s="70">
        <f>IF(AO196="2",BG196,0)</f>
        <v>0</v>
      </c>
      <c r="AF196" s="70">
        <f>IF(AO196="0",BH196,0)</f>
        <v>0</v>
      </c>
      <c r="AG196" s="64" t="s">
        <v>154</v>
      </c>
      <c r="AH196" s="70">
        <f>IF(AL196=0,J196,0)</f>
        <v>0</v>
      </c>
      <c r="AI196" s="70">
        <f>IF(AL196=15,J196,0)</f>
        <v>0</v>
      </c>
      <c r="AJ196" s="70">
        <f>IF(AL196=21,J196,0)</f>
        <v>0</v>
      </c>
      <c r="AL196" s="70">
        <v>21</v>
      </c>
      <c r="AM196" s="70">
        <f>G196*1</f>
        <v>0</v>
      </c>
      <c r="AN196" s="70">
        <f>G196*(1-1)</f>
        <v>0</v>
      </c>
      <c r="AO196" s="71" t="s">
        <v>453</v>
      </c>
      <c r="AT196" s="70">
        <f>AU196+AV196</f>
        <v>0</v>
      </c>
      <c r="AU196" s="70">
        <f>F196*AM196</f>
        <v>0</v>
      </c>
      <c r="AV196" s="70">
        <f>F196*AN196</f>
        <v>0</v>
      </c>
      <c r="AW196" s="71" t="s">
        <v>454</v>
      </c>
      <c r="AX196" s="71" t="s">
        <v>455</v>
      </c>
      <c r="AY196" s="64" t="s">
        <v>164</v>
      </c>
      <c r="BA196" s="70">
        <f>AU196+AV196</f>
        <v>0</v>
      </c>
      <c r="BB196" s="70">
        <f>G196/(100-BC196)*100</f>
        <v>0</v>
      </c>
      <c r="BC196" s="70">
        <v>0</v>
      </c>
      <c r="BD196" s="70">
        <f>L196</f>
        <v>0</v>
      </c>
      <c r="BF196" s="70">
        <f>F196*AM196</f>
        <v>0</v>
      </c>
      <c r="BG196" s="70">
        <f>F196*AN196</f>
        <v>0</v>
      </c>
      <c r="BH196" s="70">
        <f>F196*G196</f>
        <v>0</v>
      </c>
      <c r="BI196" s="70"/>
      <c r="BJ196" s="70"/>
      <c r="BU196" s="70" t="e">
        <f>#REF!</f>
        <v>#REF!</v>
      </c>
    </row>
    <row r="197" spans="1:73" ht="13.5" customHeight="1" x14ac:dyDescent="0.3">
      <c r="A197" s="90"/>
      <c r="B197" s="72" t="s">
        <v>165</v>
      </c>
      <c r="C197" s="581" t="s">
        <v>685</v>
      </c>
      <c r="D197" s="582"/>
      <c r="E197" s="582"/>
      <c r="F197" s="582"/>
      <c r="G197" s="582"/>
      <c r="H197" s="582"/>
      <c r="I197" s="582"/>
      <c r="J197" s="582"/>
      <c r="K197" s="582"/>
      <c r="L197" s="582"/>
      <c r="M197" s="583"/>
    </row>
    <row r="198" spans="1:73" ht="13.5" customHeight="1" x14ac:dyDescent="0.3">
      <c r="A198" s="82" t="s">
        <v>350</v>
      </c>
      <c r="B198" s="60" t="s">
        <v>706</v>
      </c>
      <c r="C198" s="551" t="s">
        <v>874</v>
      </c>
      <c r="D198" s="565"/>
      <c r="E198" s="60" t="s">
        <v>471</v>
      </c>
      <c r="F198" s="70">
        <v>2</v>
      </c>
      <c r="G198" s="311">
        <v>0</v>
      </c>
      <c r="H198" s="70">
        <f t="shared" ref="H198:H203" si="0">F198*AM198</f>
        <v>0</v>
      </c>
      <c r="I198" s="70">
        <f t="shared" ref="I198:I203" si="1">F198*AN198</f>
        <v>0</v>
      </c>
      <c r="J198" s="70">
        <f t="shared" ref="J198:J203" si="2">F198*G198</f>
        <v>0</v>
      </c>
      <c r="K198" s="70">
        <v>9.7000000000000003E-3</v>
      </c>
      <c r="L198" s="70">
        <f t="shared" ref="L198:L203" si="3">F198*K198</f>
        <v>1.9400000000000001E-2</v>
      </c>
      <c r="M198" s="89" t="s">
        <v>154</v>
      </c>
      <c r="X198" s="70">
        <f t="shared" ref="X198:X203" si="4">IF(AO198="5",BH198,0)</f>
        <v>0</v>
      </c>
      <c r="Z198" s="70">
        <f t="shared" ref="Z198:Z203" si="5">IF(AO198="1",BF198,0)</f>
        <v>0</v>
      </c>
      <c r="AA198" s="70">
        <f t="shared" ref="AA198:AA203" si="6">IF(AO198="1",BG198,0)</f>
        <v>0</v>
      </c>
      <c r="AB198" s="70">
        <f t="shared" ref="AB198:AB203" si="7">IF(AO198="7",BF198,0)</f>
        <v>0</v>
      </c>
      <c r="AC198" s="70">
        <f t="shared" ref="AC198:AC203" si="8">IF(AO198="7",BG198,0)</f>
        <v>0</v>
      </c>
      <c r="AD198" s="70">
        <f t="shared" ref="AD198:AD203" si="9">IF(AO198="2",BF198,0)</f>
        <v>0</v>
      </c>
      <c r="AE198" s="70">
        <f t="shared" ref="AE198:AE203" si="10">IF(AO198="2",BG198,0)</f>
        <v>0</v>
      </c>
      <c r="AF198" s="70">
        <f t="shared" ref="AF198:AF203" si="11">IF(AO198="0",BH198,0)</f>
        <v>0</v>
      </c>
      <c r="AG198" s="64" t="s">
        <v>154</v>
      </c>
      <c r="AH198" s="70">
        <f t="shared" ref="AH198:AH203" si="12">IF(AL198=0,J198,0)</f>
        <v>0</v>
      </c>
      <c r="AI198" s="70">
        <f t="shared" ref="AI198:AI203" si="13">IF(AL198=15,J198,0)</f>
        <v>0</v>
      </c>
      <c r="AJ198" s="70">
        <f t="shared" ref="AJ198:AJ203" si="14">IF(AL198=21,J198,0)</f>
        <v>0</v>
      </c>
      <c r="AL198" s="70">
        <v>21</v>
      </c>
      <c r="AM198" s="70">
        <f t="shared" ref="AM198:AM203" si="15">G198*1</f>
        <v>0</v>
      </c>
      <c r="AN198" s="70">
        <f t="shared" ref="AN198:AN203" si="16">G198*(1-1)</f>
        <v>0</v>
      </c>
      <c r="AO198" s="71" t="s">
        <v>453</v>
      </c>
      <c r="AT198" s="70">
        <f t="shared" ref="AT198:AT203" si="17">AU198+AV198</f>
        <v>0</v>
      </c>
      <c r="AU198" s="70">
        <f t="shared" ref="AU198:AU203" si="18">F198*AM198</f>
        <v>0</v>
      </c>
      <c r="AV198" s="70">
        <f t="shared" ref="AV198:AV203" si="19">F198*AN198</f>
        <v>0</v>
      </c>
      <c r="AW198" s="71" t="s">
        <v>454</v>
      </c>
      <c r="AX198" s="71" t="s">
        <v>455</v>
      </c>
      <c r="AY198" s="64" t="s">
        <v>164</v>
      </c>
      <c r="BA198" s="70">
        <f t="shared" ref="BA198:BA203" si="20">AU198+AV198</f>
        <v>0</v>
      </c>
      <c r="BB198" s="70">
        <f t="shared" ref="BB198:BB203" si="21">G198/(100-BC198)*100</f>
        <v>0</v>
      </c>
      <c r="BC198" s="70">
        <v>0</v>
      </c>
      <c r="BD198" s="70">
        <f t="shared" ref="BD198:BD203" si="22">L198</f>
        <v>1.9400000000000001E-2</v>
      </c>
      <c r="BF198" s="70">
        <f t="shared" ref="BF198:BF203" si="23">F198*AM198</f>
        <v>0</v>
      </c>
      <c r="BG198" s="70">
        <f t="shared" ref="BG198:BG203" si="24">F198*AN198</f>
        <v>0</v>
      </c>
      <c r="BH198" s="70">
        <f t="shared" ref="BH198:BH203" si="25">F198*G198</f>
        <v>0</v>
      </c>
      <c r="BI198" s="70"/>
      <c r="BJ198" s="70"/>
      <c r="BU198" s="70" t="e">
        <f>#REF!</f>
        <v>#REF!</v>
      </c>
    </row>
    <row r="199" spans="1:73" ht="13.5" customHeight="1" x14ac:dyDescent="0.3">
      <c r="A199" s="82" t="s">
        <v>601</v>
      </c>
      <c r="B199" s="60" t="s">
        <v>875</v>
      </c>
      <c r="C199" s="551" t="s">
        <v>876</v>
      </c>
      <c r="D199" s="565"/>
      <c r="E199" s="60" t="s">
        <v>471</v>
      </c>
      <c r="F199" s="70">
        <v>1</v>
      </c>
      <c r="G199" s="311">
        <v>0</v>
      </c>
      <c r="H199" s="70">
        <f t="shared" si="0"/>
        <v>0</v>
      </c>
      <c r="I199" s="70">
        <f t="shared" si="1"/>
        <v>0</v>
      </c>
      <c r="J199" s="70">
        <f t="shared" si="2"/>
        <v>0</v>
      </c>
      <c r="K199" s="70">
        <v>0</v>
      </c>
      <c r="L199" s="70">
        <f t="shared" si="3"/>
        <v>0</v>
      </c>
      <c r="M199" s="89" t="s">
        <v>154</v>
      </c>
      <c r="X199" s="70">
        <f t="shared" si="4"/>
        <v>0</v>
      </c>
      <c r="Z199" s="70">
        <f t="shared" si="5"/>
        <v>0</v>
      </c>
      <c r="AA199" s="70">
        <f t="shared" si="6"/>
        <v>0</v>
      </c>
      <c r="AB199" s="70">
        <f t="shared" si="7"/>
        <v>0</v>
      </c>
      <c r="AC199" s="70">
        <f t="shared" si="8"/>
        <v>0</v>
      </c>
      <c r="AD199" s="70">
        <f t="shared" si="9"/>
        <v>0</v>
      </c>
      <c r="AE199" s="70">
        <f t="shared" si="10"/>
        <v>0</v>
      </c>
      <c r="AF199" s="70">
        <f t="shared" si="11"/>
        <v>0</v>
      </c>
      <c r="AG199" s="64" t="s">
        <v>154</v>
      </c>
      <c r="AH199" s="70">
        <f t="shared" si="12"/>
        <v>0</v>
      </c>
      <c r="AI199" s="70">
        <f t="shared" si="13"/>
        <v>0</v>
      </c>
      <c r="AJ199" s="70">
        <f t="shared" si="14"/>
        <v>0</v>
      </c>
      <c r="AL199" s="70">
        <v>21</v>
      </c>
      <c r="AM199" s="70">
        <f t="shared" si="15"/>
        <v>0</v>
      </c>
      <c r="AN199" s="70">
        <f t="shared" si="16"/>
        <v>0</v>
      </c>
      <c r="AO199" s="71" t="s">
        <v>453</v>
      </c>
      <c r="AT199" s="70">
        <f t="shared" si="17"/>
        <v>0</v>
      </c>
      <c r="AU199" s="70">
        <f t="shared" si="18"/>
        <v>0</v>
      </c>
      <c r="AV199" s="70">
        <f t="shared" si="19"/>
        <v>0</v>
      </c>
      <c r="AW199" s="71" t="s">
        <v>454</v>
      </c>
      <c r="AX199" s="71" t="s">
        <v>455</v>
      </c>
      <c r="AY199" s="64" t="s">
        <v>164</v>
      </c>
      <c r="BA199" s="70">
        <f t="shared" si="20"/>
        <v>0</v>
      </c>
      <c r="BB199" s="70">
        <f t="shared" si="21"/>
        <v>0</v>
      </c>
      <c r="BC199" s="70">
        <v>0</v>
      </c>
      <c r="BD199" s="70">
        <f t="shared" si="22"/>
        <v>0</v>
      </c>
      <c r="BF199" s="70">
        <f t="shared" si="23"/>
        <v>0</v>
      </c>
      <c r="BG199" s="70">
        <f t="shared" si="24"/>
        <v>0</v>
      </c>
      <c r="BH199" s="70">
        <f t="shared" si="25"/>
        <v>0</v>
      </c>
      <c r="BI199" s="70"/>
      <c r="BJ199" s="70"/>
      <c r="BU199" s="70" t="e">
        <f>#REF!</f>
        <v>#REF!</v>
      </c>
    </row>
    <row r="200" spans="1:73" ht="13.5" customHeight="1" x14ac:dyDescent="0.3">
      <c r="A200" s="82" t="s">
        <v>529</v>
      </c>
      <c r="B200" s="60" t="s">
        <v>730</v>
      </c>
      <c r="C200" s="551" t="s">
        <v>731</v>
      </c>
      <c r="D200" s="565"/>
      <c r="E200" s="60" t="s">
        <v>471</v>
      </c>
      <c r="F200" s="70">
        <v>1</v>
      </c>
      <c r="G200" s="311">
        <v>0</v>
      </c>
      <c r="H200" s="70">
        <f t="shared" si="0"/>
        <v>0</v>
      </c>
      <c r="I200" s="70">
        <f t="shared" si="1"/>
        <v>0</v>
      </c>
      <c r="J200" s="70">
        <f t="shared" si="2"/>
        <v>0</v>
      </c>
      <c r="K200" s="70">
        <v>0</v>
      </c>
      <c r="L200" s="70">
        <f t="shared" si="3"/>
        <v>0</v>
      </c>
      <c r="M200" s="89" t="s">
        <v>154</v>
      </c>
      <c r="X200" s="70">
        <f t="shared" si="4"/>
        <v>0</v>
      </c>
      <c r="Z200" s="70">
        <f t="shared" si="5"/>
        <v>0</v>
      </c>
      <c r="AA200" s="70">
        <f t="shared" si="6"/>
        <v>0</v>
      </c>
      <c r="AB200" s="70">
        <f t="shared" si="7"/>
        <v>0</v>
      </c>
      <c r="AC200" s="70">
        <f t="shared" si="8"/>
        <v>0</v>
      </c>
      <c r="AD200" s="70">
        <f t="shared" si="9"/>
        <v>0</v>
      </c>
      <c r="AE200" s="70">
        <f t="shared" si="10"/>
        <v>0</v>
      </c>
      <c r="AF200" s="70">
        <f t="shared" si="11"/>
        <v>0</v>
      </c>
      <c r="AG200" s="64" t="s">
        <v>154</v>
      </c>
      <c r="AH200" s="70">
        <f t="shared" si="12"/>
        <v>0</v>
      </c>
      <c r="AI200" s="70">
        <f t="shared" si="13"/>
        <v>0</v>
      </c>
      <c r="AJ200" s="70">
        <f t="shared" si="14"/>
        <v>0</v>
      </c>
      <c r="AL200" s="70">
        <v>21</v>
      </c>
      <c r="AM200" s="70">
        <f t="shared" si="15"/>
        <v>0</v>
      </c>
      <c r="AN200" s="70">
        <f t="shared" si="16"/>
        <v>0</v>
      </c>
      <c r="AO200" s="71" t="s">
        <v>453</v>
      </c>
      <c r="AT200" s="70">
        <f t="shared" si="17"/>
        <v>0</v>
      </c>
      <c r="AU200" s="70">
        <f t="shared" si="18"/>
        <v>0</v>
      </c>
      <c r="AV200" s="70">
        <f t="shared" si="19"/>
        <v>0</v>
      </c>
      <c r="AW200" s="71" t="s">
        <v>454</v>
      </c>
      <c r="AX200" s="71" t="s">
        <v>455</v>
      </c>
      <c r="AY200" s="64" t="s">
        <v>164</v>
      </c>
      <c r="BA200" s="70">
        <f t="shared" si="20"/>
        <v>0</v>
      </c>
      <c r="BB200" s="70">
        <f t="shared" si="21"/>
        <v>0</v>
      </c>
      <c r="BC200" s="70">
        <v>0</v>
      </c>
      <c r="BD200" s="70">
        <f t="shared" si="22"/>
        <v>0</v>
      </c>
      <c r="BF200" s="70">
        <f t="shared" si="23"/>
        <v>0</v>
      </c>
      <c r="BG200" s="70">
        <f t="shared" si="24"/>
        <v>0</v>
      </c>
      <c r="BH200" s="70">
        <f t="shared" si="25"/>
        <v>0</v>
      </c>
      <c r="BI200" s="70"/>
      <c r="BJ200" s="70"/>
      <c r="BU200" s="70" t="e">
        <f>#REF!</f>
        <v>#REF!</v>
      </c>
    </row>
    <row r="201" spans="1:73" ht="13.5" customHeight="1" x14ac:dyDescent="0.3">
      <c r="A201" s="82" t="s">
        <v>607</v>
      </c>
      <c r="B201" s="60" t="s">
        <v>877</v>
      </c>
      <c r="C201" s="551" t="s">
        <v>878</v>
      </c>
      <c r="D201" s="565"/>
      <c r="E201" s="60" t="s">
        <v>471</v>
      </c>
      <c r="F201" s="70">
        <v>1</v>
      </c>
      <c r="G201" s="311">
        <v>0</v>
      </c>
      <c r="H201" s="70">
        <f t="shared" si="0"/>
        <v>0</v>
      </c>
      <c r="I201" s="70">
        <f t="shared" si="1"/>
        <v>0</v>
      </c>
      <c r="J201" s="70">
        <f t="shared" si="2"/>
        <v>0</v>
      </c>
      <c r="K201" s="70">
        <v>0</v>
      </c>
      <c r="L201" s="70">
        <f t="shared" si="3"/>
        <v>0</v>
      </c>
      <c r="M201" s="89" t="s">
        <v>154</v>
      </c>
      <c r="X201" s="70">
        <f t="shared" si="4"/>
        <v>0</v>
      </c>
      <c r="Z201" s="70">
        <f t="shared" si="5"/>
        <v>0</v>
      </c>
      <c r="AA201" s="70">
        <f t="shared" si="6"/>
        <v>0</v>
      </c>
      <c r="AB201" s="70">
        <f t="shared" si="7"/>
        <v>0</v>
      </c>
      <c r="AC201" s="70">
        <f t="shared" si="8"/>
        <v>0</v>
      </c>
      <c r="AD201" s="70">
        <f t="shared" si="9"/>
        <v>0</v>
      </c>
      <c r="AE201" s="70">
        <f t="shared" si="10"/>
        <v>0</v>
      </c>
      <c r="AF201" s="70">
        <f t="shared" si="11"/>
        <v>0</v>
      </c>
      <c r="AG201" s="64" t="s">
        <v>154</v>
      </c>
      <c r="AH201" s="70">
        <f t="shared" si="12"/>
        <v>0</v>
      </c>
      <c r="AI201" s="70">
        <f t="shared" si="13"/>
        <v>0</v>
      </c>
      <c r="AJ201" s="70">
        <f t="shared" si="14"/>
        <v>0</v>
      </c>
      <c r="AL201" s="70">
        <v>21</v>
      </c>
      <c r="AM201" s="70">
        <f t="shared" si="15"/>
        <v>0</v>
      </c>
      <c r="AN201" s="70">
        <f t="shared" si="16"/>
        <v>0</v>
      </c>
      <c r="AO201" s="71" t="s">
        <v>453</v>
      </c>
      <c r="AT201" s="70">
        <f t="shared" si="17"/>
        <v>0</v>
      </c>
      <c r="AU201" s="70">
        <f t="shared" si="18"/>
        <v>0</v>
      </c>
      <c r="AV201" s="70">
        <f t="shared" si="19"/>
        <v>0</v>
      </c>
      <c r="AW201" s="71" t="s">
        <v>454</v>
      </c>
      <c r="AX201" s="71" t="s">
        <v>455</v>
      </c>
      <c r="AY201" s="64" t="s">
        <v>164</v>
      </c>
      <c r="BA201" s="70">
        <f t="shared" si="20"/>
        <v>0</v>
      </c>
      <c r="BB201" s="70">
        <f t="shared" si="21"/>
        <v>0</v>
      </c>
      <c r="BC201" s="70">
        <v>0</v>
      </c>
      <c r="BD201" s="70">
        <f t="shared" si="22"/>
        <v>0</v>
      </c>
      <c r="BF201" s="70">
        <f t="shared" si="23"/>
        <v>0</v>
      </c>
      <c r="BG201" s="70">
        <f t="shared" si="24"/>
        <v>0</v>
      </c>
      <c r="BH201" s="70">
        <f t="shared" si="25"/>
        <v>0</v>
      </c>
      <c r="BI201" s="70"/>
      <c r="BJ201" s="70"/>
      <c r="BU201" s="70" t="e">
        <f>#REF!</f>
        <v>#REF!</v>
      </c>
    </row>
    <row r="202" spans="1:73" ht="13.5" customHeight="1" x14ac:dyDescent="0.3">
      <c r="A202" s="82" t="s">
        <v>539</v>
      </c>
      <c r="B202" s="60" t="s">
        <v>879</v>
      </c>
      <c r="C202" s="551" t="s">
        <v>880</v>
      </c>
      <c r="D202" s="565"/>
      <c r="E202" s="60" t="s">
        <v>471</v>
      </c>
      <c r="F202" s="70">
        <v>2</v>
      </c>
      <c r="G202" s="311">
        <v>0</v>
      </c>
      <c r="H202" s="70">
        <f t="shared" si="0"/>
        <v>0</v>
      </c>
      <c r="I202" s="70">
        <f t="shared" si="1"/>
        <v>0</v>
      </c>
      <c r="J202" s="70">
        <f t="shared" si="2"/>
        <v>0</v>
      </c>
      <c r="K202" s="70">
        <v>0</v>
      </c>
      <c r="L202" s="70">
        <f t="shared" si="3"/>
        <v>0</v>
      </c>
      <c r="M202" s="89" t="s">
        <v>154</v>
      </c>
      <c r="X202" s="70">
        <f t="shared" si="4"/>
        <v>0</v>
      </c>
      <c r="Z202" s="70">
        <f t="shared" si="5"/>
        <v>0</v>
      </c>
      <c r="AA202" s="70">
        <f t="shared" si="6"/>
        <v>0</v>
      </c>
      <c r="AB202" s="70">
        <f t="shared" si="7"/>
        <v>0</v>
      </c>
      <c r="AC202" s="70">
        <f t="shared" si="8"/>
        <v>0</v>
      </c>
      <c r="AD202" s="70">
        <f t="shared" si="9"/>
        <v>0</v>
      </c>
      <c r="AE202" s="70">
        <f t="shared" si="10"/>
        <v>0</v>
      </c>
      <c r="AF202" s="70">
        <f t="shared" si="11"/>
        <v>0</v>
      </c>
      <c r="AG202" s="64" t="s">
        <v>154</v>
      </c>
      <c r="AH202" s="70">
        <f t="shared" si="12"/>
        <v>0</v>
      </c>
      <c r="AI202" s="70">
        <f t="shared" si="13"/>
        <v>0</v>
      </c>
      <c r="AJ202" s="70">
        <f t="shared" si="14"/>
        <v>0</v>
      </c>
      <c r="AL202" s="70">
        <v>21</v>
      </c>
      <c r="AM202" s="70">
        <f t="shared" si="15"/>
        <v>0</v>
      </c>
      <c r="AN202" s="70">
        <f t="shared" si="16"/>
        <v>0</v>
      </c>
      <c r="AO202" s="71" t="s">
        <v>453</v>
      </c>
      <c r="AT202" s="70">
        <f t="shared" si="17"/>
        <v>0</v>
      </c>
      <c r="AU202" s="70">
        <f t="shared" si="18"/>
        <v>0</v>
      </c>
      <c r="AV202" s="70">
        <f t="shared" si="19"/>
        <v>0</v>
      </c>
      <c r="AW202" s="71" t="s">
        <v>454</v>
      </c>
      <c r="AX202" s="71" t="s">
        <v>455</v>
      </c>
      <c r="AY202" s="64" t="s">
        <v>164</v>
      </c>
      <c r="BA202" s="70">
        <f t="shared" si="20"/>
        <v>0</v>
      </c>
      <c r="BB202" s="70">
        <f t="shared" si="21"/>
        <v>0</v>
      </c>
      <c r="BC202" s="70">
        <v>0</v>
      </c>
      <c r="BD202" s="70">
        <f t="shared" si="22"/>
        <v>0</v>
      </c>
      <c r="BF202" s="70">
        <f t="shared" si="23"/>
        <v>0</v>
      </c>
      <c r="BG202" s="70">
        <f t="shared" si="24"/>
        <v>0</v>
      </c>
      <c r="BH202" s="70">
        <f t="shared" si="25"/>
        <v>0</v>
      </c>
      <c r="BI202" s="70"/>
      <c r="BJ202" s="70"/>
      <c r="BU202" s="70" t="e">
        <f>#REF!</f>
        <v>#REF!</v>
      </c>
    </row>
    <row r="203" spans="1:73" ht="13.5" customHeight="1" x14ac:dyDescent="0.3">
      <c r="A203" s="82" t="s">
        <v>613</v>
      </c>
      <c r="B203" s="60" t="s">
        <v>778</v>
      </c>
      <c r="C203" s="551" t="s">
        <v>779</v>
      </c>
      <c r="D203" s="565"/>
      <c r="E203" s="60" t="s">
        <v>160</v>
      </c>
      <c r="F203" s="70">
        <v>45.1</v>
      </c>
      <c r="G203" s="311">
        <v>0</v>
      </c>
      <c r="H203" s="70">
        <f t="shared" si="0"/>
        <v>0</v>
      </c>
      <c r="I203" s="70">
        <f t="shared" si="1"/>
        <v>0</v>
      </c>
      <c r="J203" s="70">
        <f t="shared" si="2"/>
        <v>0</v>
      </c>
      <c r="K203" s="70">
        <v>8.0000000000000007E-5</v>
      </c>
      <c r="L203" s="70">
        <f t="shared" si="3"/>
        <v>3.6080000000000005E-3</v>
      </c>
      <c r="M203" s="89" t="s">
        <v>472</v>
      </c>
      <c r="X203" s="70">
        <f t="shared" si="4"/>
        <v>0</v>
      </c>
      <c r="Z203" s="70">
        <f t="shared" si="5"/>
        <v>0</v>
      </c>
      <c r="AA203" s="70">
        <f t="shared" si="6"/>
        <v>0</v>
      </c>
      <c r="AB203" s="70">
        <f t="shared" si="7"/>
        <v>0</v>
      </c>
      <c r="AC203" s="70">
        <f t="shared" si="8"/>
        <v>0</v>
      </c>
      <c r="AD203" s="70">
        <f t="shared" si="9"/>
        <v>0</v>
      </c>
      <c r="AE203" s="70">
        <f t="shared" si="10"/>
        <v>0</v>
      </c>
      <c r="AF203" s="70">
        <f t="shared" si="11"/>
        <v>0</v>
      </c>
      <c r="AG203" s="64" t="s">
        <v>154</v>
      </c>
      <c r="AH203" s="70">
        <f t="shared" si="12"/>
        <v>0</v>
      </c>
      <c r="AI203" s="70">
        <f t="shared" si="13"/>
        <v>0</v>
      </c>
      <c r="AJ203" s="70">
        <f t="shared" si="14"/>
        <v>0</v>
      </c>
      <c r="AL203" s="70">
        <v>21</v>
      </c>
      <c r="AM203" s="70">
        <f t="shared" si="15"/>
        <v>0</v>
      </c>
      <c r="AN203" s="70">
        <f t="shared" si="16"/>
        <v>0</v>
      </c>
      <c r="AO203" s="71" t="s">
        <v>453</v>
      </c>
      <c r="AT203" s="70">
        <f t="shared" si="17"/>
        <v>0</v>
      </c>
      <c r="AU203" s="70">
        <f t="shared" si="18"/>
        <v>0</v>
      </c>
      <c r="AV203" s="70">
        <f t="shared" si="19"/>
        <v>0</v>
      </c>
      <c r="AW203" s="71" t="s">
        <v>454</v>
      </c>
      <c r="AX203" s="71" t="s">
        <v>455</v>
      </c>
      <c r="AY203" s="64" t="s">
        <v>164</v>
      </c>
      <c r="BA203" s="70">
        <f t="shared" si="20"/>
        <v>0</v>
      </c>
      <c r="BB203" s="70">
        <f t="shared" si="21"/>
        <v>0</v>
      </c>
      <c r="BC203" s="70">
        <v>0</v>
      </c>
      <c r="BD203" s="70">
        <f t="shared" si="22"/>
        <v>3.6080000000000005E-3</v>
      </c>
      <c r="BF203" s="70">
        <f t="shared" si="23"/>
        <v>0</v>
      </c>
      <c r="BG203" s="70">
        <f t="shared" si="24"/>
        <v>0</v>
      </c>
      <c r="BH203" s="70">
        <f t="shared" si="25"/>
        <v>0</v>
      </c>
      <c r="BI203" s="70"/>
      <c r="BJ203" s="70"/>
      <c r="BU203" s="70" t="e">
        <f>#REF!</f>
        <v>#REF!</v>
      </c>
    </row>
    <row r="204" spans="1:73" ht="40.5" customHeight="1" x14ac:dyDescent="0.3">
      <c r="A204" s="90"/>
      <c r="B204" s="72" t="s">
        <v>165</v>
      </c>
      <c r="C204" s="581" t="s">
        <v>881</v>
      </c>
      <c r="D204" s="582"/>
      <c r="E204" s="582"/>
      <c r="F204" s="582"/>
      <c r="G204" s="582"/>
      <c r="H204" s="582"/>
      <c r="I204" s="582"/>
      <c r="J204" s="582"/>
      <c r="K204" s="582"/>
      <c r="L204" s="582"/>
      <c r="M204" s="583"/>
    </row>
    <row r="205" spans="1:73" ht="13.5" customHeight="1" x14ac:dyDescent="0.3">
      <c r="A205" s="82" t="s">
        <v>360</v>
      </c>
      <c r="B205" s="60" t="s">
        <v>781</v>
      </c>
      <c r="C205" s="551" t="s">
        <v>782</v>
      </c>
      <c r="D205" s="565"/>
      <c r="E205" s="60" t="s">
        <v>452</v>
      </c>
      <c r="F205" s="70">
        <v>1</v>
      </c>
      <c r="G205" s="311">
        <v>0</v>
      </c>
      <c r="H205" s="70">
        <f>F205*AM205</f>
        <v>0</v>
      </c>
      <c r="I205" s="70">
        <f>F205*AN205</f>
        <v>0</v>
      </c>
      <c r="J205" s="70">
        <f>F205*G205</f>
        <v>0</v>
      </c>
      <c r="K205" s="70">
        <v>0</v>
      </c>
      <c r="L205" s="70">
        <f>F205*K205</f>
        <v>0</v>
      </c>
      <c r="M205" s="89" t="s">
        <v>472</v>
      </c>
      <c r="X205" s="70">
        <f>IF(AO205="5",BH205,0)</f>
        <v>0</v>
      </c>
      <c r="Z205" s="70">
        <f>IF(AO205="1",BF205,0)</f>
        <v>0</v>
      </c>
      <c r="AA205" s="70">
        <f>IF(AO205="1",BG205,0)</f>
        <v>0</v>
      </c>
      <c r="AB205" s="70">
        <f>IF(AO205="7",BF205,0)</f>
        <v>0</v>
      </c>
      <c r="AC205" s="70">
        <f>IF(AO205="7",BG205,0)</f>
        <v>0</v>
      </c>
      <c r="AD205" s="70">
        <f>IF(AO205="2",BF205,0)</f>
        <v>0</v>
      </c>
      <c r="AE205" s="70">
        <f>IF(AO205="2",BG205,0)</f>
        <v>0</v>
      </c>
      <c r="AF205" s="70">
        <f>IF(AO205="0",BH205,0)</f>
        <v>0</v>
      </c>
      <c r="AG205" s="64" t="s">
        <v>154</v>
      </c>
      <c r="AH205" s="70">
        <f>IF(AL205=0,J205,0)</f>
        <v>0</v>
      </c>
      <c r="AI205" s="70">
        <f>IF(AL205=15,J205,0)</f>
        <v>0</v>
      </c>
      <c r="AJ205" s="70">
        <f>IF(AL205=21,J205,0)</f>
        <v>0</v>
      </c>
      <c r="AL205" s="70">
        <v>21</v>
      </c>
      <c r="AM205" s="70">
        <f>G205*1</f>
        <v>0</v>
      </c>
      <c r="AN205" s="70">
        <f>G205*(1-1)</f>
        <v>0</v>
      </c>
      <c r="AO205" s="71" t="s">
        <v>453</v>
      </c>
      <c r="AT205" s="70">
        <f>AU205+AV205</f>
        <v>0</v>
      </c>
      <c r="AU205" s="70">
        <f>F205*AM205</f>
        <v>0</v>
      </c>
      <c r="AV205" s="70">
        <f>F205*AN205</f>
        <v>0</v>
      </c>
      <c r="AW205" s="71" t="s">
        <v>454</v>
      </c>
      <c r="AX205" s="71" t="s">
        <v>455</v>
      </c>
      <c r="AY205" s="64" t="s">
        <v>164</v>
      </c>
      <c r="BA205" s="70">
        <f>AU205+AV205</f>
        <v>0</v>
      </c>
      <c r="BB205" s="70">
        <f>G205/(100-BC205)*100</f>
        <v>0</v>
      </c>
      <c r="BC205" s="70">
        <v>0</v>
      </c>
      <c r="BD205" s="70">
        <f>L205</f>
        <v>0</v>
      </c>
      <c r="BF205" s="70">
        <f>F205*AM205</f>
        <v>0</v>
      </c>
      <c r="BG205" s="70">
        <f>F205*AN205</f>
        <v>0</v>
      </c>
      <c r="BH205" s="70">
        <f>F205*G205</f>
        <v>0</v>
      </c>
      <c r="BI205" s="70"/>
      <c r="BJ205" s="70"/>
      <c r="BU205" s="70" t="e">
        <f>#REF!</f>
        <v>#REF!</v>
      </c>
    </row>
    <row r="206" spans="1:73" ht="27" customHeight="1" x14ac:dyDescent="0.3">
      <c r="A206" s="90"/>
      <c r="B206" s="72" t="s">
        <v>165</v>
      </c>
      <c r="C206" s="581" t="s">
        <v>456</v>
      </c>
      <c r="D206" s="582"/>
      <c r="E206" s="582"/>
      <c r="F206" s="582"/>
      <c r="G206" s="582"/>
      <c r="H206" s="582"/>
      <c r="I206" s="582"/>
      <c r="J206" s="582"/>
      <c r="K206" s="582"/>
      <c r="L206" s="582"/>
      <c r="M206" s="583"/>
    </row>
    <row r="207" spans="1:73" ht="13.5" customHeight="1" x14ac:dyDescent="0.3">
      <c r="A207" s="82" t="s">
        <v>615</v>
      </c>
      <c r="B207" s="60" t="s">
        <v>784</v>
      </c>
      <c r="C207" s="551" t="s">
        <v>785</v>
      </c>
      <c r="D207" s="565"/>
      <c r="E207" s="60" t="s">
        <v>365</v>
      </c>
      <c r="F207" s="70">
        <v>10</v>
      </c>
      <c r="G207" s="311">
        <v>0</v>
      </c>
      <c r="H207" s="70">
        <f>F207*AM207</f>
        <v>0</v>
      </c>
      <c r="I207" s="70">
        <f>F207*AN207</f>
        <v>0</v>
      </c>
      <c r="J207" s="70">
        <f>F207*G207</f>
        <v>0</v>
      </c>
      <c r="K207" s="70">
        <v>4.4999999999999998E-2</v>
      </c>
      <c r="L207" s="70">
        <f>F207*K207</f>
        <v>0.44999999999999996</v>
      </c>
      <c r="M207" s="89" t="s">
        <v>472</v>
      </c>
      <c r="X207" s="70">
        <f>IF(AO207="5",BH207,0)</f>
        <v>0</v>
      </c>
      <c r="Z207" s="70">
        <f>IF(AO207="1",BF207,0)</f>
        <v>0</v>
      </c>
      <c r="AA207" s="70">
        <f>IF(AO207="1",BG207,0)</f>
        <v>0</v>
      </c>
      <c r="AB207" s="70">
        <f>IF(AO207="7",BF207,0)</f>
        <v>0</v>
      </c>
      <c r="AC207" s="70">
        <f>IF(AO207="7",BG207,0)</f>
        <v>0</v>
      </c>
      <c r="AD207" s="70">
        <f>IF(AO207="2",BF207,0)</f>
        <v>0</v>
      </c>
      <c r="AE207" s="70">
        <f>IF(AO207="2",BG207,0)</f>
        <v>0</v>
      </c>
      <c r="AF207" s="70">
        <f>IF(AO207="0",BH207,0)</f>
        <v>0</v>
      </c>
      <c r="AG207" s="64" t="s">
        <v>154</v>
      </c>
      <c r="AH207" s="70">
        <f>IF(AL207=0,J207,0)</f>
        <v>0</v>
      </c>
      <c r="AI207" s="70">
        <f>IF(AL207=15,J207,0)</f>
        <v>0</v>
      </c>
      <c r="AJ207" s="70">
        <f>IF(AL207=21,J207,0)</f>
        <v>0</v>
      </c>
      <c r="AL207" s="70">
        <v>21</v>
      </c>
      <c r="AM207" s="70">
        <f>G207*1</f>
        <v>0</v>
      </c>
      <c r="AN207" s="70">
        <f>G207*(1-1)</f>
        <v>0</v>
      </c>
      <c r="AO207" s="71" t="s">
        <v>453</v>
      </c>
      <c r="AT207" s="70">
        <f>AU207+AV207</f>
        <v>0</v>
      </c>
      <c r="AU207" s="70">
        <f>F207*AM207</f>
        <v>0</v>
      </c>
      <c r="AV207" s="70">
        <f>F207*AN207</f>
        <v>0</v>
      </c>
      <c r="AW207" s="71" t="s">
        <v>454</v>
      </c>
      <c r="AX207" s="71" t="s">
        <v>455</v>
      </c>
      <c r="AY207" s="64" t="s">
        <v>164</v>
      </c>
      <c r="BA207" s="70">
        <f>AU207+AV207</f>
        <v>0</v>
      </c>
      <c r="BB207" s="70">
        <f>G207/(100-BC207)*100</f>
        <v>0</v>
      </c>
      <c r="BC207" s="70">
        <v>0</v>
      </c>
      <c r="BD207" s="70">
        <f>L207</f>
        <v>0.44999999999999996</v>
      </c>
      <c r="BF207" s="70">
        <f>F207*AM207</f>
        <v>0</v>
      </c>
      <c r="BG207" s="70">
        <f>F207*AN207</f>
        <v>0</v>
      </c>
      <c r="BH207" s="70">
        <f>F207*G207</f>
        <v>0</v>
      </c>
      <c r="BI207" s="70"/>
      <c r="BJ207" s="70"/>
      <c r="BU207" s="70" t="e">
        <f>#REF!</f>
        <v>#REF!</v>
      </c>
    </row>
    <row r="208" spans="1:73" ht="81" customHeight="1" x14ac:dyDescent="0.3">
      <c r="A208" s="90"/>
      <c r="B208" s="72" t="s">
        <v>165</v>
      </c>
      <c r="C208" s="581" t="s">
        <v>882</v>
      </c>
      <c r="D208" s="582"/>
      <c r="E208" s="582"/>
      <c r="F208" s="582"/>
      <c r="G208" s="582"/>
      <c r="H208" s="582"/>
      <c r="I208" s="582"/>
      <c r="J208" s="582"/>
      <c r="K208" s="582"/>
      <c r="L208" s="582"/>
      <c r="M208" s="583"/>
    </row>
    <row r="209" spans="1:73" ht="13.5" customHeight="1" x14ac:dyDescent="0.3">
      <c r="A209" s="82" t="s">
        <v>616</v>
      </c>
      <c r="B209" s="60" t="s">
        <v>787</v>
      </c>
      <c r="C209" s="551" t="s">
        <v>788</v>
      </c>
      <c r="D209" s="565"/>
      <c r="E209" s="60" t="s">
        <v>196</v>
      </c>
      <c r="F209" s="70">
        <v>0.02</v>
      </c>
      <c r="G209" s="311">
        <v>0</v>
      </c>
      <c r="H209" s="70">
        <f>F209*AM209</f>
        <v>0</v>
      </c>
      <c r="I209" s="70">
        <f>F209*AN209</f>
        <v>0</v>
      </c>
      <c r="J209" s="70">
        <f>F209*G209</f>
        <v>0</v>
      </c>
      <c r="K209" s="70">
        <v>0.55000000000000004</v>
      </c>
      <c r="L209" s="70">
        <f>F209*K209</f>
        <v>1.1000000000000001E-2</v>
      </c>
      <c r="M209" s="89" t="s">
        <v>472</v>
      </c>
      <c r="X209" s="70">
        <f>IF(AO209="5",BH209,0)</f>
        <v>0</v>
      </c>
      <c r="Z209" s="70">
        <f>IF(AO209="1",BF209,0)</f>
        <v>0</v>
      </c>
      <c r="AA209" s="70">
        <f>IF(AO209="1",BG209,0)</f>
        <v>0</v>
      </c>
      <c r="AB209" s="70">
        <f>IF(AO209="7",BF209,0)</f>
        <v>0</v>
      </c>
      <c r="AC209" s="70">
        <f>IF(AO209="7",BG209,0)</f>
        <v>0</v>
      </c>
      <c r="AD209" s="70">
        <f>IF(AO209="2",BF209,0)</f>
        <v>0</v>
      </c>
      <c r="AE209" s="70">
        <f>IF(AO209="2",BG209,0)</f>
        <v>0</v>
      </c>
      <c r="AF209" s="70">
        <f>IF(AO209="0",BH209,0)</f>
        <v>0</v>
      </c>
      <c r="AG209" s="64" t="s">
        <v>154</v>
      </c>
      <c r="AH209" s="70">
        <f>IF(AL209=0,J209,0)</f>
        <v>0</v>
      </c>
      <c r="AI209" s="70">
        <f>IF(AL209=15,J209,0)</f>
        <v>0</v>
      </c>
      <c r="AJ209" s="70">
        <f>IF(AL209=21,J209,0)</f>
        <v>0</v>
      </c>
      <c r="AL209" s="70">
        <v>21</v>
      </c>
      <c r="AM209" s="70">
        <f>G209*1</f>
        <v>0</v>
      </c>
      <c r="AN209" s="70">
        <f>G209*(1-1)</f>
        <v>0</v>
      </c>
      <c r="AO209" s="71" t="s">
        <v>453</v>
      </c>
      <c r="AT209" s="70">
        <f>AU209+AV209</f>
        <v>0</v>
      </c>
      <c r="AU209" s="70">
        <f>F209*AM209</f>
        <v>0</v>
      </c>
      <c r="AV209" s="70">
        <f>F209*AN209</f>
        <v>0</v>
      </c>
      <c r="AW209" s="71" t="s">
        <v>454</v>
      </c>
      <c r="AX209" s="71" t="s">
        <v>455</v>
      </c>
      <c r="AY209" s="64" t="s">
        <v>164</v>
      </c>
      <c r="BA209" s="70">
        <f>AU209+AV209</f>
        <v>0</v>
      </c>
      <c r="BB209" s="70">
        <f>G209/(100-BC209)*100</f>
        <v>0</v>
      </c>
      <c r="BC209" s="70">
        <v>0</v>
      </c>
      <c r="BD209" s="70">
        <f>L209</f>
        <v>1.1000000000000001E-2</v>
      </c>
      <c r="BF209" s="70">
        <f>F209*AM209</f>
        <v>0</v>
      </c>
      <c r="BG209" s="70">
        <f>F209*AN209</f>
        <v>0</v>
      </c>
      <c r="BH209" s="70">
        <f>F209*G209</f>
        <v>0</v>
      </c>
      <c r="BI209" s="70"/>
      <c r="BJ209" s="70"/>
      <c r="BU209" s="70" t="e">
        <f>#REF!</f>
        <v>#REF!</v>
      </c>
    </row>
    <row r="210" spans="1:73" ht="108" customHeight="1" x14ac:dyDescent="0.3">
      <c r="A210" s="92"/>
      <c r="B210" s="93" t="s">
        <v>165</v>
      </c>
      <c r="C210" s="584" t="s">
        <v>883</v>
      </c>
      <c r="D210" s="585"/>
      <c r="E210" s="585"/>
      <c r="F210" s="585"/>
      <c r="G210" s="585"/>
      <c r="H210" s="585"/>
      <c r="I210" s="585"/>
      <c r="J210" s="585"/>
      <c r="K210" s="585"/>
      <c r="L210" s="585"/>
      <c r="M210" s="586"/>
    </row>
    <row r="211" spans="1:73" ht="15" customHeight="1" x14ac:dyDescent="0.3">
      <c r="H211" s="571" t="s">
        <v>423</v>
      </c>
      <c r="I211" s="571"/>
      <c r="J211" s="73">
        <f>J12+J15+J24+J27+J48+J51+J56+J77+J83+J86+J91+J96+J101+J104+J113+J116+J119+J122+J125+J134+J147+J150+J153+J160+J163+J165+J167+J170+J177</f>
        <v>0</v>
      </c>
    </row>
    <row r="212" spans="1:73" ht="15" customHeight="1" x14ac:dyDescent="0.3">
      <c r="A212" s="74" t="s">
        <v>165</v>
      </c>
    </row>
    <row r="213" spans="1:73" ht="13.5" customHeight="1" x14ac:dyDescent="0.3">
      <c r="A213" s="551" t="s">
        <v>1166</v>
      </c>
      <c r="B213" s="565"/>
      <c r="C213" s="565"/>
      <c r="D213" s="565"/>
      <c r="E213" s="565"/>
      <c r="F213" s="565"/>
      <c r="G213" s="565"/>
      <c r="H213" s="565"/>
      <c r="I213" s="565"/>
      <c r="J213" s="565"/>
      <c r="K213" s="565"/>
      <c r="L213" s="565"/>
      <c r="M213" s="565"/>
    </row>
    <row r="214" spans="1:73" ht="15" customHeight="1" x14ac:dyDescent="0.3">
      <c r="A214" s="549" t="s">
        <v>1159</v>
      </c>
      <c r="B214" s="550"/>
      <c r="C214" s="550"/>
      <c r="D214" s="550"/>
      <c r="E214" s="550"/>
      <c r="F214" s="550"/>
      <c r="G214" s="550"/>
      <c r="H214" s="550"/>
      <c r="I214" s="550"/>
      <c r="J214" s="550"/>
      <c r="K214" s="550"/>
      <c r="L214" s="550"/>
      <c r="M214" s="550"/>
    </row>
  </sheetData>
  <sheetProtection algorithmName="SHA-512" hashValue="9zpWdfUZCjYP1A8vvc4YWGVlDTWQRg9LDTG4r+Ny4Y+IJHLcF+v7g1iIvtOBl/ivY7uQdu9yvUburPd31TSMVQ==" saltValue="lR/0dOqL9wC4HEucCxgwmA==" spinCount="100000" sheet="1" objects="1" scenarios="1" formatCells="0" formatColumns="0" formatRows="0" insertColumns="0" insertRows="0" insertHyperlinks="0"/>
  <mergeCells count="231">
    <mergeCell ref="A213:M213"/>
    <mergeCell ref="A214:M214"/>
    <mergeCell ref="C206:M206"/>
    <mergeCell ref="C207:D207"/>
    <mergeCell ref="C208:M208"/>
    <mergeCell ref="C209:D209"/>
    <mergeCell ref="C210:M210"/>
    <mergeCell ref="H211:I211"/>
    <mergeCell ref="C200:D200"/>
    <mergeCell ref="C201:D201"/>
    <mergeCell ref="C202:D202"/>
    <mergeCell ref="C203:D203"/>
    <mergeCell ref="C204:M204"/>
    <mergeCell ref="C205:D205"/>
    <mergeCell ref="C194:D194"/>
    <mergeCell ref="C195:M195"/>
    <mergeCell ref="C196:D196"/>
    <mergeCell ref="C197:M197"/>
    <mergeCell ref="C198:D198"/>
    <mergeCell ref="C199:D199"/>
    <mergeCell ref="C188:D188"/>
    <mergeCell ref="C189:M189"/>
    <mergeCell ref="C190:D190"/>
    <mergeCell ref="C191:M191"/>
    <mergeCell ref="C192:D192"/>
    <mergeCell ref="C193:M193"/>
    <mergeCell ref="C182:D182"/>
    <mergeCell ref="C183:M183"/>
    <mergeCell ref="C184:D184"/>
    <mergeCell ref="C185:M185"/>
    <mergeCell ref="C186:D186"/>
    <mergeCell ref="C187:M187"/>
    <mergeCell ref="C176:M176"/>
    <mergeCell ref="C177:D177"/>
    <mergeCell ref="C178:D178"/>
    <mergeCell ref="C179:M179"/>
    <mergeCell ref="C180:D180"/>
    <mergeCell ref="C181:M181"/>
    <mergeCell ref="C170:D170"/>
    <mergeCell ref="C171:D171"/>
    <mergeCell ref="C172:M172"/>
    <mergeCell ref="C173:D173"/>
    <mergeCell ref="C174:M174"/>
    <mergeCell ref="C175:D175"/>
    <mergeCell ref="C164:D164"/>
    <mergeCell ref="C165:D165"/>
    <mergeCell ref="C166:D166"/>
    <mergeCell ref="C167:D167"/>
    <mergeCell ref="C168:D168"/>
    <mergeCell ref="C169:M169"/>
    <mergeCell ref="C158:M158"/>
    <mergeCell ref="C159:D159"/>
    <mergeCell ref="C160:D160"/>
    <mergeCell ref="C161:D161"/>
    <mergeCell ref="C162:D162"/>
    <mergeCell ref="C163:D163"/>
    <mergeCell ref="C152:M152"/>
    <mergeCell ref="C153:D153"/>
    <mergeCell ref="C154:D154"/>
    <mergeCell ref="C155:D155"/>
    <mergeCell ref="C156:M156"/>
    <mergeCell ref="C157:D157"/>
    <mergeCell ref="C146:M146"/>
    <mergeCell ref="C147:D147"/>
    <mergeCell ref="C148:D148"/>
    <mergeCell ref="C149:M149"/>
    <mergeCell ref="C150:D150"/>
    <mergeCell ref="C151:D151"/>
    <mergeCell ref="C140:M140"/>
    <mergeCell ref="C141:D141"/>
    <mergeCell ref="C142:M142"/>
    <mergeCell ref="C143:D143"/>
    <mergeCell ref="C144:M144"/>
    <mergeCell ref="C145:D145"/>
    <mergeCell ref="C134:D134"/>
    <mergeCell ref="C135:D135"/>
    <mergeCell ref="C136:M136"/>
    <mergeCell ref="C137:D137"/>
    <mergeCell ref="C138:M138"/>
    <mergeCell ref="C139:D139"/>
    <mergeCell ref="C128:D128"/>
    <mergeCell ref="C129:M129"/>
    <mergeCell ref="C130:D130"/>
    <mergeCell ref="C131:M131"/>
    <mergeCell ref="C132:D132"/>
    <mergeCell ref="C133:M133"/>
    <mergeCell ref="C122:D122"/>
    <mergeCell ref="C123:D123"/>
    <mergeCell ref="C124:M124"/>
    <mergeCell ref="C125:D125"/>
    <mergeCell ref="C126:D126"/>
    <mergeCell ref="C127:M127"/>
    <mergeCell ref="C116:D116"/>
    <mergeCell ref="C117:D117"/>
    <mergeCell ref="C118:M118"/>
    <mergeCell ref="C119:D119"/>
    <mergeCell ref="C120:D120"/>
    <mergeCell ref="C121:M121"/>
    <mergeCell ref="C110:M110"/>
    <mergeCell ref="C111:D111"/>
    <mergeCell ref="C112:M112"/>
    <mergeCell ref="C113:D113"/>
    <mergeCell ref="C114:D114"/>
    <mergeCell ref="C115:M115"/>
    <mergeCell ref="C104:D104"/>
    <mergeCell ref="C105:D105"/>
    <mergeCell ref="C106:M106"/>
    <mergeCell ref="C107:D107"/>
    <mergeCell ref="C108:M108"/>
    <mergeCell ref="C109:D109"/>
    <mergeCell ref="C98:M98"/>
    <mergeCell ref="C99:D99"/>
    <mergeCell ref="C100:M100"/>
    <mergeCell ref="C101:D101"/>
    <mergeCell ref="C102:D102"/>
    <mergeCell ref="C103:M103"/>
    <mergeCell ref="C92:D92"/>
    <mergeCell ref="C93:M93"/>
    <mergeCell ref="C94:D94"/>
    <mergeCell ref="C95:M95"/>
    <mergeCell ref="C96:D96"/>
    <mergeCell ref="C97:D97"/>
    <mergeCell ref="C86:D86"/>
    <mergeCell ref="C87:D87"/>
    <mergeCell ref="C88:M88"/>
    <mergeCell ref="C89:D89"/>
    <mergeCell ref="C90:M90"/>
    <mergeCell ref="C91:D91"/>
    <mergeCell ref="C80:D80"/>
    <mergeCell ref="C81:D81"/>
    <mergeCell ref="C82:M82"/>
    <mergeCell ref="C83:D83"/>
    <mergeCell ref="C84:D84"/>
    <mergeCell ref="C85:M85"/>
    <mergeCell ref="C74:M74"/>
    <mergeCell ref="C75:D75"/>
    <mergeCell ref="C76:M76"/>
    <mergeCell ref="C77:D77"/>
    <mergeCell ref="C78:D78"/>
    <mergeCell ref="C79:M79"/>
    <mergeCell ref="C68:M68"/>
    <mergeCell ref="C69:D69"/>
    <mergeCell ref="C70:M70"/>
    <mergeCell ref="C71:D71"/>
    <mergeCell ref="C72:M72"/>
    <mergeCell ref="C73:D73"/>
    <mergeCell ref="C62:M62"/>
    <mergeCell ref="C63:D63"/>
    <mergeCell ref="C64:M64"/>
    <mergeCell ref="C65:D65"/>
    <mergeCell ref="C66:M66"/>
    <mergeCell ref="C67:D67"/>
    <mergeCell ref="C56:D56"/>
    <mergeCell ref="C57:D57"/>
    <mergeCell ref="C58:M58"/>
    <mergeCell ref="C59:D59"/>
    <mergeCell ref="C60:M60"/>
    <mergeCell ref="C61:D61"/>
    <mergeCell ref="C50:M50"/>
    <mergeCell ref="C51:D51"/>
    <mergeCell ref="C52:D52"/>
    <mergeCell ref="C53:M53"/>
    <mergeCell ref="C54:D54"/>
    <mergeCell ref="C55:M55"/>
    <mergeCell ref="C44:D44"/>
    <mergeCell ref="C45:M45"/>
    <mergeCell ref="C46:D46"/>
    <mergeCell ref="C47:M47"/>
    <mergeCell ref="C48:D48"/>
    <mergeCell ref="C49:D49"/>
    <mergeCell ref="C38:D38"/>
    <mergeCell ref="C39:M39"/>
    <mergeCell ref="C40:D40"/>
    <mergeCell ref="C41:M41"/>
    <mergeCell ref="C42:D42"/>
    <mergeCell ref="C43:M43"/>
    <mergeCell ref="C32:D32"/>
    <mergeCell ref="C33:M33"/>
    <mergeCell ref="C34:D34"/>
    <mergeCell ref="C35:M35"/>
    <mergeCell ref="C36:D36"/>
    <mergeCell ref="C37:M37"/>
    <mergeCell ref="C26:M26"/>
    <mergeCell ref="C27:D27"/>
    <mergeCell ref="C28:D28"/>
    <mergeCell ref="C29:M29"/>
    <mergeCell ref="C30:D30"/>
    <mergeCell ref="C31:M31"/>
    <mergeCell ref="C20:D20"/>
    <mergeCell ref="C21:M21"/>
    <mergeCell ref="C22:D22"/>
    <mergeCell ref="C23:M23"/>
    <mergeCell ref="C24:D24"/>
    <mergeCell ref="C25:D25"/>
    <mergeCell ref="C14:M14"/>
    <mergeCell ref="C15:D15"/>
    <mergeCell ref="C16:D16"/>
    <mergeCell ref="C17:M17"/>
    <mergeCell ref="C18:D18"/>
    <mergeCell ref="C19:M19"/>
    <mergeCell ref="C10:D10"/>
    <mergeCell ref="H10:J10"/>
    <mergeCell ref="K10:L10"/>
    <mergeCell ref="C11:D11"/>
    <mergeCell ref="C12:D12"/>
    <mergeCell ref="C13:D13"/>
    <mergeCell ref="A8:B9"/>
    <mergeCell ref="C8:D9"/>
    <mergeCell ref="E8:F9"/>
    <mergeCell ref="G8:G9"/>
    <mergeCell ref="H8:H9"/>
    <mergeCell ref="I8:M9"/>
    <mergeCell ref="A6:B7"/>
    <mergeCell ref="C6:D7"/>
    <mergeCell ref="E6:F7"/>
    <mergeCell ref="G6:G7"/>
    <mergeCell ref="H6:H7"/>
    <mergeCell ref="I6:M7"/>
    <mergeCell ref="A4:B5"/>
    <mergeCell ref="C4:D5"/>
    <mergeCell ref="E4:F5"/>
    <mergeCell ref="G4:G5"/>
    <mergeCell ref="H4:H5"/>
    <mergeCell ref="I4:M5"/>
    <mergeCell ref="A1:M1"/>
    <mergeCell ref="A2:B3"/>
    <mergeCell ref="C2:D3"/>
    <mergeCell ref="E2:F3"/>
    <mergeCell ref="G2:G3"/>
    <mergeCell ref="H2:H3"/>
    <mergeCell ref="I2:M3"/>
  </mergeCells>
  <printOptions verticalCentered="1"/>
  <pageMargins left="0.78740157480314965" right="0.39370078740157483" top="0.39370078740157483" bottom="0.39370078740157483" header="0" footer="0.39370078740157483"/>
  <pageSetup paperSize="9" scale="61" firstPageNumber="0" fitToHeight="0" orientation="landscape" r:id="rId1"/>
  <headerFooter>
    <oddFooter>&amp;L&amp;A&amp;C&amp;F&amp;Rstran &amp;N / strana &amp;P</oddFooter>
  </headerFooter>
  <rowBreaks count="7" manualBreakCount="7">
    <brk id="26" max="12" man="1"/>
    <brk id="45" max="12" man="1"/>
    <brk id="70" max="12" man="1"/>
    <brk id="103" max="12" man="1"/>
    <brk id="133" max="12" man="1"/>
    <brk id="169" max="12" man="1"/>
    <brk id="195" max="1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25</vt:i4>
      </vt:variant>
      <vt:variant>
        <vt:lpstr>Pojmenované oblasti</vt:lpstr>
      </vt:variant>
      <vt:variant>
        <vt:i4>23</vt:i4>
      </vt:variant>
    </vt:vector>
  </HeadingPairs>
  <TitlesOfParts>
    <vt:vector size="48" baseType="lpstr">
      <vt:lpstr>ROZPISKA</vt:lpstr>
      <vt:lpstr>ÚVODNÍ POPIS</vt:lpstr>
      <vt:lpstr>ÚVODNÍ USTANOVENÍ PRO STAVBU</vt:lpstr>
      <vt:lpstr>REKAPITULACE</vt:lpstr>
      <vt:lpstr>SO 001</vt:lpstr>
      <vt:lpstr>DSO 010.1.</vt:lpstr>
      <vt:lpstr>DSO 010.2.</vt:lpstr>
      <vt:lpstr>DSO 010.3.</vt:lpstr>
      <vt:lpstr>DSO 010.4.</vt:lpstr>
      <vt:lpstr>DSO 010.5.</vt:lpstr>
      <vt:lpstr>DSO 020.1.</vt:lpstr>
      <vt:lpstr>DSO 030.1.</vt:lpstr>
      <vt:lpstr>DSO 030.2.</vt:lpstr>
      <vt:lpstr>DSO 030.3.</vt:lpstr>
      <vt:lpstr>DSO 030.4.</vt:lpstr>
      <vt:lpstr>DSO 040.1.</vt:lpstr>
      <vt:lpstr>DSO 050.1.</vt:lpstr>
      <vt:lpstr>DSO 050.2.</vt:lpstr>
      <vt:lpstr>DSO 050.3.</vt:lpstr>
      <vt:lpstr>DSO 050.4.</vt:lpstr>
      <vt:lpstr>DSO 060.1.</vt:lpstr>
      <vt:lpstr>DSO 070.1.</vt:lpstr>
      <vt:lpstr>DSO 080.1.</vt:lpstr>
      <vt:lpstr>DOD č.1</vt:lpstr>
      <vt:lpstr>DOD č.2</vt:lpstr>
      <vt:lpstr>'DOD č.1'!Oblast_tisku</vt:lpstr>
      <vt:lpstr>'DOD č.2'!Oblast_tisku</vt:lpstr>
      <vt:lpstr>'DSO 010.1.'!Oblast_tisku</vt:lpstr>
      <vt:lpstr>'DSO 010.2.'!Oblast_tisku</vt:lpstr>
      <vt:lpstr>'DSO 010.3.'!Oblast_tisku</vt:lpstr>
      <vt:lpstr>'DSO 010.4.'!Oblast_tisku</vt:lpstr>
      <vt:lpstr>'DSO 010.5.'!Oblast_tisku</vt:lpstr>
      <vt:lpstr>'DSO 020.1.'!Oblast_tisku</vt:lpstr>
      <vt:lpstr>'DSO 030.1.'!Oblast_tisku</vt:lpstr>
      <vt:lpstr>'DSO 030.2.'!Oblast_tisku</vt:lpstr>
      <vt:lpstr>'DSO 030.3.'!Oblast_tisku</vt:lpstr>
      <vt:lpstr>'DSO 030.4.'!Oblast_tisku</vt:lpstr>
      <vt:lpstr>'DSO 040.1.'!Oblast_tisku</vt:lpstr>
      <vt:lpstr>'DSO 050.1.'!Oblast_tisku</vt:lpstr>
      <vt:lpstr>'DSO 050.2.'!Oblast_tisku</vt:lpstr>
      <vt:lpstr>'DSO 050.3.'!Oblast_tisku</vt:lpstr>
      <vt:lpstr>'DSO 050.4.'!Oblast_tisku</vt:lpstr>
      <vt:lpstr>'DSO 060.1.'!Oblast_tisku</vt:lpstr>
      <vt:lpstr>'DSO 070.1.'!Oblast_tisku</vt:lpstr>
      <vt:lpstr>'DSO 080.1.'!Oblast_tisku</vt:lpstr>
      <vt:lpstr>REKAPITULACE!Oblast_tisku</vt:lpstr>
      <vt:lpstr>ROZPISKA!Oblast_tisku</vt:lpstr>
      <vt:lpstr>'SO 001'!Oblast_tisku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 Marek PETSCHENKA</dc:creator>
  <cp:lastModifiedBy>Vladimir Klicka</cp:lastModifiedBy>
  <cp:lastPrinted>2024-09-25T13:29:55Z</cp:lastPrinted>
  <dcterms:created xsi:type="dcterms:W3CDTF">2019-08-31T01:49:02Z</dcterms:created>
  <dcterms:modified xsi:type="dcterms:W3CDTF">2024-09-25T16:42:14Z</dcterms:modified>
</cp:coreProperties>
</file>