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/>
  <mc:AlternateContent xmlns:mc="http://schemas.openxmlformats.org/markup-compatibility/2006">
    <mc:Choice Requires="x15">
      <x15ac:absPath xmlns:x15ac="http://schemas.microsoft.com/office/spreadsheetml/2010/11/ac" url="C:\DIOMONTA 2024\NOVOSEDLICE\HŘBITOV\"/>
    </mc:Choice>
  </mc:AlternateContent>
  <xr:revisionPtr revIDLastSave="0" documentId="13_ncr:1_{DCA413B9-FF9B-47E0-8B3D-CAAF053E55EB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Zakázka" sheetId="4" r:id="rId3"/>
  </sheets>
  <externalReferences>
    <externalReference r:id="rId4"/>
  </externalReferences>
  <definedNames>
    <definedName name="__3FD872C1_8887_4EA3_9FC2_897EF4F3D2C3_FIGURE__">'[1]#REF!'!$B$3:$F$5</definedName>
    <definedName name="__3FD872C1_8887_4EA3_9FC2_897EF4F3D2C3_ITEM__">Zakázka!$A$12:$Q$12</definedName>
    <definedName name="__3FD872C1_8887_4EA3_9FC2_897EF4F3D2C3_ITEM_GROUP1__">Zakázka!$A$6:$Q$94</definedName>
    <definedName name="__3FD872C1_8887_4EA3_9FC2_897EF4F3D2C3_ITEM_GROUP1_RECAP__">Rekapitulace!$A$6:$F$11</definedName>
    <definedName name="__3FD872C1_8887_4EA3_9FC2_897EF4F3D2C3_ITEM_GROUP2__">Zakázka!$A$7:$Q$93</definedName>
    <definedName name="__3FD872C1_8887_4EA3_9FC2_897EF4F3D2C3_ITEM_GROUP2_RECAP__">Rekapitulace!$A$7:$F$11</definedName>
    <definedName name="__3FD872C1_8887_4EA3_9FC2_897EF4F3D2C3_ITEM_GROUP3__X">Zakázka!$A$8:$Q$93</definedName>
    <definedName name="__3FD872C1_8887_4EA3_9FC2_897EF4F3D2C3_ITEM_GROUP3_RECAP__">Rekapitulace!$A$8:$F$11</definedName>
    <definedName name="__3FD872C1_8887_4EA3_9FC2_897EF4F3D2C3_ITEM_GROUP4__X">Zakázka!$A$9:$Q$93</definedName>
    <definedName name="__3FD872C1_8887_4EA3_9FC2_897EF4F3D2C3_ITEM_GROUP4_RECAP__">Rekapitulace!$A$9:$F$11</definedName>
    <definedName name="__3FD872C1_8887_4EA3_9FC2_897EF4F3D2C3_ITEM_GROUP5__X">Zakázka!$A$10:$Q$28</definedName>
    <definedName name="__3FD872C1_8887_4EA3_9FC2_897EF4F3D2C3_ITEM_GROUP5_RECAP__">Rekapitulace!$A$10:$F$11</definedName>
    <definedName name="__3FD872C1_8887_4EA3_9FC2_897EF4F3D2C3_ITEM_GROUP6__X">Zakázka!$A$11:$Q$14</definedName>
    <definedName name="__3FD872C1_8887_4EA3_9FC2_897EF4F3D2C3_ITEM_GROUP6_RECAP__">Rekapitulace!$A$11:$F$11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GROUP_ID">Zakázka!$B$6:$B$95</definedName>
    <definedName name="ITEM_PRICES">Zakázka!$J$6:$J$95</definedName>
    <definedName name="_xlnm.Print_Titles" localSheetId="1">Rekapitulace!$4:$5</definedName>
    <definedName name="_xlnm.Print_Titles" localSheetId="2">Zakázka!$4:$5</definedName>
    <definedName name="_xlnm.Print_Area" localSheetId="0">'Krycí List'!$C$1:$H$65</definedName>
    <definedName name="_xlnm.Print_Area" localSheetId="1">Rekapitulace!$B$1:$F$32</definedName>
    <definedName name="_xlnm.Print_Area" localSheetId="2">Zakázka!$C$1:$R$95</definedName>
    <definedName name="VAT_RATES">Zakázka!$O$6:$O$95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2" i="4" l="1"/>
  <c r="L92" i="4"/>
  <c r="J92" i="4"/>
  <c r="N91" i="4"/>
  <c r="L91" i="4"/>
  <c r="J91" i="4"/>
  <c r="N89" i="4"/>
  <c r="L89" i="4"/>
  <c r="L88" i="4" s="1"/>
  <c r="J89" i="4"/>
  <c r="N88" i="4"/>
  <c r="N85" i="4"/>
  <c r="L85" i="4"/>
  <c r="J85" i="4"/>
  <c r="N84" i="4"/>
  <c r="L84" i="4"/>
  <c r="J84" i="4"/>
  <c r="N82" i="4"/>
  <c r="L82" i="4"/>
  <c r="J82" i="4"/>
  <c r="N81" i="4"/>
  <c r="L81" i="4"/>
  <c r="J81" i="4"/>
  <c r="P81" i="4" s="1"/>
  <c r="Q81" i="4" s="1"/>
  <c r="N80" i="4"/>
  <c r="L80" i="4"/>
  <c r="J80" i="4"/>
  <c r="J75" i="4" s="1"/>
  <c r="C21" i="3" s="1"/>
  <c r="N79" i="4"/>
  <c r="L79" i="4"/>
  <c r="J79" i="4"/>
  <c r="P79" i="4" s="1"/>
  <c r="Q79" i="4" s="1"/>
  <c r="P78" i="4"/>
  <c r="Q78" i="4" s="1"/>
  <c r="N78" i="4"/>
  <c r="L78" i="4"/>
  <c r="J78" i="4"/>
  <c r="N77" i="4"/>
  <c r="L77" i="4"/>
  <c r="J77" i="4"/>
  <c r="P76" i="4"/>
  <c r="N76" i="4"/>
  <c r="L76" i="4"/>
  <c r="J76" i="4"/>
  <c r="Q76" i="4" s="1"/>
  <c r="L75" i="4"/>
  <c r="N73" i="4"/>
  <c r="L73" i="4"/>
  <c r="J73" i="4"/>
  <c r="P72" i="4"/>
  <c r="Q72" i="4" s="1"/>
  <c r="N72" i="4"/>
  <c r="L72" i="4"/>
  <c r="J72" i="4"/>
  <c r="J71" i="4" s="1"/>
  <c r="C20" i="3" s="1"/>
  <c r="N71" i="4"/>
  <c r="L71" i="4"/>
  <c r="N69" i="4"/>
  <c r="L69" i="4"/>
  <c r="J69" i="4"/>
  <c r="P69" i="4" s="1"/>
  <c r="Q69" i="4" s="1"/>
  <c r="N68" i="4"/>
  <c r="L68" i="4"/>
  <c r="J68" i="4"/>
  <c r="P68" i="4" s="1"/>
  <c r="Q68" i="4" s="1"/>
  <c r="N67" i="4"/>
  <c r="L67" i="4"/>
  <c r="J67" i="4"/>
  <c r="N66" i="4"/>
  <c r="L66" i="4"/>
  <c r="J66" i="4"/>
  <c r="P66" i="4" s="1"/>
  <c r="N65" i="4"/>
  <c r="L65" i="4"/>
  <c r="L59" i="4" s="1"/>
  <c r="D19" i="3" s="1"/>
  <c r="J65" i="4"/>
  <c r="N64" i="4"/>
  <c r="L64" i="4"/>
  <c r="J64" i="4"/>
  <c r="N63" i="4"/>
  <c r="L63" i="4"/>
  <c r="J63" i="4"/>
  <c r="P63" i="4" s="1"/>
  <c r="Q63" i="4" s="1"/>
  <c r="N62" i="4"/>
  <c r="L62" i="4"/>
  <c r="J62" i="4"/>
  <c r="N61" i="4"/>
  <c r="L61" i="4"/>
  <c r="J61" i="4"/>
  <c r="P61" i="4" s="1"/>
  <c r="Q61" i="4" s="1"/>
  <c r="N60" i="4"/>
  <c r="N59" i="4" s="1"/>
  <c r="L60" i="4"/>
  <c r="J60" i="4"/>
  <c r="P60" i="4" s="1"/>
  <c r="P57" i="4"/>
  <c r="N57" i="4"/>
  <c r="L57" i="4"/>
  <c r="J57" i="4"/>
  <c r="Q57" i="4" s="1"/>
  <c r="Q56" i="4" s="1"/>
  <c r="F18" i="3" s="1"/>
  <c r="P56" i="4"/>
  <c r="N56" i="4"/>
  <c r="L56" i="4"/>
  <c r="J56" i="4"/>
  <c r="N54" i="4"/>
  <c r="L54" i="4"/>
  <c r="J54" i="4"/>
  <c r="N53" i="4"/>
  <c r="L53" i="4"/>
  <c r="J53" i="4"/>
  <c r="P53" i="4" s="1"/>
  <c r="Q53" i="4" s="1"/>
  <c r="N52" i="4"/>
  <c r="L52" i="4"/>
  <c r="J52" i="4"/>
  <c r="N51" i="4"/>
  <c r="L51" i="4"/>
  <c r="J51" i="4"/>
  <c r="P51" i="4" s="1"/>
  <c r="Q51" i="4" s="1"/>
  <c r="N50" i="4"/>
  <c r="L50" i="4"/>
  <c r="L49" i="4" s="1"/>
  <c r="D17" i="3" s="1"/>
  <c r="J50" i="4"/>
  <c r="P50" i="4" s="1"/>
  <c r="P47" i="4"/>
  <c r="N47" i="4"/>
  <c r="L47" i="4"/>
  <c r="J47" i="4"/>
  <c r="Q47" i="4" s="1"/>
  <c r="P46" i="4"/>
  <c r="N46" i="4"/>
  <c r="L46" i="4"/>
  <c r="J46" i="4"/>
  <c r="N45" i="4"/>
  <c r="L45" i="4"/>
  <c r="J45" i="4"/>
  <c r="N44" i="4"/>
  <c r="L44" i="4"/>
  <c r="J44" i="4"/>
  <c r="P44" i="4" s="1"/>
  <c r="Q44" i="4" s="1"/>
  <c r="N43" i="4"/>
  <c r="L43" i="4"/>
  <c r="J43" i="4"/>
  <c r="N42" i="4"/>
  <c r="L42" i="4"/>
  <c r="J42" i="4"/>
  <c r="P42" i="4" s="1"/>
  <c r="Q42" i="4" s="1"/>
  <c r="N41" i="4"/>
  <c r="L41" i="4"/>
  <c r="J41" i="4"/>
  <c r="P41" i="4" s="1"/>
  <c r="N40" i="4"/>
  <c r="L40" i="4"/>
  <c r="J40" i="4"/>
  <c r="N39" i="4"/>
  <c r="L39" i="4"/>
  <c r="J39" i="4"/>
  <c r="P39" i="4" s="1"/>
  <c r="N38" i="4"/>
  <c r="L38" i="4"/>
  <c r="J38" i="4"/>
  <c r="N37" i="4"/>
  <c r="L37" i="4"/>
  <c r="J37" i="4"/>
  <c r="N36" i="4"/>
  <c r="L36" i="4"/>
  <c r="J36" i="4"/>
  <c r="P36" i="4" s="1"/>
  <c r="Q36" i="4" s="1"/>
  <c r="N35" i="4"/>
  <c r="L35" i="4"/>
  <c r="J35" i="4"/>
  <c r="N34" i="4"/>
  <c r="L34" i="4"/>
  <c r="L30" i="4" s="1"/>
  <c r="D16" i="3" s="1"/>
  <c r="J34" i="4"/>
  <c r="P34" i="4" s="1"/>
  <c r="Q34" i="4" s="1"/>
  <c r="P33" i="4"/>
  <c r="N33" i="4"/>
  <c r="L33" i="4"/>
  <c r="J33" i="4"/>
  <c r="Q33" i="4" s="1"/>
  <c r="N32" i="4"/>
  <c r="L32" i="4"/>
  <c r="J32" i="4"/>
  <c r="P31" i="4"/>
  <c r="N31" i="4"/>
  <c r="L31" i="4"/>
  <c r="J31" i="4"/>
  <c r="Q31" i="4" s="1"/>
  <c r="N27" i="4"/>
  <c r="L27" i="4"/>
  <c r="J27" i="4"/>
  <c r="P27" i="4" s="1"/>
  <c r="Q27" i="4" s="1"/>
  <c r="N26" i="4"/>
  <c r="L26" i="4"/>
  <c r="J26" i="4"/>
  <c r="N25" i="4"/>
  <c r="L25" i="4"/>
  <c r="J25" i="4"/>
  <c r="P25" i="4" s="1"/>
  <c r="Q25" i="4" s="1"/>
  <c r="P24" i="4"/>
  <c r="N24" i="4"/>
  <c r="L24" i="4"/>
  <c r="J24" i="4"/>
  <c r="Q24" i="4" s="1"/>
  <c r="N23" i="4"/>
  <c r="N22" i="4" s="1"/>
  <c r="L23" i="4"/>
  <c r="L22" i="4" s="1"/>
  <c r="D14" i="3" s="1"/>
  <c r="J23" i="4"/>
  <c r="N20" i="4"/>
  <c r="N18" i="4" s="1"/>
  <c r="L20" i="4"/>
  <c r="J20" i="4"/>
  <c r="P20" i="4" s="1"/>
  <c r="N19" i="4"/>
  <c r="L19" i="4"/>
  <c r="L18" i="4" s="1"/>
  <c r="D13" i="3" s="1"/>
  <c r="J19" i="4"/>
  <c r="N16" i="4"/>
  <c r="N15" i="4" s="1"/>
  <c r="L16" i="4"/>
  <c r="L15" i="4" s="1"/>
  <c r="D12" i="3" s="1"/>
  <c r="J16" i="4"/>
  <c r="N13" i="4"/>
  <c r="L13" i="4"/>
  <c r="J13" i="4"/>
  <c r="N12" i="4"/>
  <c r="L12" i="4"/>
  <c r="L11" i="4" s="1"/>
  <c r="J12" i="4"/>
  <c r="C27" i="3"/>
  <c r="D25" i="3"/>
  <c r="C25" i="3"/>
  <c r="D22" i="3"/>
  <c r="C22" i="3"/>
  <c r="D21" i="3"/>
  <c r="D20" i="3"/>
  <c r="E18" i="3"/>
  <c r="D18" i="3"/>
  <c r="C18" i="3"/>
  <c r="D55" i="1"/>
  <c r="E49" i="1"/>
  <c r="H41" i="1"/>
  <c r="H40" i="1"/>
  <c r="H38" i="1"/>
  <c r="L14" i="1"/>
  <c r="L12" i="1"/>
  <c r="L10" i="1"/>
  <c r="L8" i="1"/>
  <c r="A6" i="1"/>
  <c r="A3" i="1" a="1"/>
  <c r="A3" i="1" s="1"/>
  <c r="G36" i="1"/>
  <c r="L87" i="4" l="1"/>
  <c r="D23" i="3" s="1"/>
  <c r="D24" i="3"/>
  <c r="N30" i="4"/>
  <c r="Q39" i="4"/>
  <c r="Q41" i="4"/>
  <c r="Q50" i="4"/>
  <c r="J49" i="4"/>
  <c r="C17" i="3" s="1"/>
  <c r="Q65" i="4"/>
  <c r="Q66" i="4"/>
  <c r="N75" i="4"/>
  <c r="L29" i="4"/>
  <c r="D15" i="3" s="1"/>
  <c r="N11" i="4"/>
  <c r="N10" i="4" s="1"/>
  <c r="P13" i="4"/>
  <c r="Q13" i="4" s="1"/>
  <c r="Q46" i="4"/>
  <c r="N49" i="4"/>
  <c r="J59" i="4"/>
  <c r="C19" i="3" s="1"/>
  <c r="P85" i="4"/>
  <c r="P84" i="4" s="1"/>
  <c r="E22" i="3" s="1"/>
  <c r="N87" i="4"/>
  <c r="Q20" i="4"/>
  <c r="J30" i="4"/>
  <c r="C16" i="3" s="1"/>
  <c r="P38" i="4"/>
  <c r="Q38" i="4" s="1"/>
  <c r="P65" i="4"/>
  <c r="J29" i="4"/>
  <c r="C15" i="3" s="1"/>
  <c r="D11" i="3"/>
  <c r="L10" i="4"/>
  <c r="Q67" i="4"/>
  <c r="A4" i="1" a="1"/>
  <c r="A4" i="1" s="1"/>
  <c r="A8" i="1" s="1"/>
  <c r="A7" i="1"/>
  <c r="Q35" i="4"/>
  <c r="Q54" i="4"/>
  <c r="Q77" i="4"/>
  <c r="Q60" i="4"/>
  <c r="J15" i="4"/>
  <c r="C12" i="3" s="1"/>
  <c r="P16" i="4"/>
  <c r="P15" i="4" s="1"/>
  <c r="E12" i="3" s="1"/>
  <c r="P26" i="4"/>
  <c r="Q26" i="4" s="1"/>
  <c r="P35" i="4"/>
  <c r="P43" i="4"/>
  <c r="Q43" i="4" s="1"/>
  <c r="P52" i="4"/>
  <c r="P49" i="4" s="1"/>
  <c r="E17" i="3" s="1"/>
  <c r="P62" i="4"/>
  <c r="Q62" i="4" s="1"/>
  <c r="P80" i="4"/>
  <c r="J11" i="4"/>
  <c r="P12" i="4"/>
  <c r="P11" i="4" s="1"/>
  <c r="J22" i="4"/>
  <c r="C14" i="3" s="1"/>
  <c r="P23" i="4"/>
  <c r="P32" i="4"/>
  <c r="P40" i="4"/>
  <c r="Q40" i="4" s="1"/>
  <c r="P67" i="4"/>
  <c r="P77" i="4"/>
  <c r="Q80" i="4"/>
  <c r="J18" i="4"/>
  <c r="C13" i="3" s="1"/>
  <c r="P19" i="4"/>
  <c r="P18" i="4" s="1"/>
  <c r="E13" i="3" s="1"/>
  <c r="Q32" i="4"/>
  <c r="P37" i="4"/>
  <c r="Q37" i="4" s="1"/>
  <c r="P45" i="4"/>
  <c r="Q45" i="4" s="1"/>
  <c r="P54" i="4"/>
  <c r="P64" i="4"/>
  <c r="Q64" i="4" s="1"/>
  <c r="P73" i="4"/>
  <c r="Q73" i="4" s="1"/>
  <c r="Q71" i="4" s="1"/>
  <c r="F20" i="3" s="1"/>
  <c r="P82" i="4"/>
  <c r="Q82" i="4" s="1"/>
  <c r="J88" i="4"/>
  <c r="P89" i="4"/>
  <c r="P88" i="4" s="1"/>
  <c r="P92" i="4"/>
  <c r="P91" i="4" s="1"/>
  <c r="E25" i="3" s="1"/>
  <c r="P22" i="4" l="1"/>
  <c r="E14" i="3" s="1"/>
  <c r="Q85" i="4"/>
  <c r="Q84" i="4" s="1"/>
  <c r="F22" i="3" s="1"/>
  <c r="Q52" i="4"/>
  <c r="Q49" i="4" s="1"/>
  <c r="F17" i="3" s="1"/>
  <c r="P71" i="4"/>
  <c r="E20" i="3" s="1"/>
  <c r="N29" i="4"/>
  <c r="N9" i="4" s="1"/>
  <c r="N8" i="4" s="1"/>
  <c r="N7" i="4" s="1"/>
  <c r="N6" i="4" s="1"/>
  <c r="Q75" i="4"/>
  <c r="F21" i="3" s="1"/>
  <c r="Q30" i="4"/>
  <c r="A11" i="1"/>
  <c r="A14" i="1"/>
  <c r="P30" i="4"/>
  <c r="D10" i="3"/>
  <c r="L9" i="4"/>
  <c r="E24" i="3"/>
  <c r="P87" i="4"/>
  <c r="E23" i="3" s="1"/>
  <c r="Q89" i="4"/>
  <c r="Q88" i="4" s="1"/>
  <c r="J87" i="4"/>
  <c r="C23" i="3" s="1"/>
  <c r="C24" i="3"/>
  <c r="P59" i="4"/>
  <c r="E19" i="3" s="1"/>
  <c r="Q23" i="4"/>
  <c r="Q22" i="4" s="1"/>
  <c r="F14" i="3" s="1"/>
  <c r="Q59" i="4"/>
  <c r="F19" i="3" s="1"/>
  <c r="P10" i="4"/>
  <c r="E11" i="3"/>
  <c r="P75" i="4"/>
  <c r="E21" i="3" s="1"/>
  <c r="J10" i="4"/>
  <c r="C11" i="3"/>
  <c r="Q92" i="4"/>
  <c r="Q91" i="4" s="1"/>
  <c r="F25" i="3" s="1"/>
  <c r="Q16" i="4"/>
  <c r="Q15" i="4" s="1"/>
  <c r="F12" i="3" s="1"/>
  <c r="A5" i="1" a="1"/>
  <c r="A5" i="1" s="1"/>
  <c r="A9" i="1" s="1"/>
  <c r="Q19" i="4"/>
  <c r="Q18" i="4" s="1"/>
  <c r="F13" i="3" s="1"/>
  <c r="Q12" i="4"/>
  <c r="Q11" i="4" s="1"/>
  <c r="A13" i="1"/>
  <c r="A10" i="1"/>
  <c r="C38" i="1"/>
  <c r="G39" i="1"/>
  <c r="B29" i="3"/>
  <c r="C30" i="3"/>
  <c r="B30" i="3"/>
  <c r="G38" i="1"/>
  <c r="C29" i="3"/>
  <c r="C39" i="1"/>
  <c r="C28" i="3" l="1"/>
  <c r="C31" i="3" s="1"/>
  <c r="D9" i="3"/>
  <c r="L8" i="4"/>
  <c r="E16" i="3"/>
  <c r="P29" i="4"/>
  <c r="E15" i="3" s="1"/>
  <c r="A12" i="1"/>
  <c r="A15" i="1"/>
  <c r="E10" i="3"/>
  <c r="C10" i="3"/>
  <c r="J9" i="4"/>
  <c r="A16" i="1"/>
  <c r="F24" i="3"/>
  <c r="Q87" i="4"/>
  <c r="F23" i="3" s="1"/>
  <c r="F16" i="3"/>
  <c r="Q29" i="4"/>
  <c r="F15" i="3" s="1"/>
  <c r="Q10" i="4"/>
  <c r="F11" i="3"/>
  <c r="G40" i="1"/>
  <c r="G41" i="1" l="1"/>
  <c r="L7" i="4"/>
  <c r="D8" i="3"/>
  <c r="C9" i="3"/>
  <c r="J8" i="4"/>
  <c r="F10" i="3"/>
  <c r="Q9" i="4"/>
  <c r="P9" i="4"/>
  <c r="J7" i="4" l="1"/>
  <c r="C8" i="3"/>
  <c r="P8" i="4"/>
  <c r="E9" i="3"/>
  <c r="D7" i="3"/>
  <c r="L6" i="4"/>
  <c r="D6" i="3" s="1"/>
  <c r="Q8" i="4"/>
  <c r="F9" i="3"/>
  <c r="E8" i="3" l="1"/>
  <c r="P7" i="4"/>
  <c r="F8" i="3"/>
  <c r="Q7" i="4"/>
  <c r="J6" i="4"/>
  <c r="C6" i="3" s="1"/>
  <c r="C7" i="3"/>
  <c r="P6" i="4" l="1"/>
  <c r="E6" i="3" s="1"/>
  <c r="E7" i="3"/>
  <c r="Q6" i="4"/>
  <c r="F6" i="3" s="1"/>
  <c r="F7" i="3"/>
</calcChain>
</file>

<file path=xl/sharedStrings.xml><?xml version="1.0" encoding="utf-8"?>
<sst xmlns="http://schemas.openxmlformats.org/spreadsheetml/2006/main" count="423" uniqueCount="218">
  <si>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</si>
  <si>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</si>
  <si>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</si>
  <si>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</si>
  <si>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</si>
  <si>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</si>
  <si>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</si>
  <si>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</si>
  <si>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</si>
  <si>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</si>
  <si>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</si>
  <si>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</si>
  <si>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</si>
  <si>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</si>
  <si>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</si>
  <si>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</si>
  <si>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</si>
  <si>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CENOVÁ NABÍDKA</t>
  </si>
  <si>
    <t>Set Column width to</t>
  </si>
  <si>
    <t>Zakázka:</t>
  </si>
  <si>
    <t>Hřbitov Novosedlice – oprava cest 1. Etapa (fáze 2 - 5)</t>
  </si>
  <si>
    <t>Číslo zakázky:</t>
  </si>
  <si>
    <t>23132</t>
  </si>
  <si>
    <t>Komentář:</t>
  </si>
  <si>
    <t>Zadavatel:</t>
  </si>
  <si>
    <t>Obec Novosedlice</t>
  </si>
  <si>
    <t>Cena bez DPH:</t>
  </si>
  <si>
    <t>Kč</t>
  </si>
  <si>
    <t>DPH:</t>
  </si>
  <si>
    <t>Cena s DPH:</t>
  </si>
  <si>
    <t>Platnost nabídky do:</t>
  </si>
  <si>
    <t>Zpracoval:</t>
  </si>
  <si>
    <t>JP</t>
  </si>
  <si>
    <t>Dne:</t>
  </si>
  <si>
    <t>……………………………………………………………………</t>
  </si>
  <si>
    <t>TELKONT s.r.o.</t>
  </si>
  <si>
    <t xml:space="preserve">TELKONT s.r.o.      │     U   Pivovaru  136,  415 01 Teplice       │       IČ:  25467069       │      DIČ:CZ 25467069  </t>
  </si>
  <si>
    <t>Zapsaná v obchodním rejstříku vedeném Krajským soudem v Ústí nad Labem oddíl C,  vložka 19503</t>
  </si>
  <si>
    <t>Bankovní spojení:   Komerční banka, pobočka Teplice       │      č.ú. 27-4830360257/0100</t>
  </si>
  <si>
    <t xml:space="preserve">tel: 417 539 888      │      www.telkont.cz        │       telkont@telkont.cz  </t>
  </si>
  <si>
    <t>292</t>
  </si>
  <si>
    <t>DOD 01: Více a ménepráce</t>
  </si>
  <si>
    <t>292/S</t>
  </si>
  <si>
    <t>S: Stavba</t>
  </si>
  <si>
    <t>292/S/SO102</t>
  </si>
  <si>
    <t>SO102: Fáze c.2</t>
  </si>
  <si>
    <t>292/S/SO102/SO102.</t>
  </si>
  <si>
    <t>SO102.: Fáze c.2</t>
  </si>
  <si>
    <t>292/S/SO102/SO102./*</t>
  </si>
  <si>
    <t>*: Nezarazeno</t>
  </si>
  <si>
    <t>292/S/SO102/SO102./*/2</t>
  </si>
  <si>
    <t>2: Zakládání</t>
  </si>
  <si>
    <t>292/S/SO102/SO102./*/3</t>
  </si>
  <si>
    <t>3: Svislé a kompletní konstrukce</t>
  </si>
  <si>
    <t>292/S/SO102/SO102./*/4</t>
  </si>
  <si>
    <t>4: Vodorovné konstrukce</t>
  </si>
  <si>
    <t>292/S/SO102/SO102./*/8</t>
  </si>
  <si>
    <t>8: Trubní vedení</t>
  </si>
  <si>
    <t>292/S/SO102/SO102./HSV</t>
  </si>
  <si>
    <t>HSV: Práce a dodávky HSV</t>
  </si>
  <si>
    <t>292/S/SO102/SO102./HSV/1</t>
  </si>
  <si>
    <t>1: Zemní práce</t>
  </si>
  <si>
    <t>292/S/SO102/SO102./HSV/5</t>
  </si>
  <si>
    <t>5: Komunikace pozemní</t>
  </si>
  <si>
    <t>292/S/SO102/SO102./HSV/6</t>
  </si>
  <si>
    <t>6: Úpravy povrchu, podlahy a osazování výplní</t>
  </si>
  <si>
    <t>292/S/SO102/SO102./HSV/9</t>
  </si>
  <si>
    <t>9: Ostatní konstrukce a práce, bourání</t>
  </si>
  <si>
    <t>292/S/SO102/SO102./HSV/96</t>
  </si>
  <si>
    <t>96: Bourání konstrukcí</t>
  </si>
  <si>
    <t>292/S/SO102/SO102./HSV/997</t>
  </si>
  <si>
    <t>997: Presun sute</t>
  </si>
  <si>
    <t>292/S/SO102/SO102./HSV/998</t>
  </si>
  <si>
    <t>998: Presun hmot</t>
  </si>
  <si>
    <t>292/S/SO102/SO102./P</t>
  </si>
  <si>
    <t>P: Oddíly prací PSV</t>
  </si>
  <si>
    <t>292/S/SO102/SO102./P/711</t>
  </si>
  <si>
    <t>711: Izolace proti vode, vlhkosti a plynum</t>
  </si>
  <si>
    <t>292/S/SO102/SO102./P/721</t>
  </si>
  <si>
    <t>721: Zdravotechnika - vnitrní kanalizace</t>
  </si>
  <si>
    <t>Hřbitov Novosedlice – oprava cest 1. Etapa (fáze 2 - 5) - Nabídka</t>
  </si>
  <si>
    <t xml:space="preserve"> </t>
  </si>
  <si>
    <t>Dodatek</t>
  </si>
  <si>
    <t>Stavba</t>
  </si>
  <si>
    <t>Objekt</t>
  </si>
  <si>
    <t>Podobjekt</t>
  </si>
  <si>
    <t>Skupina</t>
  </si>
  <si>
    <t>Oddíl</t>
  </si>
  <si>
    <t>SUB</t>
  </si>
  <si>
    <t>211971110</t>
  </si>
  <si>
    <t>Zřízení opláštění výplně z geotextilie odvodňovacích žeber nebo trativodů v rýze nebo zářezu se stěnami šikmými o sklonu do 1:2</t>
  </si>
  <si>
    <t>m2</t>
  </si>
  <si>
    <t>69311081</t>
  </si>
  <si>
    <t>geotextilie netkaná separační, ochranná, filtrační, drenážní PES 300g/m2</t>
  </si>
  <si>
    <t>327111141</t>
  </si>
  <si>
    <t>Betonové svahovky vyplněné zeminou zpevněný svah výšky do 2 m tloušťka stěny 440 mm přírodní</t>
  </si>
  <si>
    <t>451573111</t>
  </si>
  <si>
    <t>Lože pod potrubí, stoky a drobné objekty v otevřeném výkopu z písku a štěrkopísku do 63 mm</t>
  </si>
  <si>
    <t>m3</t>
  </si>
  <si>
    <t>457531112</t>
  </si>
  <si>
    <t>Filtrační vrstvy jakékoliv tloušťky a sklonu z hrubého drceného kameniva bez zhutnění, frakce od 16-63 do 32-63 mm</t>
  </si>
  <si>
    <t>871313121</t>
  </si>
  <si>
    <t>Montáž kanalizačního potrubí z tvrdého PVC-U hladkého plnostěnného tuhost SN 8 DN 160</t>
  </si>
  <si>
    <t>m</t>
  </si>
  <si>
    <t>28611127</t>
  </si>
  <si>
    <t>trubka kanalizační PVC DN 125x2000mm SN4</t>
  </si>
  <si>
    <t>899331111</t>
  </si>
  <si>
    <t>Výšková úprava uličního vstupu nebo vpusti do 200 mm zvýšením poklopu</t>
  </si>
  <si>
    <t>kus</t>
  </si>
  <si>
    <t>899103112</t>
  </si>
  <si>
    <t>Osazení poklopů litinových, ocelových nebo železobetonových včetně rámů pro třídu zatížení B125, C250</t>
  </si>
  <si>
    <t>28661770</t>
  </si>
  <si>
    <t>poklop šachtový litinový, betonový rám DN 400 pro třídu zatížení B125</t>
  </si>
  <si>
    <t>112101101</t>
  </si>
  <si>
    <t>Odstranění stromů s odřezáním kmene a s odvětvením listnatých, průměru kmene přes 100 do 300 mm</t>
  </si>
  <si>
    <t>112251101</t>
  </si>
  <si>
    <t>Odstranění pařezů strojně s jejich vykopáním nebo vytrháním průměru přes 100 do 300 mm</t>
  </si>
  <si>
    <t>162201401</t>
  </si>
  <si>
    <t>Vodorovné přemístění větví, kmenů nebo pařezů s naložením, složením a dopravou do 1000 m větví stromů listnatých, průměru kmene přes 100 do 300 mm</t>
  </si>
  <si>
    <t>162201411</t>
  </si>
  <si>
    <t>Vodorovné přemístění větví, kmenů nebo pařezů s naložením, složením a dopravou do 1000 m kmenů stromů listnatých, průměru přes 100 do 300 mm</t>
  </si>
  <si>
    <t>162201421</t>
  </si>
  <si>
    <t>Vodorovné přemístění větví, kmenů nebo pařezů s naložením, složením a dopravou do 1000 m pařezů kmenů, průměru přes 100 do 300 mm</t>
  </si>
  <si>
    <t>162301931</t>
  </si>
  <si>
    <t>Vodorovné přemístění větví, kmenů nebo pařezů s naložením, složením a dopravou Příplatek k cenám za každých dalších i započatých 1000 m přes 1000 m větví stromů listnatých, průměru kmene přes 100 do 300 mm</t>
  </si>
  <si>
    <t>162301951</t>
  </si>
  <si>
    <t>Vodorovné přemístění větví, kmenů nebo pařezů s naložením, složením a dopravou Příplatek k cenám za každých dalších i započatých 1000 m přes 1000 m kmenů stromů listnatých, o průměru přes 100 do 300 mm</t>
  </si>
  <si>
    <t>162301971</t>
  </si>
  <si>
    <t>Vodorovné přemístění větví, kmenů nebo pařezů s naložením, složením a dopravou Příplatek k cenám za každých dalších i započatých 1000 m přes 1000 m pařezů kmenů, průměru přes 100 do 300 mm</t>
  </si>
  <si>
    <t>18321131R</t>
  </si>
  <si>
    <t>Výsadba květin</t>
  </si>
  <si>
    <t>113201111</t>
  </si>
  <si>
    <t>Vytrhání obrub s vybouráním lože, s přemístěním hmot na skládku na vzdálenost do 3 m nebo s naložením na dopravní prostředek chodníkových ležatých</t>
  </si>
  <si>
    <t>132251101</t>
  </si>
  <si>
    <t>Hloubení nezapažených rýh šířky do 800 mm strojně s urovnáním dna do předepsaného profilu a spádu v hornině třídy těžitelnosti I skupiny 3 do 20 m3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</si>
  <si>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</si>
  <si>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</si>
  <si>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58337308</t>
  </si>
  <si>
    <t>štěrkopísek frakce 0/2</t>
  </si>
  <si>
    <t>t</t>
  </si>
  <si>
    <t>174151101</t>
  </si>
  <si>
    <t>Zásyp sypaninou z jakékoliv horniny strojně s uložením výkopku ve vrstvách se zhutněním jam, šachet, rýh nebo kolem objektů v těchto vykopávkách</t>
  </si>
  <si>
    <t>131251100</t>
  </si>
  <si>
    <t>Hloubení nezapažených jam a zářezů strojně s urovnáním dna do předepsaného profilu a spádu v hornině třídy těžitelnosti I skupiny 3 do 20 m3</t>
  </si>
  <si>
    <t>162751115</t>
  </si>
  <si>
    <t>Vodorovné přemístění výkopku nebo sypaniny po suchu na obvyklém dopravním prostředku, bez naložení výkopku, avšak se složením bez rozhrnutí z horniny třídy těžitelnosti I skupiny 1 až 3 na vzdálenost přes 7 000 do 8 000 m</t>
  </si>
  <si>
    <t>171201231</t>
  </si>
  <si>
    <t>Poplatek za uložení stavebního odpadu na recyklační skládce (skládkovné) zeminy a kamení zatříděného do Katalogu odpadů pod kódem 17 05 04</t>
  </si>
  <si>
    <t>564861111</t>
  </si>
  <si>
    <t>Podklad ze štěrkodrti ŠD s rozprostřením a zhutněním plochy přes 100 m2, po zhutnění tl. 200 mm</t>
  </si>
  <si>
    <t>596211113</t>
  </si>
  <si>
    <t>Kladení dlažby z betonových zámkových dlaždic komunikací pro pěší ručně s ložem z kameniva těženého nebo drceného tl. do 40 mm, s vyplněním spár s dvojitým hutněním, vibrováním a se smetením přebytečného materiálu na krajnici tl. 60 mm skupiny A, pro plochy přes 300 m2</t>
  </si>
  <si>
    <t>59245018</t>
  </si>
  <si>
    <t>dlažba tvar obdélník betonová 200x100x60mm přírodní</t>
  </si>
  <si>
    <t>564811112</t>
  </si>
  <si>
    <t>Podklad ze štěrkodrti ŠD s rozprostřením a zhutněním plochy přes 100 m2, po zhutnění tl. 60 mm</t>
  </si>
  <si>
    <t>572360112</t>
  </si>
  <si>
    <t>Vyspravení krytu komunikací po překopech inženýrských sítí plochy do 15 m2 asfaltovou směsí aplikovanou za studena, po zhutnění tl. přes 40 do 60 mm</t>
  </si>
  <si>
    <t>637121112</t>
  </si>
  <si>
    <t>Okapový chodník z kameniva s udusáním a urovnáním povrchu z kačírku tl. 150 mm</t>
  </si>
  <si>
    <t>916331112</t>
  </si>
  <si>
    <t>Osazení zahradního obrubníku betonového s ložem tl. od 50 do 100 mm z betonu prostého tř. C 12/15 s boční opěrou z betonu prostého tř. C 12/15</t>
  </si>
  <si>
    <t>59217002</t>
  </si>
  <si>
    <t>obrubník betonový zahradní šedý 1000x50x200mm</t>
  </si>
  <si>
    <t>916991121</t>
  </si>
  <si>
    <t>Lože pod obrubníky, krajníky nebo obruby z dlažebních kostek z betonu prostého</t>
  </si>
  <si>
    <t>979024442</t>
  </si>
  <si>
    <t>Očištění vybouraných prvků komunikací od spojovacího materiálu s odklizením a uložením očištěných hmot a spojovacího materiálu na skládku na vzdálenost do 10 m obrubníků a krajníků, vybouraných z jakéhokoliv lože a s jakoukoliv výplní spár chodníkových</t>
  </si>
  <si>
    <t>916241113</t>
  </si>
  <si>
    <t>Osazení obrubníku kamenného se zřízením lože, s vyplněním a zatřením spár cementovou maltou ležatého s boční opěrou z betonu prostého, do lože z betonu prostého</t>
  </si>
  <si>
    <t>SCHOD</t>
  </si>
  <si>
    <t>Oprava schodu</t>
  </si>
  <si>
    <t>soubor</t>
  </si>
  <si>
    <t>935932121</t>
  </si>
  <si>
    <t>Odvodňovací plastový žlab pro třídu zatížení A 15 vnitřní šířky 100 mm s krycím roštem děrovaným z plastu</t>
  </si>
  <si>
    <t>935932119</t>
  </si>
  <si>
    <t>Odvodňovací plastový žlab pro třídu zatížení A 15 vnitřní šířky 100 mm s krycím roštem děrovaným z pozinkované oceli</t>
  </si>
  <si>
    <t>919726121</t>
  </si>
  <si>
    <t>Geotextilie netkaná pro ochranu, separaci nebo filtraci měrná hmotnost do 200 g/m2</t>
  </si>
  <si>
    <t>113107222</t>
  </si>
  <si>
    <t>Odstranění podkladů nebo krytů strojně plochy jednotlivě přes 200 m2 s přemístěním hmot na skládku na vzdálenost do 20 m nebo s naložením na dopravní prostředek z kameniva hrubého drceného, o tl. vrstvy přes 100 do 200 mm</t>
  </si>
  <si>
    <t>113107243</t>
  </si>
  <si>
    <t>Odstranění podkladů nebo krytů strojně plochy jednotlivě přes 200 m2 s přemístěním hmot na skládku na vzdálenost do 20 m nebo s naložením na dopravní prostředek živičných, o tl. vrstvy přes 100 do 150 mm</t>
  </si>
  <si>
    <t>997221551</t>
  </si>
  <si>
    <t>Vodorovná doprava suti bez naložení, ale se složením a s hrubým urovnáním ze sypkých materiálů, na vzdálenost do 1 km</t>
  </si>
  <si>
    <t>997221559</t>
  </si>
  <si>
    <t>Vodorovná doprava suti bez naložení, ale se složením a s hrubým urovnáním Příplatek k ceně za každý další i započatý 1 km přes 1 km</t>
  </si>
  <si>
    <t>997221561</t>
  </si>
  <si>
    <t>Vodorovná doprava suti bez naložení, ale se složením a s hrubým urovnáním z kusových materiálů, na vzdálenost do 1 km</t>
  </si>
  <si>
    <t>997221569</t>
  </si>
  <si>
    <t>997221873</t>
  </si>
  <si>
    <t>997221875</t>
  </si>
  <si>
    <t>Poplatek za uložení stavebního odpadu na recyklační skládce (skládkovné) asfaltového bez obsahu dehtu zatříděného do Katalogu odpadů pod kódem 17 03 02</t>
  </si>
  <si>
    <t>997013811</t>
  </si>
  <si>
    <t>Poplatek za uložení stavebního odpadu na skládce (skládkovné) dřevěného zatříděného do Katalogu odpadů pod kódem 17 02 01</t>
  </si>
  <si>
    <t>998223011</t>
  </si>
  <si>
    <t>Přesun hmot pro pozemní komunikace s krytem dlážděným dopravní vzdálenost do 200 m jakékoliv délky objektu</t>
  </si>
  <si>
    <t>711161115</t>
  </si>
  <si>
    <t>Izolace proti zemní vlhkosti a beztlakové vodě nopovými fóliemi na ploše vodorovné V vrstva ochranná, odvětrávací a drenážní výška nopku 20,0 mm, tl. fólie do 1,0 mm</t>
  </si>
  <si>
    <t>721242116</t>
  </si>
  <si>
    <t>Lapače střešních splavenin polypropylenové (PP) s kulovým kloubem na odtoku DN 125</t>
  </si>
  <si>
    <t>DOD 01</t>
  </si>
  <si>
    <t>OK</t>
  </si>
  <si>
    <t>Ok odvodňovací péro mezi hroby</t>
  </si>
  <si>
    <t>OK - boční vjezd</t>
  </si>
  <si>
    <t xml:space="preserve">OK </t>
  </si>
  <si>
    <t>OK chybějící vrstva</t>
  </si>
  <si>
    <t>OK zvětšení ploch</t>
  </si>
  <si>
    <t>OK dořezy a doasfaltování stávajících asfaltových ploch</t>
  </si>
  <si>
    <t>OK ve vjezdu</t>
  </si>
  <si>
    <t>OK po obvodě budovy</t>
  </si>
  <si>
    <t>Okolo památníku všechny obruby</t>
  </si>
  <si>
    <t>Všechny výkopy mezi hrobama, vyvedení zadní trubky</t>
  </si>
  <si>
    <t>OK ve vjezdu, pozinkovaný</t>
  </si>
  <si>
    <t>OK vsak</t>
  </si>
  <si>
    <t>OK osazení AQUdrain</t>
  </si>
  <si>
    <t>NEREALIZOVÁNO</t>
  </si>
  <si>
    <t>Všechny obruby taky u hrobů dle požadavku objednatele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</si>
</sst>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44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7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i/>
      <sz val="7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indexed="8"/>
      <name val="Arial"/>
      <family val="2"/>
      <charset val="238"/>
    </font>
    <font>
      <sz val="16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indexed="60"/>
      <name val="Arial"/>
      <family val="2"/>
      <charset val="238"/>
    </font>
    <font>
      <sz val="6"/>
      <color indexed="10"/>
      <name val="Arial"/>
      <family val="2"/>
      <charset val="238"/>
    </font>
    <font>
      <b/>
      <sz val="16"/>
      <color indexed="8"/>
      <name val="Arial"/>
      <family val="2"/>
      <charset val="238"/>
    </font>
    <font>
      <sz val="16"/>
      <color indexed="60"/>
      <name val="Arial"/>
      <family val="2"/>
      <charset val="238"/>
    </font>
    <font>
      <b/>
      <sz val="6"/>
      <color indexed="8"/>
      <name val="Arial"/>
      <family val="2"/>
      <charset val="238"/>
    </font>
    <font>
      <sz val="12"/>
      <color indexed="55"/>
      <name val="Arial"/>
      <family val="2"/>
      <charset val="238"/>
    </font>
    <font>
      <sz val="12"/>
      <color indexed="60"/>
      <name val="Arial"/>
      <family val="2"/>
      <charset val="238"/>
    </font>
    <font>
      <sz val="6"/>
      <color indexed="55"/>
      <name val="Arial"/>
      <family val="2"/>
      <charset val="238"/>
    </font>
    <font>
      <b/>
      <sz val="12"/>
      <color indexed="55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indexed="60"/>
      <name val="Arial"/>
      <family val="2"/>
      <charset val="238"/>
    </font>
    <font>
      <b/>
      <sz val="12"/>
      <color indexed="8"/>
      <name val="Arial"/>
      <family val="2"/>
      <charset val="238"/>
    </font>
    <font>
      <sz val="14"/>
      <color indexed="30"/>
      <name val="Arial"/>
      <family val="2"/>
      <charset val="238"/>
    </font>
    <font>
      <b/>
      <sz val="6"/>
      <color indexed="55"/>
      <name val="Arial"/>
      <family val="2"/>
      <charset val="238"/>
    </font>
    <font>
      <sz val="6"/>
      <color indexed="30"/>
      <name val="Arial"/>
      <family val="2"/>
      <charset val="238"/>
    </font>
    <font>
      <sz val="12"/>
      <color indexed="30"/>
      <name val="Arial"/>
      <family val="2"/>
      <charset val="238"/>
    </font>
    <font>
      <sz val="12"/>
      <color indexed="9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Times New Roman"/>
      <family val="1"/>
      <charset val="238"/>
    </font>
    <font>
      <b/>
      <sz val="7"/>
      <color indexed="8"/>
      <name val="Arial"/>
      <family val="2"/>
      <charset val="238"/>
    </font>
    <font>
      <sz val="7"/>
      <color indexed="8"/>
      <name val="Arial"/>
      <family val="2"/>
      <charset val="238"/>
    </font>
    <font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DDDDD"/>
        <bgColor auto="1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14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2" borderId="0" xfId="0" applyFont="1" applyFill="1"/>
    <xf numFmtId="0" fontId="14" fillId="0" borderId="0" xfId="0" applyFont="1"/>
    <xf numFmtId="0" fontId="15" fillId="0" borderId="0" xfId="0" applyFont="1" applyAlignment="1">
      <alignment shrinkToFit="1"/>
    </xf>
    <xf numFmtId="0" fontId="15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shrinkToFit="1"/>
    </xf>
    <xf numFmtId="0" fontId="4" fillId="0" borderId="4" xfId="0" applyFont="1" applyBorder="1"/>
    <xf numFmtId="0" fontId="19" fillId="0" borderId="4" xfId="0" applyFont="1" applyBorder="1" applyAlignment="1">
      <alignment shrinkToFit="1"/>
    </xf>
    <xf numFmtId="0" fontId="22" fillId="0" borderId="0" xfId="0" applyFont="1"/>
    <xf numFmtId="0" fontId="23" fillId="0" borderId="0" xfId="0" applyFont="1" applyAlignment="1">
      <alignment horizontal="center"/>
    </xf>
    <xf numFmtId="0" fontId="25" fillId="0" borderId="0" xfId="0" applyFont="1"/>
    <xf numFmtId="0" fontId="25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0" fontId="24" fillId="0" borderId="0" xfId="0" applyFont="1" applyAlignment="1">
      <alignment horizontal="left" vertical="top"/>
    </xf>
    <xf numFmtId="0" fontId="16" fillId="0" borderId="0" xfId="0" applyFont="1" applyAlignment="1">
      <alignment vertical="top" wrapText="1"/>
    </xf>
    <xf numFmtId="0" fontId="26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 wrapText="1"/>
    </xf>
    <xf numFmtId="0" fontId="15" fillId="0" borderId="0" xfId="0" applyFont="1" applyAlignment="1">
      <alignment horizontal="left"/>
    </xf>
    <xf numFmtId="0" fontId="15" fillId="0" borderId="0" xfId="0" applyFont="1" applyAlignment="1">
      <alignment vertical="top" wrapText="1"/>
    </xf>
    <xf numFmtId="0" fontId="27" fillId="0" borderId="0" xfId="0" applyFont="1" applyAlignment="1">
      <alignment horizontal="left" vertical="top"/>
    </xf>
    <xf numFmtId="0" fontId="28" fillId="0" borderId="0" xfId="0" applyFont="1"/>
    <xf numFmtId="0" fontId="17" fillId="0" borderId="0" xfId="0" applyFont="1" applyAlignment="1">
      <alignment vertical="top" wrapText="1"/>
    </xf>
    <xf numFmtId="0" fontId="29" fillId="0" borderId="0" xfId="0" applyFont="1" applyAlignment="1">
      <alignment horizontal="left" vertical="top"/>
    </xf>
    <xf numFmtId="0" fontId="29" fillId="0" borderId="0" xfId="0" applyFont="1" applyAlignment="1">
      <alignment horizontal="left" vertical="top" wrapText="1"/>
    </xf>
    <xf numFmtId="0" fontId="29" fillId="0" borderId="0" xfId="0" applyFont="1" applyAlignment="1">
      <alignment horizontal="left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left" shrinkToFit="1"/>
    </xf>
    <xf numFmtId="0" fontId="15" fillId="4" borderId="5" xfId="0" applyFont="1" applyFill="1" applyBorder="1" applyAlignment="1">
      <alignment horizontal="left" shrinkToFit="1"/>
    </xf>
    <xf numFmtId="0" fontId="15" fillId="0" borderId="5" xfId="0" applyFont="1" applyBorder="1" applyAlignment="1">
      <alignment horizontal="left"/>
    </xf>
    <xf numFmtId="0" fontId="16" fillId="0" borderId="0" xfId="0" applyFont="1" applyAlignment="1">
      <alignment horizontal="left" shrinkToFit="1"/>
    </xf>
    <xf numFmtId="0" fontId="24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17" fillId="0" borderId="0" xfId="0" applyFont="1" applyAlignment="1">
      <alignment horizontal="left" shrinkToFit="1"/>
    </xf>
    <xf numFmtId="0" fontId="27" fillId="0" borderId="0" xfId="0" applyFont="1" applyAlignment="1">
      <alignment horizontal="left" shrinkToFit="1"/>
    </xf>
    <xf numFmtId="0" fontId="26" fillId="0" borderId="0" xfId="0" applyFont="1" applyAlignment="1">
      <alignment horizontal="right" vertical="top"/>
    </xf>
    <xf numFmtId="0" fontId="18" fillId="0" borderId="0" xfId="0" applyFont="1" applyAlignment="1">
      <alignment horizontal="left" shrinkToFit="1"/>
    </xf>
    <xf numFmtId="0" fontId="31" fillId="0" borderId="0" xfId="0" applyFont="1" applyAlignment="1">
      <alignment horizontal="left" vertical="top"/>
    </xf>
    <xf numFmtId="0" fontId="18" fillId="0" borderId="0" xfId="0" applyFont="1" applyAlignment="1">
      <alignment horizontal="left"/>
    </xf>
    <xf numFmtId="0" fontId="32" fillId="0" borderId="0" xfId="0" applyFont="1"/>
    <xf numFmtId="0" fontId="33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6" xfId="0" applyFont="1" applyBorder="1"/>
    <xf numFmtId="164" fontId="18" fillId="0" borderId="6" xfId="0" applyNumberFormat="1" applyFont="1" applyBorder="1" applyAlignment="1">
      <alignment horizontal="left" vertical="center" shrinkToFit="1"/>
    </xf>
    <xf numFmtId="0" fontId="31" fillId="0" borderId="6" xfId="0" applyFont="1" applyBorder="1" applyAlignment="1">
      <alignment horizontal="center" vertical="center"/>
    </xf>
    <xf numFmtId="0" fontId="34" fillId="0" borderId="0" xfId="0" applyFont="1"/>
    <xf numFmtId="0" fontId="29" fillId="0" borderId="0" xfId="0" applyFont="1" applyAlignment="1">
      <alignment horizontal="left" vertical="center"/>
    </xf>
    <xf numFmtId="0" fontId="29" fillId="0" borderId="0" xfId="0" applyFont="1"/>
    <xf numFmtId="164" fontId="29" fillId="0" borderId="0" xfId="0" applyNumberFormat="1" applyFont="1" applyAlignment="1">
      <alignment horizontal="left" vertical="center" shrinkToFit="1"/>
    </xf>
    <xf numFmtId="0" fontId="35" fillId="0" borderId="0" xfId="0" applyFont="1" applyAlignment="1">
      <alignment horizontal="center" vertical="center"/>
    </xf>
    <xf numFmtId="0" fontId="36" fillId="0" borderId="0" xfId="0" applyFont="1"/>
    <xf numFmtId="0" fontId="27" fillId="0" borderId="0" xfId="0" applyFont="1"/>
    <xf numFmtId="164" fontId="27" fillId="0" borderId="0" xfId="0" applyNumberFormat="1" applyFont="1" applyAlignment="1">
      <alignment horizontal="left" vertical="center" shrinkToFit="1"/>
    </xf>
    <xf numFmtId="0" fontId="27" fillId="0" borderId="0" xfId="0" applyFont="1" applyAlignment="1">
      <alignment horizontal="center" vertical="center"/>
    </xf>
    <xf numFmtId="0" fontId="37" fillId="0" borderId="0" xfId="0" applyFont="1"/>
    <xf numFmtId="0" fontId="26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164" fontId="15" fillId="0" borderId="0" xfId="0" applyNumberFormat="1" applyFont="1" applyAlignment="1">
      <alignment horizontal="left" vertical="center" shrinkToFit="1"/>
    </xf>
    <xf numFmtId="0" fontId="15" fillId="0" borderId="0" xfId="0" applyFont="1" applyAlignment="1">
      <alignment horizontal="center" vertical="center"/>
    </xf>
    <xf numFmtId="0" fontId="31" fillId="0" borderId="6" xfId="0" applyFont="1" applyBorder="1"/>
    <xf numFmtId="164" fontId="31" fillId="0" borderId="6" xfId="0" applyNumberFormat="1" applyFont="1" applyBorder="1" applyAlignment="1">
      <alignment horizontal="left" vertical="center" shrinkToFit="1"/>
    </xf>
    <xf numFmtId="0" fontId="27" fillId="0" borderId="0" xfId="0" applyFont="1" applyAlignment="1">
      <alignment horizontal="left"/>
    </xf>
    <xf numFmtId="0" fontId="29" fillId="0" borderId="0" xfId="0" applyFont="1" applyAlignment="1">
      <alignment shrinkToFit="1"/>
    </xf>
    <xf numFmtId="0" fontId="15" fillId="0" borderId="5" xfId="0" applyFont="1" applyBorder="1" applyAlignment="1">
      <alignment shrinkToFit="1"/>
    </xf>
    <xf numFmtId="0" fontId="15" fillId="0" borderId="5" xfId="0" applyFont="1" applyBorder="1" applyAlignment="1">
      <alignment horizontal="right"/>
    </xf>
    <xf numFmtId="0" fontId="15" fillId="0" borderId="5" xfId="0" applyFont="1" applyBorder="1"/>
    <xf numFmtId="0" fontId="40" fillId="0" borderId="0" xfId="0" applyFont="1" applyAlignment="1">
      <alignment vertical="center"/>
    </xf>
    <xf numFmtId="0" fontId="39" fillId="0" borderId="0" xfId="0" applyFont="1"/>
    <xf numFmtId="0" fontId="41" fillId="0" borderId="0" xfId="0" applyFont="1" applyAlignment="1">
      <alignment vertical="center"/>
    </xf>
    <xf numFmtId="0" fontId="42" fillId="0" borderId="0" xfId="0" applyFont="1"/>
    <xf numFmtId="0" fontId="42" fillId="0" borderId="0" xfId="0" applyFont="1" applyAlignment="1">
      <alignment vertical="center"/>
    </xf>
    <xf numFmtId="0" fontId="42" fillId="0" borderId="0" xfId="0" applyFont="1" applyAlignment="1">
      <alignment horizontal="right"/>
    </xf>
    <xf numFmtId="49" fontId="4" fillId="0" borderId="0" xfId="0" applyNumberFormat="1" applyFont="1"/>
    <xf numFmtId="49" fontId="4" fillId="0" borderId="1" xfId="0" applyNumberFormat="1" applyFont="1" applyBorder="1"/>
    <xf numFmtId="164" fontId="4" fillId="0" borderId="0" xfId="0" applyNumberFormat="1" applyFont="1"/>
    <xf numFmtId="164" fontId="4" fillId="0" borderId="1" xfId="0" applyNumberFormat="1" applyFont="1" applyBorder="1"/>
    <xf numFmtId="166" fontId="4" fillId="0" borderId="0" xfId="0" applyNumberFormat="1" applyFont="1"/>
    <xf numFmtId="166" fontId="8" fillId="0" borderId="0" xfId="0" applyNumberFormat="1" applyFont="1"/>
    <xf numFmtId="166" fontId="4" fillId="0" borderId="1" xfId="0" applyNumberFormat="1" applyFont="1" applyBorder="1"/>
    <xf numFmtId="164" fontId="8" fillId="0" borderId="0" xfId="0" applyNumberFormat="1" applyFont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0" fillId="0" borderId="0" xfId="0" applyFont="1" applyAlignment="1">
      <alignment horizontal="right" vertical="top"/>
    </xf>
    <xf numFmtId="49" fontId="10" fillId="0" borderId="0" xfId="0" applyNumberFormat="1" applyFont="1" applyAlignment="1">
      <alignment horizontal="left" vertical="top" wrapText="1" indent="1"/>
    </xf>
    <xf numFmtId="164" fontId="10" fillId="0" borderId="0" xfId="0" applyNumberFormat="1" applyFont="1" applyAlignment="1">
      <alignment horizontal="right" vertical="top"/>
    </xf>
    <xf numFmtId="166" fontId="10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 indent="3"/>
    </xf>
    <xf numFmtId="164" fontId="13" fillId="0" borderId="0" xfId="0" applyNumberFormat="1" applyFont="1" applyAlignment="1">
      <alignment horizontal="right" vertical="top"/>
    </xf>
    <xf numFmtId="166" fontId="13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4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 vertical="top"/>
    </xf>
    <xf numFmtId="49" fontId="9" fillId="0" borderId="0" xfId="0" applyNumberFormat="1" applyFont="1" applyAlignment="1">
      <alignment horizontal="left" vertical="top" wrapText="1" indent="5"/>
    </xf>
    <xf numFmtId="164" fontId="9" fillId="0" borderId="0" xfId="0" applyNumberFormat="1" applyFont="1" applyAlignment="1">
      <alignment horizontal="right" vertical="top"/>
    </xf>
    <xf numFmtId="166" fontId="9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4" fillId="0" borderId="0" xfId="0" applyNumberFormat="1" applyFont="1"/>
    <xf numFmtId="1" fontId="6" fillId="0" borderId="0" xfId="0" applyNumberFormat="1" applyFont="1"/>
    <xf numFmtId="49" fontId="8" fillId="0" borderId="0" xfId="0" applyNumberFormat="1" applyFont="1"/>
    <xf numFmtId="165" fontId="4" fillId="0" borderId="0" xfId="0" applyNumberFormat="1" applyFont="1"/>
    <xf numFmtId="1" fontId="5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0" fillId="0" borderId="0" xfId="0" applyNumberFormat="1" applyFont="1" applyAlignment="1">
      <alignment horizontal="right" vertical="top"/>
    </xf>
    <xf numFmtId="1" fontId="10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166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/>
    <xf numFmtId="1" fontId="5" fillId="0" borderId="0" xfId="0" applyNumberFormat="1" applyFont="1" applyAlignment="1">
      <alignment horizontal="right" vertical="top"/>
    </xf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9" fillId="0" borderId="0" xfId="0" applyNumberFormat="1" applyFont="1" applyAlignment="1">
      <alignment horizontal="right" vertical="top"/>
    </xf>
    <xf numFmtId="1" fontId="9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horizontal="left" vertical="top" wrapText="1"/>
    </xf>
    <xf numFmtId="166" fontId="9" fillId="0" borderId="0" xfId="0" applyNumberFormat="1" applyFont="1"/>
    <xf numFmtId="165" fontId="9" fillId="0" borderId="0" xfId="0" applyNumberFormat="1" applyFont="1"/>
    <xf numFmtId="164" fontId="9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24" fillId="0" borderId="0" xfId="0" applyFont="1" applyAlignment="1">
      <alignment horizontal="center" vertical="top"/>
    </xf>
    <xf numFmtId="0" fontId="24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43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30" fillId="0" borderId="0" xfId="0" applyFont="1" applyAlignment="1">
      <alignment horizontal="left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/>
    </xf>
    <xf numFmtId="0" fontId="18" fillId="0" borderId="6" xfId="0" applyFont="1" applyBorder="1" applyAlignment="1">
      <alignment horizontal="left" vertical="center"/>
    </xf>
    <xf numFmtId="0" fontId="27" fillId="0" borderId="0" xfId="0" applyFont="1" applyAlignment="1">
      <alignment horizontal="left" vertical="center" shrinkToFit="1"/>
    </xf>
    <xf numFmtId="0" fontId="31" fillId="0" borderId="6" xfId="0" applyFont="1" applyBorder="1" applyAlignment="1">
      <alignment horizontal="left" vertical="center"/>
    </xf>
    <xf numFmtId="0" fontId="27" fillId="0" borderId="0" xfId="0" applyFont="1" applyAlignment="1">
      <alignment horizontal="left" shrinkToFit="1"/>
    </xf>
    <xf numFmtId="14" fontId="27" fillId="0" borderId="0" xfId="0" applyNumberFormat="1" applyFont="1" applyAlignment="1">
      <alignment horizontal="left"/>
    </xf>
    <xf numFmtId="0" fontId="39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1" fontId="14" fillId="5" borderId="2" xfId="0" applyNumberFormat="1" applyFont="1" applyFill="1" applyBorder="1" applyAlignment="1">
      <alignment horizontal="center" vertical="top"/>
    </xf>
    <xf numFmtId="49" fontId="14" fillId="5" borderId="3" xfId="0" applyNumberFormat="1" applyFont="1" applyFill="1" applyBorder="1" applyAlignment="1">
      <alignment horizontal="center" vertical="top"/>
    </xf>
    <xf numFmtId="49" fontId="14" fillId="5" borderId="3" xfId="0" applyNumberFormat="1" applyFont="1" applyFill="1" applyBorder="1" applyAlignment="1">
      <alignment horizontal="right" vertical="top"/>
    </xf>
    <xf numFmtId="49" fontId="14" fillId="5" borderId="3" xfId="0" applyNumberFormat="1" applyFont="1" applyFill="1" applyBorder="1" applyAlignment="1">
      <alignment horizontal="left" vertical="top" wrapText="1"/>
    </xf>
    <xf numFmtId="166" fontId="14" fillId="5" borderId="3" xfId="0" applyNumberFormat="1" applyFont="1" applyFill="1" applyBorder="1" applyAlignment="1">
      <alignment horizontal="right" vertical="top"/>
    </xf>
    <xf numFmtId="165" fontId="14" fillId="5" borderId="3" xfId="0" applyNumberFormat="1" applyFont="1" applyFill="1" applyBorder="1" applyAlignment="1" applyProtection="1">
      <alignment horizontal="right" vertical="top"/>
      <protection locked="0"/>
    </xf>
    <xf numFmtId="164" fontId="14" fillId="5" borderId="3" xfId="0" applyNumberFormat="1" applyFont="1" applyFill="1" applyBorder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1</xdr:row>
      <xdr:rowOff>142875</xdr:rowOff>
    </xdr:from>
    <xdr:to>
      <xdr:col>3</xdr:col>
      <xdr:colOff>114300</xdr:colOff>
      <xdr:row>4</xdr:row>
      <xdr:rowOff>47625</xdr:rowOff>
    </xdr:to>
    <xdr:pic>
      <xdr:nvPicPr>
        <xdr:cNvPr id="1025" name="Obrázek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3</xdr:row>
      <xdr:rowOff>57150</xdr:rowOff>
    </xdr:from>
    <xdr:to>
      <xdr:col>7</xdr:col>
      <xdr:colOff>933450</xdr:colOff>
      <xdr:row>4</xdr:row>
      <xdr:rowOff>47625</xdr:rowOff>
    </xdr:to>
    <xdr:pic>
      <xdr:nvPicPr>
        <xdr:cNvPr id="1026" name="Obrázek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80"/>
  <sheetViews>
    <sheetView showGridLines="0" topLeftCell="B4" zoomScaleNormal="100" workbookViewId="0">
      <selection activeCell="F25" sqref="F25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3" width="16.5703125" style="11" customWidth="1"/>
    <col min="4" max="4" width="9.5703125" style="11" customWidth="1"/>
    <col min="5" max="5" width="10" style="12" customWidth="1"/>
    <col min="6" max="6" width="25" style="13" customWidth="1"/>
    <col min="7" max="7" width="13" style="13" customWidth="1"/>
    <col min="8" max="8" width="14.7109375" style="13" customWidth="1"/>
    <col min="9" max="11" width="9.140625" style="13"/>
    <col min="12" max="12" width="56" style="13" hidden="1" customWidth="1"/>
    <col min="13" max="16384" width="9.140625" style="2"/>
  </cols>
  <sheetData>
    <row r="1" spans="1:12" x14ac:dyDescent="0.15">
      <c r="A1" s="7"/>
      <c r="B1" s="7"/>
    </row>
    <row r="2" spans="1:12" ht="11.25" x14ac:dyDescent="0.2">
      <c r="A2" s="9">
        <v>0</v>
      </c>
      <c r="H2" s="17"/>
    </row>
    <row r="3" spans="1:12" ht="11.25" customHeight="1" x14ac:dyDescent="0.25">
      <c r="A3" s="9">
        <f t="array" ref="A3">INDEX(VAT_RATES,MATCH(0,COUNTIF($A$1:A2,VAT_RATES),0))</f>
        <v>21</v>
      </c>
      <c r="D3" s="18"/>
      <c r="E3" s="19"/>
      <c r="F3" s="19"/>
      <c r="G3" s="19"/>
      <c r="H3" s="17"/>
    </row>
    <row r="4" spans="1:12" ht="11.25" customHeight="1" x14ac:dyDescent="0.25">
      <c r="A4" s="9" t="e">
        <f t="array" ref="A4">INDEX(VAT_RATES,MATCH(0,COUNTIF($A$1:A3,VAT_RATES),0))</f>
        <v>#N/A</v>
      </c>
      <c r="D4" s="19"/>
      <c r="E4" s="19"/>
      <c r="F4" s="19"/>
      <c r="G4" s="19"/>
      <c r="H4" s="17"/>
    </row>
    <row r="5" spans="1:12" ht="11.25" x14ac:dyDescent="0.2">
      <c r="A5" s="9" t="e">
        <f t="array" ref="A5">INDEX(VAT_RATES,MATCH(0,COUNTIF($A$1:A4,VAT_RATES),0))</f>
        <v>#N/A</v>
      </c>
      <c r="C5" s="20"/>
      <c r="D5" s="20"/>
      <c r="E5" s="20"/>
      <c r="F5" s="20"/>
      <c r="G5" s="20"/>
      <c r="H5" s="21"/>
      <c r="K5" s="22"/>
      <c r="L5" s="23"/>
    </row>
    <row r="6" spans="1:12" ht="12.75" customHeight="1" x14ac:dyDescent="0.15">
      <c r="A6" s="9">
        <f>SUMIF(GROUP_ID,"",ITEM_PRICES)</f>
        <v>273941.14513000002</v>
      </c>
      <c r="K6" s="22"/>
      <c r="L6" s="22"/>
    </row>
    <row r="7" spans="1:12" s="14" customFormat="1" ht="20.25" customHeight="1" x14ac:dyDescent="0.3">
      <c r="A7" s="14">
        <f>IF(ISNUMBER($A$3),SUMIF(VAT_RATES,$A$3,ITEM_PRICES),0)</f>
        <v>273941.14513000002</v>
      </c>
      <c r="C7" s="190" t="s">
        <v>17</v>
      </c>
      <c r="D7" s="190"/>
      <c r="E7" s="190"/>
      <c r="F7" s="190"/>
      <c r="G7" s="190"/>
      <c r="H7" s="190"/>
      <c r="J7" s="24"/>
      <c r="K7" s="24"/>
      <c r="L7" s="25" t="s">
        <v>18</v>
      </c>
    </row>
    <row r="8" spans="1:12" ht="12.75" customHeight="1" x14ac:dyDescent="0.15">
      <c r="A8" s="9">
        <f>IF(ISNUMBER($A$4),SUMIF(VAT_RATES,$A$4,ITEM_PRICES),0)</f>
        <v>0</v>
      </c>
      <c r="K8" s="22"/>
      <c r="L8" s="26" t="e">
        <f ca="1">CELL("width",#REF!)+CELL("width",F8)+CELL("width",G8)+CELL("width",H8)</f>
        <v>#REF!</v>
      </c>
    </row>
    <row r="9" spans="1:12" ht="15" customHeight="1" x14ac:dyDescent="0.15">
      <c r="A9" s="9">
        <f>IF(ISNUMBER($A$5),SUMIF(VAT_RATES,$A$5,ITEM_PRICES),0)</f>
        <v>0</v>
      </c>
      <c r="K9" s="22"/>
      <c r="L9" s="26"/>
    </row>
    <row r="10" spans="1:12" s="14" customFormat="1" ht="38.450000000000003" customHeight="1" x14ac:dyDescent="0.3">
      <c r="A10" s="14" t="str">
        <f>IF($A7=0,"","DPH " &amp; $A3 &amp; " % ze základny: " &amp; TEXT($A7,"# ##0"))</f>
        <v>DPH 21 % ze základny: 273 941</v>
      </c>
      <c r="C10" s="27" t="s">
        <v>19</v>
      </c>
      <c r="D10" s="191" t="s">
        <v>20</v>
      </c>
      <c r="E10" s="191"/>
      <c r="F10" s="191"/>
      <c r="G10" s="191"/>
      <c r="H10" s="191"/>
      <c r="J10" s="24"/>
      <c r="K10" s="24"/>
      <c r="L10" s="28" t="str">
        <f>D10</f>
        <v>Hřbitov Novosedlice – oprava cest 1. Etapa (fáze 2 - 5)</v>
      </c>
    </row>
    <row r="11" spans="1:12" ht="21.75" customHeight="1" x14ac:dyDescent="0.15">
      <c r="A11" s="9" t="str">
        <f>IF($A8=0,"","DPH " &amp; $A4 &amp; " % ze základny: " &amp; TEXT($A8,"# ##0"))</f>
        <v/>
      </c>
      <c r="C11" s="29"/>
      <c r="D11" s="29"/>
      <c r="E11" s="30"/>
      <c r="F11" s="30"/>
      <c r="G11" s="30"/>
      <c r="H11" s="31"/>
      <c r="J11" s="22"/>
      <c r="K11" s="22"/>
      <c r="L11" s="32"/>
    </row>
    <row r="12" spans="1:12" s="15" customFormat="1" ht="15.4" customHeight="1" x14ac:dyDescent="0.2">
      <c r="A12" s="15" t="str">
        <f>IF($A9=0,"","DPH " &amp; $A5 &amp; " % ze základny: " &amp; TEXT($A9,"# ##0"))</f>
        <v/>
      </c>
      <c r="C12" s="33" t="s">
        <v>21</v>
      </c>
      <c r="D12" s="192" t="s">
        <v>22</v>
      </c>
      <c r="E12" s="192"/>
      <c r="F12" s="192"/>
      <c r="G12" s="192"/>
      <c r="H12" s="192"/>
      <c r="J12" s="34"/>
      <c r="K12" s="34"/>
      <c r="L12" s="35" t="str">
        <f>D12</f>
        <v>23132</v>
      </c>
    </row>
    <row r="13" spans="1:12" ht="24.75" customHeight="1" x14ac:dyDescent="0.15">
      <c r="A13" s="9">
        <f>IF($A7=0,"",$A7*$A3/100)</f>
        <v>57527.64047730001</v>
      </c>
      <c r="C13" s="36"/>
      <c r="D13" s="36"/>
      <c r="E13" s="37"/>
      <c r="F13" s="37"/>
      <c r="G13" s="37"/>
      <c r="H13" s="38"/>
      <c r="J13" s="22"/>
      <c r="K13" s="22"/>
      <c r="L13" s="32"/>
    </row>
    <row r="14" spans="1:12" s="15" customFormat="1" ht="15.2" customHeight="1" x14ac:dyDescent="0.2">
      <c r="A14" s="15" t="str">
        <f>IF($A8=0,"",$A8*$A4/100)</f>
        <v/>
      </c>
      <c r="C14" s="33" t="s">
        <v>23</v>
      </c>
      <c r="D14" s="193" t="s">
        <v>201</v>
      </c>
      <c r="E14" s="193"/>
      <c r="F14" s="193"/>
      <c r="G14" s="193"/>
      <c r="H14" s="193"/>
      <c r="J14" s="34"/>
      <c r="K14" s="34"/>
      <c r="L14" s="35" t="str">
        <f>D14</f>
        <v>DOD 01</v>
      </c>
    </row>
    <row r="15" spans="1:12" ht="7.5" customHeight="1" x14ac:dyDescent="0.15">
      <c r="A15" s="9" t="str">
        <f>IF($A9=0,"",$A9*$A5/100)</f>
        <v/>
      </c>
      <c r="C15" s="39"/>
      <c r="D15" s="39"/>
      <c r="E15" s="40"/>
      <c r="F15" s="40"/>
      <c r="G15" s="40"/>
      <c r="H15" s="31"/>
      <c r="J15" s="22"/>
      <c r="K15" s="22"/>
      <c r="L15" s="32"/>
    </row>
    <row r="16" spans="1:12" x14ac:dyDescent="0.15">
      <c r="A16" s="9">
        <f>SUM(A13:A15)</f>
        <v>57527.64047730001</v>
      </c>
      <c r="C16" s="41"/>
      <c r="D16" s="41"/>
      <c r="E16" s="31"/>
      <c r="F16" s="31"/>
      <c r="G16" s="31"/>
      <c r="H16" s="31"/>
      <c r="J16" s="22"/>
      <c r="K16" s="22"/>
    </row>
    <row r="17" spans="1:11" x14ac:dyDescent="0.15">
      <c r="A17" s="6"/>
      <c r="B17" s="6"/>
      <c r="C17" s="42"/>
      <c r="D17" s="42"/>
      <c r="E17" s="43"/>
      <c r="F17" s="43"/>
      <c r="G17" s="43"/>
      <c r="H17" s="43"/>
      <c r="J17" s="22"/>
      <c r="K17" s="22"/>
    </row>
    <row r="18" spans="1:11" s="14" customFormat="1" ht="20.25" hidden="1" customHeight="1" x14ac:dyDescent="0.3">
      <c r="C18" s="44"/>
      <c r="D18" s="44"/>
      <c r="E18" s="45"/>
      <c r="F18" s="46"/>
      <c r="G18" s="46"/>
      <c r="H18" s="46"/>
      <c r="J18" s="24"/>
      <c r="K18" s="24"/>
    </row>
    <row r="19" spans="1:11" ht="12.75" customHeight="1" x14ac:dyDescent="0.15">
      <c r="C19" s="41"/>
      <c r="D19" s="41"/>
      <c r="E19" s="47"/>
      <c r="F19" s="31"/>
      <c r="G19" s="31"/>
      <c r="H19" s="31"/>
      <c r="J19" s="22"/>
      <c r="K19" s="22"/>
    </row>
    <row r="20" spans="1:11" x14ac:dyDescent="0.15">
      <c r="C20" s="41"/>
      <c r="D20" s="41"/>
      <c r="E20" s="31"/>
      <c r="F20" s="31"/>
      <c r="G20" s="31"/>
      <c r="H20" s="31"/>
      <c r="J20" s="22"/>
      <c r="K20" s="22"/>
    </row>
    <row r="21" spans="1:11" s="15" customFormat="1" ht="15" hidden="1" x14ac:dyDescent="0.2">
      <c r="C21" s="48"/>
      <c r="D21" s="48"/>
      <c r="F21" s="194"/>
      <c r="G21" s="194"/>
      <c r="H21" s="194"/>
      <c r="J21" s="34"/>
      <c r="K21" s="34"/>
    </row>
    <row r="22" spans="1:11" s="15" customFormat="1" ht="15.2" customHeight="1" x14ac:dyDescent="0.25">
      <c r="C22" s="49" t="s">
        <v>24</v>
      </c>
      <c r="D22" s="195" t="s">
        <v>25</v>
      </c>
      <c r="E22" s="195"/>
      <c r="F22" s="195"/>
      <c r="G22" s="195"/>
      <c r="H22" s="195"/>
      <c r="J22" s="34"/>
      <c r="K22" s="34"/>
    </row>
    <row r="23" spans="1:11" x14ac:dyDescent="0.15">
      <c r="C23" s="41"/>
      <c r="D23" s="41"/>
      <c r="E23" s="50"/>
      <c r="F23" s="196"/>
      <c r="G23" s="196"/>
      <c r="H23" s="196"/>
      <c r="J23" s="22"/>
      <c r="K23" s="22"/>
    </row>
    <row r="24" spans="1:11" x14ac:dyDescent="0.15">
      <c r="C24" s="41"/>
      <c r="D24" s="41"/>
      <c r="E24" s="31"/>
      <c r="F24" s="31"/>
      <c r="G24" s="31"/>
      <c r="H24" s="31"/>
      <c r="J24" s="22"/>
      <c r="K24" s="22"/>
    </row>
    <row r="25" spans="1:11" x14ac:dyDescent="0.15">
      <c r="C25" s="41"/>
      <c r="D25" s="41"/>
      <c r="E25" s="31"/>
      <c r="F25" s="31"/>
      <c r="G25" s="31"/>
      <c r="H25" s="31"/>
      <c r="J25" s="22"/>
      <c r="K25" s="22"/>
    </row>
    <row r="26" spans="1:11" ht="52.5" customHeight="1" x14ac:dyDescent="0.15">
      <c r="C26" s="41"/>
      <c r="D26" s="41"/>
      <c r="E26" s="31"/>
      <c r="F26" s="31"/>
      <c r="G26" s="31"/>
      <c r="H26" s="31"/>
      <c r="J26" s="22"/>
      <c r="K26" s="22"/>
    </row>
    <row r="27" spans="1:11" s="14" customFormat="1" ht="20.25" hidden="1" customHeight="1" x14ac:dyDescent="0.3">
      <c r="C27" s="45"/>
      <c r="D27" s="45"/>
      <c r="E27" s="46"/>
      <c r="F27" s="45"/>
      <c r="G27" s="46"/>
      <c r="H27" s="46"/>
      <c r="J27" s="24"/>
      <c r="K27" s="24"/>
    </row>
    <row r="28" spans="1:11" hidden="1" x14ac:dyDescent="0.15">
      <c r="C28" s="41"/>
      <c r="D28" s="41"/>
      <c r="E28" s="31"/>
      <c r="F28" s="31"/>
      <c r="G28" s="31"/>
      <c r="H28" s="31"/>
      <c r="J28" s="22"/>
      <c r="K28" s="22"/>
    </row>
    <row r="29" spans="1:11" s="16" customFormat="1" ht="18" hidden="1" x14ac:dyDescent="0.25">
      <c r="C29" s="51"/>
      <c r="D29" s="51"/>
      <c r="E29" s="52"/>
      <c r="F29" s="197"/>
      <c r="G29" s="197"/>
      <c r="H29" s="197"/>
      <c r="J29" s="54"/>
      <c r="K29" s="54"/>
    </row>
    <row r="30" spans="1:11" s="16" customFormat="1" ht="18" hidden="1" x14ac:dyDescent="0.25">
      <c r="C30" s="51"/>
      <c r="D30" s="51"/>
      <c r="E30" s="52"/>
      <c r="F30" s="53"/>
      <c r="G30" s="53"/>
      <c r="H30" s="53"/>
      <c r="J30" s="54"/>
      <c r="K30" s="54"/>
    </row>
    <row r="31" spans="1:11" s="16" customFormat="1" ht="17.649999999999999" customHeight="1" x14ac:dyDescent="0.25">
      <c r="C31" s="51"/>
      <c r="D31" s="51"/>
      <c r="E31" s="52"/>
      <c r="F31" s="53"/>
      <c r="G31" s="53"/>
      <c r="H31" s="53"/>
      <c r="J31" s="54"/>
      <c r="K31" s="54"/>
    </row>
    <row r="32" spans="1:11" ht="12.75" customHeight="1" x14ac:dyDescent="0.15">
      <c r="C32" s="41"/>
      <c r="D32" s="41"/>
      <c r="E32" s="31"/>
      <c r="F32" s="31"/>
      <c r="G32" s="31"/>
      <c r="H32" s="31"/>
      <c r="J32" s="22"/>
      <c r="K32" s="22"/>
    </row>
    <row r="33" spans="3:12" x14ac:dyDescent="0.15">
      <c r="C33" s="41"/>
      <c r="D33" s="41"/>
      <c r="E33" s="31"/>
      <c r="F33" s="31"/>
      <c r="G33" s="31"/>
      <c r="H33" s="31"/>
      <c r="J33" s="22"/>
      <c r="K33" s="22"/>
    </row>
    <row r="34" spans="3:12" s="15" customFormat="1" ht="15.2" customHeight="1" x14ac:dyDescent="0.25">
      <c r="C34" s="48"/>
      <c r="D34" s="48"/>
      <c r="E34" s="55"/>
      <c r="F34" s="55"/>
      <c r="G34" s="56"/>
      <c r="H34" s="56"/>
      <c r="J34" s="34"/>
      <c r="K34" s="34"/>
    </row>
    <row r="35" spans="3:12" x14ac:dyDescent="0.15">
      <c r="C35" s="41"/>
      <c r="D35" s="41"/>
      <c r="E35" s="31"/>
      <c r="F35" s="31"/>
      <c r="G35" s="31"/>
      <c r="H35" s="31"/>
      <c r="J35" s="22"/>
      <c r="K35" s="22"/>
    </row>
    <row r="36" spans="3:12" s="16" customFormat="1" ht="21" customHeight="1" x14ac:dyDescent="0.25">
      <c r="C36" s="198" t="s">
        <v>26</v>
      </c>
      <c r="D36" s="198"/>
      <c r="E36" s="198"/>
      <c r="F36" s="57"/>
      <c r="G36" s="58">
        <f ca="1">INDIRECT("A6")</f>
        <v>273941.14513000002</v>
      </c>
      <c r="H36" s="59" t="s">
        <v>27</v>
      </c>
      <c r="I36" s="60"/>
      <c r="J36" s="54"/>
      <c r="K36" s="54"/>
      <c r="L36" s="54"/>
    </row>
    <row r="37" spans="3:12" ht="16.5" customHeight="1" x14ac:dyDescent="0.15">
      <c r="C37" s="61"/>
      <c r="D37" s="61"/>
      <c r="E37" s="61"/>
      <c r="F37" s="62"/>
      <c r="G37" s="63"/>
      <c r="H37" s="64"/>
      <c r="I37" s="65"/>
      <c r="J37" s="22"/>
      <c r="K37" s="22"/>
      <c r="L37" s="22"/>
    </row>
    <row r="38" spans="3:12" s="15" customFormat="1" ht="15.2" customHeight="1" x14ac:dyDescent="0.2">
      <c r="C38" s="199" t="str">
        <f ca="1">INDIRECT("A10")</f>
        <v>DPH 21 % ze základny: 273 941</v>
      </c>
      <c r="D38" s="199"/>
      <c r="E38" s="199"/>
      <c r="F38" s="66"/>
      <c r="G38" s="67">
        <f ca="1">INDIRECT("A13")</f>
        <v>57527.64047730001</v>
      </c>
      <c r="H38" s="68" t="str">
        <f>H36</f>
        <v>Kč</v>
      </c>
      <c r="I38" s="69"/>
      <c r="J38" s="34"/>
      <c r="K38" s="34"/>
      <c r="L38" s="34"/>
    </row>
    <row r="39" spans="3:12" s="15" customFormat="1" ht="15.2" customHeight="1" x14ac:dyDescent="0.2">
      <c r="C39" s="199" t="str">
        <f ca="1">INDIRECT("A11")</f>
        <v/>
      </c>
      <c r="D39" s="199"/>
      <c r="E39" s="199"/>
      <c r="F39" s="66"/>
      <c r="G39" s="67" t="str">
        <f ca="1">INDIRECT("A14")</f>
        <v/>
      </c>
      <c r="H39" s="68"/>
      <c r="I39" s="69"/>
      <c r="J39" s="34"/>
      <c r="K39" s="34"/>
      <c r="L39" s="34"/>
    </row>
    <row r="40" spans="3:12" hidden="1" x14ac:dyDescent="0.15">
      <c r="C40" s="70" t="s">
        <v>28</v>
      </c>
      <c r="D40" s="70"/>
      <c r="E40" s="71"/>
      <c r="G40" s="72">
        <f ca="1">INDIRECT("A16")</f>
        <v>57527.64047730001</v>
      </c>
      <c r="H40" s="73" t="str">
        <f>H36</f>
        <v>Kč</v>
      </c>
      <c r="I40" s="65"/>
      <c r="J40" s="22"/>
      <c r="K40" s="22"/>
      <c r="L40" s="26"/>
    </row>
    <row r="41" spans="3:12" s="16" customFormat="1" ht="23.25" customHeight="1" x14ac:dyDescent="0.25">
      <c r="C41" s="200" t="s">
        <v>29</v>
      </c>
      <c r="D41" s="200"/>
      <c r="E41" s="200"/>
      <c r="F41" s="74"/>
      <c r="G41" s="75">
        <f ca="1">G36+G40</f>
        <v>331468.7856073</v>
      </c>
      <c r="H41" s="59" t="str">
        <f>H36</f>
        <v>Kč</v>
      </c>
      <c r="I41" s="60"/>
      <c r="J41" s="54"/>
      <c r="K41" s="54"/>
      <c r="L41" s="54"/>
    </row>
    <row r="42" spans="3:12" x14ac:dyDescent="0.15">
      <c r="C42" s="41"/>
      <c r="D42" s="41"/>
      <c r="E42" s="31"/>
      <c r="F42" s="31"/>
      <c r="G42" s="31"/>
      <c r="H42" s="31"/>
    </row>
    <row r="43" spans="3:12" x14ac:dyDescent="0.15">
      <c r="C43" s="41"/>
      <c r="D43" s="41"/>
      <c r="E43" s="31"/>
      <c r="F43" s="31"/>
      <c r="G43" s="31"/>
      <c r="H43" s="31"/>
    </row>
    <row r="44" spans="3:12" x14ac:dyDescent="0.15">
      <c r="C44" s="41"/>
      <c r="D44" s="41"/>
      <c r="E44" s="31"/>
      <c r="F44" s="31"/>
      <c r="G44" s="31"/>
      <c r="H44" s="31"/>
    </row>
    <row r="45" spans="3:12" x14ac:dyDescent="0.15">
      <c r="C45" s="41"/>
      <c r="D45" s="41"/>
      <c r="E45" s="31"/>
      <c r="F45" s="31"/>
      <c r="G45" s="31"/>
      <c r="H45" s="31"/>
    </row>
    <row r="46" spans="3:12" x14ac:dyDescent="0.15">
      <c r="C46" s="41"/>
      <c r="D46" s="41"/>
      <c r="E46" s="31"/>
      <c r="F46" s="31"/>
      <c r="G46" s="31"/>
      <c r="H46" s="31"/>
    </row>
    <row r="47" spans="3:12" ht="15" x14ac:dyDescent="0.2">
      <c r="C47" s="201" t="s">
        <v>30</v>
      </c>
      <c r="D47" s="201"/>
      <c r="E47" s="202"/>
      <c r="F47" s="202"/>
      <c r="G47" s="31"/>
      <c r="H47" s="31"/>
    </row>
    <row r="48" spans="3:12" ht="15" x14ac:dyDescent="0.2">
      <c r="C48" s="49"/>
      <c r="D48" s="49"/>
      <c r="E48" s="76"/>
      <c r="F48" s="38"/>
      <c r="G48" s="31"/>
      <c r="H48" s="31"/>
    </row>
    <row r="49" spans="3:11" ht="12.75" customHeight="1" x14ac:dyDescent="0.2">
      <c r="C49" s="49" t="s">
        <v>31</v>
      </c>
      <c r="D49" s="77"/>
      <c r="E49" s="204" t="str">
        <f>IF(H49="JP","J. Peitlová",IF(H49="LH","L. Hykyš",IF(H49="TV","T. Vovčička","-")))</f>
        <v>J. Peitlová</v>
      </c>
      <c r="F49" s="204"/>
      <c r="G49" s="31"/>
      <c r="H49" s="205" t="s">
        <v>32</v>
      </c>
      <c r="I49" s="205"/>
    </row>
    <row r="50" spans="3:11" ht="12.75" customHeight="1" x14ac:dyDescent="0.2">
      <c r="C50" s="49"/>
      <c r="D50" s="49"/>
      <c r="E50" s="76"/>
      <c r="F50" s="38"/>
      <c r="G50" s="31"/>
      <c r="H50" s="31"/>
    </row>
    <row r="51" spans="3:11" ht="12.75" customHeight="1" x14ac:dyDescent="0.2">
      <c r="C51" s="49"/>
      <c r="D51" s="49"/>
      <c r="E51" s="76"/>
      <c r="F51" s="38"/>
      <c r="G51" s="31"/>
      <c r="H51" s="31"/>
    </row>
    <row r="52" spans="3:11" ht="12.75" customHeight="1" x14ac:dyDescent="0.2">
      <c r="C52" s="49"/>
      <c r="D52" s="49"/>
      <c r="E52" s="76"/>
      <c r="F52" s="38"/>
      <c r="G52" s="31"/>
      <c r="H52" s="31"/>
    </row>
    <row r="53" spans="3:11" ht="10.5" customHeight="1" x14ac:dyDescent="0.2">
      <c r="C53" s="49"/>
      <c r="D53" s="49"/>
      <c r="E53" s="76"/>
      <c r="F53" s="38"/>
      <c r="G53" s="31"/>
      <c r="H53" s="31"/>
    </row>
    <row r="54" spans="3:11" ht="15.75" customHeight="1" x14ac:dyDescent="0.2">
      <c r="C54" s="49"/>
      <c r="D54" s="49"/>
      <c r="E54" s="76"/>
      <c r="F54" s="38"/>
      <c r="G54" s="31"/>
      <c r="H54" s="31"/>
    </row>
    <row r="55" spans="3:11" ht="21.75" customHeight="1" x14ac:dyDescent="0.2">
      <c r="C55" s="49" t="s">
        <v>33</v>
      </c>
      <c r="D55" s="202">
        <f ca="1">NOW()</f>
        <v>45357.372625925927</v>
      </c>
      <c r="E55" s="202"/>
      <c r="F55" s="38"/>
      <c r="G55" s="31"/>
      <c r="H55" s="31"/>
    </row>
    <row r="56" spans="3:11" ht="9.75" customHeight="1" x14ac:dyDescent="0.15">
      <c r="C56" s="41"/>
      <c r="D56" s="41"/>
      <c r="E56" s="31"/>
      <c r="F56" s="31"/>
      <c r="G56" s="31"/>
      <c r="H56" s="31"/>
    </row>
    <row r="57" spans="3:11" ht="12.75" customHeight="1" x14ac:dyDescent="0.15">
      <c r="F57" s="206" t="s">
        <v>34</v>
      </c>
      <c r="G57" s="206"/>
      <c r="H57" s="206"/>
    </row>
    <row r="58" spans="3:11" ht="12.75" customHeight="1" x14ac:dyDescent="0.2">
      <c r="F58" s="203" t="s">
        <v>35</v>
      </c>
      <c r="G58" s="203"/>
      <c r="H58" s="203"/>
    </row>
    <row r="59" spans="3:11" ht="18.75" customHeight="1" x14ac:dyDescent="0.15">
      <c r="C59" s="78"/>
      <c r="D59" s="78"/>
      <c r="E59" s="79"/>
      <c r="F59" s="80"/>
      <c r="G59" s="80"/>
      <c r="H59" s="80"/>
    </row>
    <row r="60" spans="3:11" ht="12.75" hidden="1" x14ac:dyDescent="0.2">
      <c r="C60" s="81"/>
      <c r="D60" s="81"/>
      <c r="E60" s="82"/>
    </row>
    <row r="61" spans="3:11" ht="6.75" customHeight="1" x14ac:dyDescent="0.2">
      <c r="C61" s="82"/>
      <c r="D61" s="82"/>
      <c r="E61" s="82"/>
    </row>
    <row r="62" spans="3:11" ht="9.75" x14ac:dyDescent="0.2">
      <c r="C62" s="83" t="s">
        <v>36</v>
      </c>
      <c r="D62" s="83"/>
      <c r="E62" s="84"/>
      <c r="F62" s="84"/>
      <c r="J62" s="22"/>
      <c r="K62" s="22"/>
    </row>
    <row r="63" spans="3:11" ht="9.75" x14ac:dyDescent="0.2">
      <c r="C63" s="85" t="s">
        <v>37</v>
      </c>
      <c r="D63" s="85"/>
      <c r="E63" s="84"/>
      <c r="F63" s="84"/>
      <c r="J63" s="22"/>
      <c r="K63" s="22"/>
    </row>
    <row r="64" spans="3:11" ht="9.75" x14ac:dyDescent="0.2">
      <c r="C64" s="85" t="s">
        <v>38</v>
      </c>
      <c r="D64" s="85"/>
      <c r="E64" s="86"/>
      <c r="F64" s="84"/>
      <c r="J64" s="22"/>
      <c r="K64" s="22"/>
    </row>
    <row r="65" spans="3:11" ht="9.75" x14ac:dyDescent="0.2">
      <c r="C65" s="85" t="s">
        <v>39</v>
      </c>
      <c r="D65" s="85"/>
      <c r="E65" s="86"/>
      <c r="F65" s="84"/>
      <c r="J65" s="22"/>
      <c r="K65" s="22"/>
    </row>
    <row r="66" spans="3:11" x14ac:dyDescent="0.15">
      <c r="C66" s="7"/>
      <c r="D66" s="2"/>
      <c r="E66" s="2"/>
      <c r="F66" s="2"/>
      <c r="G66" s="2"/>
      <c r="H66" s="2"/>
    </row>
    <row r="67" spans="3:11" x14ac:dyDescent="0.15">
      <c r="C67" s="7"/>
      <c r="D67" s="2"/>
      <c r="E67" s="2"/>
      <c r="F67" s="2"/>
      <c r="G67" s="2"/>
      <c r="H67" s="2"/>
    </row>
    <row r="68" spans="3:11" x14ac:dyDescent="0.15">
      <c r="C68" s="7"/>
      <c r="D68" s="2"/>
      <c r="E68" s="2"/>
      <c r="F68" s="2"/>
      <c r="G68" s="2"/>
      <c r="H68" s="2"/>
    </row>
    <row r="69" spans="3:11" x14ac:dyDescent="0.15">
      <c r="C69" s="7"/>
      <c r="D69" s="2"/>
      <c r="E69" s="2"/>
      <c r="F69" s="2"/>
      <c r="G69" s="2"/>
      <c r="H69" s="2"/>
    </row>
    <row r="70" spans="3:11" x14ac:dyDescent="0.15">
      <c r="C70" s="7"/>
    </row>
    <row r="71" spans="3:11" x14ac:dyDescent="0.15">
      <c r="C71" s="7"/>
    </row>
    <row r="72" spans="3:11" x14ac:dyDescent="0.15">
      <c r="C72" s="7"/>
    </row>
    <row r="73" spans="3:11" x14ac:dyDescent="0.15">
      <c r="C73" s="7"/>
    </row>
    <row r="74" spans="3:11" x14ac:dyDescent="0.15">
      <c r="C74" s="7"/>
    </row>
    <row r="75" spans="3:11" x14ac:dyDescent="0.15">
      <c r="C75" s="7"/>
    </row>
    <row r="76" spans="3:11" x14ac:dyDescent="0.15">
      <c r="C76" s="7"/>
    </row>
    <row r="77" spans="3:11" x14ac:dyDescent="0.15">
      <c r="C77" s="7"/>
    </row>
    <row r="78" spans="3:11" x14ac:dyDescent="0.15">
      <c r="C78" s="7"/>
    </row>
    <row r="79" spans="3:11" x14ac:dyDescent="0.15">
      <c r="C79" s="7"/>
    </row>
    <row r="80" spans="3:11" x14ac:dyDescent="0.15">
      <c r="C80" s="7"/>
    </row>
  </sheetData>
  <mergeCells count="19">
    <mergeCell ref="C39:E39"/>
    <mergeCell ref="C41:E41"/>
    <mergeCell ref="C47:D47"/>
    <mergeCell ref="E47:F47"/>
    <mergeCell ref="F58:H58"/>
    <mergeCell ref="E49:F49"/>
    <mergeCell ref="H49:I49"/>
    <mergeCell ref="D55:E55"/>
    <mergeCell ref="F57:H57"/>
    <mergeCell ref="D22:H22"/>
    <mergeCell ref="F23:H23"/>
    <mergeCell ref="F29:H29"/>
    <mergeCell ref="C36:E36"/>
    <mergeCell ref="C38:E38"/>
    <mergeCell ref="C7:H7"/>
    <mergeCell ref="D10:H10"/>
    <mergeCell ref="D12:H12"/>
    <mergeCell ref="D14:H14"/>
    <mergeCell ref="F21:H21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33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5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34" t="s">
        <v>80</v>
      </c>
    </row>
    <row r="2" spans="1:8" ht="15.75" x14ac:dyDescent="0.15">
      <c r="B2" s="134" t="s">
        <v>81</v>
      </c>
      <c r="C2" s="89"/>
      <c r="D2" s="91"/>
      <c r="E2" s="89"/>
      <c r="F2" s="89"/>
    </row>
    <row r="3" spans="1:8" ht="7.5" customHeight="1" x14ac:dyDescent="0.15">
      <c r="A3" s="6"/>
      <c r="B3" s="87"/>
      <c r="C3" s="89"/>
      <c r="D3" s="92"/>
      <c r="E3" s="94"/>
      <c r="F3" s="94"/>
      <c r="G3" s="8"/>
    </row>
    <row r="4" spans="1:8" ht="11.25" x14ac:dyDescent="0.2">
      <c r="A4" s="4"/>
      <c r="B4" s="95" t="s">
        <v>3</v>
      </c>
      <c r="C4" s="96" t="s">
        <v>9</v>
      </c>
      <c r="D4" s="97" t="s">
        <v>11</v>
      </c>
      <c r="E4" s="96" t="s">
        <v>2</v>
      </c>
      <c r="F4" s="96" t="s">
        <v>15</v>
      </c>
      <c r="G4" s="6"/>
      <c r="H4" s="8"/>
    </row>
    <row r="5" spans="1:8" ht="7.5" customHeight="1" x14ac:dyDescent="0.15">
      <c r="B5" s="87"/>
      <c r="C5" s="89"/>
      <c r="D5" s="91"/>
      <c r="E5" s="89"/>
      <c r="F5" s="89"/>
      <c r="G5" s="8"/>
    </row>
    <row r="6" spans="1:8" ht="12" x14ac:dyDescent="0.15">
      <c r="A6" s="110" t="s">
        <v>40</v>
      </c>
      <c r="B6" s="111" t="s">
        <v>41</v>
      </c>
      <c r="C6" s="112">
        <f>VLOOKUP($A6,Zakázka!$A:$Q,10,FALSE)</f>
        <v>273941.14513000002</v>
      </c>
      <c r="D6" s="113">
        <f>VLOOKUP($A6,Zakázka!$A:$Q,12,FALSE)</f>
        <v>0</v>
      </c>
      <c r="E6" s="112">
        <f>VLOOKUP($A6,Zakázka!$A:$Q,16,FALSE)</f>
        <v>57527.640477300003</v>
      </c>
      <c r="F6" s="112">
        <f>VLOOKUP($A6,Zakázka!$A:$Q,17,FALSE)</f>
        <v>331468.78560730006</v>
      </c>
      <c r="G6" s="6"/>
      <c r="H6" s="8"/>
    </row>
    <row r="7" spans="1:8" ht="12" outlineLevel="1" x14ac:dyDescent="0.15">
      <c r="A7" s="114" t="s">
        <v>42</v>
      </c>
      <c r="B7" s="115" t="s">
        <v>43</v>
      </c>
      <c r="C7" s="116">
        <f>VLOOKUP($A7,Zakázka!$A:$Q,10,FALSE)</f>
        <v>273941.14513000002</v>
      </c>
      <c r="D7" s="117">
        <f>VLOOKUP($A7,Zakázka!$A:$Q,12,FALSE)</f>
        <v>0</v>
      </c>
      <c r="E7" s="116">
        <f>VLOOKUP($A7,Zakázka!$A:$Q,16,FALSE)</f>
        <v>57527.640477300003</v>
      </c>
      <c r="F7" s="116">
        <f>VLOOKUP($A7,Zakázka!$A:$Q,17,FALSE)</f>
        <v>331468.78560730006</v>
      </c>
      <c r="G7" s="6"/>
      <c r="H7" s="8"/>
    </row>
    <row r="8" spans="1:8" ht="11.25" outlineLevel="2" x14ac:dyDescent="0.15">
      <c r="A8" s="118" t="s">
        <v>44</v>
      </c>
      <c r="B8" s="119" t="s">
        <v>45</v>
      </c>
      <c r="C8" s="120">
        <f>VLOOKUP($A8,Zakázka!$A:$Q,10,FALSE)</f>
        <v>273941.14513000002</v>
      </c>
      <c r="D8" s="121">
        <f>VLOOKUP($A8,Zakázka!$A:$Q,12,FALSE)</f>
        <v>0</v>
      </c>
      <c r="E8" s="120">
        <f>VLOOKUP($A8,Zakázka!$A:$Q,16,FALSE)</f>
        <v>57527.640477300003</v>
      </c>
      <c r="F8" s="120">
        <f>VLOOKUP($A8,Zakázka!$A:$Q,17,FALSE)</f>
        <v>331468.78560730006</v>
      </c>
      <c r="G8" s="6"/>
      <c r="H8" s="8"/>
    </row>
    <row r="9" spans="1:8" ht="10.5" outlineLevel="3" x14ac:dyDescent="0.15">
      <c r="A9" s="122" t="s">
        <v>46</v>
      </c>
      <c r="B9" s="123" t="s">
        <v>47</v>
      </c>
      <c r="C9" s="124">
        <f>VLOOKUP($A9,Zakázka!$A:$Q,10,FALSE)</f>
        <v>273941.14513000002</v>
      </c>
      <c r="D9" s="125">
        <f>VLOOKUP($A9,Zakázka!$A:$Q,12,FALSE)</f>
        <v>0</v>
      </c>
      <c r="E9" s="124">
        <f>VLOOKUP($A9,Zakázka!$A:$Q,16,FALSE)</f>
        <v>57527.640477300003</v>
      </c>
      <c r="F9" s="124">
        <f>VLOOKUP($A9,Zakázka!$A:$Q,17,FALSE)</f>
        <v>331468.78560730006</v>
      </c>
      <c r="G9" s="6"/>
      <c r="H9" s="8"/>
    </row>
    <row r="10" spans="1:8" ht="9" outlineLevel="4" x14ac:dyDescent="0.15">
      <c r="A10" s="126" t="s">
        <v>48</v>
      </c>
      <c r="B10" s="127" t="s">
        <v>49</v>
      </c>
      <c r="C10" s="128">
        <f>VLOOKUP($A10,Zakázka!$A:$Q,10,FALSE)</f>
        <v>26581.6106</v>
      </c>
      <c r="D10" s="129">
        <f>VLOOKUP($A10,Zakázka!$A:$Q,12,FALSE)</f>
        <v>0</v>
      </c>
      <c r="E10" s="128">
        <f>VLOOKUP($A10,Zakázka!$A:$Q,16,FALSE)</f>
        <v>5582.1382259999991</v>
      </c>
      <c r="F10" s="128">
        <f>VLOOKUP($A10,Zakázka!$A:$Q,17,FALSE)</f>
        <v>32163.748826000003</v>
      </c>
      <c r="G10" s="6"/>
      <c r="H10" s="8"/>
    </row>
    <row r="11" spans="1:8" ht="9.75" outlineLevel="5" x14ac:dyDescent="0.15">
      <c r="A11" s="130" t="s">
        <v>50</v>
      </c>
      <c r="B11" s="131" t="s">
        <v>51</v>
      </c>
      <c r="C11" s="132">
        <f>VLOOKUP($A11,Zakázka!$A:$Q,10,FALSE)</f>
        <v>844.37059999999997</v>
      </c>
      <c r="D11" s="133">
        <f>VLOOKUP($A11,Zakázka!$A:$Q,12,FALSE)</f>
        <v>0</v>
      </c>
      <c r="E11" s="132">
        <f>VLOOKUP($A11,Zakázka!$A:$Q,16,FALSE)</f>
        <v>177.317826</v>
      </c>
      <c r="F11" s="132">
        <f>VLOOKUP($A11,Zakázka!$A:$Q,17,FALSE)</f>
        <v>1021.6884259999999</v>
      </c>
      <c r="G11" s="6"/>
      <c r="H11" s="8"/>
    </row>
    <row r="12" spans="1:8" ht="9.75" outlineLevel="5" x14ac:dyDescent="0.15">
      <c r="A12" s="130" t="s">
        <v>52</v>
      </c>
      <c r="B12" s="131" t="s">
        <v>53</v>
      </c>
      <c r="C12" s="132">
        <f>VLOOKUP($A12,Zakázka!$A:$Q,10,FALSE)</f>
        <v>4706.8</v>
      </c>
      <c r="D12" s="133">
        <f>VLOOKUP($A12,Zakázka!$A:$Q,12,FALSE)</f>
        <v>0</v>
      </c>
      <c r="E12" s="132">
        <f>VLOOKUP($A12,Zakázka!$A:$Q,16,FALSE)</f>
        <v>988.428</v>
      </c>
      <c r="F12" s="132">
        <f>VLOOKUP($A12,Zakázka!$A:$Q,17,FALSE)</f>
        <v>5695.2280000000001</v>
      </c>
      <c r="G12" s="6"/>
      <c r="H12" s="8"/>
    </row>
    <row r="13" spans="1:8" ht="9.75" outlineLevel="5" x14ac:dyDescent="0.15">
      <c r="A13" s="130" t="s">
        <v>54</v>
      </c>
      <c r="B13" s="131" t="s">
        <v>55</v>
      </c>
      <c r="C13" s="132">
        <f>VLOOKUP($A13,Zakázka!$A:$Q,10,FALSE)</f>
        <v>4875</v>
      </c>
      <c r="D13" s="133">
        <f>VLOOKUP($A13,Zakázka!$A:$Q,12,FALSE)</f>
        <v>0</v>
      </c>
      <c r="E13" s="132">
        <f>VLOOKUP($A13,Zakázka!$A:$Q,16,FALSE)</f>
        <v>1023.75</v>
      </c>
      <c r="F13" s="132">
        <f>VLOOKUP($A13,Zakázka!$A:$Q,17,FALSE)</f>
        <v>5898.75</v>
      </c>
      <c r="G13" s="6"/>
      <c r="H13" s="8"/>
    </row>
    <row r="14" spans="1:8" ht="9.75" outlineLevel="5" x14ac:dyDescent="0.15">
      <c r="A14" s="130" t="s">
        <v>56</v>
      </c>
      <c r="B14" s="131" t="s">
        <v>57</v>
      </c>
      <c r="C14" s="132">
        <f>VLOOKUP($A14,Zakázka!$A:$Q,10,FALSE)</f>
        <v>16155.44</v>
      </c>
      <c r="D14" s="133">
        <f>VLOOKUP($A14,Zakázka!$A:$Q,12,FALSE)</f>
        <v>0</v>
      </c>
      <c r="E14" s="132">
        <f>VLOOKUP($A14,Zakázka!$A:$Q,16,FALSE)</f>
        <v>3392.6423999999997</v>
      </c>
      <c r="F14" s="132">
        <f>VLOOKUP($A14,Zakázka!$A:$Q,17,FALSE)</f>
        <v>19548.082399999999</v>
      </c>
      <c r="G14" s="6"/>
      <c r="H14" s="8"/>
    </row>
    <row r="15" spans="1:8" ht="9" outlineLevel="4" x14ac:dyDescent="0.15">
      <c r="A15" s="126" t="s">
        <v>58</v>
      </c>
      <c r="B15" s="127" t="s">
        <v>59</v>
      </c>
      <c r="C15" s="128">
        <f>VLOOKUP($A15,Zakázka!$A:$Q,10,FALSE)</f>
        <v>236227.28453000006</v>
      </c>
      <c r="D15" s="129">
        <f>VLOOKUP($A15,Zakázka!$A:$Q,12,FALSE)</f>
        <v>0</v>
      </c>
      <c r="E15" s="128">
        <f>VLOOKUP($A15,Zakázka!$A:$Q,16,FALSE)</f>
        <v>49607.729751299994</v>
      </c>
      <c r="F15" s="128">
        <f>VLOOKUP($A15,Zakázka!$A:$Q,17,FALSE)</f>
        <v>285835.01428129995</v>
      </c>
      <c r="G15" s="6"/>
      <c r="H15" s="8"/>
    </row>
    <row r="16" spans="1:8" ht="9.75" outlineLevel="5" x14ac:dyDescent="0.15">
      <c r="A16" s="130" t="s">
        <v>60</v>
      </c>
      <c r="B16" s="131" t="s">
        <v>61</v>
      </c>
      <c r="C16" s="132">
        <f>VLOOKUP($A16,Zakázka!$A:$Q,10,FALSE)</f>
        <v>37724.810000000005</v>
      </c>
      <c r="D16" s="133">
        <f>VLOOKUP($A16,Zakázka!$A:$Q,12,FALSE)</f>
        <v>0</v>
      </c>
      <c r="E16" s="132">
        <f>VLOOKUP($A16,Zakázka!$A:$Q,16,FALSE)</f>
        <v>7922.2100999999993</v>
      </c>
      <c r="F16" s="132">
        <f>VLOOKUP($A16,Zakázka!$A:$Q,17,FALSE)</f>
        <v>45647.020099999994</v>
      </c>
      <c r="G16" s="6"/>
      <c r="H16" s="8"/>
    </row>
    <row r="17" spans="1:8" ht="9.75" outlineLevel="5" x14ac:dyDescent="0.15">
      <c r="A17" s="130" t="s">
        <v>62</v>
      </c>
      <c r="B17" s="131" t="s">
        <v>63</v>
      </c>
      <c r="C17" s="132">
        <f>VLOOKUP($A17,Zakázka!$A:$Q,10,FALSE)</f>
        <v>121677.59843</v>
      </c>
      <c r="D17" s="133">
        <f>VLOOKUP($A17,Zakázka!$A:$Q,12,FALSE)</f>
        <v>0</v>
      </c>
      <c r="E17" s="132">
        <f>VLOOKUP($A17,Zakázka!$A:$Q,16,FALSE)</f>
        <v>25552.295670300002</v>
      </c>
      <c r="F17" s="132">
        <f>VLOOKUP($A17,Zakázka!$A:$Q,17,FALSE)</f>
        <v>147229.89410029998</v>
      </c>
      <c r="G17" s="6"/>
      <c r="H17" s="8"/>
    </row>
    <row r="18" spans="1:8" ht="9.75" outlineLevel="5" x14ac:dyDescent="0.15">
      <c r="A18" s="130" t="s">
        <v>64</v>
      </c>
      <c r="B18" s="131" t="s">
        <v>65</v>
      </c>
      <c r="C18" s="132">
        <f>VLOOKUP($A18,Zakázka!$A:$Q,10,FALSE)</f>
        <v>8359.1999999999989</v>
      </c>
      <c r="D18" s="133">
        <f>VLOOKUP($A18,Zakázka!$A:$Q,12,FALSE)</f>
        <v>0</v>
      </c>
      <c r="E18" s="132">
        <f>VLOOKUP($A18,Zakázka!$A:$Q,16,FALSE)</f>
        <v>1755.4319999999998</v>
      </c>
      <c r="F18" s="132">
        <f>VLOOKUP($A18,Zakázka!$A:$Q,17,FALSE)</f>
        <v>10114.631999999998</v>
      </c>
      <c r="G18" s="6"/>
      <c r="H18" s="8"/>
    </row>
    <row r="19" spans="1:8" ht="9.75" outlineLevel="5" x14ac:dyDescent="0.15">
      <c r="A19" s="130" t="s">
        <v>66</v>
      </c>
      <c r="B19" s="131" t="s">
        <v>67</v>
      </c>
      <c r="C19" s="132">
        <f>VLOOKUP($A19,Zakázka!$A:$Q,10,FALSE)</f>
        <v>37693.326800000003</v>
      </c>
      <c r="D19" s="133">
        <f>VLOOKUP($A19,Zakázka!$A:$Q,12,FALSE)</f>
        <v>0</v>
      </c>
      <c r="E19" s="132">
        <f>VLOOKUP($A19,Zakázka!$A:$Q,16,FALSE)</f>
        <v>7915.5986280000006</v>
      </c>
      <c r="F19" s="132">
        <f>VLOOKUP($A19,Zakázka!$A:$Q,17,FALSE)</f>
        <v>45608.925428000002</v>
      </c>
      <c r="G19" s="6"/>
      <c r="H19" s="8"/>
    </row>
    <row r="20" spans="1:8" ht="9.75" outlineLevel="5" x14ac:dyDescent="0.15">
      <c r="A20" s="130" t="s">
        <v>68</v>
      </c>
      <c r="B20" s="131" t="s">
        <v>69</v>
      </c>
      <c r="C20" s="132">
        <f>VLOOKUP($A20,Zakázka!$A:$Q,10,FALSE)</f>
        <v>7543.8089999999993</v>
      </c>
      <c r="D20" s="133">
        <f>VLOOKUP($A20,Zakázka!$A:$Q,12,FALSE)</f>
        <v>0</v>
      </c>
      <c r="E20" s="132">
        <f>VLOOKUP($A20,Zakázka!$A:$Q,16,FALSE)</f>
        <v>1584.1998899999999</v>
      </c>
      <c r="F20" s="132">
        <f>VLOOKUP($A20,Zakázka!$A:$Q,17,FALSE)</f>
        <v>9128.0088899999992</v>
      </c>
      <c r="G20" s="6"/>
      <c r="H20" s="8"/>
    </row>
    <row r="21" spans="1:8" ht="9.75" outlineLevel="5" x14ac:dyDescent="0.15">
      <c r="A21" s="130" t="s">
        <v>70</v>
      </c>
      <c r="B21" s="131" t="s">
        <v>71</v>
      </c>
      <c r="C21" s="132">
        <f>VLOOKUP($A21,Zakázka!$A:$Q,10,FALSE)</f>
        <v>16590.370300000002</v>
      </c>
      <c r="D21" s="133">
        <f>VLOOKUP($A21,Zakázka!$A:$Q,12,FALSE)</f>
        <v>0</v>
      </c>
      <c r="E21" s="132">
        <f>VLOOKUP($A21,Zakázka!$A:$Q,16,FALSE)</f>
        <v>3483.9777629999999</v>
      </c>
      <c r="F21" s="132">
        <f>VLOOKUP($A21,Zakázka!$A:$Q,17,FALSE)</f>
        <v>20074.348063000001</v>
      </c>
      <c r="G21" s="6"/>
      <c r="H21" s="8"/>
    </row>
    <row r="22" spans="1:8" ht="9.75" outlineLevel="5" x14ac:dyDescent="0.15">
      <c r="A22" s="130" t="s">
        <v>72</v>
      </c>
      <c r="B22" s="131" t="s">
        <v>73</v>
      </c>
      <c r="C22" s="132">
        <f>VLOOKUP($A22,Zakázka!$A:$Q,10,FALSE)</f>
        <v>6638.17</v>
      </c>
      <c r="D22" s="133">
        <f>VLOOKUP($A22,Zakázka!$A:$Q,12,FALSE)</f>
        <v>0</v>
      </c>
      <c r="E22" s="132">
        <f>VLOOKUP($A22,Zakázka!$A:$Q,16,FALSE)</f>
        <v>1394.0156999999999</v>
      </c>
      <c r="F22" s="132">
        <f>VLOOKUP($A22,Zakázka!$A:$Q,17,FALSE)</f>
        <v>8032.1857</v>
      </c>
      <c r="G22" s="6"/>
      <c r="H22" s="8"/>
    </row>
    <row r="23" spans="1:8" ht="9" outlineLevel="4" x14ac:dyDescent="0.15">
      <c r="A23" s="126" t="s">
        <v>74</v>
      </c>
      <c r="B23" s="127" t="s">
        <v>75</v>
      </c>
      <c r="C23" s="128">
        <f>VLOOKUP($A23,Zakázka!$A:$Q,10,FALSE)</f>
        <v>11132.25</v>
      </c>
      <c r="D23" s="129">
        <f>VLOOKUP($A23,Zakázka!$A:$Q,12,FALSE)</f>
        <v>0</v>
      </c>
      <c r="E23" s="128">
        <f>VLOOKUP($A23,Zakázka!$A:$Q,16,FALSE)</f>
        <v>2337.7725</v>
      </c>
      <c r="F23" s="128">
        <f>VLOOKUP($A23,Zakázka!$A:$Q,17,FALSE)</f>
        <v>13470.022499999999</v>
      </c>
      <c r="G23" s="6"/>
      <c r="H23" s="8"/>
    </row>
    <row r="24" spans="1:8" ht="9.75" outlineLevel="5" x14ac:dyDescent="0.15">
      <c r="A24" s="130" t="s">
        <v>76</v>
      </c>
      <c r="B24" s="131" t="s">
        <v>77</v>
      </c>
      <c r="C24" s="132">
        <f>VLOOKUP($A24,Zakázka!$A:$Q,10,FALSE)</f>
        <v>4232.25</v>
      </c>
      <c r="D24" s="133">
        <f>VLOOKUP($A24,Zakázka!$A:$Q,12,FALSE)</f>
        <v>0</v>
      </c>
      <c r="E24" s="132">
        <f>VLOOKUP($A24,Zakázka!$A:$Q,16,FALSE)</f>
        <v>888.77249999999992</v>
      </c>
      <c r="F24" s="132">
        <f>VLOOKUP($A24,Zakázka!$A:$Q,17,FALSE)</f>
        <v>5121.0225</v>
      </c>
      <c r="G24" s="6"/>
      <c r="H24" s="8"/>
    </row>
    <row r="25" spans="1:8" ht="9.75" outlineLevel="5" x14ac:dyDescent="0.15">
      <c r="A25" s="130" t="s">
        <v>78</v>
      </c>
      <c r="B25" s="131" t="s">
        <v>79</v>
      </c>
      <c r="C25" s="132">
        <f>VLOOKUP($A25,Zakázka!$A:$Q,10,FALSE)</f>
        <v>6900</v>
      </c>
      <c r="D25" s="133">
        <f>VLOOKUP($A25,Zakázka!$A:$Q,12,FALSE)</f>
        <v>0</v>
      </c>
      <c r="E25" s="132">
        <f>VLOOKUP($A25,Zakázka!$A:$Q,16,FALSE)</f>
        <v>1449</v>
      </c>
      <c r="F25" s="132">
        <f>VLOOKUP($A25,Zakázka!$A:$Q,17,FALSE)</f>
        <v>8349</v>
      </c>
      <c r="G25" s="6"/>
      <c r="H25" s="8"/>
    </row>
    <row r="26" spans="1:8" ht="7.5" customHeight="1" x14ac:dyDescent="0.15">
      <c r="B26" s="88"/>
      <c r="C26" s="90"/>
      <c r="D26" s="93"/>
      <c r="E26" s="90"/>
      <c r="F26" s="90"/>
      <c r="G26" s="8"/>
    </row>
    <row r="27" spans="1:8" ht="12.75" x14ac:dyDescent="0.2">
      <c r="A27" s="5"/>
      <c r="B27" s="98" t="s">
        <v>1</v>
      </c>
      <c r="C27" s="99">
        <f>SUMIF(GROUP_ID,"",ITEM_PRICES)</f>
        <v>273941.14513000002</v>
      </c>
      <c r="D27" s="100"/>
      <c r="E27" s="101"/>
      <c r="F27" s="101"/>
      <c r="G27" s="6"/>
      <c r="H27" s="8"/>
    </row>
    <row r="28" spans="1:8" ht="12.75" x14ac:dyDescent="0.2">
      <c r="A28" s="5"/>
      <c r="B28" s="98" t="s">
        <v>2</v>
      </c>
      <c r="C28" s="99">
        <f ca="1">SUM(C29:C30)</f>
        <v>57527.64047730001</v>
      </c>
      <c r="D28" s="100"/>
      <c r="E28" s="101"/>
      <c r="F28" s="101"/>
      <c r="G28" s="6"/>
      <c r="H28" s="8"/>
    </row>
    <row r="29" spans="1:8" ht="12.75" x14ac:dyDescent="0.2">
      <c r="A29" s="1"/>
      <c r="B29" s="102" t="str">
        <f ca="1">INDIRECT(ADDRESS(10,1,,,"Krycí List"))</f>
        <v>DPH 21 % ze základny: 273 941</v>
      </c>
      <c r="C29" s="103">
        <f ca="1">INDIRECT(ADDRESS(13,1,,,"Krycí List"))</f>
        <v>57527.64047730001</v>
      </c>
      <c r="D29" s="104"/>
      <c r="E29" s="105"/>
      <c r="F29" s="105"/>
      <c r="G29" s="6"/>
      <c r="H29" s="8"/>
    </row>
    <row r="30" spans="1:8" ht="12.75" x14ac:dyDescent="0.2">
      <c r="A30" s="1"/>
      <c r="B30" s="106" t="str">
        <f ca="1">INDIRECT(ADDRESS(11,1,,,"Krycí List"))</f>
        <v/>
      </c>
      <c r="C30" s="107" t="str">
        <f ca="1">INDIRECT(ADDRESS(14,1,,,"Krycí List"))</f>
        <v/>
      </c>
      <c r="D30" s="108"/>
      <c r="E30" s="109"/>
      <c r="F30" s="109"/>
      <c r="G30" s="6"/>
      <c r="H30" s="8"/>
    </row>
    <row r="31" spans="1:8" ht="12.75" x14ac:dyDescent="0.2">
      <c r="A31" s="5"/>
      <c r="B31" s="98" t="s">
        <v>0</v>
      </c>
      <c r="C31" s="99">
        <f ca="1">C27+C28</f>
        <v>331468.7856073</v>
      </c>
      <c r="D31" s="100"/>
      <c r="E31" s="101"/>
      <c r="F31" s="101"/>
      <c r="G31" s="6"/>
      <c r="H31" s="8"/>
    </row>
    <row r="32" spans="1:8" x14ac:dyDescent="0.15">
      <c r="B32" s="87"/>
      <c r="C32" s="89"/>
      <c r="D32" s="91"/>
      <c r="E32" s="89"/>
      <c r="F32" s="89"/>
    </row>
    <row r="33" spans="2:6" x14ac:dyDescent="0.15">
      <c r="B33" s="6"/>
      <c r="C33" s="8"/>
      <c r="D33" s="6"/>
      <c r="E33" s="8"/>
      <c r="F33" s="8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V94"/>
  <sheetViews>
    <sheetView tabSelected="1" topLeftCell="C1" zoomScale="120" zoomScaleNormal="120" workbookViewId="0">
      <pane ySplit="4" topLeftCell="A5" activePane="bottomLeft" state="frozen"/>
      <selection pane="bottomLeft" activeCell="J37" sqref="J37"/>
    </sheetView>
  </sheetViews>
  <sheetFormatPr defaultColWidth="9.140625" defaultRowHeight="8.25" outlineLevelRow="6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34" t="s">
        <v>80</v>
      </c>
    </row>
    <row r="2" spans="1:22" ht="15.75" x14ac:dyDescent="0.15">
      <c r="B2" s="135"/>
      <c r="C2" s="135"/>
      <c r="D2" s="87"/>
      <c r="E2" s="87"/>
      <c r="F2" s="134" t="s">
        <v>81</v>
      </c>
      <c r="G2" s="87"/>
      <c r="H2" s="91"/>
      <c r="I2" s="138"/>
      <c r="J2" s="89"/>
      <c r="K2" s="91"/>
      <c r="L2" s="91"/>
      <c r="M2" s="91"/>
      <c r="N2" s="91"/>
      <c r="O2" s="89"/>
      <c r="P2" s="89"/>
      <c r="Q2" s="89"/>
      <c r="S2" s="7"/>
      <c r="V2" s="3"/>
    </row>
    <row r="3" spans="1:22" ht="7.5" customHeight="1" x14ac:dyDescent="0.15">
      <c r="A3" s="6"/>
      <c r="B3" s="136"/>
      <c r="C3" s="135"/>
      <c r="D3" s="137"/>
      <c r="E3" s="87"/>
      <c r="F3" s="87"/>
      <c r="G3" s="87"/>
      <c r="H3" s="91"/>
      <c r="I3" s="138"/>
      <c r="J3" s="89"/>
      <c r="K3" s="92"/>
      <c r="L3" s="92"/>
      <c r="M3" s="92"/>
      <c r="N3" s="92"/>
      <c r="O3" s="94"/>
      <c r="P3" s="94"/>
      <c r="Q3" s="94"/>
      <c r="R3" s="8"/>
    </row>
    <row r="4" spans="1:22" ht="11.25" x14ac:dyDescent="0.2">
      <c r="A4" s="4"/>
      <c r="B4" s="139"/>
      <c r="C4" s="139" t="s">
        <v>4</v>
      </c>
      <c r="D4" s="95" t="s">
        <v>5</v>
      </c>
      <c r="E4" s="95" t="s">
        <v>6</v>
      </c>
      <c r="F4" s="95" t="s">
        <v>3</v>
      </c>
      <c r="G4" s="95" t="s">
        <v>7</v>
      </c>
      <c r="H4" s="97" t="s">
        <v>8</v>
      </c>
      <c r="I4" s="140" t="s">
        <v>16</v>
      </c>
      <c r="J4" s="96" t="s">
        <v>9</v>
      </c>
      <c r="K4" s="97" t="s">
        <v>10</v>
      </c>
      <c r="L4" s="97" t="s">
        <v>11</v>
      </c>
      <c r="M4" s="97" t="s">
        <v>12</v>
      </c>
      <c r="N4" s="97" t="s">
        <v>13</v>
      </c>
      <c r="O4" s="96" t="s">
        <v>14</v>
      </c>
      <c r="P4" s="96" t="s">
        <v>2</v>
      </c>
      <c r="Q4" s="96" t="s">
        <v>15</v>
      </c>
      <c r="R4" s="6"/>
      <c r="S4" s="8"/>
    </row>
    <row r="5" spans="1:22" ht="7.5" customHeight="1" x14ac:dyDescent="0.15">
      <c r="B5" s="135"/>
      <c r="C5" s="135"/>
      <c r="D5" s="87"/>
      <c r="E5" s="87"/>
      <c r="F5" s="87"/>
      <c r="G5" s="87"/>
      <c r="H5" s="91"/>
      <c r="I5" s="138"/>
      <c r="J5" s="89"/>
      <c r="K5" s="91"/>
      <c r="L5" s="91"/>
      <c r="M5" s="91"/>
      <c r="N5" s="91"/>
      <c r="O5" s="89"/>
      <c r="P5" s="89"/>
      <c r="Q5" s="89"/>
      <c r="R5" s="8"/>
    </row>
    <row r="6" spans="1:22" ht="12" x14ac:dyDescent="0.2">
      <c r="A6" s="110" t="s">
        <v>40</v>
      </c>
      <c r="B6" s="141">
        <v>1</v>
      </c>
      <c r="C6" s="142"/>
      <c r="D6" s="143" t="s">
        <v>82</v>
      </c>
      <c r="E6" s="143"/>
      <c r="F6" s="111" t="s">
        <v>41</v>
      </c>
      <c r="G6" s="143"/>
      <c r="H6" s="144"/>
      <c r="I6" s="145"/>
      <c r="J6" s="112">
        <f>SUBTOTAL(9,J7:J94)</f>
        <v>273941.14513000002</v>
      </c>
      <c r="K6" s="144"/>
      <c r="L6" s="113">
        <f>SUBTOTAL(9,L7:L94)</f>
        <v>0</v>
      </c>
      <c r="M6" s="144"/>
      <c r="N6" s="113">
        <f>SUBTOTAL(9,N7:N94)</f>
        <v>0</v>
      </c>
      <c r="O6" s="146"/>
      <c r="P6" s="112">
        <f>SUBTOTAL(9,P7:P94)</f>
        <v>57527.640477300003</v>
      </c>
      <c r="Q6" s="112">
        <f>SUBTOTAL(9,Q7:Q94)</f>
        <v>331468.78560730006</v>
      </c>
      <c r="R6" s="6"/>
      <c r="S6" s="8"/>
      <c r="T6" s="8"/>
    </row>
    <row r="7" spans="1:22" ht="12" outlineLevel="1" x14ac:dyDescent="0.2">
      <c r="A7" s="114" t="s">
        <v>42</v>
      </c>
      <c r="B7" s="147">
        <v>2</v>
      </c>
      <c r="C7" s="148"/>
      <c r="D7" s="149" t="s">
        <v>83</v>
      </c>
      <c r="E7" s="149"/>
      <c r="F7" s="150" t="s">
        <v>43</v>
      </c>
      <c r="G7" s="149"/>
      <c r="H7" s="151"/>
      <c r="I7" s="152"/>
      <c r="J7" s="116">
        <f>SUBTOTAL(9,J8:J93)</f>
        <v>273941.14513000002</v>
      </c>
      <c r="K7" s="151"/>
      <c r="L7" s="117">
        <f>SUBTOTAL(9,L8:L93)</f>
        <v>0</v>
      </c>
      <c r="M7" s="151"/>
      <c r="N7" s="117">
        <f>SUBTOTAL(9,N8:N93)</f>
        <v>0</v>
      </c>
      <c r="O7" s="153"/>
      <c r="P7" s="116">
        <f>SUBTOTAL(9,P8:P93)</f>
        <v>57527.640477300003</v>
      </c>
      <c r="Q7" s="116">
        <f>SUBTOTAL(9,Q8:Q93)</f>
        <v>331468.78560730006</v>
      </c>
      <c r="R7" s="6"/>
      <c r="S7" s="8"/>
      <c r="T7" s="8"/>
    </row>
    <row r="8" spans="1:22" ht="11.25" outlineLevel="2" x14ac:dyDescent="0.2">
      <c r="A8" s="118" t="s">
        <v>44</v>
      </c>
      <c r="B8" s="154">
        <v>3</v>
      </c>
      <c r="C8" s="155"/>
      <c r="D8" s="156" t="s">
        <v>84</v>
      </c>
      <c r="E8" s="156"/>
      <c r="F8" s="157" t="s">
        <v>45</v>
      </c>
      <c r="G8" s="156"/>
      <c r="H8" s="158"/>
      <c r="I8" s="159"/>
      <c r="J8" s="120">
        <f>SUBTOTAL(9,J9:J93)</f>
        <v>273941.14513000002</v>
      </c>
      <c r="K8" s="158"/>
      <c r="L8" s="121">
        <f>SUBTOTAL(9,L9:L93)</f>
        <v>0</v>
      </c>
      <c r="M8" s="158"/>
      <c r="N8" s="121">
        <f>SUBTOTAL(9,N9:N93)</f>
        <v>0</v>
      </c>
      <c r="O8" s="160"/>
      <c r="P8" s="120">
        <f>SUBTOTAL(9,P9:P93)</f>
        <v>57527.640477300003</v>
      </c>
      <c r="Q8" s="120">
        <f>SUBTOTAL(9,Q9:Q93)</f>
        <v>331468.78560730006</v>
      </c>
      <c r="R8" s="6"/>
      <c r="S8" s="8"/>
      <c r="T8" s="8"/>
    </row>
    <row r="9" spans="1:22" ht="10.5" outlineLevel="3" x14ac:dyDescent="0.15">
      <c r="A9" s="122" t="s">
        <v>46</v>
      </c>
      <c r="B9" s="161">
        <v>4</v>
      </c>
      <c r="C9" s="162"/>
      <c r="D9" s="163" t="s">
        <v>85</v>
      </c>
      <c r="E9" s="163"/>
      <c r="F9" s="164" t="s">
        <v>47</v>
      </c>
      <c r="G9" s="163"/>
      <c r="H9" s="165"/>
      <c r="I9" s="166"/>
      <c r="J9" s="124">
        <f>SUBTOTAL(9,J10:J93)</f>
        <v>273941.14513000002</v>
      </c>
      <c r="K9" s="165"/>
      <c r="L9" s="125">
        <f>SUBTOTAL(9,L10:L93)</f>
        <v>0</v>
      </c>
      <c r="M9" s="165"/>
      <c r="N9" s="125">
        <f>SUBTOTAL(9,N10:N93)</f>
        <v>0</v>
      </c>
      <c r="O9" s="167"/>
      <c r="P9" s="124">
        <f>SUBTOTAL(9,P10:P93)</f>
        <v>57527.640477300003</v>
      </c>
      <c r="Q9" s="124">
        <f>SUBTOTAL(9,Q10:Q93)</f>
        <v>331468.78560730006</v>
      </c>
      <c r="R9" s="6"/>
      <c r="S9" s="8"/>
      <c r="T9" s="8"/>
    </row>
    <row r="10" spans="1:22" ht="9" outlineLevel="4" x14ac:dyDescent="0.15">
      <c r="A10" s="126" t="s">
        <v>48</v>
      </c>
      <c r="B10" s="168">
        <v>5</v>
      </c>
      <c r="C10" s="169"/>
      <c r="D10" s="170" t="s">
        <v>86</v>
      </c>
      <c r="E10" s="170"/>
      <c r="F10" s="171" t="s">
        <v>49</v>
      </c>
      <c r="G10" s="170"/>
      <c r="H10" s="172"/>
      <c r="I10" s="173"/>
      <c r="J10" s="128">
        <f>SUBTOTAL(9,J11:J28)</f>
        <v>26581.6106</v>
      </c>
      <c r="K10" s="172"/>
      <c r="L10" s="129">
        <f>SUBTOTAL(9,L11:L28)</f>
        <v>0</v>
      </c>
      <c r="M10" s="172"/>
      <c r="N10" s="129">
        <f>SUBTOTAL(9,N11:N28)</f>
        <v>0</v>
      </c>
      <c r="O10" s="174"/>
      <c r="P10" s="128">
        <f>SUBTOTAL(9,P11:P28)</f>
        <v>5582.1382259999991</v>
      </c>
      <c r="Q10" s="128">
        <f>SUBTOTAL(9,Q11:Q28)</f>
        <v>32163.748826000003</v>
      </c>
      <c r="R10" s="6"/>
      <c r="S10" s="8"/>
      <c r="T10" s="8"/>
    </row>
    <row r="11" spans="1:22" ht="9.75" outlineLevel="5" x14ac:dyDescent="0.2">
      <c r="A11" s="130" t="s">
        <v>50</v>
      </c>
      <c r="B11" s="175">
        <v>6</v>
      </c>
      <c r="C11" s="176"/>
      <c r="D11" s="177" t="s">
        <v>87</v>
      </c>
      <c r="E11" s="177"/>
      <c r="F11" s="178" t="s">
        <v>51</v>
      </c>
      <c r="G11" s="177"/>
      <c r="H11" s="179"/>
      <c r="I11" s="180"/>
      <c r="J11" s="132">
        <f>SUBTOTAL(9,J12:J14)</f>
        <v>844.37059999999997</v>
      </c>
      <c r="K11" s="179"/>
      <c r="L11" s="133">
        <f>SUBTOTAL(9,L12:L14)</f>
        <v>0</v>
      </c>
      <c r="M11" s="179"/>
      <c r="N11" s="133">
        <f>SUBTOTAL(9,N12:N14)</f>
        <v>0</v>
      </c>
      <c r="O11" s="181"/>
      <c r="P11" s="132">
        <f>SUBTOTAL(9,P12:P14)</f>
        <v>177.317826</v>
      </c>
      <c r="Q11" s="132">
        <f>SUBTOTAL(9,Q12:Q14)</f>
        <v>1021.6884259999999</v>
      </c>
      <c r="R11" s="6"/>
      <c r="S11" s="8"/>
      <c r="T11" s="8"/>
    </row>
    <row r="12" spans="1:22" ht="22.5" outlineLevel="6" x14ac:dyDescent="0.2">
      <c r="A12" s="10"/>
      <c r="B12" s="182"/>
      <c r="C12" s="183">
        <v>48</v>
      </c>
      <c r="D12" s="184" t="s">
        <v>88</v>
      </c>
      <c r="E12" s="185" t="s">
        <v>89</v>
      </c>
      <c r="F12" s="186" t="s">
        <v>90</v>
      </c>
      <c r="G12" s="184" t="s">
        <v>91</v>
      </c>
      <c r="H12" s="187">
        <v>11.2</v>
      </c>
      <c r="I12" s="188">
        <v>35</v>
      </c>
      <c r="J12" s="189">
        <f>H12*I12</f>
        <v>392</v>
      </c>
      <c r="K12" s="187"/>
      <c r="L12" s="187">
        <f>H12*K12</f>
        <v>0</v>
      </c>
      <c r="M12" s="187"/>
      <c r="N12" s="187">
        <f>H12*M12</f>
        <v>0</v>
      </c>
      <c r="O12" s="189">
        <v>21</v>
      </c>
      <c r="P12" s="189">
        <f>J12*(O12/100)</f>
        <v>82.32</v>
      </c>
      <c r="Q12" s="189">
        <f>J12+P12</f>
        <v>474.32</v>
      </c>
      <c r="R12" s="8" t="s">
        <v>203</v>
      </c>
      <c r="S12" s="8"/>
      <c r="T12" s="8"/>
    </row>
    <row r="13" spans="1:22" ht="11.25" outlineLevel="6" x14ac:dyDescent="0.2">
      <c r="A13" s="10"/>
      <c r="B13" s="182"/>
      <c r="C13" s="183">
        <v>49</v>
      </c>
      <c r="D13" s="184" t="s">
        <v>88</v>
      </c>
      <c r="E13" s="185" t="s">
        <v>92</v>
      </c>
      <c r="F13" s="186" t="s">
        <v>93</v>
      </c>
      <c r="G13" s="184" t="s">
        <v>91</v>
      </c>
      <c r="H13" s="187">
        <v>13.266</v>
      </c>
      <c r="I13" s="188">
        <v>34.1</v>
      </c>
      <c r="J13" s="189">
        <f>H13*I13</f>
        <v>452.37060000000002</v>
      </c>
      <c r="K13" s="187"/>
      <c r="L13" s="187">
        <f>H13*K13</f>
        <v>0</v>
      </c>
      <c r="M13" s="187"/>
      <c r="N13" s="187">
        <f>H13*M13</f>
        <v>0</v>
      </c>
      <c r="O13" s="189">
        <v>21</v>
      </c>
      <c r="P13" s="189">
        <f>J13*(O13/100)</f>
        <v>94.997826000000003</v>
      </c>
      <c r="Q13" s="189">
        <f>J13+P13</f>
        <v>547.368426</v>
      </c>
      <c r="R13" s="8" t="s">
        <v>203</v>
      </c>
      <c r="S13" s="8"/>
      <c r="T13" s="8"/>
    </row>
    <row r="14" spans="1:22" outlineLevel="6" x14ac:dyDescent="0.15">
      <c r="B14" s="6"/>
      <c r="C14" s="6"/>
      <c r="D14" s="6"/>
      <c r="E14" s="6"/>
      <c r="F14" s="6"/>
      <c r="G14" s="6"/>
      <c r="H14" s="6"/>
      <c r="I14" s="8"/>
      <c r="J14" s="8"/>
      <c r="K14" s="6"/>
      <c r="L14" s="6"/>
      <c r="M14" s="6"/>
      <c r="N14" s="6"/>
      <c r="O14" s="6"/>
      <c r="P14" s="8"/>
      <c r="Q14" s="8"/>
    </row>
    <row r="15" spans="1:22" ht="9.75" outlineLevel="5" x14ac:dyDescent="0.2">
      <c r="A15" s="130" t="s">
        <v>52</v>
      </c>
      <c r="B15" s="175">
        <v>6</v>
      </c>
      <c r="C15" s="176"/>
      <c r="D15" s="177" t="s">
        <v>87</v>
      </c>
      <c r="E15" s="177"/>
      <c r="F15" s="178" t="s">
        <v>53</v>
      </c>
      <c r="G15" s="177"/>
      <c r="H15" s="179"/>
      <c r="I15" s="180"/>
      <c r="J15" s="132">
        <f>SUBTOTAL(9,J16:J17)</f>
        <v>4706.8</v>
      </c>
      <c r="K15" s="179"/>
      <c r="L15" s="133">
        <f>SUBTOTAL(9,L16:L17)</f>
        <v>0</v>
      </c>
      <c r="M15" s="179"/>
      <c r="N15" s="133">
        <f>SUBTOTAL(9,N16:N17)</f>
        <v>0</v>
      </c>
      <c r="O15" s="181"/>
      <c r="P15" s="132">
        <f>SUBTOTAL(9,P16:P17)</f>
        <v>988.428</v>
      </c>
      <c r="Q15" s="132">
        <f>SUBTOTAL(9,Q16:Q17)</f>
        <v>5695.2280000000001</v>
      </c>
      <c r="R15" s="6"/>
      <c r="S15" s="8"/>
      <c r="T15" s="8"/>
    </row>
    <row r="16" spans="1:22" ht="22.5" outlineLevel="6" x14ac:dyDescent="0.2">
      <c r="A16" s="10"/>
      <c r="B16" s="182"/>
      <c r="C16" s="183">
        <v>57</v>
      </c>
      <c r="D16" s="184" t="s">
        <v>88</v>
      </c>
      <c r="E16" s="185" t="s">
        <v>94</v>
      </c>
      <c r="F16" s="186" t="s">
        <v>95</v>
      </c>
      <c r="G16" s="184" t="s">
        <v>91</v>
      </c>
      <c r="H16" s="187">
        <v>2.87</v>
      </c>
      <c r="I16" s="188">
        <v>1640</v>
      </c>
      <c r="J16" s="189">
        <f>H16*I16</f>
        <v>4706.8</v>
      </c>
      <c r="K16" s="187"/>
      <c r="L16" s="187">
        <f>H16*K16</f>
        <v>0</v>
      </c>
      <c r="M16" s="187"/>
      <c r="N16" s="187">
        <f>H16*M16</f>
        <v>0</v>
      </c>
      <c r="O16" s="189">
        <v>21</v>
      </c>
      <c r="P16" s="189">
        <f>J16*(O16/100)</f>
        <v>988.428</v>
      </c>
      <c r="Q16" s="189">
        <f>J16+P16</f>
        <v>5695.2280000000001</v>
      </c>
      <c r="R16" s="8" t="s">
        <v>203</v>
      </c>
      <c r="S16" s="8"/>
      <c r="T16" s="8"/>
    </row>
    <row r="17" spans="1:20" outlineLevel="6" x14ac:dyDescent="0.15">
      <c r="B17" s="6"/>
      <c r="C17" s="6"/>
      <c r="D17" s="6"/>
      <c r="E17" s="6"/>
      <c r="F17" s="6"/>
      <c r="G17" s="6"/>
      <c r="H17" s="6"/>
      <c r="I17" s="8"/>
      <c r="J17" s="8"/>
      <c r="K17" s="6"/>
      <c r="L17" s="6"/>
      <c r="M17" s="6"/>
      <c r="N17" s="6"/>
      <c r="O17" s="6"/>
      <c r="P17" s="8"/>
      <c r="Q17" s="8"/>
    </row>
    <row r="18" spans="1:20" ht="9.75" outlineLevel="5" x14ac:dyDescent="0.2">
      <c r="A18" s="130" t="s">
        <v>54</v>
      </c>
      <c r="B18" s="175">
        <v>6</v>
      </c>
      <c r="C18" s="176"/>
      <c r="D18" s="177" t="s">
        <v>87</v>
      </c>
      <c r="E18" s="177"/>
      <c r="F18" s="178" t="s">
        <v>55</v>
      </c>
      <c r="G18" s="177"/>
      <c r="H18" s="179"/>
      <c r="I18" s="180"/>
      <c r="J18" s="132">
        <f>SUBTOTAL(9,J19:J21)</f>
        <v>4875</v>
      </c>
      <c r="K18" s="179"/>
      <c r="L18" s="133">
        <f>SUBTOTAL(9,L19:L21)</f>
        <v>0</v>
      </c>
      <c r="M18" s="179"/>
      <c r="N18" s="133">
        <f>SUBTOTAL(9,N19:N21)</f>
        <v>0</v>
      </c>
      <c r="O18" s="181"/>
      <c r="P18" s="132">
        <f>SUBTOTAL(9,P19:P21)</f>
        <v>1023.75</v>
      </c>
      <c r="Q18" s="132">
        <f>SUBTOTAL(9,Q19:Q21)</f>
        <v>5898.75</v>
      </c>
      <c r="R18" s="6"/>
      <c r="S18" s="8"/>
      <c r="T18" s="8"/>
    </row>
    <row r="19" spans="1:20" ht="11.25" outlineLevel="6" x14ac:dyDescent="0.2">
      <c r="A19" s="10"/>
      <c r="B19" s="182"/>
      <c r="C19" s="183">
        <v>34</v>
      </c>
      <c r="D19" s="184" t="s">
        <v>88</v>
      </c>
      <c r="E19" s="185" t="s">
        <v>96</v>
      </c>
      <c r="F19" s="186" t="s">
        <v>97</v>
      </c>
      <c r="G19" s="184" t="s">
        <v>98</v>
      </c>
      <c r="H19" s="187">
        <v>1.65</v>
      </c>
      <c r="I19" s="188">
        <v>1180</v>
      </c>
      <c r="J19" s="189">
        <f>H19*I19</f>
        <v>1947</v>
      </c>
      <c r="K19" s="187"/>
      <c r="L19" s="187">
        <f>H19*K19</f>
        <v>0</v>
      </c>
      <c r="M19" s="187"/>
      <c r="N19" s="187">
        <f>H19*M19</f>
        <v>0</v>
      </c>
      <c r="O19" s="189">
        <v>21</v>
      </c>
      <c r="P19" s="189">
        <f>J19*(O19/100)</f>
        <v>408.87</v>
      </c>
      <c r="Q19" s="189">
        <f>J19+P19</f>
        <v>2355.87</v>
      </c>
      <c r="R19" s="8" t="s">
        <v>203</v>
      </c>
      <c r="S19" s="8"/>
      <c r="T19" s="8"/>
    </row>
    <row r="20" spans="1:20" ht="22.5" outlineLevel="6" x14ac:dyDescent="0.2">
      <c r="A20" s="10"/>
      <c r="B20" s="182"/>
      <c r="C20" s="183">
        <v>47</v>
      </c>
      <c r="D20" s="184" t="s">
        <v>88</v>
      </c>
      <c r="E20" s="185" t="s">
        <v>99</v>
      </c>
      <c r="F20" s="186" t="s">
        <v>100</v>
      </c>
      <c r="G20" s="184" t="s">
        <v>98</v>
      </c>
      <c r="H20" s="187">
        <v>2.4</v>
      </c>
      <c r="I20" s="188">
        <v>1220</v>
      </c>
      <c r="J20" s="189">
        <f>H20*I20</f>
        <v>2928</v>
      </c>
      <c r="K20" s="187"/>
      <c r="L20" s="187">
        <f>H20*K20</f>
        <v>0</v>
      </c>
      <c r="M20" s="187"/>
      <c r="N20" s="187">
        <f>H20*M20</f>
        <v>0</v>
      </c>
      <c r="O20" s="189">
        <v>21</v>
      </c>
      <c r="P20" s="189">
        <f>J20*(O20/100)</f>
        <v>614.88</v>
      </c>
      <c r="Q20" s="189">
        <f>J20+P20</f>
        <v>3542.88</v>
      </c>
      <c r="R20" s="8" t="s">
        <v>203</v>
      </c>
      <c r="S20" s="8"/>
      <c r="T20" s="8"/>
    </row>
    <row r="21" spans="1:20" outlineLevel="6" x14ac:dyDescent="0.15">
      <c r="B21" s="6"/>
      <c r="C21" s="6"/>
      <c r="D21" s="6"/>
      <c r="E21" s="6"/>
      <c r="F21" s="6"/>
      <c r="G21" s="6"/>
      <c r="H21" s="6"/>
      <c r="I21" s="8"/>
      <c r="J21" s="8"/>
      <c r="K21" s="6"/>
      <c r="L21" s="6"/>
      <c r="M21" s="6"/>
      <c r="N21" s="6"/>
      <c r="O21" s="6"/>
      <c r="P21" s="8"/>
      <c r="Q21" s="8"/>
    </row>
    <row r="22" spans="1:20" ht="9.75" outlineLevel="5" x14ac:dyDescent="0.2">
      <c r="A22" s="130" t="s">
        <v>56</v>
      </c>
      <c r="B22" s="175">
        <v>6</v>
      </c>
      <c r="C22" s="176"/>
      <c r="D22" s="177" t="s">
        <v>87</v>
      </c>
      <c r="E22" s="177"/>
      <c r="F22" s="178" t="s">
        <v>57</v>
      </c>
      <c r="G22" s="177"/>
      <c r="H22" s="179"/>
      <c r="I22" s="180"/>
      <c r="J22" s="132">
        <f>SUBTOTAL(9,J23:J28)</f>
        <v>16155.44</v>
      </c>
      <c r="K22" s="179"/>
      <c r="L22" s="133">
        <f>SUBTOTAL(9,L23:L28)</f>
        <v>0</v>
      </c>
      <c r="M22" s="179"/>
      <c r="N22" s="133">
        <f>SUBTOTAL(9,N23:N28)</f>
        <v>0</v>
      </c>
      <c r="O22" s="181"/>
      <c r="P22" s="132">
        <f>SUBTOTAL(9,P23:P28)</f>
        <v>3392.6423999999997</v>
      </c>
      <c r="Q22" s="132">
        <f>SUBTOTAL(9,Q23:Q28)</f>
        <v>19548.082399999999</v>
      </c>
      <c r="R22" s="6"/>
      <c r="S22" s="8"/>
      <c r="T22" s="8"/>
    </row>
    <row r="23" spans="1:20" ht="11.25" outlineLevel="6" x14ac:dyDescent="0.2">
      <c r="A23" s="10"/>
      <c r="B23" s="182"/>
      <c r="C23" s="183">
        <v>35</v>
      </c>
      <c r="D23" s="184" t="s">
        <v>88</v>
      </c>
      <c r="E23" s="185" t="s">
        <v>101</v>
      </c>
      <c r="F23" s="186" t="s">
        <v>102</v>
      </c>
      <c r="G23" s="184" t="s">
        <v>103</v>
      </c>
      <c r="H23" s="187">
        <v>7</v>
      </c>
      <c r="I23" s="188">
        <v>169</v>
      </c>
      <c r="J23" s="189">
        <f>H23*I23</f>
        <v>1183</v>
      </c>
      <c r="K23" s="187"/>
      <c r="L23" s="187">
        <f>H23*K23</f>
        <v>0</v>
      </c>
      <c r="M23" s="187"/>
      <c r="N23" s="187">
        <f>H23*M23</f>
        <v>0</v>
      </c>
      <c r="O23" s="189">
        <v>21</v>
      </c>
      <c r="P23" s="189">
        <f>J23*(O23/100)</f>
        <v>248.42999999999998</v>
      </c>
      <c r="Q23" s="189">
        <f>J23+P23</f>
        <v>1431.43</v>
      </c>
      <c r="R23" s="8" t="s">
        <v>204</v>
      </c>
      <c r="S23" s="8"/>
      <c r="T23" s="8"/>
    </row>
    <row r="24" spans="1:20" ht="11.25" outlineLevel="6" x14ac:dyDescent="0.2">
      <c r="A24" s="10"/>
      <c r="B24" s="182"/>
      <c r="C24" s="183">
        <v>36</v>
      </c>
      <c r="D24" s="184" t="s">
        <v>88</v>
      </c>
      <c r="E24" s="185" t="s">
        <v>104</v>
      </c>
      <c r="F24" s="186" t="s">
        <v>105</v>
      </c>
      <c r="G24" s="184" t="s">
        <v>103</v>
      </c>
      <c r="H24" s="187">
        <v>7.21</v>
      </c>
      <c r="I24" s="188">
        <v>164</v>
      </c>
      <c r="J24" s="189">
        <f>H24*I24</f>
        <v>1182.44</v>
      </c>
      <c r="K24" s="187"/>
      <c r="L24" s="187">
        <f>H24*K24</f>
        <v>0</v>
      </c>
      <c r="M24" s="187"/>
      <c r="N24" s="187">
        <f>H24*M24</f>
        <v>0</v>
      </c>
      <c r="O24" s="189">
        <v>21</v>
      </c>
      <c r="P24" s="189">
        <f>J24*(O24/100)</f>
        <v>248.3124</v>
      </c>
      <c r="Q24" s="189">
        <f>J24+P24</f>
        <v>1430.7524000000001</v>
      </c>
      <c r="R24" s="8" t="s">
        <v>204</v>
      </c>
      <c r="S24" s="8"/>
      <c r="T24" s="8"/>
    </row>
    <row r="25" spans="1:20" ht="11.25" outlineLevel="6" x14ac:dyDescent="0.2">
      <c r="A25" s="10"/>
      <c r="B25" s="182"/>
      <c r="C25" s="183">
        <v>50</v>
      </c>
      <c r="D25" s="184" t="s">
        <v>88</v>
      </c>
      <c r="E25" s="185" t="s">
        <v>106</v>
      </c>
      <c r="F25" s="186" t="s">
        <v>107</v>
      </c>
      <c r="G25" s="184" t="s">
        <v>108</v>
      </c>
      <c r="H25" s="187">
        <v>3</v>
      </c>
      <c r="I25" s="188">
        <v>2350</v>
      </c>
      <c r="J25" s="189">
        <f>H25*I25</f>
        <v>7050</v>
      </c>
      <c r="K25" s="187"/>
      <c r="L25" s="187">
        <f>H25*K25</f>
        <v>0</v>
      </c>
      <c r="M25" s="187"/>
      <c r="N25" s="187">
        <f>H25*M25</f>
        <v>0</v>
      </c>
      <c r="O25" s="189">
        <v>21</v>
      </c>
      <c r="P25" s="189">
        <f>J25*(O25/100)</f>
        <v>1480.5</v>
      </c>
      <c r="Q25" s="189">
        <f>J25+P25</f>
        <v>8530.5</v>
      </c>
      <c r="R25" s="8" t="s">
        <v>205</v>
      </c>
      <c r="S25" s="8"/>
      <c r="T25" s="8"/>
    </row>
    <row r="26" spans="1:20" ht="22.5" outlineLevel="6" x14ac:dyDescent="0.2">
      <c r="A26" s="10"/>
      <c r="B26" s="182"/>
      <c r="C26" s="183">
        <v>52</v>
      </c>
      <c r="D26" s="184" t="s">
        <v>88</v>
      </c>
      <c r="E26" s="185" t="s">
        <v>109</v>
      </c>
      <c r="F26" s="186" t="s">
        <v>110</v>
      </c>
      <c r="G26" s="184" t="s">
        <v>108</v>
      </c>
      <c r="H26" s="187">
        <v>1</v>
      </c>
      <c r="I26" s="188">
        <v>3670</v>
      </c>
      <c r="J26" s="189">
        <f>H26*I26</f>
        <v>3670</v>
      </c>
      <c r="K26" s="187"/>
      <c r="L26" s="187">
        <f>H26*K26</f>
        <v>0</v>
      </c>
      <c r="M26" s="187"/>
      <c r="N26" s="187">
        <f>H26*M26</f>
        <v>0</v>
      </c>
      <c r="O26" s="189">
        <v>21</v>
      </c>
      <c r="P26" s="189">
        <f>J26*(O26/100)</f>
        <v>770.69999999999993</v>
      </c>
      <c r="Q26" s="189">
        <f>J26+P26</f>
        <v>4440.7</v>
      </c>
      <c r="R26" s="8" t="s">
        <v>202</v>
      </c>
      <c r="S26" s="8"/>
      <c r="T26" s="8"/>
    </row>
    <row r="27" spans="1:20" ht="11.25" outlineLevel="6" x14ac:dyDescent="0.2">
      <c r="A27" s="10"/>
      <c r="B27" s="182"/>
      <c r="C27" s="183">
        <v>53</v>
      </c>
      <c r="D27" s="184" t="s">
        <v>88</v>
      </c>
      <c r="E27" s="185" t="s">
        <v>111</v>
      </c>
      <c r="F27" s="186" t="s">
        <v>112</v>
      </c>
      <c r="G27" s="184" t="s">
        <v>108</v>
      </c>
      <c r="H27" s="187">
        <v>1</v>
      </c>
      <c r="I27" s="188">
        <v>3070</v>
      </c>
      <c r="J27" s="189">
        <f>H27*I27</f>
        <v>3070</v>
      </c>
      <c r="K27" s="187"/>
      <c r="L27" s="187">
        <f>H27*K27</f>
        <v>0</v>
      </c>
      <c r="M27" s="187"/>
      <c r="N27" s="187">
        <f>H27*M27</f>
        <v>0</v>
      </c>
      <c r="O27" s="189">
        <v>21</v>
      </c>
      <c r="P27" s="189">
        <f>J27*(O27/100)</f>
        <v>644.69999999999993</v>
      </c>
      <c r="Q27" s="189">
        <f>J27+P27</f>
        <v>3714.7</v>
      </c>
      <c r="R27" s="8"/>
      <c r="S27" s="8"/>
      <c r="T27" s="8"/>
    </row>
    <row r="28" spans="1:20" outlineLevel="6" x14ac:dyDescent="0.15">
      <c r="B28" s="6"/>
      <c r="C28" s="6"/>
      <c r="D28" s="6"/>
      <c r="E28" s="6"/>
      <c r="F28" s="6"/>
      <c r="G28" s="6"/>
      <c r="H28" s="6"/>
      <c r="I28" s="8"/>
      <c r="J28" s="8"/>
      <c r="K28" s="6"/>
      <c r="L28" s="6"/>
      <c r="M28" s="6"/>
      <c r="N28" s="6"/>
      <c r="O28" s="6"/>
      <c r="P28" s="8"/>
      <c r="Q28" s="8"/>
    </row>
    <row r="29" spans="1:20" ht="9" outlineLevel="4" x14ac:dyDescent="0.15">
      <c r="A29" s="126" t="s">
        <v>58</v>
      </c>
      <c r="B29" s="168">
        <v>5</v>
      </c>
      <c r="C29" s="169"/>
      <c r="D29" s="170" t="s">
        <v>86</v>
      </c>
      <c r="E29" s="170"/>
      <c r="F29" s="171" t="s">
        <v>59</v>
      </c>
      <c r="G29" s="170"/>
      <c r="H29" s="172"/>
      <c r="I29" s="173"/>
      <c r="J29" s="128">
        <f>SUBTOTAL(9,J30:J86)</f>
        <v>236227.28453000006</v>
      </c>
      <c r="K29" s="172"/>
      <c r="L29" s="129">
        <f>SUBTOTAL(9,L30:L86)</f>
        <v>0</v>
      </c>
      <c r="M29" s="172"/>
      <c r="N29" s="129">
        <f>SUBTOTAL(9,N30:N86)</f>
        <v>0</v>
      </c>
      <c r="O29" s="174"/>
      <c r="P29" s="128">
        <f>SUBTOTAL(9,P30:P86)</f>
        <v>49607.729751299994</v>
      </c>
      <c r="Q29" s="128">
        <f>SUBTOTAL(9,Q30:Q86)</f>
        <v>285835.01428129995</v>
      </c>
      <c r="R29" s="6"/>
      <c r="S29" s="8"/>
      <c r="T29" s="8"/>
    </row>
    <row r="30" spans="1:20" ht="9.75" outlineLevel="5" x14ac:dyDescent="0.2">
      <c r="A30" s="130" t="s">
        <v>60</v>
      </c>
      <c r="B30" s="175">
        <v>6</v>
      </c>
      <c r="C30" s="176"/>
      <c r="D30" s="177" t="s">
        <v>87</v>
      </c>
      <c r="E30" s="177"/>
      <c r="F30" s="178" t="s">
        <v>61</v>
      </c>
      <c r="G30" s="177"/>
      <c r="H30" s="179"/>
      <c r="I30" s="180"/>
      <c r="J30" s="132">
        <f>SUBTOTAL(9,J31:J48)</f>
        <v>37724.810000000005</v>
      </c>
      <c r="K30" s="179"/>
      <c r="L30" s="133">
        <f>SUBTOTAL(9,L31:L48)</f>
        <v>0</v>
      </c>
      <c r="M30" s="179"/>
      <c r="N30" s="133">
        <f>SUBTOTAL(9,N31:N48)</f>
        <v>0</v>
      </c>
      <c r="O30" s="181"/>
      <c r="P30" s="132">
        <f>SUBTOTAL(9,P31:P48)</f>
        <v>7922.2100999999993</v>
      </c>
      <c r="Q30" s="132">
        <f>SUBTOTAL(9,Q31:Q48)</f>
        <v>45647.020099999994</v>
      </c>
      <c r="R30" s="6"/>
      <c r="S30" s="8"/>
      <c r="T30" s="8"/>
    </row>
    <row r="31" spans="1:20" ht="22.5" outlineLevel="6" x14ac:dyDescent="0.2">
      <c r="A31" s="10"/>
      <c r="B31" s="182"/>
      <c r="C31" s="183">
        <v>20</v>
      </c>
      <c r="D31" s="184" t="s">
        <v>88</v>
      </c>
      <c r="E31" s="185" t="s">
        <v>113</v>
      </c>
      <c r="F31" s="186" t="s">
        <v>114</v>
      </c>
      <c r="G31" s="184" t="s">
        <v>108</v>
      </c>
      <c r="H31" s="187">
        <v>3</v>
      </c>
      <c r="I31" s="188">
        <v>196</v>
      </c>
      <c r="J31" s="189">
        <f t="shared" ref="J31:J47" si="0">H31*I31</f>
        <v>588</v>
      </c>
      <c r="K31" s="187"/>
      <c r="L31" s="187">
        <f t="shared" ref="L31:L47" si="1">H31*K31</f>
        <v>0</v>
      </c>
      <c r="M31" s="187"/>
      <c r="N31" s="187">
        <f t="shared" ref="N31:N47" si="2">H31*M31</f>
        <v>0</v>
      </c>
      <c r="O31" s="189">
        <v>21</v>
      </c>
      <c r="P31" s="189">
        <f t="shared" ref="P31:P47" si="3">J31*(O31/100)</f>
        <v>123.47999999999999</v>
      </c>
      <c r="Q31" s="189">
        <f t="shared" ref="Q31:Q47" si="4">J31+P31</f>
        <v>711.48</v>
      </c>
      <c r="R31" s="8" t="s">
        <v>202</v>
      </c>
      <c r="S31" s="8"/>
      <c r="T31" s="8"/>
    </row>
    <row r="32" spans="1:20" ht="11.25" outlineLevel="6" x14ac:dyDescent="0.2">
      <c r="A32" s="10"/>
      <c r="B32" s="182"/>
      <c r="C32" s="183">
        <v>21</v>
      </c>
      <c r="D32" s="184" t="s">
        <v>88</v>
      </c>
      <c r="E32" s="185" t="s">
        <v>115</v>
      </c>
      <c r="F32" s="186" t="s">
        <v>116</v>
      </c>
      <c r="G32" s="184" t="s">
        <v>108</v>
      </c>
      <c r="H32" s="187">
        <v>3</v>
      </c>
      <c r="I32" s="188">
        <v>389</v>
      </c>
      <c r="J32" s="189">
        <f t="shared" si="0"/>
        <v>1167</v>
      </c>
      <c r="K32" s="187"/>
      <c r="L32" s="187">
        <f t="shared" si="1"/>
        <v>0</v>
      </c>
      <c r="M32" s="187"/>
      <c r="N32" s="187">
        <f t="shared" si="2"/>
        <v>0</v>
      </c>
      <c r="O32" s="189">
        <v>21</v>
      </c>
      <c r="P32" s="189">
        <f t="shared" si="3"/>
        <v>245.07</v>
      </c>
      <c r="Q32" s="189">
        <f t="shared" si="4"/>
        <v>1412.07</v>
      </c>
      <c r="R32" s="8" t="s">
        <v>202</v>
      </c>
      <c r="S32" s="8"/>
      <c r="T32" s="8"/>
    </row>
    <row r="33" spans="1:20" ht="22.5" outlineLevel="6" x14ac:dyDescent="0.2">
      <c r="A33" s="10"/>
      <c r="B33" s="182"/>
      <c r="C33" s="183">
        <v>22</v>
      </c>
      <c r="D33" s="184" t="s">
        <v>88</v>
      </c>
      <c r="E33" s="185" t="s">
        <v>117</v>
      </c>
      <c r="F33" s="186" t="s">
        <v>118</v>
      </c>
      <c r="G33" s="184" t="s">
        <v>108</v>
      </c>
      <c r="H33" s="187">
        <v>3</v>
      </c>
      <c r="I33" s="188">
        <v>33</v>
      </c>
      <c r="J33" s="189">
        <f t="shared" si="0"/>
        <v>99</v>
      </c>
      <c r="K33" s="187"/>
      <c r="L33" s="187">
        <f t="shared" si="1"/>
        <v>0</v>
      </c>
      <c r="M33" s="187"/>
      <c r="N33" s="187">
        <f t="shared" si="2"/>
        <v>0</v>
      </c>
      <c r="O33" s="189">
        <v>21</v>
      </c>
      <c r="P33" s="189">
        <f t="shared" si="3"/>
        <v>20.79</v>
      </c>
      <c r="Q33" s="189">
        <f t="shared" si="4"/>
        <v>119.78999999999999</v>
      </c>
      <c r="R33" s="8" t="s">
        <v>202</v>
      </c>
      <c r="S33" s="8"/>
      <c r="T33" s="8"/>
    </row>
    <row r="34" spans="1:20" ht="22.5" outlineLevel="6" x14ac:dyDescent="0.2">
      <c r="A34" s="10"/>
      <c r="B34" s="182"/>
      <c r="C34" s="183">
        <v>23</v>
      </c>
      <c r="D34" s="184" t="s">
        <v>88</v>
      </c>
      <c r="E34" s="185" t="s">
        <v>119</v>
      </c>
      <c r="F34" s="186" t="s">
        <v>120</v>
      </c>
      <c r="G34" s="184" t="s">
        <v>108</v>
      </c>
      <c r="H34" s="187">
        <v>0</v>
      </c>
      <c r="I34" s="188">
        <v>491</v>
      </c>
      <c r="J34" s="189">
        <f t="shared" si="0"/>
        <v>0</v>
      </c>
      <c r="K34" s="187"/>
      <c r="L34" s="187">
        <f t="shared" si="1"/>
        <v>0</v>
      </c>
      <c r="M34" s="187"/>
      <c r="N34" s="187">
        <f t="shared" si="2"/>
        <v>0</v>
      </c>
      <c r="O34" s="189">
        <v>21</v>
      </c>
      <c r="P34" s="189">
        <f t="shared" si="3"/>
        <v>0</v>
      </c>
      <c r="Q34" s="189">
        <f t="shared" si="4"/>
        <v>0</v>
      </c>
      <c r="R34" s="8" t="s">
        <v>216</v>
      </c>
      <c r="S34" s="8"/>
      <c r="T34" s="8"/>
    </row>
    <row r="35" spans="1:20" ht="22.5" outlineLevel="6" x14ac:dyDescent="0.2">
      <c r="A35" s="10"/>
      <c r="B35" s="182"/>
      <c r="C35" s="183">
        <v>24</v>
      </c>
      <c r="D35" s="184" t="s">
        <v>88</v>
      </c>
      <c r="E35" s="185" t="s">
        <v>121</v>
      </c>
      <c r="F35" s="186" t="s">
        <v>122</v>
      </c>
      <c r="G35" s="184" t="s">
        <v>108</v>
      </c>
      <c r="H35" s="187">
        <v>0</v>
      </c>
      <c r="I35" s="188">
        <v>101</v>
      </c>
      <c r="J35" s="189">
        <f t="shared" si="0"/>
        <v>0</v>
      </c>
      <c r="K35" s="187"/>
      <c r="L35" s="187">
        <f t="shared" si="1"/>
        <v>0</v>
      </c>
      <c r="M35" s="187"/>
      <c r="N35" s="187">
        <f t="shared" si="2"/>
        <v>0</v>
      </c>
      <c r="O35" s="189">
        <v>21</v>
      </c>
      <c r="P35" s="189">
        <f t="shared" si="3"/>
        <v>0</v>
      </c>
      <c r="Q35" s="189">
        <f t="shared" si="4"/>
        <v>0</v>
      </c>
      <c r="R35" s="8" t="s">
        <v>216</v>
      </c>
      <c r="S35" s="8"/>
      <c r="T35" s="8"/>
    </row>
    <row r="36" spans="1:20" ht="33.75" outlineLevel="6" x14ac:dyDescent="0.2">
      <c r="A36" s="10"/>
      <c r="B36" s="182"/>
      <c r="C36" s="183">
        <v>25</v>
      </c>
      <c r="D36" s="184" t="s">
        <v>88</v>
      </c>
      <c r="E36" s="185" t="s">
        <v>123</v>
      </c>
      <c r="F36" s="186" t="s">
        <v>124</v>
      </c>
      <c r="G36" s="184" t="s">
        <v>108</v>
      </c>
      <c r="H36" s="187">
        <v>21</v>
      </c>
      <c r="I36" s="188">
        <v>1.68</v>
      </c>
      <c r="J36" s="189">
        <f t="shared" si="0"/>
        <v>35.28</v>
      </c>
      <c r="K36" s="187"/>
      <c r="L36" s="187">
        <f t="shared" si="1"/>
        <v>0</v>
      </c>
      <c r="M36" s="187"/>
      <c r="N36" s="187">
        <f t="shared" si="2"/>
        <v>0</v>
      </c>
      <c r="O36" s="189">
        <v>21</v>
      </c>
      <c r="P36" s="189">
        <f t="shared" si="3"/>
        <v>7.4088000000000003</v>
      </c>
      <c r="Q36" s="189">
        <f t="shared" si="4"/>
        <v>42.688800000000001</v>
      </c>
      <c r="R36" s="8" t="s">
        <v>202</v>
      </c>
      <c r="S36" s="8"/>
      <c r="T36" s="8"/>
    </row>
    <row r="37" spans="1:20" ht="33.75" outlineLevel="6" x14ac:dyDescent="0.2">
      <c r="A37" s="10"/>
      <c r="B37" s="182"/>
      <c r="C37" s="183">
        <v>26</v>
      </c>
      <c r="D37" s="184" t="s">
        <v>88</v>
      </c>
      <c r="E37" s="185" t="s">
        <v>125</v>
      </c>
      <c r="F37" s="186" t="s">
        <v>126</v>
      </c>
      <c r="G37" s="184" t="s">
        <v>108</v>
      </c>
      <c r="H37" s="187">
        <v>21</v>
      </c>
      <c r="I37" s="188">
        <v>2.79</v>
      </c>
      <c r="J37" s="189">
        <f t="shared" si="0"/>
        <v>58.59</v>
      </c>
      <c r="K37" s="187"/>
      <c r="L37" s="187">
        <f t="shared" si="1"/>
        <v>0</v>
      </c>
      <c r="M37" s="187"/>
      <c r="N37" s="187">
        <f t="shared" si="2"/>
        <v>0</v>
      </c>
      <c r="O37" s="189">
        <v>21</v>
      </c>
      <c r="P37" s="189">
        <f t="shared" si="3"/>
        <v>12.303900000000001</v>
      </c>
      <c r="Q37" s="189">
        <f t="shared" si="4"/>
        <v>70.893900000000002</v>
      </c>
      <c r="R37" s="8" t="s">
        <v>202</v>
      </c>
      <c r="S37" s="8"/>
      <c r="T37" s="8"/>
    </row>
    <row r="38" spans="1:20" ht="33.75" outlineLevel="6" x14ac:dyDescent="0.2">
      <c r="A38" s="10"/>
      <c r="B38" s="182"/>
      <c r="C38" s="183">
        <v>27</v>
      </c>
      <c r="D38" s="184" t="s">
        <v>88</v>
      </c>
      <c r="E38" s="185" t="s">
        <v>127</v>
      </c>
      <c r="F38" s="186" t="s">
        <v>128</v>
      </c>
      <c r="G38" s="184" t="s">
        <v>108</v>
      </c>
      <c r="H38" s="187">
        <v>21</v>
      </c>
      <c r="I38" s="188">
        <v>4</v>
      </c>
      <c r="J38" s="189">
        <f t="shared" si="0"/>
        <v>84</v>
      </c>
      <c r="K38" s="187"/>
      <c r="L38" s="187">
        <f t="shared" si="1"/>
        <v>0</v>
      </c>
      <c r="M38" s="187"/>
      <c r="N38" s="187">
        <f t="shared" si="2"/>
        <v>0</v>
      </c>
      <c r="O38" s="189">
        <v>21</v>
      </c>
      <c r="P38" s="189">
        <f t="shared" si="3"/>
        <v>17.64</v>
      </c>
      <c r="Q38" s="189">
        <f t="shared" si="4"/>
        <v>101.64</v>
      </c>
      <c r="R38" s="8" t="s">
        <v>202</v>
      </c>
      <c r="S38" s="8"/>
      <c r="T38" s="8"/>
    </row>
    <row r="39" spans="1:20" ht="11.25" outlineLevel="6" x14ac:dyDescent="0.2">
      <c r="A39" s="10"/>
      <c r="B39" s="182"/>
      <c r="C39" s="183">
        <v>29</v>
      </c>
      <c r="D39" s="184" t="s">
        <v>88</v>
      </c>
      <c r="E39" s="185" t="s">
        <v>129</v>
      </c>
      <c r="F39" s="186" t="s">
        <v>130</v>
      </c>
      <c r="G39" s="184" t="s">
        <v>108</v>
      </c>
      <c r="H39" s="187">
        <v>4</v>
      </c>
      <c r="I39" s="188">
        <v>320.52</v>
      </c>
      <c r="J39" s="189">
        <f t="shared" si="0"/>
        <v>1282.08</v>
      </c>
      <c r="K39" s="187"/>
      <c r="L39" s="187">
        <f t="shared" si="1"/>
        <v>0</v>
      </c>
      <c r="M39" s="187"/>
      <c r="N39" s="187">
        <f t="shared" si="2"/>
        <v>0</v>
      </c>
      <c r="O39" s="189">
        <v>21</v>
      </c>
      <c r="P39" s="189">
        <f t="shared" si="3"/>
        <v>269.23679999999996</v>
      </c>
      <c r="Q39" s="189">
        <f t="shared" si="4"/>
        <v>1551.3167999999998</v>
      </c>
      <c r="R39" s="8" t="s">
        <v>202</v>
      </c>
      <c r="S39" s="8"/>
      <c r="T39" s="8"/>
    </row>
    <row r="40" spans="1:20" ht="22.5" outlineLevel="6" x14ac:dyDescent="0.2">
      <c r="A40" s="10"/>
      <c r="B40" s="182"/>
      <c r="C40" s="207">
        <v>30</v>
      </c>
      <c r="D40" s="208" t="s">
        <v>88</v>
      </c>
      <c r="E40" s="209" t="s">
        <v>131</v>
      </c>
      <c r="F40" s="210" t="s">
        <v>132</v>
      </c>
      <c r="G40" s="208" t="s">
        <v>103</v>
      </c>
      <c r="H40" s="211">
        <v>39</v>
      </c>
      <c r="I40" s="212">
        <v>122</v>
      </c>
      <c r="J40" s="213">
        <f t="shared" si="0"/>
        <v>4758</v>
      </c>
      <c r="K40" s="187"/>
      <c r="L40" s="187">
        <f t="shared" si="1"/>
        <v>0</v>
      </c>
      <c r="M40" s="187"/>
      <c r="N40" s="187">
        <f t="shared" si="2"/>
        <v>0</v>
      </c>
      <c r="O40" s="189">
        <v>21</v>
      </c>
      <c r="P40" s="189">
        <f t="shared" si="3"/>
        <v>999.18</v>
      </c>
      <c r="Q40" s="189">
        <f t="shared" si="4"/>
        <v>5757.18</v>
      </c>
      <c r="R40" s="8" t="s">
        <v>211</v>
      </c>
      <c r="S40" s="8"/>
      <c r="T40" s="8"/>
    </row>
    <row r="41" spans="1:20" ht="22.5" outlineLevel="6" x14ac:dyDescent="0.2">
      <c r="A41" s="10"/>
      <c r="B41" s="182"/>
      <c r="C41" s="207">
        <v>33</v>
      </c>
      <c r="D41" s="208" t="s">
        <v>88</v>
      </c>
      <c r="E41" s="209" t="s">
        <v>133</v>
      </c>
      <c r="F41" s="210" t="s">
        <v>134</v>
      </c>
      <c r="G41" s="208" t="s">
        <v>98</v>
      </c>
      <c r="H41" s="211">
        <v>14.6</v>
      </c>
      <c r="I41" s="212">
        <v>1070</v>
      </c>
      <c r="J41" s="213">
        <f t="shared" si="0"/>
        <v>15622</v>
      </c>
      <c r="K41" s="187"/>
      <c r="L41" s="187">
        <f t="shared" si="1"/>
        <v>0</v>
      </c>
      <c r="M41" s="187"/>
      <c r="N41" s="187">
        <f t="shared" si="2"/>
        <v>0</v>
      </c>
      <c r="O41" s="189">
        <v>21</v>
      </c>
      <c r="P41" s="189">
        <f t="shared" si="3"/>
        <v>3280.62</v>
      </c>
      <c r="Q41" s="189">
        <f t="shared" si="4"/>
        <v>18902.62</v>
      </c>
      <c r="R41" s="8" t="s">
        <v>212</v>
      </c>
      <c r="S41" s="8"/>
      <c r="T41" s="8"/>
    </row>
    <row r="42" spans="1:20" ht="33.75" outlineLevel="6" x14ac:dyDescent="0.2">
      <c r="A42" s="10"/>
      <c r="B42" s="182"/>
      <c r="C42" s="207">
        <v>37</v>
      </c>
      <c r="D42" s="208" t="s">
        <v>88</v>
      </c>
      <c r="E42" s="209" t="s">
        <v>135</v>
      </c>
      <c r="F42" s="210" t="s">
        <v>136</v>
      </c>
      <c r="G42" s="208" t="s">
        <v>98</v>
      </c>
      <c r="H42" s="211">
        <v>4.6749999999999998</v>
      </c>
      <c r="I42" s="212">
        <v>230</v>
      </c>
      <c r="J42" s="213">
        <f t="shared" si="0"/>
        <v>1075.25</v>
      </c>
      <c r="K42" s="187"/>
      <c r="L42" s="187">
        <f t="shared" si="1"/>
        <v>0</v>
      </c>
      <c r="M42" s="187"/>
      <c r="N42" s="187">
        <f t="shared" si="2"/>
        <v>0</v>
      </c>
      <c r="O42" s="189">
        <v>21</v>
      </c>
      <c r="P42" s="189">
        <f t="shared" si="3"/>
        <v>225.80249999999998</v>
      </c>
      <c r="Q42" s="189">
        <f t="shared" si="4"/>
        <v>1301.0525</v>
      </c>
      <c r="R42" s="8" t="s">
        <v>212</v>
      </c>
      <c r="S42" s="8"/>
      <c r="T42" s="8"/>
    </row>
    <row r="43" spans="1:20" ht="11.25" outlineLevel="6" x14ac:dyDescent="0.2">
      <c r="A43" s="10"/>
      <c r="B43" s="182"/>
      <c r="C43" s="207">
        <v>38</v>
      </c>
      <c r="D43" s="208" t="s">
        <v>88</v>
      </c>
      <c r="E43" s="209" t="s">
        <v>137</v>
      </c>
      <c r="F43" s="210" t="s">
        <v>138</v>
      </c>
      <c r="G43" s="208" t="s">
        <v>139</v>
      </c>
      <c r="H43" s="211">
        <v>9.35</v>
      </c>
      <c r="I43" s="212">
        <v>532</v>
      </c>
      <c r="J43" s="213">
        <f t="shared" si="0"/>
        <v>4974.2</v>
      </c>
      <c r="K43" s="187"/>
      <c r="L43" s="187">
        <f t="shared" si="1"/>
        <v>0</v>
      </c>
      <c r="M43" s="187"/>
      <c r="N43" s="187">
        <f t="shared" si="2"/>
        <v>0</v>
      </c>
      <c r="O43" s="189">
        <v>21</v>
      </c>
      <c r="P43" s="189">
        <f t="shared" si="3"/>
        <v>1044.5819999999999</v>
      </c>
      <c r="Q43" s="189">
        <f t="shared" si="4"/>
        <v>6018.7819999999992</v>
      </c>
      <c r="R43" s="8" t="s">
        <v>212</v>
      </c>
      <c r="S43" s="8"/>
      <c r="T43" s="8"/>
    </row>
    <row r="44" spans="1:20" ht="22.5" outlineLevel="6" x14ac:dyDescent="0.2">
      <c r="A44" s="10"/>
      <c r="B44" s="182"/>
      <c r="C44" s="207">
        <v>39</v>
      </c>
      <c r="D44" s="208" t="s">
        <v>88</v>
      </c>
      <c r="E44" s="209" t="s">
        <v>140</v>
      </c>
      <c r="F44" s="210" t="s">
        <v>141</v>
      </c>
      <c r="G44" s="208" t="s">
        <v>98</v>
      </c>
      <c r="H44" s="211">
        <v>2.9750000000000001</v>
      </c>
      <c r="I44" s="212">
        <v>155</v>
      </c>
      <c r="J44" s="213">
        <f t="shared" si="0"/>
        <v>461.125</v>
      </c>
      <c r="K44" s="187"/>
      <c r="L44" s="187">
        <f t="shared" si="1"/>
        <v>0</v>
      </c>
      <c r="M44" s="187"/>
      <c r="N44" s="187">
        <f t="shared" si="2"/>
        <v>0</v>
      </c>
      <c r="O44" s="189">
        <v>21</v>
      </c>
      <c r="P44" s="189">
        <f t="shared" si="3"/>
        <v>96.836249999999993</v>
      </c>
      <c r="Q44" s="189">
        <f t="shared" si="4"/>
        <v>557.96124999999995</v>
      </c>
      <c r="R44" s="8" t="s">
        <v>212</v>
      </c>
      <c r="S44" s="8"/>
      <c r="T44" s="8"/>
    </row>
    <row r="45" spans="1:20" ht="22.5" outlineLevel="6" x14ac:dyDescent="0.2">
      <c r="A45" s="10"/>
      <c r="B45" s="182"/>
      <c r="C45" s="207">
        <v>46</v>
      </c>
      <c r="D45" s="208" t="s">
        <v>88</v>
      </c>
      <c r="E45" s="209" t="s">
        <v>142</v>
      </c>
      <c r="F45" s="210" t="s">
        <v>143</v>
      </c>
      <c r="G45" s="208" t="s">
        <v>98</v>
      </c>
      <c r="H45" s="211">
        <v>2.4</v>
      </c>
      <c r="I45" s="212">
        <v>605</v>
      </c>
      <c r="J45" s="213">
        <f t="shared" si="0"/>
        <v>1452</v>
      </c>
      <c r="K45" s="187"/>
      <c r="L45" s="187">
        <f t="shared" si="1"/>
        <v>0</v>
      </c>
      <c r="M45" s="187"/>
      <c r="N45" s="187">
        <f t="shared" si="2"/>
        <v>0</v>
      </c>
      <c r="O45" s="189">
        <v>21</v>
      </c>
      <c r="P45" s="189">
        <f t="shared" si="3"/>
        <v>304.92</v>
      </c>
      <c r="Q45" s="189">
        <f t="shared" si="4"/>
        <v>1756.92</v>
      </c>
      <c r="R45" s="8" t="s">
        <v>212</v>
      </c>
      <c r="S45" s="8"/>
      <c r="T45" s="8"/>
    </row>
    <row r="46" spans="1:20" ht="33.75" outlineLevel="6" x14ac:dyDescent="0.2">
      <c r="A46" s="10"/>
      <c r="B46" s="182"/>
      <c r="C46" s="207">
        <v>55</v>
      </c>
      <c r="D46" s="208" t="s">
        <v>88</v>
      </c>
      <c r="E46" s="209" t="s">
        <v>144</v>
      </c>
      <c r="F46" s="210" t="s">
        <v>145</v>
      </c>
      <c r="G46" s="208" t="s">
        <v>98</v>
      </c>
      <c r="H46" s="211">
        <v>11.625</v>
      </c>
      <c r="I46" s="212">
        <v>277</v>
      </c>
      <c r="J46" s="213">
        <f t="shared" si="0"/>
        <v>3220.125</v>
      </c>
      <c r="K46" s="187"/>
      <c r="L46" s="187">
        <f t="shared" si="1"/>
        <v>0</v>
      </c>
      <c r="M46" s="187"/>
      <c r="N46" s="187">
        <f t="shared" si="2"/>
        <v>0</v>
      </c>
      <c r="O46" s="189">
        <v>21</v>
      </c>
      <c r="P46" s="189">
        <f t="shared" si="3"/>
        <v>676.22624999999994</v>
      </c>
      <c r="Q46" s="189">
        <f t="shared" si="4"/>
        <v>3896.3512499999997</v>
      </c>
      <c r="R46" s="8" t="s">
        <v>212</v>
      </c>
      <c r="S46" s="8"/>
      <c r="T46" s="8"/>
    </row>
    <row r="47" spans="1:20" ht="22.5" outlineLevel="6" x14ac:dyDescent="0.2">
      <c r="A47" s="10"/>
      <c r="B47" s="182"/>
      <c r="C47" s="207">
        <v>56</v>
      </c>
      <c r="D47" s="208" t="s">
        <v>88</v>
      </c>
      <c r="E47" s="209" t="s">
        <v>146</v>
      </c>
      <c r="F47" s="210" t="s">
        <v>147</v>
      </c>
      <c r="G47" s="208" t="s">
        <v>139</v>
      </c>
      <c r="H47" s="211">
        <v>20.344000000000001</v>
      </c>
      <c r="I47" s="212">
        <v>140</v>
      </c>
      <c r="J47" s="213">
        <f t="shared" si="0"/>
        <v>2848.1600000000003</v>
      </c>
      <c r="K47" s="187"/>
      <c r="L47" s="187">
        <f t="shared" si="1"/>
        <v>0</v>
      </c>
      <c r="M47" s="187"/>
      <c r="N47" s="187">
        <f t="shared" si="2"/>
        <v>0</v>
      </c>
      <c r="O47" s="189">
        <v>21</v>
      </c>
      <c r="P47" s="189">
        <f t="shared" si="3"/>
        <v>598.11360000000002</v>
      </c>
      <c r="Q47" s="189">
        <f t="shared" si="4"/>
        <v>3446.2736000000004</v>
      </c>
      <c r="R47" s="8" t="s">
        <v>212</v>
      </c>
      <c r="S47" s="8"/>
      <c r="T47" s="8"/>
    </row>
    <row r="48" spans="1:20" outlineLevel="6" x14ac:dyDescent="0.15">
      <c r="B48" s="6"/>
      <c r="C48" s="6"/>
      <c r="D48" s="6"/>
      <c r="E48" s="6"/>
      <c r="F48" s="6"/>
      <c r="G48" s="6"/>
      <c r="H48" s="6"/>
      <c r="I48" s="8"/>
      <c r="J48" s="8"/>
      <c r="K48" s="6"/>
      <c r="L48" s="6"/>
      <c r="M48" s="6"/>
      <c r="N48" s="6"/>
      <c r="O48" s="6"/>
      <c r="P48" s="8"/>
      <c r="Q48" s="8"/>
    </row>
    <row r="49" spans="1:20" ht="9.75" outlineLevel="5" x14ac:dyDescent="0.2">
      <c r="A49" s="130" t="s">
        <v>62</v>
      </c>
      <c r="B49" s="175">
        <v>6</v>
      </c>
      <c r="C49" s="176"/>
      <c r="D49" s="177" t="s">
        <v>87</v>
      </c>
      <c r="E49" s="177"/>
      <c r="F49" s="178" t="s">
        <v>63</v>
      </c>
      <c r="G49" s="177"/>
      <c r="H49" s="179"/>
      <c r="I49" s="180"/>
      <c r="J49" s="132">
        <f>SUBTOTAL(9,J50:J55)</f>
        <v>121677.59843</v>
      </c>
      <c r="K49" s="179"/>
      <c r="L49" s="133">
        <f>SUBTOTAL(9,L50:L55)</f>
        <v>0</v>
      </c>
      <c r="M49" s="179"/>
      <c r="N49" s="133">
        <f>SUBTOTAL(9,N50:N55)</f>
        <v>0</v>
      </c>
      <c r="O49" s="181"/>
      <c r="P49" s="132">
        <f>SUBTOTAL(9,P50:P55)</f>
        <v>25552.295670300002</v>
      </c>
      <c r="Q49" s="132">
        <f>SUBTOTAL(9,Q50:Q55)</f>
        <v>147229.89410029998</v>
      </c>
      <c r="R49" s="6"/>
      <c r="S49" s="8"/>
      <c r="T49" s="8"/>
    </row>
    <row r="50" spans="1:20" ht="11.25" outlineLevel="6" x14ac:dyDescent="0.2">
      <c r="A50" s="10"/>
      <c r="B50" s="182"/>
      <c r="C50" s="183">
        <v>4</v>
      </c>
      <c r="D50" s="184" t="s">
        <v>88</v>
      </c>
      <c r="E50" s="185" t="s">
        <v>148</v>
      </c>
      <c r="F50" s="186" t="s">
        <v>149</v>
      </c>
      <c r="G50" s="184" t="s">
        <v>91</v>
      </c>
      <c r="H50" s="187">
        <v>337.89</v>
      </c>
      <c r="I50" s="188">
        <v>248</v>
      </c>
      <c r="J50" s="189">
        <f>H50*I50</f>
        <v>83796.72</v>
      </c>
      <c r="K50" s="187"/>
      <c r="L50" s="187">
        <f>H50*K50</f>
        <v>0</v>
      </c>
      <c r="M50" s="187"/>
      <c r="N50" s="187">
        <f>H50*M50</f>
        <v>0</v>
      </c>
      <c r="O50" s="189">
        <v>21</v>
      </c>
      <c r="P50" s="189">
        <f>J50*(O50/100)</f>
        <v>17597.3112</v>
      </c>
      <c r="Q50" s="189">
        <f>J50+P50</f>
        <v>101394.0312</v>
      </c>
      <c r="R50" s="8" t="s">
        <v>206</v>
      </c>
      <c r="S50" s="8"/>
      <c r="T50" s="8"/>
    </row>
    <row r="51" spans="1:20" ht="33.75" outlineLevel="6" x14ac:dyDescent="0.2">
      <c r="A51" s="10"/>
      <c r="B51" s="182"/>
      <c r="C51" s="183">
        <v>5</v>
      </c>
      <c r="D51" s="184" t="s">
        <v>88</v>
      </c>
      <c r="E51" s="185" t="s">
        <v>150</v>
      </c>
      <c r="F51" s="186" t="s">
        <v>151</v>
      </c>
      <c r="G51" s="184" t="s">
        <v>91</v>
      </c>
      <c r="H51" s="187">
        <v>58.89</v>
      </c>
      <c r="I51" s="188">
        <v>390</v>
      </c>
      <c r="J51" s="189">
        <f>H51*I51</f>
        <v>22967.1</v>
      </c>
      <c r="K51" s="187"/>
      <c r="L51" s="187">
        <f>H51*K51</f>
        <v>0</v>
      </c>
      <c r="M51" s="187"/>
      <c r="N51" s="187">
        <f>H51*M51</f>
        <v>0</v>
      </c>
      <c r="O51" s="189">
        <v>21</v>
      </c>
      <c r="P51" s="189">
        <f>J51*(O51/100)</f>
        <v>4823.0909999999994</v>
      </c>
      <c r="Q51" s="189">
        <f>J51+P51</f>
        <v>27790.190999999999</v>
      </c>
      <c r="R51" s="8" t="s">
        <v>207</v>
      </c>
      <c r="S51" s="8"/>
      <c r="T51" s="8"/>
    </row>
    <row r="52" spans="1:20" ht="11.25" outlineLevel="6" x14ac:dyDescent="0.2">
      <c r="A52" s="10"/>
      <c r="B52" s="182"/>
      <c r="C52" s="183">
        <v>6</v>
      </c>
      <c r="D52" s="184" t="s">
        <v>88</v>
      </c>
      <c r="E52" s="185" t="s">
        <v>152</v>
      </c>
      <c r="F52" s="186" t="s">
        <v>153</v>
      </c>
      <c r="G52" s="184" t="s">
        <v>91</v>
      </c>
      <c r="H52" s="187">
        <v>59.478999999999999</v>
      </c>
      <c r="I52" s="188">
        <v>273.17</v>
      </c>
      <c r="J52" s="189">
        <f>H52*I52</f>
        <v>16247.878430000001</v>
      </c>
      <c r="K52" s="187"/>
      <c r="L52" s="187">
        <f>H52*K52</f>
        <v>0</v>
      </c>
      <c r="M52" s="187"/>
      <c r="N52" s="187">
        <f>H52*M52</f>
        <v>0</v>
      </c>
      <c r="O52" s="189">
        <v>21</v>
      </c>
      <c r="P52" s="189">
        <f>J52*(O52/100)</f>
        <v>3412.0544703</v>
      </c>
      <c r="Q52" s="189">
        <f>J52+P52</f>
        <v>19659.932900300002</v>
      </c>
      <c r="R52" s="8" t="s">
        <v>207</v>
      </c>
      <c r="S52" s="8"/>
      <c r="T52" s="8"/>
    </row>
    <row r="53" spans="1:20" ht="11.25" outlineLevel="6" x14ac:dyDescent="0.2">
      <c r="A53" s="10"/>
      <c r="B53" s="182"/>
      <c r="C53" s="183">
        <v>19</v>
      </c>
      <c r="D53" s="184" t="s">
        <v>88</v>
      </c>
      <c r="E53" s="185" t="s">
        <v>154</v>
      </c>
      <c r="F53" s="186" t="s">
        <v>155</v>
      </c>
      <c r="G53" s="184" t="s">
        <v>91</v>
      </c>
      <c r="H53" s="187">
        <v>-279</v>
      </c>
      <c r="I53" s="188">
        <v>77.900000000000006</v>
      </c>
      <c r="J53" s="189">
        <f>H53*I53</f>
        <v>-21734.100000000002</v>
      </c>
      <c r="K53" s="187"/>
      <c r="L53" s="187">
        <f>H53*K53</f>
        <v>0</v>
      </c>
      <c r="M53" s="187"/>
      <c r="N53" s="187">
        <f>H53*M53</f>
        <v>0</v>
      </c>
      <c r="O53" s="189">
        <v>21</v>
      </c>
      <c r="P53" s="189">
        <f>J53*(O53/100)</f>
        <v>-4564.1610000000001</v>
      </c>
      <c r="Q53" s="189">
        <f>J53+P53</f>
        <v>-26298.261000000002</v>
      </c>
      <c r="R53" s="8"/>
      <c r="S53" s="8"/>
      <c r="T53" s="8"/>
    </row>
    <row r="54" spans="1:20" ht="22.5" outlineLevel="6" x14ac:dyDescent="0.2">
      <c r="A54" s="10"/>
      <c r="B54" s="182"/>
      <c r="C54" s="183">
        <v>58</v>
      </c>
      <c r="D54" s="184" t="s">
        <v>88</v>
      </c>
      <c r="E54" s="185" t="s">
        <v>156</v>
      </c>
      <c r="F54" s="186" t="s">
        <v>157</v>
      </c>
      <c r="G54" s="184" t="s">
        <v>91</v>
      </c>
      <c r="H54" s="187">
        <v>4</v>
      </c>
      <c r="I54" s="188">
        <v>5100</v>
      </c>
      <c r="J54" s="189">
        <f>H54*I54</f>
        <v>20400</v>
      </c>
      <c r="K54" s="187"/>
      <c r="L54" s="187">
        <f>H54*K54</f>
        <v>0</v>
      </c>
      <c r="M54" s="187"/>
      <c r="N54" s="187">
        <f>H54*M54</f>
        <v>0</v>
      </c>
      <c r="O54" s="189">
        <v>21</v>
      </c>
      <c r="P54" s="189">
        <f>J54*(O54/100)</f>
        <v>4284</v>
      </c>
      <c r="Q54" s="189">
        <f>J54+P54</f>
        <v>24684</v>
      </c>
      <c r="R54" s="8" t="s">
        <v>208</v>
      </c>
      <c r="S54" s="8"/>
      <c r="T54" s="8"/>
    </row>
    <row r="55" spans="1:20" outlineLevel="6" x14ac:dyDescent="0.15">
      <c r="B55" s="6"/>
      <c r="C55" s="6"/>
      <c r="D55" s="6"/>
      <c r="E55" s="6"/>
      <c r="F55" s="6"/>
      <c r="G55" s="6"/>
      <c r="H55" s="6"/>
      <c r="I55" s="8"/>
      <c r="J55" s="8"/>
      <c r="K55" s="6"/>
      <c r="L55" s="6"/>
      <c r="M55" s="6"/>
      <c r="N55" s="6"/>
      <c r="O55" s="6"/>
      <c r="P55" s="8"/>
      <c r="Q55" s="8"/>
    </row>
    <row r="56" spans="1:20" ht="9.75" outlineLevel="5" x14ac:dyDescent="0.2">
      <c r="A56" s="130" t="s">
        <v>64</v>
      </c>
      <c r="B56" s="175">
        <v>6</v>
      </c>
      <c r="C56" s="176"/>
      <c r="D56" s="177" t="s">
        <v>87</v>
      </c>
      <c r="E56" s="177"/>
      <c r="F56" s="178" t="s">
        <v>65</v>
      </c>
      <c r="G56" s="177"/>
      <c r="H56" s="179"/>
      <c r="I56" s="180"/>
      <c r="J56" s="132">
        <f>SUBTOTAL(9,J57:J58)</f>
        <v>8359.1999999999989</v>
      </c>
      <c r="K56" s="179"/>
      <c r="L56" s="133">
        <f>SUBTOTAL(9,L57:L58)</f>
        <v>0</v>
      </c>
      <c r="M56" s="179"/>
      <c r="N56" s="133">
        <f>SUBTOTAL(9,N57:N58)</f>
        <v>0</v>
      </c>
      <c r="O56" s="181"/>
      <c r="P56" s="132">
        <f>SUBTOTAL(9,P57:P58)</f>
        <v>1755.4319999999998</v>
      </c>
      <c r="Q56" s="132">
        <f>SUBTOTAL(9,Q57:Q58)</f>
        <v>10114.631999999998</v>
      </c>
      <c r="R56" s="6"/>
      <c r="S56" s="8"/>
      <c r="T56" s="8"/>
    </row>
    <row r="57" spans="1:20" ht="11.25" outlineLevel="6" x14ac:dyDescent="0.2">
      <c r="A57" s="10"/>
      <c r="B57" s="182"/>
      <c r="C57" s="183">
        <v>41</v>
      </c>
      <c r="D57" s="184" t="s">
        <v>88</v>
      </c>
      <c r="E57" s="185" t="s">
        <v>158</v>
      </c>
      <c r="F57" s="186" t="s">
        <v>159</v>
      </c>
      <c r="G57" s="184" t="s">
        <v>91</v>
      </c>
      <c r="H57" s="187">
        <v>16.2</v>
      </c>
      <c r="I57" s="188">
        <v>516</v>
      </c>
      <c r="J57" s="189">
        <f>H57*I57</f>
        <v>8359.1999999999989</v>
      </c>
      <c r="K57" s="187"/>
      <c r="L57" s="187">
        <f>H57*K57</f>
        <v>0</v>
      </c>
      <c r="M57" s="187"/>
      <c r="N57" s="187">
        <f>H57*M57</f>
        <v>0</v>
      </c>
      <c r="O57" s="189">
        <v>21</v>
      </c>
      <c r="P57" s="189">
        <f>J57*(O57/100)</f>
        <v>1755.4319999999998</v>
      </c>
      <c r="Q57" s="189">
        <f>J57+P57</f>
        <v>10114.631999999998</v>
      </c>
      <c r="R57" s="8" t="s">
        <v>205</v>
      </c>
      <c r="S57" s="8"/>
      <c r="T57" s="8"/>
    </row>
    <row r="58" spans="1:20" outlineLevel="6" x14ac:dyDescent="0.15">
      <c r="B58" s="6"/>
      <c r="C58" s="6"/>
      <c r="D58" s="6"/>
      <c r="E58" s="6"/>
      <c r="F58" s="6"/>
      <c r="G58" s="6"/>
      <c r="H58" s="6"/>
      <c r="I58" s="8"/>
      <c r="J58" s="8"/>
      <c r="K58" s="6"/>
      <c r="L58" s="6"/>
      <c r="M58" s="6"/>
      <c r="N58" s="6"/>
      <c r="O58" s="6"/>
      <c r="P58" s="8"/>
      <c r="Q58" s="8"/>
    </row>
    <row r="59" spans="1:20" ht="9.75" outlineLevel="5" x14ac:dyDescent="0.2">
      <c r="A59" s="130" t="s">
        <v>66</v>
      </c>
      <c r="B59" s="175">
        <v>6</v>
      </c>
      <c r="C59" s="176"/>
      <c r="D59" s="177" t="s">
        <v>87</v>
      </c>
      <c r="E59" s="177"/>
      <c r="F59" s="178" t="s">
        <v>67</v>
      </c>
      <c r="G59" s="177"/>
      <c r="H59" s="179"/>
      <c r="I59" s="180"/>
      <c r="J59" s="132">
        <f>SUBTOTAL(9,J60:J70)</f>
        <v>37693.326800000003</v>
      </c>
      <c r="K59" s="179"/>
      <c r="L59" s="133">
        <f>SUBTOTAL(9,L60:L70)</f>
        <v>0</v>
      </c>
      <c r="M59" s="179"/>
      <c r="N59" s="133">
        <f>SUBTOTAL(9,N60:N70)</f>
        <v>0</v>
      </c>
      <c r="O59" s="181"/>
      <c r="P59" s="132">
        <f>SUBTOTAL(9,P60:P70)</f>
        <v>7915.5986280000006</v>
      </c>
      <c r="Q59" s="132">
        <f>SUBTOTAL(9,Q60:Q70)</f>
        <v>45608.925428000002</v>
      </c>
      <c r="R59" s="6"/>
      <c r="S59" s="8"/>
      <c r="T59" s="8"/>
    </row>
    <row r="60" spans="1:20" ht="22.5" outlineLevel="6" x14ac:dyDescent="0.2">
      <c r="A60" s="10"/>
      <c r="B60" s="182"/>
      <c r="C60" s="183">
        <v>1</v>
      </c>
      <c r="D60" s="184" t="s">
        <v>88</v>
      </c>
      <c r="E60" s="185" t="s">
        <v>160</v>
      </c>
      <c r="F60" s="186" t="s">
        <v>161</v>
      </c>
      <c r="G60" s="184" t="s">
        <v>103</v>
      </c>
      <c r="H60" s="187">
        <v>-92</v>
      </c>
      <c r="I60" s="188">
        <v>188</v>
      </c>
      <c r="J60" s="189">
        <f t="shared" ref="J60:J69" si="5">H60*I60</f>
        <v>-17296</v>
      </c>
      <c r="K60" s="187"/>
      <c r="L60" s="187">
        <f t="shared" ref="L60:L69" si="6">H60*K60</f>
        <v>0</v>
      </c>
      <c r="M60" s="187"/>
      <c r="N60" s="187">
        <f t="shared" ref="N60:N69" si="7">H60*M60</f>
        <v>0</v>
      </c>
      <c r="O60" s="189">
        <v>21</v>
      </c>
      <c r="P60" s="189">
        <f t="shared" ref="P60:P69" si="8">J60*(O60/100)</f>
        <v>-3632.16</v>
      </c>
      <c r="Q60" s="189">
        <f t="shared" ref="Q60:Q69" si="9">J60+P60</f>
        <v>-20928.16</v>
      </c>
      <c r="R60" s="8"/>
      <c r="S60" s="8"/>
      <c r="T60" s="8"/>
    </row>
    <row r="61" spans="1:20" ht="11.25" outlineLevel="6" x14ac:dyDescent="0.2">
      <c r="A61" s="10"/>
      <c r="B61" s="182"/>
      <c r="C61" s="183">
        <v>2</v>
      </c>
      <c r="D61" s="184" t="s">
        <v>88</v>
      </c>
      <c r="E61" s="185" t="s">
        <v>162</v>
      </c>
      <c r="F61" s="186" t="s">
        <v>163</v>
      </c>
      <c r="G61" s="184" t="s">
        <v>103</v>
      </c>
      <c r="H61" s="187">
        <v>-93.84</v>
      </c>
      <c r="I61" s="188">
        <v>58.48</v>
      </c>
      <c r="J61" s="189">
        <f t="shared" si="5"/>
        <v>-5487.7632000000003</v>
      </c>
      <c r="K61" s="187"/>
      <c r="L61" s="187">
        <f t="shared" si="6"/>
        <v>0</v>
      </c>
      <c r="M61" s="187"/>
      <c r="N61" s="187">
        <f t="shared" si="7"/>
        <v>0</v>
      </c>
      <c r="O61" s="189">
        <v>21</v>
      </c>
      <c r="P61" s="189">
        <f t="shared" si="8"/>
        <v>-1152.4302720000001</v>
      </c>
      <c r="Q61" s="189">
        <f t="shared" si="9"/>
        <v>-6640.1934720000008</v>
      </c>
      <c r="R61" s="8"/>
      <c r="S61" s="8"/>
      <c r="T61" s="8"/>
    </row>
    <row r="62" spans="1:20" ht="11.25" outlineLevel="6" x14ac:dyDescent="0.2">
      <c r="A62" s="10"/>
      <c r="B62" s="182"/>
      <c r="C62" s="183">
        <v>3</v>
      </c>
      <c r="D62" s="184" t="s">
        <v>88</v>
      </c>
      <c r="E62" s="185" t="s">
        <v>164</v>
      </c>
      <c r="F62" s="186" t="s">
        <v>165</v>
      </c>
      <c r="G62" s="184" t="s">
        <v>98</v>
      </c>
      <c r="H62" s="187">
        <v>-1.38</v>
      </c>
      <c r="I62" s="188">
        <v>3690</v>
      </c>
      <c r="J62" s="189">
        <f t="shared" si="5"/>
        <v>-5092.2</v>
      </c>
      <c r="K62" s="187"/>
      <c r="L62" s="187">
        <f t="shared" si="6"/>
        <v>0</v>
      </c>
      <c r="M62" s="187"/>
      <c r="N62" s="187">
        <f t="shared" si="7"/>
        <v>0</v>
      </c>
      <c r="O62" s="189">
        <v>21</v>
      </c>
      <c r="P62" s="189">
        <f t="shared" si="8"/>
        <v>-1069.3619999999999</v>
      </c>
      <c r="Q62" s="189">
        <f t="shared" si="9"/>
        <v>-6161.5619999999999</v>
      </c>
      <c r="R62" s="8"/>
      <c r="S62" s="8"/>
      <c r="T62" s="8"/>
    </row>
    <row r="63" spans="1:20" ht="33.75" outlineLevel="6" x14ac:dyDescent="0.2">
      <c r="A63" s="10"/>
      <c r="B63" s="182"/>
      <c r="C63" s="207">
        <v>31</v>
      </c>
      <c r="D63" s="208" t="s">
        <v>88</v>
      </c>
      <c r="E63" s="209" t="s">
        <v>166</v>
      </c>
      <c r="F63" s="210" t="s">
        <v>167</v>
      </c>
      <c r="G63" s="208" t="s">
        <v>103</v>
      </c>
      <c r="H63" s="211">
        <v>39</v>
      </c>
      <c r="I63" s="212">
        <v>39</v>
      </c>
      <c r="J63" s="213">
        <f t="shared" si="5"/>
        <v>1521</v>
      </c>
      <c r="K63" s="187"/>
      <c r="L63" s="187">
        <f t="shared" si="6"/>
        <v>0</v>
      </c>
      <c r="M63" s="187"/>
      <c r="N63" s="187">
        <f t="shared" si="7"/>
        <v>0</v>
      </c>
      <c r="O63" s="189">
        <v>21</v>
      </c>
      <c r="P63" s="189">
        <f t="shared" si="8"/>
        <v>319.40999999999997</v>
      </c>
      <c r="Q63" s="189">
        <f t="shared" si="9"/>
        <v>1840.4099999999999</v>
      </c>
      <c r="R63" s="8" t="s">
        <v>217</v>
      </c>
      <c r="S63" s="8"/>
      <c r="T63" s="8"/>
    </row>
    <row r="64" spans="1:20" ht="22.5" outlineLevel="6" x14ac:dyDescent="0.2">
      <c r="A64" s="10"/>
      <c r="B64" s="182"/>
      <c r="C64" s="207">
        <v>32</v>
      </c>
      <c r="D64" s="208" t="s">
        <v>88</v>
      </c>
      <c r="E64" s="209" t="s">
        <v>168</v>
      </c>
      <c r="F64" s="210" t="s">
        <v>169</v>
      </c>
      <c r="G64" s="208" t="s">
        <v>103</v>
      </c>
      <c r="H64" s="211">
        <v>39</v>
      </c>
      <c r="I64" s="212">
        <v>378</v>
      </c>
      <c r="J64" s="213">
        <f t="shared" si="5"/>
        <v>14742</v>
      </c>
      <c r="K64" s="187"/>
      <c r="L64" s="187">
        <f t="shared" si="6"/>
        <v>0</v>
      </c>
      <c r="M64" s="187"/>
      <c r="N64" s="187">
        <f t="shared" si="7"/>
        <v>0</v>
      </c>
      <c r="O64" s="189">
        <v>21</v>
      </c>
      <c r="P64" s="189">
        <f t="shared" si="8"/>
        <v>3095.8199999999997</v>
      </c>
      <c r="Q64" s="189">
        <f t="shared" si="9"/>
        <v>17837.82</v>
      </c>
      <c r="R64" s="8" t="s">
        <v>217</v>
      </c>
      <c r="S64" s="8"/>
      <c r="T64" s="8"/>
    </row>
    <row r="65" spans="1:20" ht="11.25" outlineLevel="6" x14ac:dyDescent="0.2">
      <c r="A65" s="10"/>
      <c r="B65" s="182"/>
      <c r="C65" s="183">
        <v>40</v>
      </c>
      <c r="D65" s="184" t="s">
        <v>88</v>
      </c>
      <c r="E65" s="185" t="s">
        <v>170</v>
      </c>
      <c r="F65" s="186" t="s">
        <v>171</v>
      </c>
      <c r="G65" s="184" t="s">
        <v>172</v>
      </c>
      <c r="H65" s="187">
        <v>1</v>
      </c>
      <c r="I65" s="188">
        <v>5000</v>
      </c>
      <c r="J65" s="189">
        <f t="shared" si="5"/>
        <v>5000</v>
      </c>
      <c r="K65" s="187"/>
      <c r="L65" s="187">
        <f t="shared" si="6"/>
        <v>0</v>
      </c>
      <c r="M65" s="187"/>
      <c r="N65" s="187">
        <f t="shared" si="7"/>
        <v>0</v>
      </c>
      <c r="O65" s="189">
        <v>21</v>
      </c>
      <c r="P65" s="189">
        <f t="shared" si="8"/>
        <v>1050</v>
      </c>
      <c r="Q65" s="189">
        <f t="shared" si="9"/>
        <v>6050</v>
      </c>
      <c r="R65" s="8" t="s">
        <v>202</v>
      </c>
      <c r="S65" s="8"/>
      <c r="T65" s="8"/>
    </row>
    <row r="66" spans="1:20" ht="22.5" outlineLevel="6" x14ac:dyDescent="0.2">
      <c r="A66" s="10"/>
      <c r="B66" s="182"/>
      <c r="C66" s="183">
        <v>44</v>
      </c>
      <c r="D66" s="184" t="s">
        <v>88</v>
      </c>
      <c r="E66" s="185" t="s">
        <v>173</v>
      </c>
      <c r="F66" s="186" t="s">
        <v>174</v>
      </c>
      <c r="G66" s="184" t="s">
        <v>103</v>
      </c>
      <c r="H66" s="187">
        <v>10</v>
      </c>
      <c r="I66" s="188">
        <v>2630</v>
      </c>
      <c r="J66" s="189">
        <f t="shared" si="5"/>
        <v>26300</v>
      </c>
      <c r="K66" s="187"/>
      <c r="L66" s="187">
        <f t="shared" si="6"/>
        <v>0</v>
      </c>
      <c r="M66" s="187"/>
      <c r="N66" s="187">
        <f t="shared" si="7"/>
        <v>0</v>
      </c>
      <c r="O66" s="189">
        <v>21</v>
      </c>
      <c r="P66" s="189">
        <f t="shared" si="8"/>
        <v>5523</v>
      </c>
      <c r="Q66" s="189">
        <f t="shared" si="9"/>
        <v>31823</v>
      </c>
      <c r="R66" s="8" t="s">
        <v>209</v>
      </c>
      <c r="S66" s="8"/>
      <c r="T66" s="8"/>
    </row>
    <row r="67" spans="1:20" ht="22.5" outlineLevel="6" x14ac:dyDescent="0.2">
      <c r="A67" s="10"/>
      <c r="B67" s="182"/>
      <c r="C67" s="207">
        <v>45</v>
      </c>
      <c r="D67" s="208" t="s">
        <v>88</v>
      </c>
      <c r="E67" s="209" t="s">
        <v>175</v>
      </c>
      <c r="F67" s="210" t="s">
        <v>176</v>
      </c>
      <c r="G67" s="208" t="s">
        <v>103</v>
      </c>
      <c r="H67" s="211">
        <v>4</v>
      </c>
      <c r="I67" s="212">
        <v>3710</v>
      </c>
      <c r="J67" s="213">
        <f t="shared" si="5"/>
        <v>14840</v>
      </c>
      <c r="K67" s="187"/>
      <c r="L67" s="187">
        <f t="shared" si="6"/>
        <v>0</v>
      </c>
      <c r="M67" s="187"/>
      <c r="N67" s="187">
        <f t="shared" si="7"/>
        <v>0</v>
      </c>
      <c r="O67" s="189">
        <v>21</v>
      </c>
      <c r="P67" s="189">
        <f t="shared" si="8"/>
        <v>3116.4</v>
      </c>
      <c r="Q67" s="189">
        <f t="shared" si="9"/>
        <v>17956.400000000001</v>
      </c>
      <c r="R67" s="8" t="s">
        <v>213</v>
      </c>
      <c r="S67" s="8"/>
      <c r="T67" s="8"/>
    </row>
    <row r="68" spans="1:20" ht="11.25" outlineLevel="6" x14ac:dyDescent="0.2">
      <c r="A68" s="10"/>
      <c r="B68" s="182"/>
      <c r="C68" s="183">
        <v>51</v>
      </c>
      <c r="D68" s="184" t="s">
        <v>88</v>
      </c>
      <c r="E68" s="185" t="s">
        <v>177</v>
      </c>
      <c r="F68" s="186" t="s">
        <v>178</v>
      </c>
      <c r="G68" s="184" t="s">
        <v>91</v>
      </c>
      <c r="H68" s="187">
        <v>16.2</v>
      </c>
      <c r="I68" s="188">
        <v>62.2</v>
      </c>
      <c r="J68" s="189">
        <f t="shared" si="5"/>
        <v>1007.64</v>
      </c>
      <c r="K68" s="187"/>
      <c r="L68" s="187">
        <f t="shared" si="6"/>
        <v>0</v>
      </c>
      <c r="M68" s="187"/>
      <c r="N68" s="187">
        <f t="shared" si="7"/>
        <v>0</v>
      </c>
      <c r="O68" s="189">
        <v>21</v>
      </c>
      <c r="P68" s="189">
        <f t="shared" si="8"/>
        <v>211.6044</v>
      </c>
      <c r="Q68" s="189">
        <f t="shared" si="9"/>
        <v>1219.2444</v>
      </c>
      <c r="R68" s="8" t="s">
        <v>214</v>
      </c>
      <c r="S68" s="8"/>
      <c r="T68" s="8"/>
    </row>
    <row r="69" spans="1:20" ht="11.25" outlineLevel="6" x14ac:dyDescent="0.2">
      <c r="A69" s="10"/>
      <c r="B69" s="182"/>
      <c r="C69" s="183">
        <v>54</v>
      </c>
      <c r="D69" s="184" t="s">
        <v>88</v>
      </c>
      <c r="E69" s="185" t="s">
        <v>164</v>
      </c>
      <c r="F69" s="186" t="s">
        <v>165</v>
      </c>
      <c r="G69" s="184" t="s">
        <v>98</v>
      </c>
      <c r="H69" s="187">
        <v>0.58499999999999996</v>
      </c>
      <c r="I69" s="188">
        <v>3690</v>
      </c>
      <c r="J69" s="189">
        <f t="shared" si="5"/>
        <v>2158.65</v>
      </c>
      <c r="K69" s="187"/>
      <c r="L69" s="187">
        <f t="shared" si="6"/>
        <v>0</v>
      </c>
      <c r="M69" s="187"/>
      <c r="N69" s="187">
        <f t="shared" si="7"/>
        <v>0</v>
      </c>
      <c r="O69" s="189">
        <v>21</v>
      </c>
      <c r="P69" s="189">
        <f t="shared" si="8"/>
        <v>453.31650000000002</v>
      </c>
      <c r="Q69" s="189">
        <f t="shared" si="9"/>
        <v>2611.9665</v>
      </c>
      <c r="R69" s="8" t="s">
        <v>215</v>
      </c>
      <c r="S69" s="8"/>
      <c r="T69" s="8"/>
    </row>
    <row r="70" spans="1:20" outlineLevel="6" x14ac:dyDescent="0.15">
      <c r="B70" s="6"/>
      <c r="C70" s="6"/>
      <c r="D70" s="6"/>
      <c r="E70" s="6"/>
      <c r="F70" s="6"/>
      <c r="G70" s="6"/>
      <c r="H70" s="6"/>
      <c r="I70" s="8"/>
      <c r="J70" s="8"/>
      <c r="K70" s="6"/>
      <c r="L70" s="6"/>
      <c r="M70" s="6"/>
      <c r="N70" s="6"/>
      <c r="O70" s="6"/>
      <c r="P70" s="8"/>
      <c r="Q70" s="8"/>
    </row>
    <row r="71" spans="1:20" ht="9.75" outlineLevel="5" x14ac:dyDescent="0.2">
      <c r="A71" s="130" t="s">
        <v>68</v>
      </c>
      <c r="B71" s="175">
        <v>6</v>
      </c>
      <c r="C71" s="176"/>
      <c r="D71" s="177" t="s">
        <v>87</v>
      </c>
      <c r="E71" s="177"/>
      <c r="F71" s="178" t="s">
        <v>69</v>
      </c>
      <c r="G71" s="177"/>
      <c r="H71" s="179"/>
      <c r="I71" s="180"/>
      <c r="J71" s="132">
        <f>SUBTOTAL(9,J72:J74)</f>
        <v>7543.8089999999993</v>
      </c>
      <c r="K71" s="179"/>
      <c r="L71" s="133">
        <f>SUBTOTAL(9,L72:L74)</f>
        <v>0</v>
      </c>
      <c r="M71" s="179"/>
      <c r="N71" s="133">
        <f>SUBTOTAL(9,N72:N74)</f>
        <v>0</v>
      </c>
      <c r="O71" s="181"/>
      <c r="P71" s="132">
        <f>SUBTOTAL(9,P72:P74)</f>
        <v>1584.1998899999999</v>
      </c>
      <c r="Q71" s="132">
        <f>SUBTOTAL(9,Q72:Q74)</f>
        <v>9128.0088899999992</v>
      </c>
      <c r="R71" s="6"/>
      <c r="S71" s="8"/>
      <c r="T71" s="8"/>
    </row>
    <row r="72" spans="1:20" ht="33.75" outlineLevel="6" x14ac:dyDescent="0.2">
      <c r="A72" s="10"/>
      <c r="B72" s="182"/>
      <c r="C72" s="183">
        <v>7</v>
      </c>
      <c r="D72" s="184" t="s">
        <v>88</v>
      </c>
      <c r="E72" s="185" t="s">
        <v>179</v>
      </c>
      <c r="F72" s="186" t="s">
        <v>180</v>
      </c>
      <c r="G72" s="184" t="s">
        <v>91</v>
      </c>
      <c r="H72" s="187">
        <v>58.89</v>
      </c>
      <c r="I72" s="188">
        <v>43.1</v>
      </c>
      <c r="J72" s="189">
        <f>H72*I72</f>
        <v>2538.1590000000001</v>
      </c>
      <c r="K72" s="187"/>
      <c r="L72" s="187">
        <f>H72*K72</f>
        <v>0</v>
      </c>
      <c r="M72" s="187"/>
      <c r="N72" s="187">
        <f>H72*M72</f>
        <v>0</v>
      </c>
      <c r="O72" s="189">
        <v>21</v>
      </c>
      <c r="P72" s="189">
        <f>J72*(O72/100)</f>
        <v>533.01338999999996</v>
      </c>
      <c r="Q72" s="189">
        <f>J72+P72</f>
        <v>3071.1723900000002</v>
      </c>
      <c r="R72" s="8" t="s">
        <v>207</v>
      </c>
      <c r="S72" s="8"/>
      <c r="T72" s="8"/>
    </row>
    <row r="73" spans="1:20" ht="33.75" outlineLevel="6" x14ac:dyDescent="0.2">
      <c r="A73" s="10"/>
      <c r="B73" s="182"/>
      <c r="C73" s="183">
        <v>8</v>
      </c>
      <c r="D73" s="184" t="s">
        <v>88</v>
      </c>
      <c r="E73" s="185" t="s">
        <v>181</v>
      </c>
      <c r="F73" s="186" t="s">
        <v>182</v>
      </c>
      <c r="G73" s="184" t="s">
        <v>91</v>
      </c>
      <c r="H73" s="187">
        <v>58.89</v>
      </c>
      <c r="I73" s="188">
        <v>85</v>
      </c>
      <c r="J73" s="189">
        <f>H73*I73</f>
        <v>5005.6499999999996</v>
      </c>
      <c r="K73" s="187"/>
      <c r="L73" s="187">
        <f>H73*K73</f>
        <v>0</v>
      </c>
      <c r="M73" s="187"/>
      <c r="N73" s="187">
        <f>H73*M73</f>
        <v>0</v>
      </c>
      <c r="O73" s="189">
        <v>21</v>
      </c>
      <c r="P73" s="189">
        <f>J73*(O73/100)</f>
        <v>1051.1864999999998</v>
      </c>
      <c r="Q73" s="189">
        <f>J73+P73</f>
        <v>6056.8364999999994</v>
      </c>
      <c r="R73" s="8" t="s">
        <v>207</v>
      </c>
      <c r="S73" s="8"/>
      <c r="T73" s="8"/>
    </row>
    <row r="74" spans="1:20" outlineLevel="6" x14ac:dyDescent="0.15">
      <c r="B74" s="6"/>
      <c r="C74" s="6"/>
      <c r="D74" s="6"/>
      <c r="E74" s="6"/>
      <c r="F74" s="6"/>
      <c r="G74" s="6"/>
      <c r="H74" s="6"/>
      <c r="I74" s="8"/>
      <c r="J74" s="8"/>
      <c r="K74" s="6"/>
      <c r="L74" s="6"/>
      <c r="M74" s="6"/>
      <c r="N74" s="6"/>
      <c r="O74" s="6"/>
      <c r="P74" s="8"/>
      <c r="Q74" s="8"/>
    </row>
    <row r="75" spans="1:20" ht="9.75" outlineLevel="5" x14ac:dyDescent="0.2">
      <c r="A75" s="130" t="s">
        <v>70</v>
      </c>
      <c r="B75" s="175">
        <v>6</v>
      </c>
      <c r="C75" s="176"/>
      <c r="D75" s="177" t="s">
        <v>87</v>
      </c>
      <c r="E75" s="177"/>
      <c r="F75" s="178" t="s">
        <v>71</v>
      </c>
      <c r="G75" s="177"/>
      <c r="H75" s="179"/>
      <c r="I75" s="180"/>
      <c r="J75" s="132">
        <f>SUBTOTAL(9,J76:J83)</f>
        <v>16590.370300000002</v>
      </c>
      <c r="K75" s="179"/>
      <c r="L75" s="133">
        <f>SUBTOTAL(9,L76:L83)</f>
        <v>0</v>
      </c>
      <c r="M75" s="179"/>
      <c r="N75" s="133">
        <f>SUBTOTAL(9,N76:N83)</f>
        <v>0</v>
      </c>
      <c r="O75" s="181"/>
      <c r="P75" s="132">
        <f>SUBTOTAL(9,P76:P83)</f>
        <v>3483.9777629999999</v>
      </c>
      <c r="Q75" s="132">
        <f>SUBTOTAL(9,Q76:Q83)</f>
        <v>20074.348063000001</v>
      </c>
      <c r="R75" s="6"/>
      <c r="S75" s="8"/>
      <c r="T75" s="8"/>
    </row>
    <row r="76" spans="1:20" ht="22.5" outlineLevel="6" x14ac:dyDescent="0.2">
      <c r="A76" s="10"/>
      <c r="B76" s="182"/>
      <c r="C76" s="183">
        <v>11</v>
      </c>
      <c r="D76" s="184" t="s">
        <v>88</v>
      </c>
      <c r="E76" s="185" t="s">
        <v>183</v>
      </c>
      <c r="F76" s="186" t="s">
        <v>184</v>
      </c>
      <c r="G76" s="184" t="s">
        <v>139</v>
      </c>
      <c r="H76" s="187">
        <v>17.077999999999999</v>
      </c>
      <c r="I76" s="188">
        <v>52.4</v>
      </c>
      <c r="J76" s="189">
        <f t="shared" ref="J76:J82" si="10">H76*I76</f>
        <v>894.88719999999989</v>
      </c>
      <c r="K76" s="187"/>
      <c r="L76" s="187">
        <f t="shared" ref="L76:L82" si="11">H76*K76</f>
        <v>0</v>
      </c>
      <c r="M76" s="187"/>
      <c r="N76" s="187">
        <f t="shared" ref="N76:N82" si="12">H76*M76</f>
        <v>0</v>
      </c>
      <c r="O76" s="189">
        <v>21</v>
      </c>
      <c r="P76" s="189">
        <f t="shared" ref="P76:P82" si="13">J76*(O76/100)</f>
        <v>187.92631199999997</v>
      </c>
      <c r="Q76" s="189">
        <f t="shared" ref="Q76:Q82" si="14">J76+P76</f>
        <v>1082.8135119999999</v>
      </c>
      <c r="R76" s="8" t="s">
        <v>207</v>
      </c>
      <c r="S76" s="8"/>
      <c r="T76" s="8"/>
    </row>
    <row r="77" spans="1:20" ht="22.5" outlineLevel="6" x14ac:dyDescent="0.2">
      <c r="A77" s="10"/>
      <c r="B77" s="182"/>
      <c r="C77" s="183">
        <v>12</v>
      </c>
      <c r="D77" s="184" t="s">
        <v>88</v>
      </c>
      <c r="E77" s="185" t="s">
        <v>185</v>
      </c>
      <c r="F77" s="186" t="s">
        <v>186</v>
      </c>
      <c r="G77" s="184" t="s">
        <v>139</v>
      </c>
      <c r="H77" s="187">
        <v>119.54600000000001</v>
      </c>
      <c r="I77" s="188">
        <v>12.4</v>
      </c>
      <c r="J77" s="189">
        <f t="shared" si="10"/>
        <v>1482.3704</v>
      </c>
      <c r="K77" s="187"/>
      <c r="L77" s="187">
        <f t="shared" si="11"/>
        <v>0</v>
      </c>
      <c r="M77" s="187"/>
      <c r="N77" s="187">
        <f t="shared" si="12"/>
        <v>0</v>
      </c>
      <c r="O77" s="189">
        <v>21</v>
      </c>
      <c r="P77" s="189">
        <f t="shared" si="13"/>
        <v>311.29778399999998</v>
      </c>
      <c r="Q77" s="189">
        <f t="shared" si="14"/>
        <v>1793.6681840000001</v>
      </c>
      <c r="R77" s="8" t="s">
        <v>207</v>
      </c>
      <c r="S77" s="8"/>
      <c r="T77" s="8"/>
    </row>
    <row r="78" spans="1:20" ht="22.5" outlineLevel="6" x14ac:dyDescent="0.2">
      <c r="A78" s="10"/>
      <c r="B78" s="182"/>
      <c r="C78" s="183">
        <v>13</v>
      </c>
      <c r="D78" s="184" t="s">
        <v>88</v>
      </c>
      <c r="E78" s="185" t="s">
        <v>187</v>
      </c>
      <c r="F78" s="186" t="s">
        <v>188</v>
      </c>
      <c r="G78" s="184" t="s">
        <v>139</v>
      </c>
      <c r="H78" s="187">
        <v>18.609000000000002</v>
      </c>
      <c r="I78" s="188">
        <v>59</v>
      </c>
      <c r="J78" s="189">
        <f t="shared" si="10"/>
        <v>1097.931</v>
      </c>
      <c r="K78" s="187"/>
      <c r="L78" s="187">
        <f t="shared" si="11"/>
        <v>0</v>
      </c>
      <c r="M78" s="187"/>
      <c r="N78" s="187">
        <f t="shared" si="12"/>
        <v>0</v>
      </c>
      <c r="O78" s="189">
        <v>21</v>
      </c>
      <c r="P78" s="189">
        <f t="shared" si="13"/>
        <v>230.56550999999999</v>
      </c>
      <c r="Q78" s="189">
        <f t="shared" si="14"/>
        <v>1328.4965099999999</v>
      </c>
      <c r="R78" s="8" t="s">
        <v>207</v>
      </c>
      <c r="S78" s="8"/>
      <c r="T78" s="8"/>
    </row>
    <row r="79" spans="1:20" ht="22.5" outlineLevel="6" x14ac:dyDescent="0.2">
      <c r="A79" s="10"/>
      <c r="B79" s="182"/>
      <c r="C79" s="183">
        <v>14</v>
      </c>
      <c r="D79" s="184" t="s">
        <v>88</v>
      </c>
      <c r="E79" s="185" t="s">
        <v>189</v>
      </c>
      <c r="F79" s="186" t="s">
        <v>186</v>
      </c>
      <c r="G79" s="184" t="s">
        <v>139</v>
      </c>
      <c r="H79" s="187">
        <v>130.26300000000001</v>
      </c>
      <c r="I79" s="188">
        <v>15.9</v>
      </c>
      <c r="J79" s="189">
        <f t="shared" si="10"/>
        <v>2071.1817000000001</v>
      </c>
      <c r="K79" s="187"/>
      <c r="L79" s="187">
        <f t="shared" si="11"/>
        <v>0</v>
      </c>
      <c r="M79" s="187"/>
      <c r="N79" s="187">
        <f t="shared" si="12"/>
        <v>0</v>
      </c>
      <c r="O79" s="189">
        <v>21</v>
      </c>
      <c r="P79" s="189">
        <f t="shared" si="13"/>
        <v>434.94815699999998</v>
      </c>
      <c r="Q79" s="189">
        <f t="shared" si="14"/>
        <v>2506.1298569999999</v>
      </c>
      <c r="R79" s="8" t="s">
        <v>207</v>
      </c>
      <c r="S79" s="8"/>
      <c r="T79" s="8"/>
    </row>
    <row r="80" spans="1:20" ht="22.5" outlineLevel="6" x14ac:dyDescent="0.2">
      <c r="A80" s="10"/>
      <c r="B80" s="182"/>
      <c r="C80" s="183">
        <v>16</v>
      </c>
      <c r="D80" s="184" t="s">
        <v>88</v>
      </c>
      <c r="E80" s="185" t="s">
        <v>190</v>
      </c>
      <c r="F80" s="186" t="s">
        <v>147</v>
      </c>
      <c r="G80" s="184" t="s">
        <v>139</v>
      </c>
      <c r="H80" s="187">
        <v>17.077999999999999</v>
      </c>
      <c r="I80" s="188">
        <v>140</v>
      </c>
      <c r="J80" s="189">
        <f t="shared" si="10"/>
        <v>2390.92</v>
      </c>
      <c r="K80" s="187"/>
      <c r="L80" s="187">
        <f t="shared" si="11"/>
        <v>0</v>
      </c>
      <c r="M80" s="187"/>
      <c r="N80" s="187">
        <f t="shared" si="12"/>
        <v>0</v>
      </c>
      <c r="O80" s="189">
        <v>21</v>
      </c>
      <c r="P80" s="189">
        <f t="shared" si="13"/>
        <v>502.09320000000002</v>
      </c>
      <c r="Q80" s="189">
        <f t="shared" si="14"/>
        <v>2893.0132000000003</v>
      </c>
      <c r="R80" s="8" t="s">
        <v>207</v>
      </c>
      <c r="S80" s="8"/>
      <c r="T80" s="8"/>
    </row>
    <row r="81" spans="1:20" ht="22.5" outlineLevel="6" x14ac:dyDescent="0.2">
      <c r="A81" s="10"/>
      <c r="B81" s="182"/>
      <c r="C81" s="183">
        <v>17</v>
      </c>
      <c r="D81" s="184" t="s">
        <v>88</v>
      </c>
      <c r="E81" s="185" t="s">
        <v>191</v>
      </c>
      <c r="F81" s="186" t="s">
        <v>192</v>
      </c>
      <c r="G81" s="184" t="s">
        <v>139</v>
      </c>
      <c r="H81" s="187">
        <v>18.609000000000002</v>
      </c>
      <c r="I81" s="188">
        <v>120</v>
      </c>
      <c r="J81" s="189">
        <f t="shared" si="10"/>
        <v>2233.0800000000004</v>
      </c>
      <c r="K81" s="187"/>
      <c r="L81" s="187">
        <f t="shared" si="11"/>
        <v>0</v>
      </c>
      <c r="M81" s="187"/>
      <c r="N81" s="187">
        <f t="shared" si="12"/>
        <v>0</v>
      </c>
      <c r="O81" s="189">
        <v>21</v>
      </c>
      <c r="P81" s="189">
        <f t="shared" si="13"/>
        <v>468.94680000000005</v>
      </c>
      <c r="Q81" s="189">
        <f t="shared" si="14"/>
        <v>2702.0268000000005</v>
      </c>
      <c r="R81" s="8" t="s">
        <v>207</v>
      </c>
      <c r="S81" s="8"/>
      <c r="T81" s="8"/>
    </row>
    <row r="82" spans="1:20" ht="22.5" outlineLevel="6" x14ac:dyDescent="0.2">
      <c r="A82" s="10"/>
      <c r="B82" s="182"/>
      <c r="C82" s="183">
        <v>28</v>
      </c>
      <c r="D82" s="184" t="s">
        <v>88</v>
      </c>
      <c r="E82" s="185" t="s">
        <v>193</v>
      </c>
      <c r="F82" s="186" t="s">
        <v>194</v>
      </c>
      <c r="G82" s="184" t="s">
        <v>139</v>
      </c>
      <c r="H82" s="187">
        <v>3</v>
      </c>
      <c r="I82" s="188">
        <v>2140</v>
      </c>
      <c r="J82" s="189">
        <f t="shared" si="10"/>
        <v>6420</v>
      </c>
      <c r="K82" s="187"/>
      <c r="L82" s="187">
        <f t="shared" si="11"/>
        <v>0</v>
      </c>
      <c r="M82" s="187"/>
      <c r="N82" s="187">
        <f t="shared" si="12"/>
        <v>0</v>
      </c>
      <c r="O82" s="189">
        <v>21</v>
      </c>
      <c r="P82" s="189">
        <f t="shared" si="13"/>
        <v>1348.2</v>
      </c>
      <c r="Q82" s="189">
        <f t="shared" si="14"/>
        <v>7768.2</v>
      </c>
      <c r="R82" s="8" t="s">
        <v>207</v>
      </c>
      <c r="S82" s="8"/>
      <c r="T82" s="8"/>
    </row>
    <row r="83" spans="1:20" outlineLevel="6" x14ac:dyDescent="0.15">
      <c r="B83" s="6"/>
      <c r="C83" s="6"/>
      <c r="D83" s="6"/>
      <c r="E83" s="6"/>
      <c r="F83" s="6"/>
      <c r="G83" s="6"/>
      <c r="H83" s="6"/>
      <c r="I83" s="8"/>
      <c r="J83" s="8"/>
      <c r="K83" s="6"/>
      <c r="L83" s="6"/>
      <c r="M83" s="6"/>
      <c r="N83" s="6"/>
      <c r="O83" s="6"/>
      <c r="P83" s="8"/>
      <c r="Q83" s="8"/>
      <c r="R83" s="8" t="s">
        <v>207</v>
      </c>
    </row>
    <row r="84" spans="1:20" ht="9.75" outlineLevel="5" x14ac:dyDescent="0.2">
      <c r="A84" s="130" t="s">
        <v>72</v>
      </c>
      <c r="B84" s="175">
        <v>6</v>
      </c>
      <c r="C84" s="176"/>
      <c r="D84" s="177" t="s">
        <v>87</v>
      </c>
      <c r="E84" s="177"/>
      <c r="F84" s="178" t="s">
        <v>73</v>
      </c>
      <c r="G84" s="177"/>
      <c r="H84" s="179"/>
      <c r="I84" s="180"/>
      <c r="J84" s="132">
        <f>SUBTOTAL(9,J85:J86)</f>
        <v>6638.17</v>
      </c>
      <c r="K84" s="179"/>
      <c r="L84" s="133">
        <f>SUBTOTAL(9,L85:L86)</f>
        <v>0</v>
      </c>
      <c r="M84" s="179"/>
      <c r="N84" s="133">
        <f>SUBTOTAL(9,N85:N86)</f>
        <v>0</v>
      </c>
      <c r="O84" s="181"/>
      <c r="P84" s="132">
        <f>SUBTOTAL(9,P85:P86)</f>
        <v>1394.0156999999999</v>
      </c>
      <c r="Q84" s="132">
        <f>SUBTOTAL(9,Q85:Q86)</f>
        <v>8032.1857</v>
      </c>
      <c r="R84" s="8" t="s">
        <v>207</v>
      </c>
      <c r="S84" s="8"/>
      <c r="T84" s="8"/>
    </row>
    <row r="85" spans="1:20" ht="22.5" outlineLevel="6" x14ac:dyDescent="0.2">
      <c r="A85" s="10"/>
      <c r="B85" s="182"/>
      <c r="C85" s="183">
        <v>18</v>
      </c>
      <c r="D85" s="184" t="s">
        <v>88</v>
      </c>
      <c r="E85" s="185" t="s">
        <v>195</v>
      </c>
      <c r="F85" s="186" t="s">
        <v>196</v>
      </c>
      <c r="G85" s="184" t="s">
        <v>139</v>
      </c>
      <c r="H85" s="187">
        <v>28.49</v>
      </c>
      <c r="I85" s="188">
        <v>233</v>
      </c>
      <c r="J85" s="189">
        <f>H85*I85</f>
        <v>6638.17</v>
      </c>
      <c r="K85" s="187"/>
      <c r="L85" s="187">
        <f>H85*K85</f>
        <v>0</v>
      </c>
      <c r="M85" s="187"/>
      <c r="N85" s="187">
        <f>H85*M85</f>
        <v>0</v>
      </c>
      <c r="O85" s="189">
        <v>21</v>
      </c>
      <c r="P85" s="189">
        <f>J85*(O85/100)</f>
        <v>1394.0156999999999</v>
      </c>
      <c r="Q85" s="189">
        <f>J85+P85</f>
        <v>8032.1857</v>
      </c>
      <c r="R85" s="8" t="s">
        <v>207</v>
      </c>
      <c r="S85" s="8"/>
      <c r="T85" s="8"/>
    </row>
    <row r="86" spans="1:20" outlineLevel="6" x14ac:dyDescent="0.15">
      <c r="B86" s="6"/>
      <c r="C86" s="6"/>
      <c r="D86" s="6"/>
      <c r="E86" s="6"/>
      <c r="F86" s="6"/>
      <c r="G86" s="6"/>
      <c r="H86" s="6"/>
      <c r="I86" s="8"/>
      <c r="J86" s="8"/>
      <c r="K86" s="6"/>
      <c r="L86" s="6"/>
      <c r="M86" s="6"/>
      <c r="N86" s="6"/>
      <c r="O86" s="6"/>
      <c r="P86" s="8"/>
      <c r="Q86" s="8"/>
    </row>
    <row r="87" spans="1:20" ht="9" outlineLevel="4" x14ac:dyDescent="0.15">
      <c r="A87" s="126" t="s">
        <v>74</v>
      </c>
      <c r="B87" s="168">
        <v>5</v>
      </c>
      <c r="C87" s="169"/>
      <c r="D87" s="170" t="s">
        <v>86</v>
      </c>
      <c r="E87" s="170"/>
      <c r="F87" s="171" t="s">
        <v>75</v>
      </c>
      <c r="G87" s="170"/>
      <c r="H87" s="172"/>
      <c r="I87" s="173"/>
      <c r="J87" s="128">
        <f>SUBTOTAL(9,J88:J93)</f>
        <v>11132.25</v>
      </c>
      <c r="K87" s="172"/>
      <c r="L87" s="129">
        <f>SUBTOTAL(9,L88:L93)</f>
        <v>0</v>
      </c>
      <c r="M87" s="172"/>
      <c r="N87" s="129">
        <f>SUBTOTAL(9,N88:N93)</f>
        <v>0</v>
      </c>
      <c r="O87" s="174"/>
      <c r="P87" s="128">
        <f>SUBTOTAL(9,P88:P93)</f>
        <v>2337.7725</v>
      </c>
      <c r="Q87" s="128">
        <f>SUBTOTAL(9,Q88:Q93)</f>
        <v>13470.022499999999</v>
      </c>
      <c r="R87" s="6"/>
      <c r="S87" s="8"/>
      <c r="T87" s="8"/>
    </row>
    <row r="88" spans="1:20" ht="9.75" outlineLevel="5" x14ac:dyDescent="0.2">
      <c r="A88" s="130" t="s">
        <v>76</v>
      </c>
      <c r="B88" s="175">
        <v>6</v>
      </c>
      <c r="C88" s="176"/>
      <c r="D88" s="177" t="s">
        <v>87</v>
      </c>
      <c r="E88" s="177"/>
      <c r="F88" s="178" t="s">
        <v>77</v>
      </c>
      <c r="G88" s="177"/>
      <c r="H88" s="179"/>
      <c r="I88" s="180"/>
      <c r="J88" s="132">
        <f>SUBTOTAL(9,J89:J90)</f>
        <v>4232.25</v>
      </c>
      <c r="K88" s="179"/>
      <c r="L88" s="133">
        <f>SUBTOTAL(9,L89:L90)</f>
        <v>0</v>
      </c>
      <c r="M88" s="179"/>
      <c r="N88" s="133">
        <f>SUBTOTAL(9,N89:N90)</f>
        <v>0</v>
      </c>
      <c r="O88" s="181"/>
      <c r="P88" s="132">
        <f>SUBTOTAL(9,P89:P90)</f>
        <v>888.77249999999992</v>
      </c>
      <c r="Q88" s="132">
        <f>SUBTOTAL(9,Q89:Q90)</f>
        <v>5121.0225</v>
      </c>
      <c r="R88" s="6"/>
      <c r="S88" s="8"/>
      <c r="T88" s="8"/>
    </row>
    <row r="89" spans="1:20" ht="22.5" outlineLevel="6" x14ac:dyDescent="0.2">
      <c r="A89" s="10"/>
      <c r="B89" s="182"/>
      <c r="C89" s="183">
        <v>42</v>
      </c>
      <c r="D89" s="184" t="s">
        <v>88</v>
      </c>
      <c r="E89" s="185" t="s">
        <v>197</v>
      </c>
      <c r="F89" s="186" t="s">
        <v>198</v>
      </c>
      <c r="G89" s="184" t="s">
        <v>91</v>
      </c>
      <c r="H89" s="187">
        <v>20.25</v>
      </c>
      <c r="I89" s="188">
        <v>209</v>
      </c>
      <c r="J89" s="189">
        <f>H89*I89</f>
        <v>4232.25</v>
      </c>
      <c r="K89" s="187"/>
      <c r="L89" s="187">
        <f>H89*K89</f>
        <v>0</v>
      </c>
      <c r="M89" s="187"/>
      <c r="N89" s="187">
        <f>H89*M89</f>
        <v>0</v>
      </c>
      <c r="O89" s="189">
        <v>21</v>
      </c>
      <c r="P89" s="189">
        <f>J89*(O89/100)</f>
        <v>888.77249999999992</v>
      </c>
      <c r="Q89" s="189">
        <f>J89+P89</f>
        <v>5121.0225</v>
      </c>
      <c r="R89" s="8" t="s">
        <v>210</v>
      </c>
      <c r="S89" s="8"/>
      <c r="T89" s="8"/>
    </row>
    <row r="90" spans="1:20" outlineLevel="6" x14ac:dyDescent="0.15">
      <c r="B90" s="6"/>
      <c r="C90" s="6"/>
      <c r="D90" s="6"/>
      <c r="E90" s="6"/>
      <c r="F90" s="6"/>
      <c r="G90" s="6"/>
      <c r="H90" s="6"/>
      <c r="I90" s="8"/>
      <c r="J90" s="8"/>
      <c r="K90" s="6"/>
      <c r="L90" s="6"/>
      <c r="M90" s="6"/>
      <c r="N90" s="6"/>
      <c r="O90" s="6"/>
      <c r="P90" s="8"/>
      <c r="Q90" s="8"/>
    </row>
    <row r="91" spans="1:20" ht="9.75" outlineLevel="5" x14ac:dyDescent="0.2">
      <c r="A91" s="130" t="s">
        <v>78</v>
      </c>
      <c r="B91" s="175">
        <v>6</v>
      </c>
      <c r="C91" s="176"/>
      <c r="D91" s="177" t="s">
        <v>87</v>
      </c>
      <c r="E91" s="177"/>
      <c r="F91" s="178" t="s">
        <v>79</v>
      </c>
      <c r="G91" s="177"/>
      <c r="H91" s="179"/>
      <c r="I91" s="180"/>
      <c r="J91" s="132">
        <f>SUBTOTAL(9,J92:J93)</f>
        <v>6900</v>
      </c>
      <c r="K91" s="179"/>
      <c r="L91" s="133">
        <f>SUBTOTAL(9,L92:L93)</f>
        <v>0</v>
      </c>
      <c r="M91" s="179"/>
      <c r="N91" s="133">
        <f>SUBTOTAL(9,N92:N93)</f>
        <v>0</v>
      </c>
      <c r="O91" s="181"/>
      <c r="P91" s="132">
        <f>SUBTOTAL(9,P92:P93)</f>
        <v>1449</v>
      </c>
      <c r="Q91" s="132">
        <f>SUBTOTAL(9,Q92:Q93)</f>
        <v>8349</v>
      </c>
      <c r="R91" s="6"/>
      <c r="S91" s="8"/>
      <c r="T91" s="8"/>
    </row>
    <row r="92" spans="1:20" ht="11.25" outlineLevel="6" x14ac:dyDescent="0.2">
      <c r="A92" s="10"/>
      <c r="B92" s="182"/>
      <c r="C92" s="183">
        <v>43</v>
      </c>
      <c r="D92" s="184" t="s">
        <v>88</v>
      </c>
      <c r="E92" s="185" t="s">
        <v>199</v>
      </c>
      <c r="F92" s="186" t="s">
        <v>200</v>
      </c>
      <c r="G92" s="184" t="s">
        <v>108</v>
      </c>
      <c r="H92" s="187">
        <v>2</v>
      </c>
      <c r="I92" s="188">
        <v>3450</v>
      </c>
      <c r="J92" s="189">
        <f>H92*I92</f>
        <v>6900</v>
      </c>
      <c r="K92" s="187"/>
      <c r="L92" s="187">
        <f>H92*K92</f>
        <v>0</v>
      </c>
      <c r="M92" s="187"/>
      <c r="N92" s="187">
        <f>H92*M92</f>
        <v>0</v>
      </c>
      <c r="O92" s="189">
        <v>21</v>
      </c>
      <c r="P92" s="189">
        <f>J92*(O92/100)</f>
        <v>1449</v>
      </c>
      <c r="Q92" s="189">
        <f>J92+P92</f>
        <v>8349</v>
      </c>
      <c r="R92" s="8" t="s">
        <v>202</v>
      </c>
      <c r="S92" s="8"/>
      <c r="T92" s="8"/>
    </row>
    <row r="93" spans="1:20" outlineLevel="6" x14ac:dyDescent="0.15">
      <c r="B93" s="6"/>
      <c r="C93" s="6"/>
      <c r="D93" s="6"/>
      <c r="E93" s="6"/>
      <c r="F93" s="6"/>
      <c r="G93" s="6"/>
      <c r="H93" s="6"/>
      <c r="I93" s="8"/>
      <c r="J93" s="8"/>
      <c r="K93" s="6"/>
      <c r="L93" s="6"/>
      <c r="M93" s="6"/>
      <c r="N93" s="6"/>
      <c r="O93" s="6"/>
      <c r="P93" s="8"/>
      <c r="Q93" s="8"/>
    </row>
    <row r="94" spans="1:20" outlineLevel="1" x14ac:dyDescent="0.15"/>
  </sheetData>
  <pageMargins left="0.70866141732283472" right="0.70866141732283472" top="0.78740157480314965" bottom="0.78740157480314965" header="0.31496062992125984" footer="0.31496062992125984"/>
  <pageSetup paperSize="9" scale="72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21</vt:i4>
      </vt:variant>
    </vt:vector>
  </HeadingPairs>
  <TitlesOfParts>
    <vt:vector size="24" baseType="lpstr">
      <vt:lpstr>Krycí List</vt:lpstr>
      <vt:lpstr>Rekapitulace</vt:lpstr>
      <vt:lpstr>Zakázka</vt:lpstr>
      <vt:lpstr>__3FD872C1_8887_4EA3_9FC2_897EF4F3D2C3_ITEM__</vt:lpstr>
      <vt:lpstr>__3FD872C1_8887_4EA3_9FC2_897EF4F3D2C3_ITEM_GROUP1__</vt:lpstr>
      <vt:lpstr>__3FD872C1_8887_4EA3_9FC2_897EF4F3D2C3_ITEM_GROUP1_RECAP__</vt:lpstr>
      <vt:lpstr>__3FD872C1_8887_4EA3_9FC2_897EF4F3D2C3_ITEM_GROUP2__</vt:lpstr>
      <vt:lpstr>__3FD872C1_8887_4EA3_9FC2_897EF4F3D2C3_ITEM_GROUP2_RECAP__</vt:lpstr>
      <vt:lpstr>__3FD872C1_8887_4EA3_9FC2_897EF4F3D2C3_ITEM_GROUP3__X</vt:lpstr>
      <vt:lpstr>__3FD872C1_8887_4EA3_9FC2_897EF4F3D2C3_ITEM_GROUP3_RECAP__</vt:lpstr>
      <vt:lpstr>__3FD872C1_8887_4EA3_9FC2_897EF4F3D2C3_ITEM_GROUP4__X</vt:lpstr>
      <vt:lpstr>__3FD872C1_8887_4EA3_9FC2_897EF4F3D2C3_ITEM_GROUP4_RECAP__</vt:lpstr>
      <vt:lpstr>__3FD872C1_8887_4EA3_9FC2_897EF4F3D2C3_ITEM_GROUP5__X</vt:lpstr>
      <vt:lpstr>__3FD872C1_8887_4EA3_9FC2_897EF4F3D2C3_ITEM_GROUP5_RECAP__</vt:lpstr>
      <vt:lpstr>__3FD872C1_8887_4EA3_9FC2_897EF4F3D2C3_ITEM_GROUP6__X</vt:lpstr>
      <vt:lpstr>__3FD872C1_8887_4EA3_9FC2_897EF4F3D2C3_ITEM_GROUP6_RECAP__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Hřbitov Novosedlice – oprava cest 1. Etapa (fáze 2 - 5) - Nabídka</dc:subject>
  <dc:creator>JP</dc:creator>
  <cp:lastModifiedBy>František Martinec</cp:lastModifiedBy>
  <cp:lastPrinted>2024-03-06T07:26:19Z</cp:lastPrinted>
  <dcterms:created xsi:type="dcterms:W3CDTF">2024-03-04T12:55:58Z</dcterms:created>
  <dcterms:modified xsi:type="dcterms:W3CDTF">2024-03-06T07:56:46Z</dcterms:modified>
</cp:coreProperties>
</file>