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_rels/.rels" ContentType="application/vnd.openxmlformats-package.relationships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 showHorizontalScroll="true" showVerticalScroll="true" showSheetTabs="true"/>
  </bookViews>
  <sheets>
    <sheet name="Stavební rozpočet" sheetId="1" r:id="rId1"/>
    <sheet name="Výkaz výměr" sheetId="2" r:id="rId2"/>
    <sheet name="Krycí list rozpočtu" sheetId="3" r:id="rId3"/>
    <sheet name="VORN" sheetId="4" state="hidden" r:id="rId4"/>
  </sheets>
  <definedNames>
    <definedName name="vorn_sum">VORN!$I$45</definedName>
  </definedNames>
  <calcPr refMode="A1"/>
</workbook>
</file>

<file path=xl/sharedStrings.xml><?xml version="1.0" encoding="utf-8"?>
<sst xmlns="http://schemas.openxmlformats.org/spreadsheetml/2006/main" count="455" uniqueCount="455">
  <si>
    <t>Slepý stavební rozpočet</t>
  </si>
  <si>
    <t>Název stavby:</t>
  </si>
  <si>
    <t>ZLIV nad Mží - VODOVOD</t>
  </si>
  <si>
    <t>Doba výstavby:</t>
  </si>
  <si>
    <t>146 dní</t>
  </si>
  <si>
    <t>Objednatel:</t>
  </si>
  <si>
    <t>Město Planá, náměstí Svobody 1, 348 15 Planá</t>
  </si>
  <si>
    <t>Druh stavby:</t>
  </si>
  <si>
    <t>Technická infrastruktura - Vodovod</t>
  </si>
  <si>
    <t>Začátek výstavby:</t>
  </si>
  <si>
    <t>01.05.2025</t>
  </si>
  <si>
    <t>Projektant:</t>
  </si>
  <si>
    <t>Václav Říha, Tuněchody 9, 34901 Stříbro</t>
  </si>
  <si>
    <t>Lokalita:</t>
  </si>
  <si>
    <t>Zliv nad Mží, SO-301 Vodovodní síť Zliv</t>
  </si>
  <si>
    <t>Konec výstavby:</t>
  </si>
  <si>
    <t>23.09.2025</t>
  </si>
  <si>
    <t>Zhotovitel:</t>
  </si>
  <si>
    <t> </t>
  </si>
  <si>
    <t>JKSO:</t>
  </si>
  <si>
    <t>8271311</t>
  </si>
  <si>
    <t>Zpracováno dne:</t>
  </si>
  <si>
    <t>30.11.2024</t>
  </si>
  <si>
    <t>Zpracoval:</t>
  </si>
  <si>
    <t>Václav Říha</t>
  </si>
  <si>
    <t>Č</t>
  </si>
  <si>
    <t>Kód</t>
  </si>
  <si>
    <t>Zkrácený popis</t>
  </si>
  <si>
    <t>MJ</t>
  </si>
  <si>
    <t>Množství</t>
  </si>
  <si>
    <t>Cena/MJ</t>
  </si>
  <si>
    <t>Náklady (Kč)</t>
  </si>
  <si>
    <t>Cenová</t>
  </si>
  <si>
    <t>ISWORK</t>
  </si>
  <si>
    <t>GROUPCODE</t>
  </si>
  <si>
    <t>VATTAX</t>
  </si>
  <si>
    <t xml:space="preserve"> </t>
  </si>
  <si>
    <t>Rozměry</t>
  </si>
  <si>
    <t>(Kč)</t>
  </si>
  <si>
    <t>Dodávka</t>
  </si>
  <si>
    <t>Montáž</t>
  </si>
  <si>
    <t>Celkem</t>
  </si>
  <si>
    <t>soustava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</si>
  <si>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</si>
  <si>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</si>
  <si>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</si>
  <si>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</si>
  <si>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</si>
  <si>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</si>
  <si>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</si>
  <si>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</si>
  <si>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</si>
  <si>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MAT</t>
  </si>
  <si>
    <t>WORK</t>
  </si>
  <si>
    <t>CELK</t>
  </si>
  <si>
    <t/>
  </si>
  <si>
    <t>Rozvodný řad "1"</t>
  </si>
  <si>
    <t>11</t>
  </si>
  <si>
    <t>Přípravné a přidružené práce</t>
  </si>
  <si>
    <t>SO-301a</t>
  </si>
  <si>
    <t>1</t>
  </si>
  <si>
    <t>115101201R00</t>
  </si>
  <si>
    <t>Čerpání vody na výšku do 10 m, přítok do 500 l</t>
  </si>
  <si>
    <t>h</t>
  </si>
  <si>
    <t>RTS II / 2024</t>
  </si>
  <si>
    <t>11_</t>
  </si>
  <si>
    <t>SO-301a_1_</t>
  </si>
  <si>
    <t>SO-301a_</t>
  </si>
  <si>
    <t>2</t>
  </si>
  <si>
    <t>119001412R00</t>
  </si>
  <si>
    <t>Dočasné zajištění beton.a plast.potrubí kanalizace DN 200-500</t>
  </si>
  <si>
    <t>m</t>
  </si>
  <si>
    <t>3</t>
  </si>
  <si>
    <t>113108315R00</t>
  </si>
  <si>
    <t>Odstranění asfaltové vrstvy pl. do 50 m2, tl.15 cm</t>
  </si>
  <si>
    <t>m2</t>
  </si>
  <si>
    <t>RTS II / 2023</t>
  </si>
  <si>
    <t>12</t>
  </si>
  <si>
    <t>Odkopávky a prokopávky</t>
  </si>
  <si>
    <t>4</t>
  </si>
  <si>
    <t>121101101R00</t>
  </si>
  <si>
    <t>Sejmutí ornice s přemístěním do 50 m</t>
  </si>
  <si>
    <t>m3</t>
  </si>
  <si>
    <t>12_</t>
  </si>
  <si>
    <t>13</t>
  </si>
  <si>
    <t>Hloubené vykopávky</t>
  </si>
  <si>
    <t>5</t>
  </si>
  <si>
    <t>132201212R00</t>
  </si>
  <si>
    <t>Hloubení rýh š.do 200 cm hor.3 do 1000m3,STROJNĚ</t>
  </si>
  <si>
    <t>13_</t>
  </si>
  <si>
    <t>6</t>
  </si>
  <si>
    <t>132301212R00</t>
  </si>
  <si>
    <t>Hloubení rýh š.do 200 cm hor.4 do 1000 m3, STROJNĚ</t>
  </si>
  <si>
    <t>7</t>
  </si>
  <si>
    <t>133201102R00</t>
  </si>
  <si>
    <t>Hloubení šachet v hor.3 nad 100 m3</t>
  </si>
  <si>
    <t>8</t>
  </si>
  <si>
    <t>133301102R00</t>
  </si>
  <si>
    <t>Hloubení šachet v hor.4 nad 100 m3</t>
  </si>
  <si>
    <t>9</t>
  </si>
  <si>
    <t>130001101R00</t>
  </si>
  <si>
    <t>Příplatek za ztížené hloubení v blízkosti vedení</t>
  </si>
  <si>
    <t>14</t>
  </si>
  <si>
    <t>Ražení a hloubení tunelářské</t>
  </si>
  <si>
    <t>10</t>
  </si>
  <si>
    <t>141721101R00</t>
  </si>
  <si>
    <t>Řízené protlačení a vtažení PE d 63 mm, hor.1 - 4</t>
  </si>
  <si>
    <t>14_</t>
  </si>
  <si>
    <t>141700104R00</t>
  </si>
  <si>
    <t>Protlak neřízený s chráničkou HDPE 110 mm v hor.1 - 4 - podchody asfaltové MK</t>
  </si>
  <si>
    <t>16</t>
  </si>
  <si>
    <t>Přemístění výkopku</t>
  </si>
  <si>
    <t>162601102R00</t>
  </si>
  <si>
    <t>Vodorovné přemístění výkopku z hor.1-4 do 5000 m - zemina</t>
  </si>
  <si>
    <t>16_</t>
  </si>
  <si>
    <t>162701105R00</t>
  </si>
  <si>
    <t>Vodorovné přemístění odstraněného asfaltu k recyklaci - do 10000 m</t>
  </si>
  <si>
    <t>RTS I / 2023</t>
  </si>
  <si>
    <t>162702199R00</t>
  </si>
  <si>
    <t>Poplatek za recyklaci odstraněného asfaltového krytu</t>
  </si>
  <si>
    <t>t</t>
  </si>
  <si>
    <t>17</t>
  </si>
  <si>
    <t>Konstrukce ze zemin</t>
  </si>
  <si>
    <t>15</t>
  </si>
  <si>
    <t>174101101R00</t>
  </si>
  <si>
    <t>Zásyp jam, rýh, šachet se zhutněním</t>
  </si>
  <si>
    <t>17_</t>
  </si>
  <si>
    <t>175101101R00</t>
  </si>
  <si>
    <t>Obsyp potrubí bez prohození sypaniny</t>
  </si>
  <si>
    <t>171206111R00</t>
  </si>
  <si>
    <t>Uložení zemin do násypů předeps. tvarů s urovnáním - skládka</t>
  </si>
  <si>
    <t>18</t>
  </si>
  <si>
    <t>Povrchové úpravy terénu</t>
  </si>
  <si>
    <t>181301103R00</t>
  </si>
  <si>
    <t>Rozprostření ornice, rovina, tl. 15-20 cm,do 500m2</t>
  </si>
  <si>
    <t>18_</t>
  </si>
  <si>
    <t>19</t>
  </si>
  <si>
    <t>180401211R00</t>
  </si>
  <si>
    <t>Založení trávníku lučního výsevem v rovině</t>
  </si>
  <si>
    <t>45</t>
  </si>
  <si>
    <t>Podkladní a vedlejší konstrukce (inženýr. stavby kromě vozovek a železnič. svršku)</t>
  </si>
  <si>
    <t>20</t>
  </si>
  <si>
    <t>451572111R00</t>
  </si>
  <si>
    <t>Lože pod potrubí z kameniva těženého 0 - 4 mm</t>
  </si>
  <si>
    <t>45_</t>
  </si>
  <si>
    <t>SO-301a_4_</t>
  </si>
  <si>
    <t>56</t>
  </si>
  <si>
    <t>Podkladní vrstvy komunikací, letišť a ploch</t>
  </si>
  <si>
    <t>21</t>
  </si>
  <si>
    <t>564861111RT4</t>
  </si>
  <si>
    <t>Podklad ze štěrkodrti 0/63 mm po zhutnění tloušťky 20 cm - oprava výkopů</t>
  </si>
  <si>
    <t>56_</t>
  </si>
  <si>
    <t>SO-301a_5_</t>
  </si>
  <si>
    <t>22</t>
  </si>
  <si>
    <t>567122114R00</t>
  </si>
  <si>
    <t>Podklad z kameniva zpev.cementem SC C8/10 tl.15 cm</t>
  </si>
  <si>
    <t>57</t>
  </si>
  <si>
    <t>Kryty pozemních komunikací, letišť a ploch z kameniva nebo živičné</t>
  </si>
  <si>
    <t>23</t>
  </si>
  <si>
    <t>577141112R00</t>
  </si>
  <si>
    <t>Beton asfalt. ACO 11+,nebo ACO 16+,do 3 m, tl.5 cm</t>
  </si>
  <si>
    <t>57_</t>
  </si>
  <si>
    <t>24</t>
  </si>
  <si>
    <t>577161224R00</t>
  </si>
  <si>
    <t>Beton asfalt. ACL 22 ložný, š. do 3 m, tl. 7 cm</t>
  </si>
  <si>
    <t>85</t>
  </si>
  <si>
    <t>Potrubí z trub litinových</t>
  </si>
  <si>
    <t>25</t>
  </si>
  <si>
    <t>857242121R00</t>
  </si>
  <si>
    <t>Montáž tvarovek litin. jednoos.přír. výkop DN 50-80</t>
  </si>
  <si>
    <t>kus</t>
  </si>
  <si>
    <t>85_</t>
  </si>
  <si>
    <t>SO-301a_8_</t>
  </si>
  <si>
    <t>26</t>
  </si>
  <si>
    <t>857244121R00</t>
  </si>
  <si>
    <t>Montáž tvarovek litin. odboč. přír. výkop DN 50-80</t>
  </si>
  <si>
    <t>89</t>
  </si>
  <si>
    <t>Ostatní konstrukce</t>
  </si>
  <si>
    <t>27</t>
  </si>
  <si>
    <t>891241111R00</t>
  </si>
  <si>
    <t>Montáž vodovodních šoupátek ve výkopu DN 50</t>
  </si>
  <si>
    <t>89_</t>
  </si>
  <si>
    <t>28</t>
  </si>
  <si>
    <t>891247111R00</t>
  </si>
  <si>
    <t>Montáž hydrantů podzemních DN 80</t>
  </si>
  <si>
    <t>29</t>
  </si>
  <si>
    <t>899401112R00</t>
  </si>
  <si>
    <t>Osazení poklopů litinových šoupátkových</t>
  </si>
  <si>
    <t>30</t>
  </si>
  <si>
    <t>899401113R00</t>
  </si>
  <si>
    <t>Osazení poklopů litinových hydrantových</t>
  </si>
  <si>
    <t>31</t>
  </si>
  <si>
    <t>892241111R00</t>
  </si>
  <si>
    <t>Tlaková zkouška vodovodního potrubí DN 50</t>
  </si>
  <si>
    <t>32</t>
  </si>
  <si>
    <t>892233111R00</t>
  </si>
  <si>
    <t>Desinfekce vodovodního potrubí DN 50</t>
  </si>
  <si>
    <t>33</t>
  </si>
  <si>
    <t>899713111R00</t>
  </si>
  <si>
    <t>Orientační tabulky na sloupku ocelovém, včetně sloupku Dl. 2,5 m</t>
  </si>
  <si>
    <t>34</t>
  </si>
  <si>
    <t>899731113R00</t>
  </si>
  <si>
    <t>Vodič signalizační CYY 6 mm2 (nebo izolované lanko)</t>
  </si>
  <si>
    <t>91</t>
  </si>
  <si>
    <t>Doplňující konstrukce a práce na pozemních komunikacích a zpevněných plochách</t>
  </si>
  <si>
    <t>35</t>
  </si>
  <si>
    <t>919735113R00</t>
  </si>
  <si>
    <t>Řezání stávajícího živičného krytu tl. 10 - 15 cm</t>
  </si>
  <si>
    <t>91_</t>
  </si>
  <si>
    <t>SO-301a_9_</t>
  </si>
  <si>
    <t>36</t>
  </si>
  <si>
    <t>919722212R00</t>
  </si>
  <si>
    <t>Zálivka pracovních spár živičného krytu, za tepla</t>
  </si>
  <si>
    <t>M</t>
  </si>
  <si>
    <t>Ostatní materiál</t>
  </si>
  <si>
    <t>37</t>
  </si>
  <si>
    <t>286134321</t>
  </si>
  <si>
    <t>Trubka vodovodní PE100 RC-2 s ochr. vrstvou, SDR 11, PN 16, 63x5,8 mm</t>
  </si>
  <si>
    <t>0</t>
  </si>
  <si>
    <t>Z99999_</t>
  </si>
  <si>
    <t>SO-301a_Z_</t>
  </si>
  <si>
    <t>38</t>
  </si>
  <si>
    <t>286134133</t>
  </si>
  <si>
    <t>Trubka vodovodní PE100, SDR 11, PN 16, 110x10 mm - chránička podvrtů</t>
  </si>
  <si>
    <t>39</t>
  </si>
  <si>
    <t>286538005</t>
  </si>
  <si>
    <t>Elektrotvarovka - spojka d63, SDR 11, PE 100</t>
  </si>
  <si>
    <t>40</t>
  </si>
  <si>
    <t>286538109</t>
  </si>
  <si>
    <t>Elektrotvarovka - koleno 45° d63, SDR 11, PE 100</t>
  </si>
  <si>
    <t>41</t>
  </si>
  <si>
    <t>286538095</t>
  </si>
  <si>
    <t>Elektrotvarovka - koleno 90° d63, SDR 11, PE 100</t>
  </si>
  <si>
    <t>42</t>
  </si>
  <si>
    <t>28653596</t>
  </si>
  <si>
    <t>Nákružek lemový tlakový PEHD d63 mm + příruba DN 50</t>
  </si>
  <si>
    <t>43</t>
  </si>
  <si>
    <t>42227202</t>
  </si>
  <si>
    <t>Šoupátko přírubové DN 50 měkcetěsnící, F4, PN 10, č. 4000E1CZ</t>
  </si>
  <si>
    <t>44</t>
  </si>
  <si>
    <t>422736062</t>
  </si>
  <si>
    <t>Hydrant podzemní, jednoduché jištění, DN 80, PN 10, krytí 1250 mm, č.K244</t>
  </si>
  <si>
    <t>42291020</t>
  </si>
  <si>
    <t>Souprava zemní teleskopická 1,3-1,8 m pro šoupátka DN 50. č. 9500E1CZ</t>
  </si>
  <si>
    <t>46</t>
  </si>
  <si>
    <t>42291352</t>
  </si>
  <si>
    <t>Poklop litinový šoupátkový</t>
  </si>
  <si>
    <t>47</t>
  </si>
  <si>
    <t>42291452</t>
  </si>
  <si>
    <t>Poklop litinový hydrantový</t>
  </si>
  <si>
    <t>48</t>
  </si>
  <si>
    <t>592110050000</t>
  </si>
  <si>
    <t>Podkladní deska šoupatového poklopu</t>
  </si>
  <si>
    <t>49</t>
  </si>
  <si>
    <t>59227960</t>
  </si>
  <si>
    <t>Podkladní deska hydrantová</t>
  </si>
  <si>
    <t>50</t>
  </si>
  <si>
    <t>552599932</t>
  </si>
  <si>
    <t>Litinová přírubová odbočka T DN 50/50, tvárná litina</t>
  </si>
  <si>
    <t>51</t>
  </si>
  <si>
    <t>5526009702</t>
  </si>
  <si>
    <t>Litinové přírubové koleno s patkou PP (N) DN 80, tvárná litina</t>
  </si>
  <si>
    <t>52</t>
  </si>
  <si>
    <t>552701041</t>
  </si>
  <si>
    <t>Litinový přírubový přechod RP (FFR) - DN 80x50, tvárná litina</t>
  </si>
  <si>
    <t>53</t>
  </si>
  <si>
    <t>55260046</t>
  </si>
  <si>
    <t>Příruba zaslepovací XG DN50mm, vnitř. závit 2"</t>
  </si>
  <si>
    <t>54</t>
  </si>
  <si>
    <t>27322613</t>
  </si>
  <si>
    <t>Těsnění ploché přírubových spojů DN 50</t>
  </si>
  <si>
    <t>55</t>
  </si>
  <si>
    <t>27322311</t>
  </si>
  <si>
    <t>Těsnění ploché přírubových spojů DN 80</t>
  </si>
  <si>
    <t>309001160000</t>
  </si>
  <si>
    <t>Šroub M16x80 mm + matice M16 nerez A2</t>
  </si>
  <si>
    <t>311240220000</t>
  </si>
  <si>
    <t>Podložka nerez M16, A2</t>
  </si>
  <si>
    <t>58</t>
  </si>
  <si>
    <t>58337320R</t>
  </si>
  <si>
    <t>Štěrkopísek nebo recyklát frakce 0-8</t>
  </si>
  <si>
    <t>T</t>
  </si>
  <si>
    <t>VORN</t>
  </si>
  <si>
    <t>Vedlejší a ostatní rozpočtové náklady</t>
  </si>
  <si>
    <t>01VRN</t>
  </si>
  <si>
    <t>Průzkumy, geodetické a projektové práce</t>
  </si>
  <si>
    <t>59</t>
  </si>
  <si>
    <t>012002VRN</t>
  </si>
  <si>
    <t>Geodetické práce - vytýčení a zaměření stavby, skutečné provedení</t>
  </si>
  <si>
    <t>Soubor</t>
  </si>
  <si>
    <t>99</t>
  </si>
  <si>
    <t>01VRN_</t>
  </si>
  <si>
    <t>SO-301a_Â _</t>
  </si>
  <si>
    <t>03VRN</t>
  </si>
  <si>
    <t>Zařízení staveniště</t>
  </si>
  <si>
    <t>60</t>
  </si>
  <si>
    <t>030001VRN</t>
  </si>
  <si>
    <t>03VRN_</t>
  </si>
  <si>
    <t>06VRN</t>
  </si>
  <si>
    <t>Územní vlivy</t>
  </si>
  <si>
    <t>61</t>
  </si>
  <si>
    <t>062002VRN</t>
  </si>
  <si>
    <t>Dopravní vlivy - dopravní opatření + DIO</t>
  </si>
  <si>
    <t>06VRN_</t>
  </si>
  <si>
    <t>Rozvodný řad "1-1"</t>
  </si>
  <si>
    <t>SO-301b</t>
  </si>
  <si>
    <t>62</t>
  </si>
  <si>
    <t>SO-301b_1_</t>
  </si>
  <si>
    <t>SO-301b_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</si>
  <si>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</si>
  <si>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</si>
  <si>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</si>
  <si>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</si>
  <si>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</si>
  <si>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</si>
  <si>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</si>
  <si>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</si>
  <si>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</si>
  <si>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</si>
  <si>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</si>
  <si>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SO-301b_4_</t>
  </si>
  <si>
    <t>74</t>
  </si>
  <si>
    <t>Podklad ze štěrkodrti 0/63 mm po zhutnění tloušťky 20 cm - oprava cesty</t>
  </si>
  <si>
    <t>SO-301b_5_</t>
  </si>
  <si>
    <t>75</t>
  </si>
  <si>
    <t>564831111RT2</t>
  </si>
  <si>
    <t>Podklad ze štěrkodrti 0/32 mm po zhutnění tloušťky 10 cm - oprava cesty</t>
  </si>
  <si>
    <t>76</t>
  </si>
  <si>
    <t>SO-301b_8_</t>
  </si>
  <si>
    <t>77</t>
  </si>
  <si>
    <t>78</t>
  </si>
  <si>
    <t>79</t>
  </si>
  <si>
    <t>80</t>
  </si>
  <si>
    <t>81</t>
  </si>
  <si>
    <t>82</t>
  </si>
  <si>
    <t>83</t>
  </si>
  <si>
    <t>84</t>
  </si>
  <si>
    <t>SO-301b_Z_</t>
  </si>
  <si>
    <t>86</t>
  </si>
  <si>
    <t>87</t>
  </si>
  <si>
    <t>88</t>
  </si>
  <si>
    <t>Hydrant podzemní, jednoduché jištění, DN 80, PN 10, krytí 1250 mm, č. K244</t>
  </si>
  <si>
    <t>90</t>
  </si>
  <si>
    <t>Souprava zemní teleskopická 1,3-1,8 m pro šoupátka DN 50, č. 9500E1CZ</t>
  </si>
  <si>
    <t>92</t>
  </si>
  <si>
    <t>93</t>
  </si>
  <si>
    <t>94</t>
  </si>
  <si>
    <t>95</t>
  </si>
  <si>
    <t>96</t>
  </si>
  <si>
    <t>97</t>
  </si>
  <si>
    <t>98</t>
  </si>
  <si>
    <t>100</t>
  </si>
  <si>
    <t>101</t>
  </si>
  <si>
    <t>102</t>
  </si>
  <si>
    <t>SO-301b_Â _</t>
  </si>
  <si>
    <t>103</t>
  </si>
  <si>
    <t>Celkem:</t>
  </si>
  <si>
    <t>Poznámka:</t>
  </si>
  <si>
    <t>Výkaz výměr</t>
  </si>
  <si>
    <t>Objekt</t>
  </si>
  <si>
    <t>Potřebné množství</t>
  </si>
  <si>
    <t>5,0*2,0*0,15</t>
  </si>
  <si>
    <t>11*0,8*1,35*0,4</t>
  </si>
  <si>
    <t>11*0,8*1,35*0,6</t>
  </si>
  <si>
    <t>(7*2,0*1,0*1,35)*0,4</t>
  </si>
  <si>
    <t>(7*2,0*1,0*1,35)*0,6</t>
  </si>
  <si>
    <t>4*0,8*1,35</t>
  </si>
  <si>
    <t>431-4</t>
  </si>
  <si>
    <t>1,14+2,28</t>
  </si>
  <si>
    <t>25*0,15</t>
  </si>
  <si>
    <t>25*0,15*2,5</t>
  </si>
  <si>
    <t>(11*0,8*1,35)+(7*2,0*1,0*1,35)-1,14-2,28</t>
  </si>
  <si>
    <t>11*0,8*0,1+7*2,0*1,0*0,1</t>
  </si>
  <si>
    <t>3,42</t>
  </si>
  <si>
    <t>5,0*2,0</t>
  </si>
  <si>
    <t>11*0,8*0,05+7*2,0*1,0*0,05</t>
  </si>
  <si>
    <t>25*1,1</t>
  </si>
  <si>
    <t>431</t>
  </si>
  <si>
    <t>450</t>
  </si>
  <si>
    <t>14*4+6*8</t>
  </si>
  <si>
    <t>(14*4+6*8)*2</t>
  </si>
  <si>
    <t>2,28*1,8</t>
  </si>
  <si>
    <t>3,0*2,0*0,15</t>
  </si>
  <si>
    <t>(2,0*1,0*1,35)*0,4</t>
  </si>
  <si>
    <t>(2,0*1,0*1,35)*0,6</t>
  </si>
  <si>
    <t>0,20+0,10</t>
  </si>
  <si>
    <t>(2,0*1,0*1,35)-0,20-0,10</t>
  </si>
  <si>
    <t>2,0*1,0*0,1</t>
  </si>
  <si>
    <t>0,30</t>
  </si>
  <si>
    <t>3,0*2,0</t>
  </si>
  <si>
    <t>2,0*1,0*0,05</t>
  </si>
  <si>
    <t>2*1,0</t>
  </si>
  <si>
    <t>2*4+2*8</t>
  </si>
  <si>
    <t>(2*4+2*8)*2</t>
  </si>
  <si>
    <t>0,20*1,8</t>
  </si>
  <si>
    <t>Krycí list slepého rozpočtu</t>
  </si>
  <si>
    <t>IČO/DIČ:</t>
  </si>
  <si>
    <t>00260096/CZ00260096</t>
  </si>
  <si>
    <t>61130494/CZ7305252306</t>
  </si>
  <si>
    <t>Položek: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</si>
  <si>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</si>
  <si>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</si>
  <si>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</si>
  <si>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</si>
  <si>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</si>
  <si>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</si>
  <si>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</si>
  <si>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</si>
  <si>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</si>
  <si>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</si>
  <si>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Práce přesčas</t>
  </si>
  <si>
    <t>Bez pevné podl.</t>
  </si>
  <si>
    <t>Mimostav. doprava</t>
  </si>
  <si>
    <t>PSV</t>
  </si>
  <si>
    <t>Kulturní památka</t>
  </si>
  <si>
    <t>Provozní vlivy</t>
  </si>
  <si>
    <t>"M"</t>
  </si>
  <si>
    <t>Ostatní</t>
  </si>
  <si>
    <t>NUS z rozpočtu</t>
  </si>
  <si>
    <t>Přesun hmot a sutí</t>
  </si>
  <si>
    <t>ZRN celkem</t>
  </si>
  <si>
    <t>DN celkem</t>
  </si>
  <si>
    <t>NUS celkem</t>
  </si>
  <si>
    <t>DN celkem z obj.</t>
  </si>
  <si>
    <t>NUS celkem z obj.</t>
  </si>
  <si>
    <t>VORN celkem</t>
  </si>
  <si>
    <t>VORN celkem z obj.</t>
  </si>
  <si>
    <t>Základ 0%</t>
  </si>
  <si>
    <t>Základ 12%</t>
  </si>
  <si>
    <t>DPH 12%</t>
  </si>
  <si>
    <t>Celkem bez DPH</t>
  </si>
  <si>
    <t>Základ 21%</t>
  </si>
  <si>
    <t>DPH 21%</t>
  </si>
  <si>
    <t>Celkem včetně DPH</t>
  </si>
  <si>
    <t>Projektant</t>
  </si>
  <si>
    <t>Objednatel</t>
  </si>
  <si>
    <t>Zhotovitel</t>
  </si>
  <si>
    <t>Datum, razítko a podpis</t>
  </si>
  <si>
    <t>Vedlejší rozpočtové náklady VRN</t>
  </si>
  <si>
    <t>Doplňkové náklady DN</t>
  </si>
  <si>
    <t>Kč</t>
  </si>
  <si>
    <t>%</t>
  </si>
  <si>
    <t>Základna</t>
  </si>
  <si>
    <t>Celkem DN</t>
  </si>
  <si>
    <t>Celkem NUS</t>
  </si>
  <si>
    <t>Celkem VRN</t>
  </si>
  <si>
    <t>Vedlejší a ostatní rozpočtové náklady VORN</t>
  </si>
  <si>
    <t>Ostatní rozpočtové náklady (VORN)</t>
  </si>
  <si>
    <t>Příprava staveniště</t>
  </si>
  <si>
    <t>Inženýrské činnosti</t>
  </si>
  <si>
    <t>Finanční náklady</t>
  </si>
  <si>
    <t>Náklady na pracovníky</t>
  </si>
  <si>
    <t>Ostatní náklady</t>
  </si>
  <si>
    <t>Vlastní VORN</t>
  </si>
  <si>
    <t>Celkem VORN</t>
  </si>
</sst>
</file>

<file path=xl/styles.xml><?xml version="1.0" encoding="utf-8"?>
<styleSheet xmlns="http://schemas.openxmlformats.org/spreadsheetml/2006/main">
  <numFmts count="0"/>
  <fonts count="11">
    <font>
      <sz val="11"/>
      <name val="Calibri"/>
      <charset val="1"/>
    </font>
    <font>
      <color rgb="FF000000"/>
      <sz val="18"/>
      <name val="Arial"/>
      <charset val="238"/>
    </font>
    <font>
      <color rgb="FF000000"/>
      <sz val="10"/>
      <name val="Arial"/>
      <charset val="238"/>
      <b/>
    </font>
    <font>
      <color rgb="FF000000"/>
      <sz val="10"/>
      <name val="Arial"/>
      <charset val="238"/>
    </font>
    <font>
      <color rgb="FF000000"/>
      <sz val="8"/>
      <name val="Arial"/>
      <charset val="238"/>
      <i/>
    </font>
    <font>
      <color rgb="FF000000"/>
      <sz val="9"/>
      <name val="Arial"/>
      <charset val="238"/>
      <i/>
    </font>
    <font>
      <color rgb="FF000000"/>
      <sz val="18"/>
      <name val="Arial"/>
      <charset val="238"/>
      <b/>
    </font>
    <font>
      <color rgb="FF000000"/>
      <sz val="20"/>
      <name val="Arial"/>
      <charset val="238"/>
      <b/>
    </font>
    <font>
      <color rgb="FF000000"/>
      <sz val="11"/>
      <name val="Arial"/>
      <charset val="238"/>
      <b/>
    </font>
    <font>
      <color rgb="FF000000"/>
      <sz val="12"/>
      <name val="Arial"/>
      <charset val="238"/>
      <b/>
    </font>
    <font>
      <color rgb="FF000000"/>
      <sz val="12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8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borderId="0" fillId="0" fontId="0" numFmtId="0"/>
  </cellStyleXfs>
  <cellXfs count="158">
    <xf applyAlignment="true" applyBorder="true" applyFill="true" applyNumberFormat="true" applyFont="true" applyProtection="true" borderId="0" fillId="0" fontId="0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1" fillId="0" fontId="1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0" fillId="2" fontId="2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2" fillId="0" fontId="3" numFmtId="0" xfId="0">
      <alignment horizontal="left" vertical="center" textRotation="0" shrinkToFit="false" wrapText="true"/>
      <protection hidden="false" locked="true"/>
    </xf>
    <xf applyAlignment="true" applyBorder="true" applyFill="true" applyNumberFormat="true" applyFont="true" applyProtection="true" borderId="3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3" fillId="0" fontId="2" numFmtId="0" xfId="0">
      <alignment horizontal="left" vertical="center" textRotation="0" shrinkToFit="false" wrapText="true"/>
      <protection hidden="false" locked="true"/>
    </xf>
    <xf applyAlignment="true" applyBorder="true" applyFill="true" applyNumberFormat="true" applyFont="true" applyProtection="true" borderId="3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3" fillId="0" fontId="3" numFmtId="0" xfId="0">
      <alignment horizontal="left" vertical="center" textRotation="0" shrinkToFit="false" wrapText="true"/>
      <protection hidden="false" locked="true"/>
    </xf>
    <xf applyAlignment="true" applyBorder="true" applyFill="true" applyNumberFormat="true" applyFont="true" applyProtection="true" borderId="4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5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6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5" fillId="0" fontId="3" numFmtId="0" xfId="0">
      <alignment horizontal="left" vertical="center" textRotation="0" shrinkToFit="false" wrapText="true"/>
      <protection hidden="false" locked="true"/>
    </xf>
    <xf applyAlignment="true" applyBorder="true" applyFill="true" applyNumberFormat="true" applyFont="true" applyProtection="true" borderId="0" fillId="0" fontId="3" numFmtId="0" xfId="0">
      <alignment horizontal="left" vertical="center" textRotation="0" shrinkToFit="false" wrapText="true"/>
      <protection hidden="false" locked="true"/>
    </xf>
    <xf applyAlignment="true" applyBorder="true" applyFill="true" applyNumberFormat="true" applyFont="true" applyProtection="true" borderId="7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8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9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10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11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12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13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11" fillId="0" fontId="2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14" fillId="0" fontId="2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15" fillId="0" fontId="2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16" fillId="0" fontId="2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17" fillId="0" fontId="2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18" fillId="0" fontId="2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0" fillId="2" fontId="2" numFmtId="0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2" numFmtId="0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19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20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21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22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23" fillId="0" fontId="2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24" fillId="0" fontId="2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25" fillId="0" fontId="2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26" fillId="0" fontId="2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27" fillId="0" fontId="2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28" fillId="2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29" fillId="2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29" fillId="2" fontId="2" numFmtId="0" xfId="0">
      <alignment horizontal="left" vertical="center" textRotation="0" shrinkToFit="false" wrapText="true"/>
      <protection hidden="false" locked="true"/>
    </xf>
    <xf applyAlignment="true" applyBorder="true" applyFill="true" applyNumberFormat="true" applyFont="true" applyProtection="true" borderId="29" fillId="2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29" fillId="2" fontId="2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30" fillId="2" fontId="2" numFmtId="0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5" fillId="2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0" fillId="2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0" fillId="2" fontId="2" numFmtId="0" xfId="0">
      <alignment horizontal="left" vertical="center" textRotation="0" shrinkToFit="false" wrapText="true"/>
      <protection hidden="false" locked="true"/>
    </xf>
    <xf applyAlignment="true" applyBorder="true" applyFill="true" applyNumberFormat="true" applyFont="true" applyProtection="true" borderId="0" fillId="2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6" fillId="2" fontId="2" numFmtId="0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3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6" fillId="0" fontId="3" numFmtId="0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3" numFmtId="0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31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32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32" fillId="0" fontId="3" numFmtId="0" xfId="0">
      <alignment horizontal="left" vertical="center" textRotation="0" shrinkToFit="false" wrapText="true"/>
      <protection hidden="false" locked="true"/>
    </xf>
    <xf applyAlignment="true" applyBorder="true" applyFill="true" applyNumberFormat="true" applyFont="true" applyProtection="true" borderId="32" fillId="0" fontId="3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33" fillId="0" fontId="3" numFmtId="0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34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34" fillId="0" fontId="2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4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35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36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37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38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39" fillId="0" fontId="2" numFmtId="0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40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28" fillId="2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29" fillId="2" fontId="2" numFmtId="0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6" fillId="0" fontId="3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5" fillId="0" fontId="0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5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5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6" fillId="0" fontId="0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5" fillId="2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31" fillId="0" fontId="0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32" fillId="0" fontId="0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32" fillId="0" fontId="5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32" fillId="0" fontId="5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33" fillId="0" fontId="0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1" fillId="0" fontId="1" numFmtId="0" xfId="0">
      <alignment horizontal="center" vertical="center" textRotation="0" shrinkToFit="false" wrapText="true"/>
      <protection hidden="false" locked="true"/>
    </xf>
    <xf applyAlignment="true" applyBorder="true" applyFill="true" applyNumberFormat="true" applyFont="true" applyProtection="true" borderId="6" fillId="0" fontId="3" numFmtId="1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6" fillId="0" fontId="3" numFmtId="0" xfId="0">
      <alignment horizontal="left" vertical="center" textRotation="0" shrinkToFit="false" wrapText="true"/>
      <protection hidden="false" locked="true"/>
    </xf>
    <xf applyAlignment="true" applyBorder="true" applyFill="true" applyNumberFormat="true" applyFont="true" applyProtection="true" borderId="33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1" fillId="0" fontId="6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42" fillId="2" fontId="7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43" fillId="0" fontId="8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4" fillId="0" fontId="8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5" fillId="2" fontId="7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46" fillId="0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7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7" fillId="0" fontId="10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48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9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7" fillId="0" fontId="10" numFmtId="0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50" fillId="0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51" fillId="0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9" fillId="0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52" fillId="0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53" fillId="0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54" fillId="0" fontId="10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55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53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54" fillId="0" fontId="10" numFmtId="0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56" fillId="0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4" fillId="0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5" fillId="0" fontId="10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43" fillId="0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25" fillId="0" fontId="10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48" fillId="0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56" fillId="2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57" fillId="2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4" fillId="2" fontId="9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51" fillId="2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58" fillId="2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9" fillId="2" fontId="9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43" fillId="2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8" fillId="2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59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60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61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62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63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64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65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66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67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68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69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29" fillId="0" fontId="4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8" fillId="0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15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16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17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70" fillId="0" fontId="2" numFmtId="0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51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58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9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7" fillId="0" fontId="3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47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71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72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73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74" fillId="0" fontId="3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74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75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76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77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78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78" fillId="0" fontId="2" numFmtId="0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78" fillId="0" fontId="2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75" fillId="0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76" fillId="0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77" fillId="0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79" fillId="0" fontId="9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76" fillId="0" fontId="9" numFmtId="0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77" fillId="0" fontId="9" numFmtId="0" xfId="0">
      <alignment horizontal="right" vertical="center" textRotation="0" shrinkToFit="false" wrapText="false"/>
      <protection hidden="false" locked="true"/>
    </xf>
  </cellXfs>
  <dxfs count="0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/xl/media/image1.jpeg" /></Relationships>
</file>

<file path=xl/drawings/_rels/drawing2.xml.rels><?xml version="1.0" encoding="utf-8"?><Relationships xmlns="http://schemas.openxmlformats.org/package/2006/relationships"><Relationship Id="rId1" Type="http://schemas.openxmlformats.org/officeDocument/2006/relationships/image" Target="/xl/media/image1.jpeg" /></Relationships>
</file>

<file path=xl/drawings/_rels/drawing3.xml.rels><?xml version="1.0" encoding="utf-8"?><Relationships xmlns="http://schemas.openxmlformats.org/package/2006/relationships"><Relationship Id="rId1" Type="http://schemas.openxmlformats.org/officeDocument/2006/relationships/image" Target="/xl/media/image1.jpeg" /></Relationships>
</file>

<file path=xl/drawings/_rels/drawing4.xml.rels><?xml version="1.0" encoding="utf-8"?><Relationships xmlns="http://schemas.openxmlformats.org/package/2006/relationships"><Relationship Id="rId1" Type="http://schemas.openxmlformats.org/officeDocument/2006/relationships/image" Target="/xl/media/image1.jpeg" /></Relationships>
</file>

<file path=xl/drawings/drawing1.xml><?xml version="1.0" encoding="utf-8"?>
<xdr:wsDr xmlns:a="http://schemas.openxmlformats.org/drawingml/2006/main" xmlns:xdr="http://schemas.openxmlformats.org/drawingml/2006/spreadsheetDrawing">
  <xdr:absoluteAnchor>
    <xdr:pos x="0" y="0"/>
    <xdr:ext cx="666750" cy="666750"/>
    <xdr:pic>
      <xdr:nvPicPr>
        <xdr:cNvPr id="1" name=""/>
        <xdr:cNvPicPr>
          <a:picLocks noChangeAspect="true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2.xml><?xml version="1.0" encoding="utf-8"?>
<xdr:wsDr xmlns:a="http://schemas.openxmlformats.org/drawingml/2006/main" xmlns:xdr="http://schemas.openxmlformats.org/drawingml/2006/spreadsheetDrawing">
  <xdr:absoluteAnchor>
    <xdr:pos x="0" y="0"/>
    <xdr:ext cx="666750" cy="666750"/>
    <xdr:pic>
      <xdr:nvPicPr>
        <xdr:cNvPr id="1" name=""/>
        <xdr:cNvPicPr>
          <a:picLocks noChangeAspect="true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3.xml><?xml version="1.0" encoding="utf-8"?>
<xdr:wsDr xmlns:a="http://schemas.openxmlformats.org/drawingml/2006/main" xmlns:xdr="http://schemas.openxmlformats.org/drawingml/2006/spreadsheetDrawing">
  <xdr:absoluteAnchor>
    <xdr:pos x="0" y="0"/>
    <xdr:ext cx="666750" cy="666750"/>
    <xdr:pic>
      <xdr:nvPicPr>
        <xdr:cNvPr id="1" name=""/>
        <xdr:cNvPicPr>
          <a:picLocks noChangeAspect="true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4.xml><?xml version="1.0" encoding="utf-8"?>
<xdr:wsDr xmlns:a="http://schemas.openxmlformats.org/drawingml/2006/main" xmlns:xdr="http://schemas.openxmlformats.org/drawingml/2006/spreadsheetDrawing">
  <xdr:absoluteAnchor>
    <xdr:pos x="0" y="0"/>
    <xdr:ext cx="666750" cy="666750"/>
    <xdr:pic>
      <xdr:nvPicPr>
        <xdr:cNvPr id="1" name=""/>
        <xdr:cNvPicPr>
          <a:picLocks noChangeAspect="true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worksheets/_rels/sheet1.xml.rels>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outlinePr summaryBelow="true" summaryRight="true"/>
    <pageSetUpPr fitToPage="true"/>
  </sheetPr>
  <dimension ref="A1:BX152"/>
  <sheetViews>
    <sheetView workbookViewId="0" tabSelected="true" showZeros="true" showFormulas="false" showGridLines="true" showRowColHeaders="true">
      <pane topLeftCell="A12" state="frozen" activePane="bottomLeft" ySplit="11"/>
      <selection pane="bottomLeft" sqref="A152:K152" activeCell="A152"/>
    </sheetView>
  </sheetViews>
  <sheetFormatPr defaultColWidth="12.140625" customHeight="true" defaultRowHeight="15"/>
  <cols>
    <col max="1" min="1" style="0" width="3.99609375" customWidth="true"/>
    <col max="2" min="2" style="0" width="17.85546875" customWidth="true"/>
    <col max="3" min="3" style="0" width="28.5703125" customWidth="true"/>
    <col max="4" min="4" style="0" width="35.7109375" customWidth="true"/>
    <col max="5" min="5" style="0" width="6.7109375" customWidth="true"/>
    <col max="6" min="6" style="0" width="12.85546875" customWidth="true"/>
    <col max="7" min="7" style="0" width="12" customWidth="true"/>
    <col max="10" min="8" style="0" width="15.7109375" customWidth="true"/>
    <col max="11" min="11" style="0" width="13.42578125" customWidth="true"/>
    <col max="75" min="25" style="0" width="12.140625" hidden="true"/>
    <col max="76" min="76" style="0" width="64.28515625" customWidth="true" hidden="true"/>
    <col max="78" min="77" style="0" width="12.140625" hidden="true"/>
  </cols>
  <sheetData>
    <row r="1" customHeight="true" ht="54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AS1" s="2">
        <f>SUM(AJ1:AJ2)</f>
      </c>
      <c r="AT1" s="2">
        <f>SUM(AK1:AK2)</f>
      </c>
      <c r="AU1" s="2">
        <f>SUM(AL1:AL2)</f>
      </c>
    </row>
    <row r="2">
      <c r="A2" s="3" t="s">
        <v>1</v>
      </c>
      <c r="B2" s="4"/>
      <c r="C2" s="5" t="s">
        <v>2</v>
      </c>
      <c r="D2" s="6"/>
      <c r="E2" s="4" t="s">
        <v>3</v>
      </c>
      <c r="F2" s="4"/>
      <c r="G2" s="4" t="s">
        <v>4</v>
      </c>
      <c r="H2" s="7" t="s">
        <v>5</v>
      </c>
      <c r="I2" s="7" t="s">
        <v>6</v>
      </c>
      <c r="J2" s="4"/>
      <c r="K2" s="8"/>
    </row>
    <row r="3">
      <c r="A3" s="9"/>
      <c r="B3" s="10"/>
      <c r="C3" s="11"/>
      <c r="D3" s="11"/>
      <c r="E3" s="10"/>
      <c r="F3" s="10"/>
      <c r="G3" s="10"/>
      <c r="H3" s="10"/>
      <c r="I3" s="10"/>
      <c r="J3" s="10"/>
      <c r="K3" s="12"/>
    </row>
    <row r="4">
      <c r="A4" s="13" t="s">
        <v>7</v>
      </c>
      <c r="B4" s="10"/>
      <c r="C4" s="14" t="s">
        <v>8</v>
      </c>
      <c r="D4" s="10"/>
      <c r="E4" s="10" t="s">
        <v>9</v>
      </c>
      <c r="F4" s="10"/>
      <c r="G4" s="10" t="s">
        <v>10</v>
      </c>
      <c r="H4" s="14" t="s">
        <v>11</v>
      </c>
      <c r="I4" s="14" t="s">
        <v>12</v>
      </c>
      <c r="J4" s="10"/>
      <c r="K4" s="12"/>
    </row>
    <row r="5">
      <c r="A5" s="9"/>
      <c r="B5" s="10"/>
      <c r="C5" s="10"/>
      <c r="D5" s="10"/>
      <c r="E5" s="10"/>
      <c r="F5" s="10"/>
      <c r="G5" s="10"/>
      <c r="H5" s="10"/>
      <c r="I5" s="10"/>
      <c r="J5" s="10"/>
      <c r="K5" s="12"/>
    </row>
    <row r="6">
      <c r="A6" s="13" t="s">
        <v>13</v>
      </c>
      <c r="B6" s="10"/>
      <c r="C6" s="14" t="s">
        <v>14</v>
      </c>
      <c r="D6" s="10"/>
      <c r="E6" s="10" t="s">
        <v>15</v>
      </c>
      <c r="F6" s="10"/>
      <c r="G6" s="10" t="s">
        <v>16</v>
      </c>
      <c r="H6" s="14" t="s">
        <v>17</v>
      </c>
      <c r="I6" s="10" t="s">
        <v>18</v>
      </c>
      <c r="J6" s="10"/>
      <c r="K6" s="12"/>
    </row>
    <row r="7">
      <c r="A7" s="9"/>
      <c r="B7" s="10"/>
      <c r="C7" s="10"/>
      <c r="D7" s="10"/>
      <c r="E7" s="10"/>
      <c r="F7" s="10"/>
      <c r="G7" s="10"/>
      <c r="H7" s="10"/>
      <c r="I7" s="10"/>
      <c r="J7" s="10"/>
      <c r="K7" s="12"/>
    </row>
    <row r="8">
      <c r="A8" s="13" t="s">
        <v>19</v>
      </c>
      <c r="B8" s="10"/>
      <c r="C8" s="14" t="s">
        <v>20</v>
      </c>
      <c r="D8" s="10"/>
      <c r="E8" s="10" t="s">
        <v>21</v>
      </c>
      <c r="F8" s="10"/>
      <c r="G8" s="10" t="s">
        <v>22</v>
      </c>
      <c r="H8" s="14" t="s">
        <v>23</v>
      </c>
      <c r="I8" s="14" t="s">
        <v>24</v>
      </c>
      <c r="J8" s="10"/>
      <c r="K8" s="12"/>
    </row>
    <row r="9">
      <c r="A9" s="15"/>
      <c r="B9" s="16"/>
      <c r="C9" s="16"/>
      <c r="D9" s="16"/>
      <c r="E9" s="16"/>
      <c r="F9" s="16"/>
      <c r="G9" s="16"/>
      <c r="H9" s="16"/>
      <c r="I9" s="16"/>
      <c r="J9" s="16"/>
      <c r="K9" s="17"/>
    </row>
    <row r="10">
      <c r="A10" s="18" t="s">
        <v>25</v>
      </c>
      <c r="B10" s="19" t="s">
        <v>26</v>
      </c>
      <c r="C10" s="20" t="s">
        <v>27</v>
      </c>
      <c r="D10" s="21"/>
      <c r="E10" s="19" t="s">
        <v>28</v>
      </c>
      <c r="F10" s="22" t="s">
        <v>29</v>
      </c>
      <c r="G10" s="23" t="s">
        <v>30</v>
      </c>
      <c r="H10" s="24" t="s">
        <v>31</v>
      </c>
      <c r="I10" s="25"/>
      <c r="J10" s="26"/>
      <c r="K10" s="27" t="s">
        <v>32</v>
      </c>
      <c r="BK10" s="28" t="s">
        <v>33</v>
      </c>
      <c r="BL10" s="29" t="s">
        <v>34</v>
      </c>
      <c r="BW10" s="29" t="s">
        <v>35</v>
      </c>
    </row>
    <row r="11">
      <c r="A11" s="30" t="s">
        <v>36</v>
      </c>
      <c r="B11" s="31" t="s">
        <v>36</v>
      </c>
      <c r="C11" s="32" t="s">
        <v>37</v>
      </c>
      <c r="D11" s="33"/>
      <c r="E11" s="31" t="s">
        <v>36</v>
      </c>
      <c r="F11" s="31" t="s">
        <v>36</v>
      </c>
      <c r="G11" s="34" t="s">
        <v>38</v>
      </c>
      <c r="H11" s="35" t="s">
        <v>39</v>
      </c>
      <c r="I11" s="36" t="s">
        <v>40</v>
      </c>
      <c r="J11" s="37" t="s">
        <v>41</v>
      </c>
      <c r="K11" s="38" t="s">
        <v>42</v>
      </c>
      <c r="Z11" s="28" t="s">
        <v>43</v>
      </c>
      <c r="AA11" s="28" t="s">
        <v>44</v>
      </c>
      <c r="AB11" s="28" t="s">
        <v>45</v>
      </c>
      <c r="AC11" s="28" t="s">
        <v>46</v>
      </c>
      <c r="AD11" s="28" t="s">
        <v>47</v>
      </c>
      <c r="AE11" s="28" t="s">
        <v>48</v>
      </c>
      <c r="AF11" s="28" t="s">
        <v>49</v>
      </c>
      <c r="AG11" s="28" t="s">
        <v>50</v>
      </c>
      <c r="AH11" s="28" t="s">
        <v>51</v>
      </c>
      <c r="BH11" s="28" t="s">
        <v>52</v>
      </c>
      <c r="BI11" s="28" t="s">
        <v>53</v>
      </c>
      <c r="BJ11" s="28" t="s">
        <v>54</v>
      </c>
    </row>
    <row r="12">
      <c r="A12" s="39" t="s">
        <v>55</v>
      </c>
      <c r="B12" s="40" t="s">
        <v>55</v>
      </c>
      <c r="C12" s="41" t="s">
        <v>56</v>
      </c>
      <c r="D12" s="40"/>
      <c r="E12" s="42" t="s">
        <v>36</v>
      </c>
      <c r="F12" s="42" t="s">
        <v>36</v>
      </c>
      <c r="G12" s="42" t="s">
        <v>36</v>
      </c>
      <c r="H12" s="43">
        <f>H13+H17+H19+H25+H28+H32+H36+H39+H41+H44+H47+H50+H59+H62+H86+H88+H90</f>
      </c>
      <c r="I12" s="43">
        <f>I13+I17+I19+I25+I28+I32+I36+I39+I41+I44+I47+I50+I59+I62+I86+I88+I90</f>
      </c>
      <c r="J12" s="43">
        <f>J13+J17+J19+J25+J28+J32+J36+J39+J41+J44+J47+J50+J59+J62+J86+J88+J90</f>
      </c>
      <c r="K12" s="44" t="s">
        <v>55</v>
      </c>
    </row>
    <row r="13">
      <c r="A13" s="45" t="s">
        <v>55</v>
      </c>
      <c r="B13" s="46" t="s">
        <v>57</v>
      </c>
      <c r="C13" s="47" t="s">
        <v>58</v>
      </c>
      <c r="D13" s="46"/>
      <c r="E13" s="48" t="s">
        <v>36</v>
      </c>
      <c r="F13" s="48" t="s">
        <v>36</v>
      </c>
      <c r="G13" s="48" t="s">
        <v>36</v>
      </c>
      <c r="H13" s="2">
        <f>SUM(H14:H16)</f>
      </c>
      <c r="I13" s="2">
        <f>SUM(I14:I16)</f>
      </c>
      <c r="J13" s="2">
        <f>SUM(J14:J16)</f>
      </c>
      <c r="K13" s="49" t="s">
        <v>55</v>
      </c>
      <c r="AI13" s="28" t="s">
        <v>59</v>
      </c>
      <c r="AS13" s="2">
        <f>SUM(AJ14:AJ16)</f>
      </c>
      <c r="AT13" s="2">
        <f>SUM(AK14:AK16)</f>
      </c>
      <c r="AU13" s="2">
        <f>SUM(AL14:AL16)</f>
      </c>
    </row>
    <row r="14">
      <c r="A14" s="9" t="s">
        <v>60</v>
      </c>
      <c r="B14" s="10" t="s">
        <v>61</v>
      </c>
      <c r="C14" s="14" t="s">
        <v>62</v>
      </c>
      <c r="D14" s="10"/>
      <c r="E14" s="10" t="s">
        <v>63</v>
      </c>
      <c r="F14" s="50" t="n">
        <v>8</v>
      </c>
      <c r="G14" s="50" t="n">
        <v>0</v>
      </c>
      <c r="H14" s="50">
        <f>F14*AO14</f>
      </c>
      <c r="I14" s="50">
        <f>F14*AP14</f>
      </c>
      <c r="J14" s="50">
        <f>F14*G14</f>
      </c>
      <c r="K14" s="51" t="s">
        <v>64</v>
      </c>
      <c r="Z14" s="50">
        <f>IF(AQ14="5",BJ14,0)</f>
      </c>
      <c r="AB14" s="50">
        <f>IF(AQ14="1",BH14,0)</f>
      </c>
      <c r="AC14" s="50">
        <f>IF(AQ14="1",BI14,0)</f>
      </c>
      <c r="AD14" s="50">
        <f>IF(AQ14="7",BH14,0)</f>
      </c>
      <c r="AE14" s="50">
        <f>IF(AQ14="7",BI14,0)</f>
      </c>
      <c r="AF14" s="50">
        <f>IF(AQ14="2",BH14,0)</f>
      </c>
      <c r="AG14" s="50">
        <f>IF(AQ14="2",BI14,0)</f>
      </c>
      <c r="AH14" s="50">
        <f>IF(AQ14="0",BJ14,0)</f>
      </c>
      <c r="AI14" s="28" t="s">
        <v>59</v>
      </c>
      <c r="AJ14" s="50">
        <f>IF(AN14=0,J14,0)</f>
      </c>
      <c r="AK14" s="50">
        <f>IF(AN14=12,J14,0)</f>
      </c>
      <c r="AL14" s="50">
        <f>IF(AN14=21,J14,0)</f>
      </c>
      <c r="AN14" s="50" t="n">
        <v>21</v>
      </c>
      <c r="AO14" s="50">
        <f>G14*0</f>
      </c>
      <c r="AP14" s="50">
        <f>G14*(1-0)</f>
      </c>
      <c r="AQ14" s="52" t="s">
        <v>60</v>
      </c>
      <c r="AV14" s="50">
        <f>AW14+AX14</f>
      </c>
      <c r="AW14" s="50">
        <f>F14*AO14</f>
      </c>
      <c r="AX14" s="50">
        <f>F14*AP14</f>
      </c>
      <c r="AY14" s="52" t="s">
        <v>65</v>
      </c>
      <c r="AZ14" s="52" t="s">
        <v>66</v>
      </c>
      <c r="BA14" s="28" t="s">
        <v>67</v>
      </c>
      <c r="BC14" s="50">
        <f>AW14+AX14</f>
      </c>
      <c r="BD14" s="50">
        <f>G14/(100-BE14)*100</f>
      </c>
      <c r="BE14" s="50" t="n">
        <v>0</v>
      </c>
      <c r="BF14" s="50">
        <f>14</f>
      </c>
      <c r="BH14" s="50">
        <f>F14*AO14</f>
      </c>
      <c r="BI14" s="50">
        <f>F14*AP14</f>
      </c>
      <c r="BJ14" s="50">
        <f>F14*G14</f>
      </c>
      <c r="BK14" s="50"/>
      <c r="BL14" s="50" t="n">
        <v>11</v>
      </c>
      <c r="BW14" s="50" t="n">
        <v>21</v>
      </c>
      <c r="BX14" s="14" t="s">
        <v>62</v>
      </c>
    </row>
    <row r="15">
      <c r="A15" s="9" t="s">
        <v>68</v>
      </c>
      <c r="B15" s="10" t="s">
        <v>69</v>
      </c>
      <c r="C15" s="14" t="s">
        <v>70</v>
      </c>
      <c r="D15" s="10"/>
      <c r="E15" s="10" t="s">
        <v>71</v>
      </c>
      <c r="F15" s="50" t="n">
        <v>4</v>
      </c>
      <c r="G15" s="50" t="n">
        <v>0</v>
      </c>
      <c r="H15" s="50">
        <f>F15*AO15</f>
      </c>
      <c r="I15" s="50">
        <f>F15*AP15</f>
      </c>
      <c r="J15" s="50">
        <f>F15*G15</f>
      </c>
      <c r="K15" s="51" t="s">
        <v>64</v>
      </c>
      <c r="Z15" s="50">
        <f>IF(AQ15="5",BJ15,0)</f>
      </c>
      <c r="AB15" s="50">
        <f>IF(AQ15="1",BH15,0)</f>
      </c>
      <c r="AC15" s="50">
        <f>IF(AQ15="1",BI15,0)</f>
      </c>
      <c r="AD15" s="50">
        <f>IF(AQ15="7",BH15,0)</f>
      </c>
      <c r="AE15" s="50">
        <f>IF(AQ15="7",BI15,0)</f>
      </c>
      <c r="AF15" s="50">
        <f>IF(AQ15="2",BH15,0)</f>
      </c>
      <c r="AG15" s="50">
        <f>IF(AQ15="2",BI15,0)</f>
      </c>
      <c r="AH15" s="50">
        <f>IF(AQ15="0",BJ15,0)</f>
      </c>
      <c r="AI15" s="28" t="s">
        <v>59</v>
      </c>
      <c r="AJ15" s="50">
        <f>IF(AN15=0,J15,0)</f>
      </c>
      <c r="AK15" s="50">
        <f>IF(AN15=12,J15,0)</f>
      </c>
      <c r="AL15" s="50">
        <f>IF(AN15=21,J15,0)</f>
      </c>
      <c r="AN15" s="50" t="n">
        <v>21</v>
      </c>
      <c r="AO15" s="50">
        <f>G15*0.244002525</f>
      </c>
      <c r="AP15" s="50">
        <f>G15*(1-0.244002525)</f>
      </c>
      <c r="AQ15" s="52" t="s">
        <v>60</v>
      </c>
      <c r="AV15" s="50">
        <f>AW15+AX15</f>
      </c>
      <c r="AW15" s="50">
        <f>F15*AO15</f>
      </c>
      <c r="AX15" s="50">
        <f>F15*AP15</f>
      </c>
      <c r="AY15" s="52" t="s">
        <v>65</v>
      </c>
      <c r="AZ15" s="52" t="s">
        <v>66</v>
      </c>
      <c r="BA15" s="28" t="s">
        <v>67</v>
      </c>
      <c r="BC15" s="50">
        <f>AW15+AX15</f>
      </c>
      <c r="BD15" s="50">
        <f>G15/(100-BE15)*100</f>
      </c>
      <c r="BE15" s="50" t="n">
        <v>0</v>
      </c>
      <c r="BF15" s="50">
        <f>15</f>
      </c>
      <c r="BH15" s="50">
        <f>F15*AO15</f>
      </c>
      <c r="BI15" s="50">
        <f>F15*AP15</f>
      </c>
      <c r="BJ15" s="50">
        <f>F15*G15</f>
      </c>
      <c r="BK15" s="50"/>
      <c r="BL15" s="50" t="n">
        <v>11</v>
      </c>
      <c r="BW15" s="50" t="n">
        <v>21</v>
      </c>
      <c r="BX15" s="14" t="s">
        <v>70</v>
      </c>
    </row>
    <row r="16">
      <c r="A16" s="9" t="s">
        <v>72</v>
      </c>
      <c r="B16" s="10" t="s">
        <v>73</v>
      </c>
      <c r="C16" s="14" t="s">
        <v>74</v>
      </c>
      <c r="D16" s="10"/>
      <c r="E16" s="10" t="s">
        <v>75</v>
      </c>
      <c r="F16" s="50" t="n">
        <v>25</v>
      </c>
      <c r="G16" s="50" t="n">
        <v>0</v>
      </c>
      <c r="H16" s="50">
        <f>F16*AO16</f>
      </c>
      <c r="I16" s="50">
        <f>F16*AP16</f>
      </c>
      <c r="J16" s="50">
        <f>F16*G16</f>
      </c>
      <c r="K16" s="51" t="s">
        <v>76</v>
      </c>
      <c r="Z16" s="50">
        <f>IF(AQ16="5",BJ16,0)</f>
      </c>
      <c r="AB16" s="50">
        <f>IF(AQ16="1",BH16,0)</f>
      </c>
      <c r="AC16" s="50">
        <f>IF(AQ16="1",BI16,0)</f>
      </c>
      <c r="AD16" s="50">
        <f>IF(AQ16="7",BH16,0)</f>
      </c>
      <c r="AE16" s="50">
        <f>IF(AQ16="7",BI16,0)</f>
      </c>
      <c r="AF16" s="50">
        <f>IF(AQ16="2",BH16,0)</f>
      </c>
      <c r="AG16" s="50">
        <f>IF(AQ16="2",BI16,0)</f>
      </c>
      <c r="AH16" s="50">
        <f>IF(AQ16="0",BJ16,0)</f>
      </c>
      <c r="AI16" s="28" t="s">
        <v>59</v>
      </c>
      <c r="AJ16" s="50">
        <f>IF(AN16=0,J16,0)</f>
      </c>
      <c r="AK16" s="50">
        <f>IF(AN16=12,J16,0)</f>
      </c>
      <c r="AL16" s="50">
        <f>IF(AN16=21,J16,0)</f>
      </c>
      <c r="AN16" s="50" t="n">
        <v>21</v>
      </c>
      <c r="AO16" s="50">
        <f>G16*0</f>
      </c>
      <c r="AP16" s="50">
        <f>G16*(1-0)</f>
      </c>
      <c r="AQ16" s="52" t="s">
        <v>60</v>
      </c>
      <c r="AV16" s="50">
        <f>AW16+AX16</f>
      </c>
      <c r="AW16" s="50">
        <f>F16*AO16</f>
      </c>
      <c r="AX16" s="50">
        <f>F16*AP16</f>
      </c>
      <c r="AY16" s="52" t="s">
        <v>65</v>
      </c>
      <c r="AZ16" s="52" t="s">
        <v>66</v>
      </c>
      <c r="BA16" s="28" t="s">
        <v>67</v>
      </c>
      <c r="BC16" s="50">
        <f>AW16+AX16</f>
      </c>
      <c r="BD16" s="50">
        <f>G16/(100-BE16)*100</f>
      </c>
      <c r="BE16" s="50" t="n">
        <v>0</v>
      </c>
      <c r="BF16" s="50">
        <f>16</f>
      </c>
      <c r="BH16" s="50">
        <f>F16*AO16</f>
      </c>
      <c r="BI16" s="50">
        <f>F16*AP16</f>
      </c>
      <c r="BJ16" s="50">
        <f>F16*G16</f>
      </c>
      <c r="BK16" s="50"/>
      <c r="BL16" s="50" t="n">
        <v>11</v>
      </c>
      <c r="BW16" s="50" t="n">
        <v>21</v>
      </c>
      <c r="BX16" s="14" t="s">
        <v>74</v>
      </c>
    </row>
    <row r="17">
      <c r="A17" s="45" t="s">
        <v>55</v>
      </c>
      <c r="B17" s="46" t="s">
        <v>77</v>
      </c>
      <c r="C17" s="47" t="s">
        <v>78</v>
      </c>
      <c r="D17" s="46"/>
      <c r="E17" s="48" t="s">
        <v>36</v>
      </c>
      <c r="F17" s="48" t="s">
        <v>36</v>
      </c>
      <c r="G17" s="48" t="s">
        <v>36</v>
      </c>
      <c r="H17" s="2">
        <f>SUM(H18:H18)</f>
      </c>
      <c r="I17" s="2">
        <f>SUM(I18:I18)</f>
      </c>
      <c r="J17" s="2">
        <f>SUM(J18:J18)</f>
      </c>
      <c r="K17" s="49" t="s">
        <v>55</v>
      </c>
      <c r="AI17" s="28" t="s">
        <v>59</v>
      </c>
      <c r="AS17" s="2">
        <f>SUM(AJ18:AJ18)</f>
      </c>
      <c r="AT17" s="2">
        <f>SUM(AK18:AK18)</f>
      </c>
      <c r="AU17" s="2">
        <f>SUM(AL18:AL18)</f>
      </c>
    </row>
    <row r="18">
      <c r="A18" s="9" t="s">
        <v>79</v>
      </c>
      <c r="B18" s="10" t="s">
        <v>80</v>
      </c>
      <c r="C18" s="14" t="s">
        <v>81</v>
      </c>
      <c r="D18" s="10"/>
      <c r="E18" s="10" t="s">
        <v>82</v>
      </c>
      <c r="F18" s="50" t="n">
        <v>1.5</v>
      </c>
      <c r="G18" s="50" t="n">
        <v>0</v>
      </c>
      <c r="H18" s="50">
        <f>F18*AO18</f>
      </c>
      <c r="I18" s="50">
        <f>F18*AP18</f>
      </c>
      <c r="J18" s="50">
        <f>F18*G18</f>
      </c>
      <c r="K18" s="51" t="s">
        <v>64</v>
      </c>
      <c r="Z18" s="50">
        <f>IF(AQ18="5",BJ18,0)</f>
      </c>
      <c r="AB18" s="50">
        <f>IF(AQ18="1",BH18,0)</f>
      </c>
      <c r="AC18" s="50">
        <f>IF(AQ18="1",BI18,0)</f>
      </c>
      <c r="AD18" s="50">
        <f>IF(AQ18="7",BH18,0)</f>
      </c>
      <c r="AE18" s="50">
        <f>IF(AQ18="7",BI18,0)</f>
      </c>
      <c r="AF18" s="50">
        <f>IF(AQ18="2",BH18,0)</f>
      </c>
      <c r="AG18" s="50">
        <f>IF(AQ18="2",BI18,0)</f>
      </c>
      <c r="AH18" s="50">
        <f>IF(AQ18="0",BJ18,0)</f>
      </c>
      <c r="AI18" s="28" t="s">
        <v>59</v>
      </c>
      <c r="AJ18" s="50">
        <f>IF(AN18=0,J18,0)</f>
      </c>
      <c r="AK18" s="50">
        <f>IF(AN18=12,J18,0)</f>
      </c>
      <c r="AL18" s="50">
        <f>IF(AN18=21,J18,0)</f>
      </c>
      <c r="AN18" s="50" t="n">
        <v>21</v>
      </c>
      <c r="AO18" s="50">
        <f>G18*0</f>
      </c>
      <c r="AP18" s="50">
        <f>G18*(1-0)</f>
      </c>
      <c r="AQ18" s="52" t="s">
        <v>60</v>
      </c>
      <c r="AV18" s="50">
        <f>AW18+AX18</f>
      </c>
      <c r="AW18" s="50">
        <f>F18*AO18</f>
      </c>
      <c r="AX18" s="50">
        <f>F18*AP18</f>
      </c>
      <c r="AY18" s="52" t="s">
        <v>83</v>
      </c>
      <c r="AZ18" s="52" t="s">
        <v>66</v>
      </c>
      <c r="BA18" s="28" t="s">
        <v>67</v>
      </c>
      <c r="BC18" s="50">
        <f>AW18+AX18</f>
      </c>
      <c r="BD18" s="50">
        <f>G18/(100-BE18)*100</f>
      </c>
      <c r="BE18" s="50" t="n">
        <v>0</v>
      </c>
      <c r="BF18" s="50">
        <f>18</f>
      </c>
      <c r="BH18" s="50">
        <f>F18*AO18</f>
      </c>
      <c r="BI18" s="50">
        <f>F18*AP18</f>
      </c>
      <c r="BJ18" s="50">
        <f>F18*G18</f>
      </c>
      <c r="BK18" s="50"/>
      <c r="BL18" s="50" t="n">
        <v>12</v>
      </c>
      <c r="BW18" s="50" t="n">
        <v>21</v>
      </c>
      <c r="BX18" s="14" t="s">
        <v>81</v>
      </c>
    </row>
    <row r="19">
      <c r="A19" s="45" t="s">
        <v>55</v>
      </c>
      <c r="B19" s="46" t="s">
        <v>84</v>
      </c>
      <c r="C19" s="47" t="s">
        <v>85</v>
      </c>
      <c r="D19" s="46"/>
      <c r="E19" s="48" t="s">
        <v>36</v>
      </c>
      <c r="F19" s="48" t="s">
        <v>36</v>
      </c>
      <c r="G19" s="48" t="s">
        <v>36</v>
      </c>
      <c r="H19" s="2">
        <f>SUM(H20:H24)</f>
      </c>
      <c r="I19" s="2">
        <f>SUM(I20:I24)</f>
      </c>
      <c r="J19" s="2">
        <f>SUM(J20:J24)</f>
      </c>
      <c r="K19" s="49" t="s">
        <v>55</v>
      </c>
      <c r="AI19" s="28" t="s">
        <v>59</v>
      </c>
      <c r="AS19" s="2">
        <f>SUM(AJ20:AJ24)</f>
      </c>
      <c r="AT19" s="2">
        <f>SUM(AK20:AK24)</f>
      </c>
      <c r="AU19" s="2">
        <f>SUM(AL20:AL24)</f>
      </c>
    </row>
    <row r="20">
      <c r="A20" s="9" t="s">
        <v>86</v>
      </c>
      <c r="B20" s="10" t="s">
        <v>87</v>
      </c>
      <c r="C20" s="14" t="s">
        <v>88</v>
      </c>
      <c r="D20" s="10"/>
      <c r="E20" s="10" t="s">
        <v>82</v>
      </c>
      <c r="F20" s="50" t="n">
        <v>4.75</v>
      </c>
      <c r="G20" s="50" t="n">
        <v>0</v>
      </c>
      <c r="H20" s="50">
        <f>F20*AO20</f>
      </c>
      <c r="I20" s="50">
        <f>F20*AP20</f>
      </c>
      <c r="J20" s="50">
        <f>F20*G20</f>
      </c>
      <c r="K20" s="51" t="s">
        <v>64</v>
      </c>
      <c r="Z20" s="50">
        <f>IF(AQ20="5",BJ20,0)</f>
      </c>
      <c r="AB20" s="50">
        <f>IF(AQ20="1",BH20,0)</f>
      </c>
      <c r="AC20" s="50">
        <f>IF(AQ20="1",BI20,0)</f>
      </c>
      <c r="AD20" s="50">
        <f>IF(AQ20="7",BH20,0)</f>
      </c>
      <c r="AE20" s="50">
        <f>IF(AQ20="7",BI20,0)</f>
      </c>
      <c r="AF20" s="50">
        <f>IF(AQ20="2",BH20,0)</f>
      </c>
      <c r="AG20" s="50">
        <f>IF(AQ20="2",BI20,0)</f>
      </c>
      <c r="AH20" s="50">
        <f>IF(AQ20="0",BJ20,0)</f>
      </c>
      <c r="AI20" s="28" t="s">
        <v>59</v>
      </c>
      <c r="AJ20" s="50">
        <f>IF(AN20=0,J20,0)</f>
      </c>
      <c r="AK20" s="50">
        <f>IF(AN20=12,J20,0)</f>
      </c>
      <c r="AL20" s="50">
        <f>IF(AN20=21,J20,0)</f>
      </c>
      <c r="AN20" s="50" t="n">
        <v>21</v>
      </c>
      <c r="AO20" s="50">
        <f>G20*0</f>
      </c>
      <c r="AP20" s="50">
        <f>G20*(1-0)</f>
      </c>
      <c r="AQ20" s="52" t="s">
        <v>60</v>
      </c>
      <c r="AV20" s="50">
        <f>AW20+AX20</f>
      </c>
      <c r="AW20" s="50">
        <f>F20*AO20</f>
      </c>
      <c r="AX20" s="50">
        <f>F20*AP20</f>
      </c>
      <c r="AY20" s="52" t="s">
        <v>89</v>
      </c>
      <c r="AZ20" s="52" t="s">
        <v>66</v>
      </c>
      <c r="BA20" s="28" t="s">
        <v>67</v>
      </c>
      <c r="BC20" s="50">
        <f>AW20+AX20</f>
      </c>
      <c r="BD20" s="50">
        <f>G20/(100-BE20)*100</f>
      </c>
      <c r="BE20" s="50" t="n">
        <v>0</v>
      </c>
      <c r="BF20" s="50">
        <f>20</f>
      </c>
      <c r="BH20" s="50">
        <f>F20*AO20</f>
      </c>
      <c r="BI20" s="50">
        <f>F20*AP20</f>
      </c>
      <c r="BJ20" s="50">
        <f>F20*G20</f>
      </c>
      <c r="BK20" s="50"/>
      <c r="BL20" s="50" t="n">
        <v>13</v>
      </c>
      <c r="BW20" s="50" t="n">
        <v>21</v>
      </c>
      <c r="BX20" s="14" t="s">
        <v>88</v>
      </c>
    </row>
    <row r="21">
      <c r="A21" s="9" t="s">
        <v>90</v>
      </c>
      <c r="B21" s="10" t="s">
        <v>91</v>
      </c>
      <c r="C21" s="14" t="s">
        <v>92</v>
      </c>
      <c r="D21" s="10"/>
      <c r="E21" s="10" t="s">
        <v>82</v>
      </c>
      <c r="F21" s="50" t="n">
        <v>7.13</v>
      </c>
      <c r="G21" s="50" t="n">
        <v>0</v>
      </c>
      <c r="H21" s="50">
        <f>F21*AO21</f>
      </c>
      <c r="I21" s="50">
        <f>F21*AP21</f>
      </c>
      <c r="J21" s="50">
        <f>F21*G21</f>
      </c>
      <c r="K21" s="51" t="s">
        <v>64</v>
      </c>
      <c r="Z21" s="50">
        <f>IF(AQ21="5",BJ21,0)</f>
      </c>
      <c r="AB21" s="50">
        <f>IF(AQ21="1",BH21,0)</f>
      </c>
      <c r="AC21" s="50">
        <f>IF(AQ21="1",BI21,0)</f>
      </c>
      <c r="AD21" s="50">
        <f>IF(AQ21="7",BH21,0)</f>
      </c>
      <c r="AE21" s="50">
        <f>IF(AQ21="7",BI21,0)</f>
      </c>
      <c r="AF21" s="50">
        <f>IF(AQ21="2",BH21,0)</f>
      </c>
      <c r="AG21" s="50">
        <f>IF(AQ21="2",BI21,0)</f>
      </c>
      <c r="AH21" s="50">
        <f>IF(AQ21="0",BJ21,0)</f>
      </c>
      <c r="AI21" s="28" t="s">
        <v>59</v>
      </c>
      <c r="AJ21" s="50">
        <f>IF(AN21=0,J21,0)</f>
      </c>
      <c r="AK21" s="50">
        <f>IF(AN21=12,J21,0)</f>
      </c>
      <c r="AL21" s="50">
        <f>IF(AN21=21,J21,0)</f>
      </c>
      <c r="AN21" s="50" t="n">
        <v>21</v>
      </c>
      <c r="AO21" s="50">
        <f>G21*0</f>
      </c>
      <c r="AP21" s="50">
        <f>G21*(1-0)</f>
      </c>
      <c r="AQ21" s="52" t="s">
        <v>60</v>
      </c>
      <c r="AV21" s="50">
        <f>AW21+AX21</f>
      </c>
      <c r="AW21" s="50">
        <f>F21*AO21</f>
      </c>
      <c r="AX21" s="50">
        <f>F21*AP21</f>
      </c>
      <c r="AY21" s="52" t="s">
        <v>89</v>
      </c>
      <c r="AZ21" s="52" t="s">
        <v>66</v>
      </c>
      <c r="BA21" s="28" t="s">
        <v>67</v>
      </c>
      <c r="BC21" s="50">
        <f>AW21+AX21</f>
      </c>
      <c r="BD21" s="50">
        <f>G21/(100-BE21)*100</f>
      </c>
      <c r="BE21" s="50" t="n">
        <v>0</v>
      </c>
      <c r="BF21" s="50">
        <f>21</f>
      </c>
      <c r="BH21" s="50">
        <f>F21*AO21</f>
      </c>
      <c r="BI21" s="50">
        <f>F21*AP21</f>
      </c>
      <c r="BJ21" s="50">
        <f>F21*G21</f>
      </c>
      <c r="BK21" s="50"/>
      <c r="BL21" s="50" t="n">
        <v>13</v>
      </c>
      <c r="BW21" s="50" t="n">
        <v>21</v>
      </c>
      <c r="BX21" s="14" t="s">
        <v>92</v>
      </c>
    </row>
    <row r="22">
      <c r="A22" s="9" t="s">
        <v>93</v>
      </c>
      <c r="B22" s="10" t="s">
        <v>94</v>
      </c>
      <c r="C22" s="14" t="s">
        <v>95</v>
      </c>
      <c r="D22" s="10"/>
      <c r="E22" s="10" t="s">
        <v>82</v>
      </c>
      <c r="F22" s="50" t="n">
        <v>7.56</v>
      </c>
      <c r="G22" s="50" t="n">
        <v>0</v>
      </c>
      <c r="H22" s="50">
        <f>F22*AO22</f>
      </c>
      <c r="I22" s="50">
        <f>F22*AP22</f>
      </c>
      <c r="J22" s="50">
        <f>F22*G22</f>
      </c>
      <c r="K22" s="51" t="s">
        <v>64</v>
      </c>
      <c r="Z22" s="50">
        <f>IF(AQ22="5",BJ22,0)</f>
      </c>
      <c r="AB22" s="50">
        <f>IF(AQ22="1",BH22,0)</f>
      </c>
      <c r="AC22" s="50">
        <f>IF(AQ22="1",BI22,0)</f>
      </c>
      <c r="AD22" s="50">
        <f>IF(AQ22="7",BH22,0)</f>
      </c>
      <c r="AE22" s="50">
        <f>IF(AQ22="7",BI22,0)</f>
      </c>
      <c r="AF22" s="50">
        <f>IF(AQ22="2",BH22,0)</f>
      </c>
      <c r="AG22" s="50">
        <f>IF(AQ22="2",BI22,0)</f>
      </c>
      <c r="AH22" s="50">
        <f>IF(AQ22="0",BJ22,0)</f>
      </c>
      <c r="AI22" s="28" t="s">
        <v>59</v>
      </c>
      <c r="AJ22" s="50">
        <f>IF(AN22=0,J22,0)</f>
      </c>
      <c r="AK22" s="50">
        <f>IF(AN22=12,J22,0)</f>
      </c>
      <c r="AL22" s="50">
        <f>IF(AN22=21,J22,0)</f>
      </c>
      <c r="AN22" s="50" t="n">
        <v>21</v>
      </c>
      <c r="AO22" s="50">
        <f>G22*0</f>
      </c>
      <c r="AP22" s="50">
        <f>G22*(1-0)</f>
      </c>
      <c r="AQ22" s="52" t="s">
        <v>60</v>
      </c>
      <c r="AV22" s="50">
        <f>AW22+AX22</f>
      </c>
      <c r="AW22" s="50">
        <f>F22*AO22</f>
      </c>
      <c r="AX22" s="50">
        <f>F22*AP22</f>
      </c>
      <c r="AY22" s="52" t="s">
        <v>89</v>
      </c>
      <c r="AZ22" s="52" t="s">
        <v>66</v>
      </c>
      <c r="BA22" s="28" t="s">
        <v>67</v>
      </c>
      <c r="BC22" s="50">
        <f>AW22+AX22</f>
      </c>
      <c r="BD22" s="50">
        <f>G22/(100-BE22)*100</f>
      </c>
      <c r="BE22" s="50" t="n">
        <v>0</v>
      </c>
      <c r="BF22" s="50">
        <f>22</f>
      </c>
      <c r="BH22" s="50">
        <f>F22*AO22</f>
      </c>
      <c r="BI22" s="50">
        <f>F22*AP22</f>
      </c>
      <c r="BJ22" s="50">
        <f>F22*G22</f>
      </c>
      <c r="BK22" s="50"/>
      <c r="BL22" s="50" t="n">
        <v>13</v>
      </c>
      <c r="BW22" s="50" t="n">
        <v>21</v>
      </c>
      <c r="BX22" s="14" t="s">
        <v>95</v>
      </c>
    </row>
    <row r="23">
      <c r="A23" s="9" t="s">
        <v>96</v>
      </c>
      <c r="B23" s="10" t="s">
        <v>97</v>
      </c>
      <c r="C23" s="14" t="s">
        <v>98</v>
      </c>
      <c r="D23" s="10"/>
      <c r="E23" s="10" t="s">
        <v>82</v>
      </c>
      <c r="F23" s="50" t="n">
        <v>11.34</v>
      </c>
      <c r="G23" s="50" t="n">
        <v>0</v>
      </c>
      <c r="H23" s="50">
        <f>F23*AO23</f>
      </c>
      <c r="I23" s="50">
        <f>F23*AP23</f>
      </c>
      <c r="J23" s="50">
        <f>F23*G23</f>
      </c>
      <c r="K23" s="51" t="s">
        <v>64</v>
      </c>
      <c r="Z23" s="50">
        <f>IF(AQ23="5",BJ23,0)</f>
      </c>
      <c r="AB23" s="50">
        <f>IF(AQ23="1",BH23,0)</f>
      </c>
      <c r="AC23" s="50">
        <f>IF(AQ23="1",BI23,0)</f>
      </c>
      <c r="AD23" s="50">
        <f>IF(AQ23="7",BH23,0)</f>
      </c>
      <c r="AE23" s="50">
        <f>IF(AQ23="7",BI23,0)</f>
      </c>
      <c r="AF23" s="50">
        <f>IF(AQ23="2",BH23,0)</f>
      </c>
      <c r="AG23" s="50">
        <f>IF(AQ23="2",BI23,0)</f>
      </c>
      <c r="AH23" s="50">
        <f>IF(AQ23="0",BJ23,0)</f>
      </c>
      <c r="AI23" s="28" t="s">
        <v>59</v>
      </c>
      <c r="AJ23" s="50">
        <f>IF(AN23=0,J23,0)</f>
      </c>
      <c r="AK23" s="50">
        <f>IF(AN23=12,J23,0)</f>
      </c>
      <c r="AL23" s="50">
        <f>IF(AN23=21,J23,0)</f>
      </c>
      <c r="AN23" s="50" t="n">
        <v>21</v>
      </c>
      <c r="AO23" s="50">
        <f>G23*0</f>
      </c>
      <c r="AP23" s="50">
        <f>G23*(1-0)</f>
      </c>
      <c r="AQ23" s="52" t="s">
        <v>60</v>
      </c>
      <c r="AV23" s="50">
        <f>AW23+AX23</f>
      </c>
      <c r="AW23" s="50">
        <f>F23*AO23</f>
      </c>
      <c r="AX23" s="50">
        <f>F23*AP23</f>
      </c>
      <c r="AY23" s="52" t="s">
        <v>89</v>
      </c>
      <c r="AZ23" s="52" t="s">
        <v>66</v>
      </c>
      <c r="BA23" s="28" t="s">
        <v>67</v>
      </c>
      <c r="BC23" s="50">
        <f>AW23+AX23</f>
      </c>
      <c r="BD23" s="50">
        <f>G23/(100-BE23)*100</f>
      </c>
      <c r="BE23" s="50" t="n">
        <v>0</v>
      </c>
      <c r="BF23" s="50">
        <f>23</f>
      </c>
      <c r="BH23" s="50">
        <f>F23*AO23</f>
      </c>
      <c r="BI23" s="50">
        <f>F23*AP23</f>
      </c>
      <c r="BJ23" s="50">
        <f>F23*G23</f>
      </c>
      <c r="BK23" s="50"/>
      <c r="BL23" s="50" t="n">
        <v>13</v>
      </c>
      <c r="BW23" s="50" t="n">
        <v>21</v>
      </c>
      <c r="BX23" s="14" t="s">
        <v>98</v>
      </c>
    </row>
    <row r="24">
      <c r="A24" s="9" t="s">
        <v>99</v>
      </c>
      <c r="B24" s="10" t="s">
        <v>100</v>
      </c>
      <c r="C24" s="14" t="s">
        <v>101</v>
      </c>
      <c r="D24" s="10"/>
      <c r="E24" s="10" t="s">
        <v>82</v>
      </c>
      <c r="F24" s="50" t="n">
        <v>4.32</v>
      </c>
      <c r="G24" s="50" t="n">
        <v>0</v>
      </c>
      <c r="H24" s="50">
        <f>F24*AO24</f>
      </c>
      <c r="I24" s="50">
        <f>F24*AP24</f>
      </c>
      <c r="J24" s="50">
        <f>F24*G24</f>
      </c>
      <c r="K24" s="51" t="s">
        <v>64</v>
      </c>
      <c r="Z24" s="50">
        <f>IF(AQ24="5",BJ24,0)</f>
      </c>
      <c r="AB24" s="50">
        <f>IF(AQ24="1",BH24,0)</f>
      </c>
      <c r="AC24" s="50">
        <f>IF(AQ24="1",BI24,0)</f>
      </c>
      <c r="AD24" s="50">
        <f>IF(AQ24="7",BH24,0)</f>
      </c>
      <c r="AE24" s="50">
        <f>IF(AQ24="7",BI24,0)</f>
      </c>
      <c r="AF24" s="50">
        <f>IF(AQ24="2",BH24,0)</f>
      </c>
      <c r="AG24" s="50">
        <f>IF(AQ24="2",BI24,0)</f>
      </c>
      <c r="AH24" s="50">
        <f>IF(AQ24="0",BJ24,0)</f>
      </c>
      <c r="AI24" s="28" t="s">
        <v>59</v>
      </c>
      <c r="AJ24" s="50">
        <f>IF(AN24=0,J24,0)</f>
      </c>
      <c r="AK24" s="50">
        <f>IF(AN24=12,J24,0)</f>
      </c>
      <c r="AL24" s="50">
        <f>IF(AN24=21,J24,0)</f>
      </c>
      <c r="AN24" s="50" t="n">
        <v>21</v>
      </c>
      <c r="AO24" s="50">
        <f>G24*0</f>
      </c>
      <c r="AP24" s="50">
        <f>G24*(1-0)</f>
      </c>
      <c r="AQ24" s="52" t="s">
        <v>60</v>
      </c>
      <c r="AV24" s="50">
        <f>AW24+AX24</f>
      </c>
      <c r="AW24" s="50">
        <f>F24*AO24</f>
      </c>
      <c r="AX24" s="50">
        <f>F24*AP24</f>
      </c>
      <c r="AY24" s="52" t="s">
        <v>89</v>
      </c>
      <c r="AZ24" s="52" t="s">
        <v>66</v>
      </c>
      <c r="BA24" s="28" t="s">
        <v>67</v>
      </c>
      <c r="BC24" s="50">
        <f>AW24+AX24</f>
      </c>
      <c r="BD24" s="50">
        <f>G24/(100-BE24)*100</f>
      </c>
      <c r="BE24" s="50" t="n">
        <v>0</v>
      </c>
      <c r="BF24" s="50">
        <f>24</f>
      </c>
      <c r="BH24" s="50">
        <f>F24*AO24</f>
      </c>
      <c r="BI24" s="50">
        <f>F24*AP24</f>
      </c>
      <c r="BJ24" s="50">
        <f>F24*G24</f>
      </c>
      <c r="BK24" s="50"/>
      <c r="BL24" s="50" t="n">
        <v>13</v>
      </c>
      <c r="BW24" s="50" t="n">
        <v>21</v>
      </c>
      <c r="BX24" s="14" t="s">
        <v>101</v>
      </c>
    </row>
    <row r="25">
      <c r="A25" s="45" t="s">
        <v>55</v>
      </c>
      <c r="B25" s="46" t="s">
        <v>102</v>
      </c>
      <c r="C25" s="47" t="s">
        <v>103</v>
      </c>
      <c r="D25" s="46"/>
      <c r="E25" s="48" t="s">
        <v>36</v>
      </c>
      <c r="F25" s="48" t="s">
        <v>36</v>
      </c>
      <c r="G25" s="48" t="s">
        <v>36</v>
      </c>
      <c r="H25" s="2">
        <f>SUM(H26:H27)</f>
      </c>
      <c r="I25" s="2">
        <f>SUM(I26:I27)</f>
      </c>
      <c r="J25" s="2">
        <f>SUM(J26:J27)</f>
      </c>
      <c r="K25" s="49" t="s">
        <v>55</v>
      </c>
      <c r="AI25" s="28" t="s">
        <v>59</v>
      </c>
      <c r="AS25" s="2">
        <f>SUM(AJ26:AJ27)</f>
      </c>
      <c r="AT25" s="2">
        <f>SUM(AK26:AK27)</f>
      </c>
      <c r="AU25" s="2">
        <f>SUM(AL26:AL27)</f>
      </c>
    </row>
    <row r="26">
      <c r="A26" s="9" t="s">
        <v>104</v>
      </c>
      <c r="B26" s="10" t="s">
        <v>105</v>
      </c>
      <c r="C26" s="14" t="s">
        <v>106</v>
      </c>
      <c r="D26" s="10"/>
      <c r="E26" s="10" t="s">
        <v>71</v>
      </c>
      <c r="F26" s="50" t="n">
        <v>427</v>
      </c>
      <c r="G26" s="50" t="n">
        <v>0</v>
      </c>
      <c r="H26" s="50">
        <f>F26*AO26</f>
      </c>
      <c r="I26" s="50">
        <f>F26*AP26</f>
      </c>
      <c r="J26" s="50">
        <f>F26*G26</f>
      </c>
      <c r="K26" s="51" t="s">
        <v>64</v>
      </c>
      <c r="Z26" s="50">
        <f>IF(AQ26="5",BJ26,0)</f>
      </c>
      <c r="AB26" s="50">
        <f>IF(AQ26="1",BH26,0)</f>
      </c>
      <c r="AC26" s="50">
        <f>IF(AQ26="1",BI26,0)</f>
      </c>
      <c r="AD26" s="50">
        <f>IF(AQ26="7",BH26,0)</f>
      </c>
      <c r="AE26" s="50">
        <f>IF(AQ26="7",BI26,0)</f>
      </c>
      <c r="AF26" s="50">
        <f>IF(AQ26="2",BH26,0)</f>
      </c>
      <c r="AG26" s="50">
        <f>IF(AQ26="2",BI26,0)</f>
      </c>
      <c r="AH26" s="50">
        <f>IF(AQ26="0",BJ26,0)</f>
      </c>
      <c r="AI26" s="28" t="s">
        <v>59</v>
      </c>
      <c r="AJ26" s="50">
        <f>IF(AN26=0,J26,0)</f>
      </c>
      <c r="AK26" s="50">
        <f>IF(AN26=12,J26,0)</f>
      </c>
      <c r="AL26" s="50">
        <f>IF(AN26=21,J26,0)</f>
      </c>
      <c r="AN26" s="50" t="n">
        <v>21</v>
      </c>
      <c r="AO26" s="50">
        <f>G26*0.008413223</f>
      </c>
      <c r="AP26" s="50">
        <f>G26*(1-0.008413223)</f>
      </c>
      <c r="AQ26" s="52" t="s">
        <v>60</v>
      </c>
      <c r="AV26" s="50">
        <f>AW26+AX26</f>
      </c>
      <c r="AW26" s="50">
        <f>F26*AO26</f>
      </c>
      <c r="AX26" s="50">
        <f>F26*AP26</f>
      </c>
      <c r="AY26" s="52" t="s">
        <v>107</v>
      </c>
      <c r="AZ26" s="52" t="s">
        <v>66</v>
      </c>
      <c r="BA26" s="28" t="s">
        <v>67</v>
      </c>
      <c r="BC26" s="50">
        <f>AW26+AX26</f>
      </c>
      <c r="BD26" s="50">
        <f>G26/(100-BE26)*100</f>
      </c>
      <c r="BE26" s="50" t="n">
        <v>0</v>
      </c>
      <c r="BF26" s="50">
        <f>26</f>
      </c>
      <c r="BH26" s="50">
        <f>F26*AO26</f>
      </c>
      <c r="BI26" s="50">
        <f>F26*AP26</f>
      </c>
      <c r="BJ26" s="50">
        <f>F26*G26</f>
      </c>
      <c r="BK26" s="50"/>
      <c r="BL26" s="50" t="n">
        <v>14</v>
      </c>
      <c r="BW26" s="50" t="n">
        <v>21</v>
      </c>
      <c r="BX26" s="14" t="s">
        <v>106</v>
      </c>
    </row>
    <row r="27" ht="24.75">
      <c r="A27" s="9" t="s">
        <v>57</v>
      </c>
      <c r="B27" s="10" t="s">
        <v>108</v>
      </c>
      <c r="C27" s="14" t="s">
        <v>109</v>
      </c>
      <c r="D27" s="10"/>
      <c r="E27" s="10" t="s">
        <v>71</v>
      </c>
      <c r="F27" s="50" t="n">
        <v>4</v>
      </c>
      <c r="G27" s="50" t="n">
        <v>0</v>
      </c>
      <c r="H27" s="50">
        <f>F27*AO27</f>
      </c>
      <c r="I27" s="50">
        <f>F27*AP27</f>
      </c>
      <c r="J27" s="50">
        <f>F27*G27</f>
      </c>
      <c r="K27" s="51" t="s">
        <v>64</v>
      </c>
      <c r="Z27" s="50">
        <f>IF(AQ27="5",BJ27,0)</f>
      </c>
      <c r="AB27" s="50">
        <f>IF(AQ27="1",BH27,0)</f>
      </c>
      <c r="AC27" s="50">
        <f>IF(AQ27="1",BI27,0)</f>
      </c>
      <c r="AD27" s="50">
        <f>IF(AQ27="7",BH27,0)</f>
      </c>
      <c r="AE27" s="50">
        <f>IF(AQ27="7",BI27,0)</f>
      </c>
      <c r="AF27" s="50">
        <f>IF(AQ27="2",BH27,0)</f>
      </c>
      <c r="AG27" s="50">
        <f>IF(AQ27="2",BI27,0)</f>
      </c>
      <c r="AH27" s="50">
        <f>IF(AQ27="0",BJ27,0)</f>
      </c>
      <c r="AI27" s="28" t="s">
        <v>59</v>
      </c>
      <c r="AJ27" s="50">
        <f>IF(AN27=0,J27,0)</f>
      </c>
      <c r="AK27" s="50">
        <f>IF(AN27=12,J27,0)</f>
      </c>
      <c r="AL27" s="50">
        <f>IF(AN27=21,J27,0)</f>
      </c>
      <c r="AN27" s="50" t="n">
        <v>21</v>
      </c>
      <c r="AO27" s="50">
        <f>G27*0.041926121</f>
      </c>
      <c r="AP27" s="50">
        <f>G27*(1-0.041926121)</f>
      </c>
      <c r="AQ27" s="52" t="s">
        <v>60</v>
      </c>
      <c r="AV27" s="50">
        <f>AW27+AX27</f>
      </c>
      <c r="AW27" s="50">
        <f>F27*AO27</f>
      </c>
      <c r="AX27" s="50">
        <f>F27*AP27</f>
      </c>
      <c r="AY27" s="52" t="s">
        <v>107</v>
      </c>
      <c r="AZ27" s="52" t="s">
        <v>66</v>
      </c>
      <c r="BA27" s="28" t="s">
        <v>67</v>
      </c>
      <c r="BC27" s="50">
        <f>AW27+AX27</f>
      </c>
      <c r="BD27" s="50">
        <f>G27/(100-BE27)*100</f>
      </c>
      <c r="BE27" s="50" t="n">
        <v>0</v>
      </c>
      <c r="BF27" s="50">
        <f>27</f>
      </c>
      <c r="BH27" s="50">
        <f>F27*AO27</f>
      </c>
      <c r="BI27" s="50">
        <f>F27*AP27</f>
      </c>
      <c r="BJ27" s="50">
        <f>F27*G27</f>
      </c>
      <c r="BK27" s="50"/>
      <c r="BL27" s="50" t="n">
        <v>14</v>
      </c>
      <c r="BW27" s="50" t="n">
        <v>21</v>
      </c>
      <c r="BX27" s="14" t="s">
        <v>109</v>
      </c>
    </row>
    <row r="28">
      <c r="A28" s="45" t="s">
        <v>55</v>
      </c>
      <c r="B28" s="46" t="s">
        <v>110</v>
      </c>
      <c r="C28" s="47" t="s">
        <v>111</v>
      </c>
      <c r="D28" s="46"/>
      <c r="E28" s="48" t="s">
        <v>36</v>
      </c>
      <c r="F28" s="48" t="s">
        <v>36</v>
      </c>
      <c r="G28" s="48" t="s">
        <v>36</v>
      </c>
      <c r="H28" s="2">
        <f>SUM(H29:H31)</f>
      </c>
      <c r="I28" s="2">
        <f>SUM(I29:I31)</f>
      </c>
      <c r="J28" s="2">
        <f>SUM(J29:J31)</f>
      </c>
      <c r="K28" s="49" t="s">
        <v>55</v>
      </c>
      <c r="AI28" s="28" t="s">
        <v>59</v>
      </c>
      <c r="AS28" s="2">
        <f>SUM(AJ29:AJ31)</f>
      </c>
      <c r="AT28" s="2">
        <f>SUM(AK29:AK31)</f>
      </c>
      <c r="AU28" s="2">
        <f>SUM(AL29:AL31)</f>
      </c>
    </row>
    <row r="29">
      <c r="A29" s="9" t="s">
        <v>77</v>
      </c>
      <c r="B29" s="10" t="s">
        <v>112</v>
      </c>
      <c r="C29" s="14" t="s">
        <v>113</v>
      </c>
      <c r="D29" s="10"/>
      <c r="E29" s="10" t="s">
        <v>82</v>
      </c>
      <c r="F29" s="50" t="n">
        <v>3.42</v>
      </c>
      <c r="G29" s="50" t="n">
        <v>0</v>
      </c>
      <c r="H29" s="50">
        <f>F29*AO29</f>
      </c>
      <c r="I29" s="50">
        <f>F29*AP29</f>
      </c>
      <c r="J29" s="50">
        <f>F29*G29</f>
      </c>
      <c r="K29" s="51" t="s">
        <v>64</v>
      </c>
      <c r="Z29" s="50">
        <f>IF(AQ29="5",BJ29,0)</f>
      </c>
      <c r="AB29" s="50">
        <f>IF(AQ29="1",BH29,0)</f>
      </c>
      <c r="AC29" s="50">
        <f>IF(AQ29="1",BI29,0)</f>
      </c>
      <c r="AD29" s="50">
        <f>IF(AQ29="7",BH29,0)</f>
      </c>
      <c r="AE29" s="50">
        <f>IF(AQ29="7",BI29,0)</f>
      </c>
      <c r="AF29" s="50">
        <f>IF(AQ29="2",BH29,0)</f>
      </c>
      <c r="AG29" s="50">
        <f>IF(AQ29="2",BI29,0)</f>
      </c>
      <c r="AH29" s="50">
        <f>IF(AQ29="0",BJ29,0)</f>
      </c>
      <c r="AI29" s="28" t="s">
        <v>59</v>
      </c>
      <c r="AJ29" s="50">
        <f>IF(AN29=0,J29,0)</f>
      </c>
      <c r="AK29" s="50">
        <f>IF(AN29=12,J29,0)</f>
      </c>
      <c r="AL29" s="50">
        <f>IF(AN29=21,J29,0)</f>
      </c>
      <c r="AN29" s="50" t="n">
        <v>21</v>
      </c>
      <c r="AO29" s="50">
        <f>G29*0</f>
      </c>
      <c r="AP29" s="50">
        <f>G29*(1-0)</f>
      </c>
      <c r="AQ29" s="52" t="s">
        <v>60</v>
      </c>
      <c r="AV29" s="50">
        <f>AW29+AX29</f>
      </c>
      <c r="AW29" s="50">
        <f>F29*AO29</f>
      </c>
      <c r="AX29" s="50">
        <f>F29*AP29</f>
      </c>
      <c r="AY29" s="52" t="s">
        <v>114</v>
      </c>
      <c r="AZ29" s="52" t="s">
        <v>66</v>
      </c>
      <c r="BA29" s="28" t="s">
        <v>67</v>
      </c>
      <c r="BC29" s="50">
        <f>AW29+AX29</f>
      </c>
      <c r="BD29" s="50">
        <f>G29/(100-BE29)*100</f>
      </c>
      <c r="BE29" s="50" t="n">
        <v>0</v>
      </c>
      <c r="BF29" s="50">
        <f>29</f>
      </c>
      <c r="BH29" s="50">
        <f>F29*AO29</f>
      </c>
      <c r="BI29" s="50">
        <f>F29*AP29</f>
      </c>
      <c r="BJ29" s="50">
        <f>F29*G29</f>
      </c>
      <c r="BK29" s="50"/>
      <c r="BL29" s="50" t="n">
        <v>16</v>
      </c>
      <c r="BW29" s="50" t="n">
        <v>21</v>
      </c>
      <c r="BX29" s="14" t="s">
        <v>113</v>
      </c>
    </row>
    <row r="30">
      <c r="A30" s="9" t="s">
        <v>84</v>
      </c>
      <c r="B30" s="10" t="s">
        <v>115</v>
      </c>
      <c r="C30" s="14" t="s">
        <v>116</v>
      </c>
      <c r="D30" s="10"/>
      <c r="E30" s="10" t="s">
        <v>82</v>
      </c>
      <c r="F30" s="50" t="n">
        <v>3.75</v>
      </c>
      <c r="G30" s="50" t="n">
        <v>0</v>
      </c>
      <c r="H30" s="50">
        <f>F30*AO30</f>
      </c>
      <c r="I30" s="50">
        <f>F30*AP30</f>
      </c>
      <c r="J30" s="50">
        <f>F30*G30</f>
      </c>
      <c r="K30" s="51" t="s">
        <v>117</v>
      </c>
      <c r="Z30" s="50">
        <f>IF(AQ30="5",BJ30,0)</f>
      </c>
      <c r="AB30" s="50">
        <f>IF(AQ30="1",BH30,0)</f>
      </c>
      <c r="AC30" s="50">
        <f>IF(AQ30="1",BI30,0)</f>
      </c>
      <c r="AD30" s="50">
        <f>IF(AQ30="7",BH30,0)</f>
      </c>
      <c r="AE30" s="50">
        <f>IF(AQ30="7",BI30,0)</f>
      </c>
      <c r="AF30" s="50">
        <f>IF(AQ30="2",BH30,0)</f>
      </c>
      <c r="AG30" s="50">
        <f>IF(AQ30="2",BI30,0)</f>
      </c>
      <c r="AH30" s="50">
        <f>IF(AQ30="0",BJ30,0)</f>
      </c>
      <c r="AI30" s="28" t="s">
        <v>59</v>
      </c>
      <c r="AJ30" s="50">
        <f>IF(AN30=0,J30,0)</f>
      </c>
      <c r="AK30" s="50">
        <f>IF(AN30=12,J30,0)</f>
      </c>
      <c r="AL30" s="50">
        <f>IF(AN30=21,J30,0)</f>
      </c>
      <c r="AN30" s="50" t="n">
        <v>21</v>
      </c>
      <c r="AO30" s="50">
        <f>G30*0</f>
      </c>
      <c r="AP30" s="50">
        <f>G30*(1-0)</f>
      </c>
      <c r="AQ30" s="52" t="s">
        <v>60</v>
      </c>
      <c r="AV30" s="50">
        <f>AW30+AX30</f>
      </c>
      <c r="AW30" s="50">
        <f>F30*AO30</f>
      </c>
      <c r="AX30" s="50">
        <f>F30*AP30</f>
      </c>
      <c r="AY30" s="52" t="s">
        <v>114</v>
      </c>
      <c r="AZ30" s="52" t="s">
        <v>66</v>
      </c>
      <c r="BA30" s="28" t="s">
        <v>67</v>
      </c>
      <c r="BC30" s="50">
        <f>AW30+AX30</f>
      </c>
      <c r="BD30" s="50">
        <f>G30/(100-BE30)*100</f>
      </c>
      <c r="BE30" s="50" t="n">
        <v>0</v>
      </c>
      <c r="BF30" s="50">
        <f>30</f>
      </c>
      <c r="BH30" s="50">
        <f>F30*AO30</f>
      </c>
      <c r="BI30" s="50">
        <f>F30*AP30</f>
      </c>
      <c r="BJ30" s="50">
        <f>F30*G30</f>
      </c>
      <c r="BK30" s="50"/>
      <c r="BL30" s="50" t="n">
        <v>16</v>
      </c>
      <c r="BW30" s="50" t="n">
        <v>21</v>
      </c>
      <c r="BX30" s="14" t="s">
        <v>116</v>
      </c>
    </row>
    <row r="31">
      <c r="A31" s="9" t="s">
        <v>102</v>
      </c>
      <c r="B31" s="10" t="s">
        <v>118</v>
      </c>
      <c r="C31" s="14" t="s">
        <v>119</v>
      </c>
      <c r="D31" s="10"/>
      <c r="E31" s="10" t="s">
        <v>120</v>
      </c>
      <c r="F31" s="50" t="n">
        <v>9.38</v>
      </c>
      <c r="G31" s="50" t="n">
        <v>0</v>
      </c>
      <c r="H31" s="50">
        <f>F31*AO31</f>
      </c>
      <c r="I31" s="50">
        <f>F31*AP31</f>
      </c>
      <c r="J31" s="50">
        <f>F31*G31</f>
      </c>
      <c r="K31" s="51" t="s">
        <v>117</v>
      </c>
      <c r="Z31" s="50">
        <f>IF(AQ31="5",BJ31,0)</f>
      </c>
      <c r="AB31" s="50">
        <f>IF(AQ31="1",BH31,0)</f>
      </c>
      <c r="AC31" s="50">
        <f>IF(AQ31="1",BI31,0)</f>
      </c>
      <c r="AD31" s="50">
        <f>IF(AQ31="7",BH31,0)</f>
      </c>
      <c r="AE31" s="50">
        <f>IF(AQ31="7",BI31,0)</f>
      </c>
      <c r="AF31" s="50">
        <f>IF(AQ31="2",BH31,0)</f>
      </c>
      <c r="AG31" s="50">
        <f>IF(AQ31="2",BI31,0)</f>
      </c>
      <c r="AH31" s="50">
        <f>IF(AQ31="0",BJ31,0)</f>
      </c>
      <c r="AI31" s="28" t="s">
        <v>59</v>
      </c>
      <c r="AJ31" s="50">
        <f>IF(AN31=0,J31,0)</f>
      </c>
      <c r="AK31" s="50">
        <f>IF(AN31=12,J31,0)</f>
      </c>
      <c r="AL31" s="50">
        <f>IF(AN31=21,J31,0)</f>
      </c>
      <c r="AN31" s="50" t="n">
        <v>21</v>
      </c>
      <c r="AO31" s="50">
        <f>G31*0</f>
      </c>
      <c r="AP31" s="50">
        <f>G31*(1-0)</f>
      </c>
      <c r="AQ31" s="52" t="s">
        <v>60</v>
      </c>
      <c r="AV31" s="50">
        <f>AW31+AX31</f>
      </c>
      <c r="AW31" s="50">
        <f>F31*AO31</f>
      </c>
      <c r="AX31" s="50">
        <f>F31*AP31</f>
      </c>
      <c r="AY31" s="52" t="s">
        <v>114</v>
      </c>
      <c r="AZ31" s="52" t="s">
        <v>66</v>
      </c>
      <c r="BA31" s="28" t="s">
        <v>67</v>
      </c>
      <c r="BC31" s="50">
        <f>AW31+AX31</f>
      </c>
      <c r="BD31" s="50">
        <f>G31/(100-BE31)*100</f>
      </c>
      <c r="BE31" s="50" t="n">
        <v>0</v>
      </c>
      <c r="BF31" s="50">
        <f>31</f>
      </c>
      <c r="BH31" s="50">
        <f>F31*AO31</f>
      </c>
      <c r="BI31" s="50">
        <f>F31*AP31</f>
      </c>
      <c r="BJ31" s="50">
        <f>F31*G31</f>
      </c>
      <c r="BK31" s="50"/>
      <c r="BL31" s="50" t="n">
        <v>16</v>
      </c>
      <c r="BW31" s="50" t="n">
        <v>21</v>
      </c>
      <c r="BX31" s="14" t="s">
        <v>119</v>
      </c>
    </row>
    <row r="32">
      <c r="A32" s="45" t="s">
        <v>55</v>
      </c>
      <c r="B32" s="46" t="s">
        <v>121</v>
      </c>
      <c r="C32" s="47" t="s">
        <v>122</v>
      </c>
      <c r="D32" s="46"/>
      <c r="E32" s="48" t="s">
        <v>36</v>
      </c>
      <c r="F32" s="48" t="s">
        <v>36</v>
      </c>
      <c r="G32" s="48" t="s">
        <v>36</v>
      </c>
      <c r="H32" s="2">
        <f>SUM(H33:H35)</f>
      </c>
      <c r="I32" s="2">
        <f>SUM(I33:I35)</f>
      </c>
      <c r="J32" s="2">
        <f>SUM(J33:J35)</f>
      </c>
      <c r="K32" s="49" t="s">
        <v>55</v>
      </c>
      <c r="AI32" s="28" t="s">
        <v>59</v>
      </c>
      <c r="AS32" s="2">
        <f>SUM(AJ33:AJ35)</f>
      </c>
      <c r="AT32" s="2">
        <f>SUM(AK33:AK35)</f>
      </c>
      <c r="AU32" s="2">
        <f>SUM(AL33:AL35)</f>
      </c>
    </row>
    <row r="33">
      <c r="A33" s="9" t="s">
        <v>123</v>
      </c>
      <c r="B33" s="10" t="s">
        <v>124</v>
      </c>
      <c r="C33" s="14" t="s">
        <v>125</v>
      </c>
      <c r="D33" s="10"/>
      <c r="E33" s="10" t="s">
        <v>82</v>
      </c>
      <c r="F33" s="50" t="n">
        <v>27.36</v>
      </c>
      <c r="G33" s="50" t="n">
        <v>0</v>
      </c>
      <c r="H33" s="50">
        <f>F33*AO33</f>
      </c>
      <c r="I33" s="50">
        <f>F33*AP33</f>
      </c>
      <c r="J33" s="50">
        <f>F33*G33</f>
      </c>
      <c r="K33" s="51" t="s">
        <v>64</v>
      </c>
      <c r="Z33" s="50">
        <f>IF(AQ33="5",BJ33,0)</f>
      </c>
      <c r="AB33" s="50">
        <f>IF(AQ33="1",BH33,0)</f>
      </c>
      <c r="AC33" s="50">
        <f>IF(AQ33="1",BI33,0)</f>
      </c>
      <c r="AD33" s="50">
        <f>IF(AQ33="7",BH33,0)</f>
      </c>
      <c r="AE33" s="50">
        <f>IF(AQ33="7",BI33,0)</f>
      </c>
      <c r="AF33" s="50">
        <f>IF(AQ33="2",BH33,0)</f>
      </c>
      <c r="AG33" s="50">
        <f>IF(AQ33="2",BI33,0)</f>
      </c>
      <c r="AH33" s="50">
        <f>IF(AQ33="0",BJ33,0)</f>
      </c>
      <c r="AI33" s="28" t="s">
        <v>59</v>
      </c>
      <c r="AJ33" s="50">
        <f>IF(AN33=0,J33,0)</f>
      </c>
      <c r="AK33" s="50">
        <f>IF(AN33=12,J33,0)</f>
      </c>
      <c r="AL33" s="50">
        <f>IF(AN33=21,J33,0)</f>
      </c>
      <c r="AN33" s="50" t="n">
        <v>21</v>
      </c>
      <c r="AO33" s="50">
        <f>G33*0</f>
      </c>
      <c r="AP33" s="50">
        <f>G33*(1-0)</f>
      </c>
      <c r="AQ33" s="52" t="s">
        <v>60</v>
      </c>
      <c r="AV33" s="50">
        <f>AW33+AX33</f>
      </c>
      <c r="AW33" s="50">
        <f>F33*AO33</f>
      </c>
      <c r="AX33" s="50">
        <f>F33*AP33</f>
      </c>
      <c r="AY33" s="52" t="s">
        <v>126</v>
      </c>
      <c r="AZ33" s="52" t="s">
        <v>66</v>
      </c>
      <c r="BA33" s="28" t="s">
        <v>67</v>
      </c>
      <c r="BC33" s="50">
        <f>AW33+AX33</f>
      </c>
      <c r="BD33" s="50">
        <f>G33/(100-BE33)*100</f>
      </c>
      <c r="BE33" s="50" t="n">
        <v>0</v>
      </c>
      <c r="BF33" s="50">
        <f>33</f>
      </c>
      <c r="BH33" s="50">
        <f>F33*AO33</f>
      </c>
      <c r="BI33" s="50">
        <f>F33*AP33</f>
      </c>
      <c r="BJ33" s="50">
        <f>F33*G33</f>
      </c>
      <c r="BK33" s="50"/>
      <c r="BL33" s="50" t="n">
        <v>17</v>
      </c>
      <c r="BW33" s="50" t="n">
        <v>21</v>
      </c>
      <c r="BX33" s="14" t="s">
        <v>125</v>
      </c>
    </row>
    <row r="34">
      <c r="A34" s="9" t="s">
        <v>110</v>
      </c>
      <c r="B34" s="10" t="s">
        <v>127</v>
      </c>
      <c r="C34" s="14" t="s">
        <v>128</v>
      </c>
      <c r="D34" s="10"/>
      <c r="E34" s="10" t="s">
        <v>82</v>
      </c>
      <c r="F34" s="50" t="n">
        <v>2.28</v>
      </c>
      <c r="G34" s="50" t="n">
        <v>0</v>
      </c>
      <c r="H34" s="50">
        <f>F34*AO34</f>
      </c>
      <c r="I34" s="50">
        <f>F34*AP34</f>
      </c>
      <c r="J34" s="50">
        <f>F34*G34</f>
      </c>
      <c r="K34" s="51" t="s">
        <v>64</v>
      </c>
      <c r="Z34" s="50">
        <f>IF(AQ34="5",BJ34,0)</f>
      </c>
      <c r="AB34" s="50">
        <f>IF(AQ34="1",BH34,0)</f>
      </c>
      <c r="AC34" s="50">
        <f>IF(AQ34="1",BI34,0)</f>
      </c>
      <c r="AD34" s="50">
        <f>IF(AQ34="7",BH34,0)</f>
      </c>
      <c r="AE34" s="50">
        <f>IF(AQ34="7",BI34,0)</f>
      </c>
      <c r="AF34" s="50">
        <f>IF(AQ34="2",BH34,0)</f>
      </c>
      <c r="AG34" s="50">
        <f>IF(AQ34="2",BI34,0)</f>
      </c>
      <c r="AH34" s="50">
        <f>IF(AQ34="0",BJ34,0)</f>
      </c>
      <c r="AI34" s="28" t="s">
        <v>59</v>
      </c>
      <c r="AJ34" s="50">
        <f>IF(AN34=0,J34,0)</f>
      </c>
      <c r="AK34" s="50">
        <f>IF(AN34=12,J34,0)</f>
      </c>
      <c r="AL34" s="50">
        <f>IF(AN34=21,J34,0)</f>
      </c>
      <c r="AN34" s="50" t="n">
        <v>21</v>
      </c>
      <c r="AO34" s="50">
        <f>G34*0</f>
      </c>
      <c r="AP34" s="50">
        <f>G34*(1-0)</f>
      </c>
      <c r="AQ34" s="52" t="s">
        <v>60</v>
      </c>
      <c r="AV34" s="50">
        <f>AW34+AX34</f>
      </c>
      <c r="AW34" s="50">
        <f>F34*AO34</f>
      </c>
      <c r="AX34" s="50">
        <f>F34*AP34</f>
      </c>
      <c r="AY34" s="52" t="s">
        <v>126</v>
      </c>
      <c r="AZ34" s="52" t="s">
        <v>66</v>
      </c>
      <c r="BA34" s="28" t="s">
        <v>67</v>
      </c>
      <c r="BC34" s="50">
        <f>AW34+AX34</f>
      </c>
      <c r="BD34" s="50">
        <f>G34/(100-BE34)*100</f>
      </c>
      <c r="BE34" s="50" t="n">
        <v>0</v>
      </c>
      <c r="BF34" s="50">
        <f>34</f>
      </c>
      <c r="BH34" s="50">
        <f>F34*AO34</f>
      </c>
      <c r="BI34" s="50">
        <f>F34*AP34</f>
      </c>
      <c r="BJ34" s="50">
        <f>F34*G34</f>
      </c>
      <c r="BK34" s="50"/>
      <c r="BL34" s="50" t="n">
        <v>17</v>
      </c>
      <c r="BW34" s="50" t="n">
        <v>21</v>
      </c>
      <c r="BX34" s="14" t="s">
        <v>128</v>
      </c>
    </row>
    <row r="35">
      <c r="A35" s="9" t="s">
        <v>121</v>
      </c>
      <c r="B35" s="10" t="s">
        <v>129</v>
      </c>
      <c r="C35" s="14" t="s">
        <v>130</v>
      </c>
      <c r="D35" s="10"/>
      <c r="E35" s="10" t="s">
        <v>82</v>
      </c>
      <c r="F35" s="50" t="n">
        <v>3.42</v>
      </c>
      <c r="G35" s="50" t="n">
        <v>0</v>
      </c>
      <c r="H35" s="50">
        <f>F35*AO35</f>
      </c>
      <c r="I35" s="50">
        <f>F35*AP35</f>
      </c>
      <c r="J35" s="50">
        <f>F35*G35</f>
      </c>
      <c r="K35" s="51" t="s">
        <v>64</v>
      </c>
      <c r="Z35" s="50">
        <f>IF(AQ35="5",BJ35,0)</f>
      </c>
      <c r="AB35" s="50">
        <f>IF(AQ35="1",BH35,0)</f>
      </c>
      <c r="AC35" s="50">
        <f>IF(AQ35="1",BI35,0)</f>
      </c>
      <c r="AD35" s="50">
        <f>IF(AQ35="7",BH35,0)</f>
      </c>
      <c r="AE35" s="50">
        <f>IF(AQ35="7",BI35,0)</f>
      </c>
      <c r="AF35" s="50">
        <f>IF(AQ35="2",BH35,0)</f>
      </c>
      <c r="AG35" s="50">
        <f>IF(AQ35="2",BI35,0)</f>
      </c>
      <c r="AH35" s="50">
        <f>IF(AQ35="0",BJ35,0)</f>
      </c>
      <c r="AI35" s="28" t="s">
        <v>59</v>
      </c>
      <c r="AJ35" s="50">
        <f>IF(AN35=0,J35,0)</f>
      </c>
      <c r="AK35" s="50">
        <f>IF(AN35=12,J35,0)</f>
      </c>
      <c r="AL35" s="50">
        <f>IF(AN35=21,J35,0)</f>
      </c>
      <c r="AN35" s="50" t="n">
        <v>21</v>
      </c>
      <c r="AO35" s="50">
        <f>G35*0</f>
      </c>
      <c r="AP35" s="50">
        <f>G35*(1-0)</f>
      </c>
      <c r="AQ35" s="52" t="s">
        <v>60</v>
      </c>
      <c r="AV35" s="50">
        <f>AW35+AX35</f>
      </c>
      <c r="AW35" s="50">
        <f>F35*AO35</f>
      </c>
      <c r="AX35" s="50">
        <f>F35*AP35</f>
      </c>
      <c r="AY35" s="52" t="s">
        <v>126</v>
      </c>
      <c r="AZ35" s="52" t="s">
        <v>66</v>
      </c>
      <c r="BA35" s="28" t="s">
        <v>67</v>
      </c>
      <c r="BC35" s="50">
        <f>AW35+AX35</f>
      </c>
      <c r="BD35" s="50">
        <f>G35/(100-BE35)*100</f>
      </c>
      <c r="BE35" s="50" t="n">
        <v>0</v>
      </c>
      <c r="BF35" s="50">
        <f>35</f>
      </c>
      <c r="BH35" s="50">
        <f>F35*AO35</f>
      </c>
      <c r="BI35" s="50">
        <f>F35*AP35</f>
      </c>
      <c r="BJ35" s="50">
        <f>F35*G35</f>
      </c>
      <c r="BK35" s="50"/>
      <c r="BL35" s="50" t="n">
        <v>17</v>
      </c>
      <c r="BW35" s="50" t="n">
        <v>21</v>
      </c>
      <c r="BX35" s="14" t="s">
        <v>130</v>
      </c>
    </row>
    <row r="36">
      <c r="A36" s="45" t="s">
        <v>55</v>
      </c>
      <c r="B36" s="46" t="s">
        <v>131</v>
      </c>
      <c r="C36" s="47" t="s">
        <v>132</v>
      </c>
      <c r="D36" s="46"/>
      <c r="E36" s="48" t="s">
        <v>36</v>
      </c>
      <c r="F36" s="48" t="s">
        <v>36</v>
      </c>
      <c r="G36" s="48" t="s">
        <v>36</v>
      </c>
      <c r="H36" s="2">
        <f>SUM(H37:H38)</f>
      </c>
      <c r="I36" s="2">
        <f>SUM(I37:I38)</f>
      </c>
      <c r="J36" s="2">
        <f>SUM(J37:J38)</f>
      </c>
      <c r="K36" s="49" t="s">
        <v>55</v>
      </c>
      <c r="AI36" s="28" t="s">
        <v>59</v>
      </c>
      <c r="AS36" s="2">
        <f>SUM(AJ37:AJ38)</f>
      </c>
      <c r="AT36" s="2">
        <f>SUM(AK37:AK38)</f>
      </c>
      <c r="AU36" s="2">
        <f>SUM(AL37:AL38)</f>
      </c>
    </row>
    <row r="37">
      <c r="A37" s="9" t="s">
        <v>131</v>
      </c>
      <c r="B37" s="10" t="s">
        <v>133</v>
      </c>
      <c r="C37" s="14" t="s">
        <v>134</v>
      </c>
      <c r="D37" s="10"/>
      <c r="E37" s="10" t="s">
        <v>75</v>
      </c>
      <c r="F37" s="50" t="n">
        <v>10</v>
      </c>
      <c r="G37" s="50" t="n">
        <v>0</v>
      </c>
      <c r="H37" s="50">
        <f>F37*AO37</f>
      </c>
      <c r="I37" s="50">
        <f>F37*AP37</f>
      </c>
      <c r="J37" s="50">
        <f>F37*G37</f>
      </c>
      <c r="K37" s="51" t="s">
        <v>64</v>
      </c>
      <c r="Z37" s="50">
        <f>IF(AQ37="5",BJ37,0)</f>
      </c>
      <c r="AB37" s="50">
        <f>IF(AQ37="1",BH37,0)</f>
      </c>
      <c r="AC37" s="50">
        <f>IF(AQ37="1",BI37,0)</f>
      </c>
      <c r="AD37" s="50">
        <f>IF(AQ37="7",BH37,0)</f>
      </c>
      <c r="AE37" s="50">
        <f>IF(AQ37="7",BI37,0)</f>
      </c>
      <c r="AF37" s="50">
        <f>IF(AQ37="2",BH37,0)</f>
      </c>
      <c r="AG37" s="50">
        <f>IF(AQ37="2",BI37,0)</f>
      </c>
      <c r="AH37" s="50">
        <f>IF(AQ37="0",BJ37,0)</f>
      </c>
      <c r="AI37" s="28" t="s">
        <v>59</v>
      </c>
      <c r="AJ37" s="50">
        <f>IF(AN37=0,J37,0)</f>
      </c>
      <c r="AK37" s="50">
        <f>IF(AN37=12,J37,0)</f>
      </c>
      <c r="AL37" s="50">
        <f>IF(AN37=21,J37,0)</f>
      </c>
      <c r="AN37" s="50" t="n">
        <v>21</v>
      </c>
      <c r="AO37" s="50">
        <f>G37*0</f>
      </c>
      <c r="AP37" s="50">
        <f>G37*(1-0)</f>
      </c>
      <c r="AQ37" s="52" t="s">
        <v>60</v>
      </c>
      <c r="AV37" s="50">
        <f>AW37+AX37</f>
      </c>
      <c r="AW37" s="50">
        <f>F37*AO37</f>
      </c>
      <c r="AX37" s="50">
        <f>F37*AP37</f>
      </c>
      <c r="AY37" s="52" t="s">
        <v>135</v>
      </c>
      <c r="AZ37" s="52" t="s">
        <v>66</v>
      </c>
      <c r="BA37" s="28" t="s">
        <v>67</v>
      </c>
      <c r="BC37" s="50">
        <f>AW37+AX37</f>
      </c>
      <c r="BD37" s="50">
        <f>G37/(100-BE37)*100</f>
      </c>
      <c r="BE37" s="50" t="n">
        <v>0</v>
      </c>
      <c r="BF37" s="50">
        <f>37</f>
      </c>
      <c r="BH37" s="50">
        <f>F37*AO37</f>
      </c>
      <c r="BI37" s="50">
        <f>F37*AP37</f>
      </c>
      <c r="BJ37" s="50">
        <f>F37*G37</f>
      </c>
      <c r="BK37" s="50"/>
      <c r="BL37" s="50" t="n">
        <v>18</v>
      </c>
      <c r="BW37" s="50" t="n">
        <v>21</v>
      </c>
      <c r="BX37" s="14" t="s">
        <v>134</v>
      </c>
    </row>
    <row r="38">
      <c r="A38" s="9" t="s">
        <v>136</v>
      </c>
      <c r="B38" s="10" t="s">
        <v>137</v>
      </c>
      <c r="C38" s="14" t="s">
        <v>138</v>
      </c>
      <c r="D38" s="10"/>
      <c r="E38" s="10" t="s">
        <v>75</v>
      </c>
      <c r="F38" s="50" t="n">
        <v>10</v>
      </c>
      <c r="G38" s="50" t="n">
        <v>0</v>
      </c>
      <c r="H38" s="50">
        <f>F38*AO38</f>
      </c>
      <c r="I38" s="50">
        <f>F38*AP38</f>
      </c>
      <c r="J38" s="50">
        <f>F38*G38</f>
      </c>
      <c r="K38" s="51" t="s">
        <v>64</v>
      </c>
      <c r="Z38" s="50">
        <f>IF(AQ38="5",BJ38,0)</f>
      </c>
      <c r="AB38" s="50">
        <f>IF(AQ38="1",BH38,0)</f>
      </c>
      <c r="AC38" s="50">
        <f>IF(AQ38="1",BI38,0)</f>
      </c>
      <c r="AD38" s="50">
        <f>IF(AQ38="7",BH38,0)</f>
      </c>
      <c r="AE38" s="50">
        <f>IF(AQ38="7",BI38,0)</f>
      </c>
      <c r="AF38" s="50">
        <f>IF(AQ38="2",BH38,0)</f>
      </c>
      <c r="AG38" s="50">
        <f>IF(AQ38="2",BI38,0)</f>
      </c>
      <c r="AH38" s="50">
        <f>IF(AQ38="0",BJ38,0)</f>
      </c>
      <c r="AI38" s="28" t="s">
        <v>59</v>
      </c>
      <c r="AJ38" s="50">
        <f>IF(AN38=0,J38,0)</f>
      </c>
      <c r="AK38" s="50">
        <f>IF(AN38=12,J38,0)</f>
      </c>
      <c r="AL38" s="50">
        <f>IF(AN38=21,J38,0)</f>
      </c>
      <c r="AN38" s="50" t="n">
        <v>21</v>
      </c>
      <c r="AO38" s="50">
        <f>G38*0.068199841</f>
      </c>
      <c r="AP38" s="50">
        <f>G38*(1-0.068199841)</f>
      </c>
      <c r="AQ38" s="52" t="s">
        <v>60</v>
      </c>
      <c r="AV38" s="50">
        <f>AW38+AX38</f>
      </c>
      <c r="AW38" s="50">
        <f>F38*AO38</f>
      </c>
      <c r="AX38" s="50">
        <f>F38*AP38</f>
      </c>
      <c r="AY38" s="52" t="s">
        <v>135</v>
      </c>
      <c r="AZ38" s="52" t="s">
        <v>66</v>
      </c>
      <c r="BA38" s="28" t="s">
        <v>67</v>
      </c>
      <c r="BC38" s="50">
        <f>AW38+AX38</f>
      </c>
      <c r="BD38" s="50">
        <f>G38/(100-BE38)*100</f>
      </c>
      <c r="BE38" s="50" t="n">
        <v>0</v>
      </c>
      <c r="BF38" s="50">
        <f>38</f>
      </c>
      <c r="BH38" s="50">
        <f>F38*AO38</f>
      </c>
      <c r="BI38" s="50">
        <f>F38*AP38</f>
      </c>
      <c r="BJ38" s="50">
        <f>F38*G38</f>
      </c>
      <c r="BK38" s="50"/>
      <c r="BL38" s="50" t="n">
        <v>18</v>
      </c>
      <c r="BW38" s="50" t="n">
        <v>21</v>
      </c>
      <c r="BX38" s="14" t="s">
        <v>138</v>
      </c>
    </row>
    <row r="39">
      <c r="A39" s="45" t="s">
        <v>55</v>
      </c>
      <c r="B39" s="46" t="s">
        <v>139</v>
      </c>
      <c r="C39" s="47" t="s">
        <v>140</v>
      </c>
      <c r="D39" s="46"/>
      <c r="E39" s="48" t="s">
        <v>36</v>
      </c>
      <c r="F39" s="48" t="s">
        <v>36</v>
      </c>
      <c r="G39" s="48" t="s">
        <v>36</v>
      </c>
      <c r="H39" s="2">
        <f>SUM(H40:H40)</f>
      </c>
      <c r="I39" s="2">
        <f>SUM(I40:I40)</f>
      </c>
      <c r="J39" s="2">
        <f>SUM(J40:J40)</f>
      </c>
      <c r="K39" s="49" t="s">
        <v>55</v>
      </c>
      <c r="AI39" s="28" t="s">
        <v>59</v>
      </c>
      <c r="AS39" s="2">
        <f>SUM(AJ40:AJ40)</f>
      </c>
      <c r="AT39" s="2">
        <f>SUM(AK40:AK40)</f>
      </c>
      <c r="AU39" s="2">
        <f>SUM(AL40:AL40)</f>
      </c>
    </row>
    <row r="40">
      <c r="A40" s="9" t="s">
        <v>141</v>
      </c>
      <c r="B40" s="10" t="s">
        <v>142</v>
      </c>
      <c r="C40" s="14" t="s">
        <v>143</v>
      </c>
      <c r="D40" s="10"/>
      <c r="E40" s="10" t="s">
        <v>82</v>
      </c>
      <c r="F40" s="50" t="n">
        <v>1.14</v>
      </c>
      <c r="G40" s="50" t="n">
        <v>0</v>
      </c>
      <c r="H40" s="50">
        <f>F40*AO40</f>
      </c>
      <c r="I40" s="50">
        <f>F40*AP40</f>
      </c>
      <c r="J40" s="50">
        <f>F40*G40</f>
      </c>
      <c r="K40" s="51" t="s">
        <v>64</v>
      </c>
      <c r="Z40" s="50">
        <f>IF(AQ40="5",BJ40,0)</f>
      </c>
      <c r="AB40" s="50">
        <f>IF(AQ40="1",BH40,0)</f>
      </c>
      <c r="AC40" s="50">
        <f>IF(AQ40="1",BI40,0)</f>
      </c>
      <c r="AD40" s="50">
        <f>IF(AQ40="7",BH40,0)</f>
      </c>
      <c r="AE40" s="50">
        <f>IF(AQ40="7",BI40,0)</f>
      </c>
      <c r="AF40" s="50">
        <f>IF(AQ40="2",BH40,0)</f>
      </c>
      <c r="AG40" s="50">
        <f>IF(AQ40="2",BI40,0)</f>
      </c>
      <c r="AH40" s="50">
        <f>IF(AQ40="0",BJ40,0)</f>
      </c>
      <c r="AI40" s="28" t="s">
        <v>59</v>
      </c>
      <c r="AJ40" s="50">
        <f>IF(AN40=0,J40,0)</f>
      </c>
      <c r="AK40" s="50">
        <f>IF(AN40=12,J40,0)</f>
      </c>
      <c r="AL40" s="50">
        <f>IF(AN40=21,J40,0)</f>
      </c>
      <c r="AN40" s="50" t="n">
        <v>21</v>
      </c>
      <c r="AO40" s="50">
        <f>G40*0.467115987</f>
      </c>
      <c r="AP40" s="50">
        <f>G40*(1-0.467115987)</f>
      </c>
      <c r="AQ40" s="52" t="s">
        <v>60</v>
      </c>
      <c r="AV40" s="50">
        <f>AW40+AX40</f>
      </c>
      <c r="AW40" s="50">
        <f>F40*AO40</f>
      </c>
      <c r="AX40" s="50">
        <f>F40*AP40</f>
      </c>
      <c r="AY40" s="52" t="s">
        <v>144</v>
      </c>
      <c r="AZ40" s="52" t="s">
        <v>145</v>
      </c>
      <c r="BA40" s="28" t="s">
        <v>67</v>
      </c>
      <c r="BC40" s="50">
        <f>AW40+AX40</f>
      </c>
      <c r="BD40" s="50">
        <f>G40/(100-BE40)*100</f>
      </c>
      <c r="BE40" s="50" t="n">
        <v>0</v>
      </c>
      <c r="BF40" s="50">
        <f>40</f>
      </c>
      <c r="BH40" s="50">
        <f>F40*AO40</f>
      </c>
      <c r="BI40" s="50">
        <f>F40*AP40</f>
      </c>
      <c r="BJ40" s="50">
        <f>F40*G40</f>
      </c>
      <c r="BK40" s="50"/>
      <c r="BL40" s="50" t="n">
        <v>45</v>
      </c>
      <c r="BW40" s="50" t="n">
        <v>21</v>
      </c>
      <c r="BX40" s="14" t="s">
        <v>143</v>
      </c>
    </row>
    <row r="41">
      <c r="A41" s="45" t="s">
        <v>55</v>
      </c>
      <c r="B41" s="46" t="s">
        <v>146</v>
      </c>
      <c r="C41" s="47" t="s">
        <v>147</v>
      </c>
      <c r="D41" s="46"/>
      <c r="E41" s="48" t="s">
        <v>36</v>
      </c>
      <c r="F41" s="48" t="s">
        <v>36</v>
      </c>
      <c r="G41" s="48" t="s">
        <v>36</v>
      </c>
      <c r="H41" s="2">
        <f>SUM(H42:H43)</f>
      </c>
      <c r="I41" s="2">
        <f>SUM(I42:I43)</f>
      </c>
      <c r="J41" s="2">
        <f>SUM(J42:J43)</f>
      </c>
      <c r="K41" s="49" t="s">
        <v>55</v>
      </c>
      <c r="AI41" s="28" t="s">
        <v>59</v>
      </c>
      <c r="AS41" s="2">
        <f>SUM(AJ42:AJ43)</f>
      </c>
      <c r="AT41" s="2">
        <f>SUM(AK42:AK43)</f>
      </c>
      <c r="AU41" s="2">
        <f>SUM(AL42:AL43)</f>
      </c>
    </row>
    <row r="42">
      <c r="A42" s="9" t="s">
        <v>148</v>
      </c>
      <c r="B42" s="10" t="s">
        <v>149</v>
      </c>
      <c r="C42" s="14" t="s">
        <v>150</v>
      </c>
      <c r="D42" s="10"/>
      <c r="E42" s="10" t="s">
        <v>75</v>
      </c>
      <c r="F42" s="50" t="n">
        <v>25</v>
      </c>
      <c r="G42" s="50" t="n">
        <v>0</v>
      </c>
      <c r="H42" s="50">
        <f>F42*AO42</f>
      </c>
      <c r="I42" s="50">
        <f>F42*AP42</f>
      </c>
      <c r="J42" s="50">
        <f>F42*G42</f>
      </c>
      <c r="K42" s="51" t="s">
        <v>64</v>
      </c>
      <c r="Z42" s="50">
        <f>IF(AQ42="5",BJ42,0)</f>
      </c>
      <c r="AB42" s="50">
        <f>IF(AQ42="1",BH42,0)</f>
      </c>
      <c r="AC42" s="50">
        <f>IF(AQ42="1",BI42,0)</f>
      </c>
      <c r="AD42" s="50">
        <f>IF(AQ42="7",BH42,0)</f>
      </c>
      <c r="AE42" s="50">
        <f>IF(AQ42="7",BI42,0)</f>
      </c>
      <c r="AF42" s="50">
        <f>IF(AQ42="2",BH42,0)</f>
      </c>
      <c r="AG42" s="50">
        <f>IF(AQ42="2",BI42,0)</f>
      </c>
      <c r="AH42" s="50">
        <f>IF(AQ42="0",BJ42,0)</f>
      </c>
      <c r="AI42" s="28" t="s">
        <v>59</v>
      </c>
      <c r="AJ42" s="50">
        <f>IF(AN42=0,J42,0)</f>
      </c>
      <c r="AK42" s="50">
        <f>IF(AN42=12,J42,0)</f>
      </c>
      <c r="AL42" s="50">
        <f>IF(AN42=21,J42,0)</f>
      </c>
      <c r="AN42" s="50" t="n">
        <v>21</v>
      </c>
      <c r="AO42" s="50">
        <f>G42*0.844923027</f>
      </c>
      <c r="AP42" s="50">
        <f>G42*(1-0.844923027)</f>
      </c>
      <c r="AQ42" s="52" t="s">
        <v>60</v>
      </c>
      <c r="AV42" s="50">
        <f>AW42+AX42</f>
      </c>
      <c r="AW42" s="50">
        <f>F42*AO42</f>
      </c>
      <c r="AX42" s="50">
        <f>F42*AP42</f>
      </c>
      <c r="AY42" s="52" t="s">
        <v>151</v>
      </c>
      <c r="AZ42" s="52" t="s">
        <v>152</v>
      </c>
      <c r="BA42" s="28" t="s">
        <v>67</v>
      </c>
      <c r="BC42" s="50">
        <f>AW42+AX42</f>
      </c>
      <c r="BD42" s="50">
        <f>G42/(100-BE42)*100</f>
      </c>
      <c r="BE42" s="50" t="n">
        <v>0</v>
      </c>
      <c r="BF42" s="50">
        <f>42</f>
      </c>
      <c r="BH42" s="50">
        <f>F42*AO42</f>
      </c>
      <c r="BI42" s="50">
        <f>F42*AP42</f>
      </c>
      <c r="BJ42" s="50">
        <f>F42*G42</f>
      </c>
      <c r="BK42" s="50"/>
      <c r="BL42" s="50" t="n">
        <v>56</v>
      </c>
      <c r="BW42" s="50" t="n">
        <v>21</v>
      </c>
      <c r="BX42" s="14" t="s">
        <v>150</v>
      </c>
    </row>
    <row r="43">
      <c r="A43" s="9" t="s">
        <v>153</v>
      </c>
      <c r="B43" s="10" t="s">
        <v>154</v>
      </c>
      <c r="C43" s="14" t="s">
        <v>155</v>
      </c>
      <c r="D43" s="10"/>
      <c r="E43" s="10" t="s">
        <v>75</v>
      </c>
      <c r="F43" s="50" t="n">
        <v>25</v>
      </c>
      <c r="G43" s="50" t="n">
        <v>0</v>
      </c>
      <c r="H43" s="50">
        <f>F43*AO43</f>
      </c>
      <c r="I43" s="50">
        <f>F43*AP43</f>
      </c>
      <c r="J43" s="50">
        <f>F43*G43</f>
      </c>
      <c r="K43" s="51" t="s">
        <v>64</v>
      </c>
      <c r="Z43" s="50">
        <f>IF(AQ43="5",BJ43,0)</f>
      </c>
      <c r="AB43" s="50">
        <f>IF(AQ43="1",BH43,0)</f>
      </c>
      <c r="AC43" s="50">
        <f>IF(AQ43="1",BI43,0)</f>
      </c>
      <c r="AD43" s="50">
        <f>IF(AQ43="7",BH43,0)</f>
      </c>
      <c r="AE43" s="50">
        <f>IF(AQ43="7",BI43,0)</f>
      </c>
      <c r="AF43" s="50">
        <f>IF(AQ43="2",BH43,0)</f>
      </c>
      <c r="AG43" s="50">
        <f>IF(AQ43="2",BI43,0)</f>
      </c>
      <c r="AH43" s="50">
        <f>IF(AQ43="0",BJ43,0)</f>
      </c>
      <c r="AI43" s="28" t="s">
        <v>59</v>
      </c>
      <c r="AJ43" s="50">
        <f>IF(AN43=0,J43,0)</f>
      </c>
      <c r="AK43" s="50">
        <f>IF(AN43=12,J43,0)</f>
      </c>
      <c r="AL43" s="50">
        <f>IF(AN43=21,J43,0)</f>
      </c>
      <c r="AN43" s="50" t="n">
        <v>21</v>
      </c>
      <c r="AO43" s="50">
        <f>G43*0.908647126</f>
      </c>
      <c r="AP43" s="50">
        <f>G43*(1-0.908647126)</f>
      </c>
      <c r="AQ43" s="52" t="s">
        <v>60</v>
      </c>
      <c r="AV43" s="50">
        <f>AW43+AX43</f>
      </c>
      <c r="AW43" s="50">
        <f>F43*AO43</f>
      </c>
      <c r="AX43" s="50">
        <f>F43*AP43</f>
      </c>
      <c r="AY43" s="52" t="s">
        <v>151</v>
      </c>
      <c r="AZ43" s="52" t="s">
        <v>152</v>
      </c>
      <c r="BA43" s="28" t="s">
        <v>67</v>
      </c>
      <c r="BC43" s="50">
        <f>AW43+AX43</f>
      </c>
      <c r="BD43" s="50">
        <f>G43/(100-BE43)*100</f>
      </c>
      <c r="BE43" s="50" t="n">
        <v>0</v>
      </c>
      <c r="BF43" s="50">
        <f>43</f>
      </c>
      <c r="BH43" s="50">
        <f>F43*AO43</f>
      </c>
      <c r="BI43" s="50">
        <f>F43*AP43</f>
      </c>
      <c r="BJ43" s="50">
        <f>F43*G43</f>
      </c>
      <c r="BK43" s="50"/>
      <c r="BL43" s="50" t="n">
        <v>56</v>
      </c>
      <c r="BW43" s="50" t="n">
        <v>21</v>
      </c>
      <c r="BX43" s="14" t="s">
        <v>155</v>
      </c>
    </row>
    <row r="44">
      <c r="A44" s="45" t="s">
        <v>55</v>
      </c>
      <c r="B44" s="46" t="s">
        <v>156</v>
      </c>
      <c r="C44" s="47" t="s">
        <v>157</v>
      </c>
      <c r="D44" s="46"/>
      <c r="E44" s="48" t="s">
        <v>36</v>
      </c>
      <c r="F44" s="48" t="s">
        <v>36</v>
      </c>
      <c r="G44" s="48" t="s">
        <v>36</v>
      </c>
      <c r="H44" s="2">
        <f>SUM(H45:H46)</f>
      </c>
      <c r="I44" s="2">
        <f>SUM(I45:I46)</f>
      </c>
      <c r="J44" s="2">
        <f>SUM(J45:J46)</f>
      </c>
      <c r="K44" s="49" t="s">
        <v>55</v>
      </c>
      <c r="AI44" s="28" t="s">
        <v>59</v>
      </c>
      <c r="AS44" s="2">
        <f>SUM(AJ45:AJ46)</f>
      </c>
      <c r="AT44" s="2">
        <f>SUM(AK45:AK46)</f>
      </c>
      <c r="AU44" s="2">
        <f>SUM(AL45:AL46)</f>
      </c>
    </row>
    <row r="45">
      <c r="A45" s="9" t="s">
        <v>158</v>
      </c>
      <c r="B45" s="10" t="s">
        <v>159</v>
      </c>
      <c r="C45" s="14" t="s">
        <v>160</v>
      </c>
      <c r="D45" s="10"/>
      <c r="E45" s="10" t="s">
        <v>75</v>
      </c>
      <c r="F45" s="50" t="n">
        <v>27.5</v>
      </c>
      <c r="G45" s="50" t="n">
        <v>0</v>
      </c>
      <c r="H45" s="50">
        <f>F45*AO45</f>
      </c>
      <c r="I45" s="50">
        <f>F45*AP45</f>
      </c>
      <c r="J45" s="50">
        <f>F45*G45</f>
      </c>
      <c r="K45" s="51" t="s">
        <v>64</v>
      </c>
      <c r="Z45" s="50">
        <f>IF(AQ45="5",BJ45,0)</f>
      </c>
      <c r="AB45" s="50">
        <f>IF(AQ45="1",BH45,0)</f>
      </c>
      <c r="AC45" s="50">
        <f>IF(AQ45="1",BI45,0)</f>
      </c>
      <c r="AD45" s="50">
        <f>IF(AQ45="7",BH45,0)</f>
      </c>
      <c r="AE45" s="50">
        <f>IF(AQ45="7",BI45,0)</f>
      </c>
      <c r="AF45" s="50">
        <f>IF(AQ45="2",BH45,0)</f>
      </c>
      <c r="AG45" s="50">
        <f>IF(AQ45="2",BI45,0)</f>
      </c>
      <c r="AH45" s="50">
        <f>IF(AQ45="0",BJ45,0)</f>
      </c>
      <c r="AI45" s="28" t="s">
        <v>59</v>
      </c>
      <c r="AJ45" s="50">
        <f>IF(AN45=0,J45,0)</f>
      </c>
      <c r="AK45" s="50">
        <f>IF(AN45=12,J45,0)</f>
      </c>
      <c r="AL45" s="50">
        <f>IF(AN45=21,J45,0)</f>
      </c>
      <c r="AN45" s="50" t="n">
        <v>21</v>
      </c>
      <c r="AO45" s="50">
        <f>G45*0.785733333</f>
      </c>
      <c r="AP45" s="50">
        <f>G45*(1-0.785733333)</f>
      </c>
      <c r="AQ45" s="52" t="s">
        <v>60</v>
      </c>
      <c r="AV45" s="50">
        <f>AW45+AX45</f>
      </c>
      <c r="AW45" s="50">
        <f>F45*AO45</f>
      </c>
      <c r="AX45" s="50">
        <f>F45*AP45</f>
      </c>
      <c r="AY45" s="52" t="s">
        <v>161</v>
      </c>
      <c r="AZ45" s="52" t="s">
        <v>152</v>
      </c>
      <c r="BA45" s="28" t="s">
        <v>67</v>
      </c>
      <c r="BC45" s="50">
        <f>AW45+AX45</f>
      </c>
      <c r="BD45" s="50">
        <f>G45/(100-BE45)*100</f>
      </c>
      <c r="BE45" s="50" t="n">
        <v>0</v>
      </c>
      <c r="BF45" s="50">
        <f>45</f>
      </c>
      <c r="BH45" s="50">
        <f>F45*AO45</f>
      </c>
      <c r="BI45" s="50">
        <f>F45*AP45</f>
      </c>
      <c r="BJ45" s="50">
        <f>F45*G45</f>
      </c>
      <c r="BK45" s="50"/>
      <c r="BL45" s="50" t="n">
        <v>57</v>
      </c>
      <c r="BW45" s="50" t="n">
        <v>21</v>
      </c>
      <c r="BX45" s="14" t="s">
        <v>160</v>
      </c>
    </row>
    <row r="46">
      <c r="A46" s="9" t="s">
        <v>162</v>
      </c>
      <c r="B46" s="10" t="s">
        <v>163</v>
      </c>
      <c r="C46" s="14" t="s">
        <v>164</v>
      </c>
      <c r="D46" s="10"/>
      <c r="E46" s="10" t="s">
        <v>75</v>
      </c>
      <c r="F46" s="50" t="n">
        <v>25</v>
      </c>
      <c r="G46" s="50" t="n">
        <v>0</v>
      </c>
      <c r="H46" s="50">
        <f>F46*AO46</f>
      </c>
      <c r="I46" s="50">
        <f>F46*AP46</f>
      </c>
      <c r="J46" s="50">
        <f>F46*G46</f>
      </c>
      <c r="K46" s="51" t="s">
        <v>64</v>
      </c>
      <c r="Z46" s="50">
        <f>IF(AQ46="5",BJ46,0)</f>
      </c>
      <c r="AB46" s="50">
        <f>IF(AQ46="1",BH46,0)</f>
      </c>
      <c r="AC46" s="50">
        <f>IF(AQ46="1",BI46,0)</f>
      </c>
      <c r="AD46" s="50">
        <f>IF(AQ46="7",BH46,0)</f>
      </c>
      <c r="AE46" s="50">
        <f>IF(AQ46="7",BI46,0)</f>
      </c>
      <c r="AF46" s="50">
        <f>IF(AQ46="2",BH46,0)</f>
      </c>
      <c r="AG46" s="50">
        <f>IF(AQ46="2",BI46,0)</f>
      </c>
      <c r="AH46" s="50">
        <f>IF(AQ46="0",BJ46,0)</f>
      </c>
      <c r="AI46" s="28" t="s">
        <v>59</v>
      </c>
      <c r="AJ46" s="50">
        <f>IF(AN46=0,J46,0)</f>
      </c>
      <c r="AK46" s="50">
        <f>IF(AN46=12,J46,0)</f>
      </c>
      <c r="AL46" s="50">
        <f>IF(AN46=21,J46,0)</f>
      </c>
      <c r="AN46" s="50" t="n">
        <v>21</v>
      </c>
      <c r="AO46" s="50">
        <f>G46*0.815372544</f>
      </c>
      <c r="AP46" s="50">
        <f>G46*(1-0.815372544)</f>
      </c>
      <c r="AQ46" s="52" t="s">
        <v>60</v>
      </c>
      <c r="AV46" s="50">
        <f>AW46+AX46</f>
      </c>
      <c r="AW46" s="50">
        <f>F46*AO46</f>
      </c>
      <c r="AX46" s="50">
        <f>F46*AP46</f>
      </c>
      <c r="AY46" s="52" t="s">
        <v>161</v>
      </c>
      <c r="AZ46" s="52" t="s">
        <v>152</v>
      </c>
      <c r="BA46" s="28" t="s">
        <v>67</v>
      </c>
      <c r="BC46" s="50">
        <f>AW46+AX46</f>
      </c>
      <c r="BD46" s="50">
        <f>G46/(100-BE46)*100</f>
      </c>
      <c r="BE46" s="50" t="n">
        <v>0</v>
      </c>
      <c r="BF46" s="50">
        <f>46</f>
      </c>
      <c r="BH46" s="50">
        <f>F46*AO46</f>
      </c>
      <c r="BI46" s="50">
        <f>F46*AP46</f>
      </c>
      <c r="BJ46" s="50">
        <f>F46*G46</f>
      </c>
      <c r="BK46" s="50"/>
      <c r="BL46" s="50" t="n">
        <v>57</v>
      </c>
      <c r="BW46" s="50" t="n">
        <v>21</v>
      </c>
      <c r="BX46" s="14" t="s">
        <v>164</v>
      </c>
    </row>
    <row r="47">
      <c r="A47" s="45" t="s">
        <v>55</v>
      </c>
      <c r="B47" s="46" t="s">
        <v>165</v>
      </c>
      <c r="C47" s="47" t="s">
        <v>166</v>
      </c>
      <c r="D47" s="46"/>
      <c r="E47" s="48" t="s">
        <v>36</v>
      </c>
      <c r="F47" s="48" t="s">
        <v>36</v>
      </c>
      <c r="G47" s="48" t="s">
        <v>36</v>
      </c>
      <c r="H47" s="2">
        <f>SUM(H48:H49)</f>
      </c>
      <c r="I47" s="2">
        <f>SUM(I48:I49)</f>
      </c>
      <c r="J47" s="2">
        <f>SUM(J48:J49)</f>
      </c>
      <c r="K47" s="49" t="s">
        <v>55</v>
      </c>
      <c r="AI47" s="28" t="s">
        <v>59</v>
      </c>
      <c r="AS47" s="2">
        <f>SUM(AJ48:AJ49)</f>
      </c>
      <c r="AT47" s="2">
        <f>SUM(AK48:AK49)</f>
      </c>
      <c r="AU47" s="2">
        <f>SUM(AL48:AL49)</f>
      </c>
    </row>
    <row r="48">
      <c r="A48" s="9" t="s">
        <v>167</v>
      </c>
      <c r="B48" s="10" t="s">
        <v>168</v>
      </c>
      <c r="C48" s="14" t="s">
        <v>169</v>
      </c>
      <c r="D48" s="10"/>
      <c r="E48" s="10" t="s">
        <v>170</v>
      </c>
      <c r="F48" s="50" t="n">
        <v>3</v>
      </c>
      <c r="G48" s="50" t="n">
        <v>0</v>
      </c>
      <c r="H48" s="50">
        <f>F48*AO48</f>
      </c>
      <c r="I48" s="50">
        <f>F48*AP48</f>
      </c>
      <c r="J48" s="50">
        <f>F48*G48</f>
      </c>
      <c r="K48" s="51" t="s">
        <v>64</v>
      </c>
      <c r="Z48" s="50">
        <f>IF(AQ48="5",BJ48,0)</f>
      </c>
      <c r="AB48" s="50">
        <f>IF(AQ48="1",BH48,0)</f>
      </c>
      <c r="AC48" s="50">
        <f>IF(AQ48="1",BI48,0)</f>
      </c>
      <c r="AD48" s="50">
        <f>IF(AQ48="7",BH48,0)</f>
      </c>
      <c r="AE48" s="50">
        <f>IF(AQ48="7",BI48,0)</f>
      </c>
      <c r="AF48" s="50">
        <f>IF(AQ48="2",BH48,0)</f>
      </c>
      <c r="AG48" s="50">
        <f>IF(AQ48="2",BI48,0)</f>
      </c>
      <c r="AH48" s="50">
        <f>IF(AQ48="0",BJ48,0)</f>
      </c>
      <c r="AI48" s="28" t="s">
        <v>59</v>
      </c>
      <c r="AJ48" s="50">
        <f>IF(AN48=0,J48,0)</f>
      </c>
      <c r="AK48" s="50">
        <f>IF(AN48=12,J48,0)</f>
      </c>
      <c r="AL48" s="50">
        <f>IF(AN48=21,J48,0)</f>
      </c>
      <c r="AN48" s="50" t="n">
        <v>21</v>
      </c>
      <c r="AO48" s="50">
        <f>G48*0.163862333</f>
      </c>
      <c r="AP48" s="50">
        <f>G48*(1-0.163862333)</f>
      </c>
      <c r="AQ48" s="52" t="s">
        <v>60</v>
      </c>
      <c r="AV48" s="50">
        <f>AW48+AX48</f>
      </c>
      <c r="AW48" s="50">
        <f>F48*AO48</f>
      </c>
      <c r="AX48" s="50">
        <f>F48*AP48</f>
      </c>
      <c r="AY48" s="52" t="s">
        <v>171</v>
      </c>
      <c r="AZ48" s="52" t="s">
        <v>172</v>
      </c>
      <c r="BA48" s="28" t="s">
        <v>67</v>
      </c>
      <c r="BC48" s="50">
        <f>AW48+AX48</f>
      </c>
      <c r="BD48" s="50">
        <f>G48/(100-BE48)*100</f>
      </c>
      <c r="BE48" s="50" t="n">
        <v>0</v>
      </c>
      <c r="BF48" s="50">
        <f>48</f>
      </c>
      <c r="BH48" s="50">
        <f>F48*AO48</f>
      </c>
      <c r="BI48" s="50">
        <f>F48*AP48</f>
      </c>
      <c r="BJ48" s="50">
        <f>F48*G48</f>
      </c>
      <c r="BK48" s="50"/>
      <c r="BL48" s="50" t="n">
        <v>85</v>
      </c>
      <c r="BW48" s="50" t="n">
        <v>21</v>
      </c>
      <c r="BX48" s="14" t="s">
        <v>169</v>
      </c>
    </row>
    <row r="49">
      <c r="A49" s="9" t="s">
        <v>173</v>
      </c>
      <c r="B49" s="10" t="s">
        <v>174</v>
      </c>
      <c r="C49" s="14" t="s">
        <v>175</v>
      </c>
      <c r="D49" s="10"/>
      <c r="E49" s="10" t="s">
        <v>170</v>
      </c>
      <c r="F49" s="50" t="n">
        <v>3</v>
      </c>
      <c r="G49" s="50" t="n">
        <v>0</v>
      </c>
      <c r="H49" s="50">
        <f>F49*AO49</f>
      </c>
      <c r="I49" s="50">
        <f>F49*AP49</f>
      </c>
      <c r="J49" s="50">
        <f>F49*G49</f>
      </c>
      <c r="K49" s="51" t="s">
        <v>64</v>
      </c>
      <c r="Z49" s="50">
        <f>IF(AQ49="5",BJ49,0)</f>
      </c>
      <c r="AB49" s="50">
        <f>IF(AQ49="1",BH49,0)</f>
      </c>
      <c r="AC49" s="50">
        <f>IF(AQ49="1",BI49,0)</f>
      </c>
      <c r="AD49" s="50">
        <f>IF(AQ49="7",BH49,0)</f>
      </c>
      <c r="AE49" s="50">
        <f>IF(AQ49="7",BI49,0)</f>
      </c>
      <c r="AF49" s="50">
        <f>IF(AQ49="2",BH49,0)</f>
      </c>
      <c r="AG49" s="50">
        <f>IF(AQ49="2",BI49,0)</f>
      </c>
      <c r="AH49" s="50">
        <f>IF(AQ49="0",BJ49,0)</f>
      </c>
      <c r="AI49" s="28" t="s">
        <v>59</v>
      </c>
      <c r="AJ49" s="50">
        <f>IF(AN49=0,J49,0)</f>
      </c>
      <c r="AK49" s="50">
        <f>IF(AN49=12,J49,0)</f>
      </c>
      <c r="AL49" s="50">
        <f>IF(AN49=21,J49,0)</f>
      </c>
      <c r="AN49" s="50" t="n">
        <v>21</v>
      </c>
      <c r="AO49" s="50">
        <f>G49*0.169828269</f>
      </c>
      <c r="AP49" s="50">
        <f>G49*(1-0.169828269)</f>
      </c>
      <c r="AQ49" s="52" t="s">
        <v>60</v>
      </c>
      <c r="AV49" s="50">
        <f>AW49+AX49</f>
      </c>
      <c r="AW49" s="50">
        <f>F49*AO49</f>
      </c>
      <c r="AX49" s="50">
        <f>F49*AP49</f>
      </c>
      <c r="AY49" s="52" t="s">
        <v>171</v>
      </c>
      <c r="AZ49" s="52" t="s">
        <v>172</v>
      </c>
      <c r="BA49" s="28" t="s">
        <v>67</v>
      </c>
      <c r="BC49" s="50">
        <f>AW49+AX49</f>
      </c>
      <c r="BD49" s="50">
        <f>G49/(100-BE49)*100</f>
      </c>
      <c r="BE49" s="50" t="n">
        <v>0</v>
      </c>
      <c r="BF49" s="50">
        <f>49</f>
      </c>
      <c r="BH49" s="50">
        <f>F49*AO49</f>
      </c>
      <c r="BI49" s="50">
        <f>F49*AP49</f>
      </c>
      <c r="BJ49" s="50">
        <f>F49*G49</f>
      </c>
      <c r="BK49" s="50"/>
      <c r="BL49" s="50" t="n">
        <v>85</v>
      </c>
      <c r="BW49" s="50" t="n">
        <v>21</v>
      </c>
      <c r="BX49" s="14" t="s">
        <v>175</v>
      </c>
    </row>
    <row r="50">
      <c r="A50" s="45" t="s">
        <v>55</v>
      </c>
      <c r="B50" s="46" t="s">
        <v>176</v>
      </c>
      <c r="C50" s="47" t="s">
        <v>177</v>
      </c>
      <c r="D50" s="46"/>
      <c r="E50" s="48" t="s">
        <v>36</v>
      </c>
      <c r="F50" s="48" t="s">
        <v>36</v>
      </c>
      <c r="G50" s="48" t="s">
        <v>36</v>
      </c>
      <c r="H50" s="2">
        <f>SUM(H51:H58)</f>
      </c>
      <c r="I50" s="2">
        <f>SUM(I51:I58)</f>
      </c>
      <c r="J50" s="2">
        <f>SUM(J51:J58)</f>
      </c>
      <c r="K50" s="49" t="s">
        <v>55</v>
      </c>
      <c r="AI50" s="28" t="s">
        <v>59</v>
      </c>
      <c r="AS50" s="2">
        <f>SUM(AJ51:AJ58)</f>
      </c>
      <c r="AT50" s="2">
        <f>SUM(AK51:AK58)</f>
      </c>
      <c r="AU50" s="2">
        <f>SUM(AL51:AL58)</f>
      </c>
    </row>
    <row r="51">
      <c r="A51" s="9" t="s">
        <v>178</v>
      </c>
      <c r="B51" s="10" t="s">
        <v>179</v>
      </c>
      <c r="C51" s="14" t="s">
        <v>180</v>
      </c>
      <c r="D51" s="10"/>
      <c r="E51" s="10" t="s">
        <v>170</v>
      </c>
      <c r="F51" s="50" t="n">
        <v>4</v>
      </c>
      <c r="G51" s="50" t="n">
        <v>0</v>
      </c>
      <c r="H51" s="50">
        <f>F51*AO51</f>
      </c>
      <c r="I51" s="50">
        <f>F51*AP51</f>
      </c>
      <c r="J51" s="50">
        <f>F51*G51</f>
      </c>
      <c r="K51" s="51" t="s">
        <v>64</v>
      </c>
      <c r="Z51" s="50">
        <f>IF(AQ51="5",BJ51,0)</f>
      </c>
      <c r="AB51" s="50">
        <f>IF(AQ51="1",BH51,0)</f>
      </c>
      <c r="AC51" s="50">
        <f>IF(AQ51="1",BI51,0)</f>
      </c>
      <c r="AD51" s="50">
        <f>IF(AQ51="7",BH51,0)</f>
      </c>
      <c r="AE51" s="50">
        <f>IF(AQ51="7",BI51,0)</f>
      </c>
      <c r="AF51" s="50">
        <f>IF(AQ51="2",BH51,0)</f>
      </c>
      <c r="AG51" s="50">
        <f>IF(AQ51="2",BI51,0)</f>
      </c>
      <c r="AH51" s="50">
        <f>IF(AQ51="0",BJ51,0)</f>
      </c>
      <c r="AI51" s="28" t="s">
        <v>59</v>
      </c>
      <c r="AJ51" s="50">
        <f>IF(AN51=0,J51,0)</f>
      </c>
      <c r="AK51" s="50">
        <f>IF(AN51=12,J51,0)</f>
      </c>
      <c r="AL51" s="50">
        <f>IF(AN51=21,J51,0)</f>
      </c>
      <c r="AN51" s="50" t="n">
        <v>21</v>
      </c>
      <c r="AO51" s="50">
        <f>G51*0.082483951</f>
      </c>
      <c r="AP51" s="50">
        <f>G51*(1-0.082483951)</f>
      </c>
      <c r="AQ51" s="52" t="s">
        <v>60</v>
      </c>
      <c r="AV51" s="50">
        <f>AW51+AX51</f>
      </c>
      <c r="AW51" s="50">
        <f>F51*AO51</f>
      </c>
      <c r="AX51" s="50">
        <f>F51*AP51</f>
      </c>
      <c r="AY51" s="52" t="s">
        <v>181</v>
      </c>
      <c r="AZ51" s="52" t="s">
        <v>172</v>
      </c>
      <c r="BA51" s="28" t="s">
        <v>67</v>
      </c>
      <c r="BC51" s="50">
        <f>AW51+AX51</f>
      </c>
      <c r="BD51" s="50">
        <f>G51/(100-BE51)*100</f>
      </c>
      <c r="BE51" s="50" t="n">
        <v>0</v>
      </c>
      <c r="BF51" s="50">
        <f>51</f>
      </c>
      <c r="BH51" s="50">
        <f>F51*AO51</f>
      </c>
      <c r="BI51" s="50">
        <f>F51*AP51</f>
      </c>
      <c r="BJ51" s="50">
        <f>F51*G51</f>
      </c>
      <c r="BK51" s="50"/>
      <c r="BL51" s="50" t="n">
        <v>89</v>
      </c>
      <c r="BW51" s="50" t="n">
        <v>21</v>
      </c>
      <c r="BX51" s="14" t="s">
        <v>180</v>
      </c>
    </row>
    <row r="52">
      <c r="A52" s="9" t="s">
        <v>182</v>
      </c>
      <c r="B52" s="10" t="s">
        <v>183</v>
      </c>
      <c r="C52" s="14" t="s">
        <v>184</v>
      </c>
      <c r="D52" s="10"/>
      <c r="E52" s="10" t="s">
        <v>170</v>
      </c>
      <c r="F52" s="50" t="n">
        <v>3</v>
      </c>
      <c r="G52" s="50" t="n">
        <v>0</v>
      </c>
      <c r="H52" s="50">
        <f>F52*AO52</f>
      </c>
      <c r="I52" s="50">
        <f>F52*AP52</f>
      </c>
      <c r="J52" s="50">
        <f>F52*G52</f>
      </c>
      <c r="K52" s="51" t="s">
        <v>64</v>
      </c>
      <c r="Z52" s="50">
        <f>IF(AQ52="5",BJ52,0)</f>
      </c>
      <c r="AB52" s="50">
        <f>IF(AQ52="1",BH52,0)</f>
      </c>
      <c r="AC52" s="50">
        <f>IF(AQ52="1",BI52,0)</f>
      </c>
      <c r="AD52" s="50">
        <f>IF(AQ52="7",BH52,0)</f>
      </c>
      <c r="AE52" s="50">
        <f>IF(AQ52="7",BI52,0)</f>
      </c>
      <c r="AF52" s="50">
        <f>IF(AQ52="2",BH52,0)</f>
      </c>
      <c r="AG52" s="50">
        <f>IF(AQ52="2",BI52,0)</f>
      </c>
      <c r="AH52" s="50">
        <f>IF(AQ52="0",BJ52,0)</f>
      </c>
      <c r="AI52" s="28" t="s">
        <v>59</v>
      </c>
      <c r="AJ52" s="50">
        <f>IF(AN52=0,J52,0)</f>
      </c>
      <c r="AK52" s="50">
        <f>IF(AN52=12,J52,0)</f>
      </c>
      <c r="AL52" s="50">
        <f>IF(AN52=21,J52,0)</f>
      </c>
      <c r="AN52" s="50" t="n">
        <v>21</v>
      </c>
      <c r="AO52" s="50">
        <f>G52*0.08141649</f>
      </c>
      <c r="AP52" s="50">
        <f>G52*(1-0.08141649)</f>
      </c>
      <c r="AQ52" s="52" t="s">
        <v>60</v>
      </c>
      <c r="AV52" s="50">
        <f>AW52+AX52</f>
      </c>
      <c r="AW52" s="50">
        <f>F52*AO52</f>
      </c>
      <c r="AX52" s="50">
        <f>F52*AP52</f>
      </c>
      <c r="AY52" s="52" t="s">
        <v>181</v>
      </c>
      <c r="AZ52" s="52" t="s">
        <v>172</v>
      </c>
      <c r="BA52" s="28" t="s">
        <v>67</v>
      </c>
      <c r="BC52" s="50">
        <f>AW52+AX52</f>
      </c>
      <c r="BD52" s="50">
        <f>G52/(100-BE52)*100</f>
      </c>
      <c r="BE52" s="50" t="n">
        <v>0</v>
      </c>
      <c r="BF52" s="50">
        <f>52</f>
      </c>
      <c r="BH52" s="50">
        <f>F52*AO52</f>
      </c>
      <c r="BI52" s="50">
        <f>F52*AP52</f>
      </c>
      <c r="BJ52" s="50">
        <f>F52*G52</f>
      </c>
      <c r="BK52" s="50"/>
      <c r="BL52" s="50" t="n">
        <v>89</v>
      </c>
      <c r="BW52" s="50" t="n">
        <v>21</v>
      </c>
      <c r="BX52" s="14" t="s">
        <v>184</v>
      </c>
    </row>
    <row r="53">
      <c r="A53" s="9" t="s">
        <v>185</v>
      </c>
      <c r="B53" s="10" t="s">
        <v>186</v>
      </c>
      <c r="C53" s="14" t="s">
        <v>187</v>
      </c>
      <c r="D53" s="10"/>
      <c r="E53" s="10" t="s">
        <v>170</v>
      </c>
      <c r="F53" s="50" t="n">
        <v>4</v>
      </c>
      <c r="G53" s="50" t="n">
        <v>0</v>
      </c>
      <c r="H53" s="50">
        <f>F53*AO53</f>
      </c>
      <c r="I53" s="50">
        <f>F53*AP53</f>
      </c>
      <c r="J53" s="50">
        <f>F53*G53</f>
      </c>
      <c r="K53" s="51" t="s">
        <v>64</v>
      </c>
      <c r="Z53" s="50">
        <f>IF(AQ53="5",BJ53,0)</f>
      </c>
      <c r="AB53" s="50">
        <f>IF(AQ53="1",BH53,0)</f>
      </c>
      <c r="AC53" s="50">
        <f>IF(AQ53="1",BI53,0)</f>
      </c>
      <c r="AD53" s="50">
        <f>IF(AQ53="7",BH53,0)</f>
      </c>
      <c r="AE53" s="50">
        <f>IF(AQ53="7",BI53,0)</f>
      </c>
      <c r="AF53" s="50">
        <f>IF(AQ53="2",BH53,0)</f>
      </c>
      <c r="AG53" s="50">
        <f>IF(AQ53="2",BI53,0)</f>
      </c>
      <c r="AH53" s="50">
        <f>IF(AQ53="0",BJ53,0)</f>
      </c>
      <c r="AI53" s="28" t="s">
        <v>59</v>
      </c>
      <c r="AJ53" s="50">
        <f>IF(AN53=0,J53,0)</f>
      </c>
      <c r="AK53" s="50">
        <f>IF(AN53=12,J53,0)</f>
      </c>
      <c r="AL53" s="50">
        <f>IF(AN53=21,J53,0)</f>
      </c>
      <c r="AN53" s="50" t="n">
        <v>21</v>
      </c>
      <c r="AO53" s="50">
        <f>G53*0.397211896</f>
      </c>
      <c r="AP53" s="50">
        <f>G53*(1-0.397211896)</f>
      </c>
      <c r="AQ53" s="52" t="s">
        <v>60</v>
      </c>
      <c r="AV53" s="50">
        <f>AW53+AX53</f>
      </c>
      <c r="AW53" s="50">
        <f>F53*AO53</f>
      </c>
      <c r="AX53" s="50">
        <f>F53*AP53</f>
      </c>
      <c r="AY53" s="52" t="s">
        <v>181</v>
      </c>
      <c r="AZ53" s="52" t="s">
        <v>172</v>
      </c>
      <c r="BA53" s="28" t="s">
        <v>67</v>
      </c>
      <c r="BC53" s="50">
        <f>AW53+AX53</f>
      </c>
      <c r="BD53" s="50">
        <f>G53/(100-BE53)*100</f>
      </c>
      <c r="BE53" s="50" t="n">
        <v>0</v>
      </c>
      <c r="BF53" s="50">
        <f>53</f>
      </c>
      <c r="BH53" s="50">
        <f>F53*AO53</f>
      </c>
      <c r="BI53" s="50">
        <f>F53*AP53</f>
      </c>
      <c r="BJ53" s="50">
        <f>F53*G53</f>
      </c>
      <c r="BK53" s="50"/>
      <c r="BL53" s="50" t="n">
        <v>89</v>
      </c>
      <c r="BW53" s="50" t="n">
        <v>21</v>
      </c>
      <c r="BX53" s="14" t="s">
        <v>187</v>
      </c>
    </row>
    <row r="54">
      <c r="A54" s="9" t="s">
        <v>188</v>
      </c>
      <c r="B54" s="10" t="s">
        <v>189</v>
      </c>
      <c r="C54" s="14" t="s">
        <v>190</v>
      </c>
      <c r="D54" s="10"/>
      <c r="E54" s="10" t="s">
        <v>170</v>
      </c>
      <c r="F54" s="50" t="n">
        <v>3</v>
      </c>
      <c r="G54" s="50" t="n">
        <v>0</v>
      </c>
      <c r="H54" s="50">
        <f>F54*AO54</f>
      </c>
      <c r="I54" s="50">
        <f>F54*AP54</f>
      </c>
      <c r="J54" s="50">
        <f>F54*G54</f>
      </c>
      <c r="K54" s="51" t="s">
        <v>64</v>
      </c>
      <c r="Z54" s="50">
        <f>IF(AQ54="5",BJ54,0)</f>
      </c>
      <c r="AB54" s="50">
        <f>IF(AQ54="1",BH54,0)</f>
      </c>
      <c r="AC54" s="50">
        <f>IF(AQ54="1",BI54,0)</f>
      </c>
      <c r="AD54" s="50">
        <f>IF(AQ54="7",BH54,0)</f>
      </c>
      <c r="AE54" s="50">
        <f>IF(AQ54="7",BI54,0)</f>
      </c>
      <c r="AF54" s="50">
        <f>IF(AQ54="2",BH54,0)</f>
      </c>
      <c r="AG54" s="50">
        <f>IF(AQ54="2",BI54,0)</f>
      </c>
      <c r="AH54" s="50">
        <f>IF(AQ54="0",BJ54,0)</f>
      </c>
      <c r="AI54" s="28" t="s">
        <v>59</v>
      </c>
      <c r="AJ54" s="50">
        <f>IF(AN54=0,J54,0)</f>
      </c>
      <c r="AK54" s="50">
        <f>IF(AN54=12,J54,0)</f>
      </c>
      <c r="AL54" s="50">
        <f>IF(AN54=21,J54,0)</f>
      </c>
      <c r="AN54" s="50" t="n">
        <v>21</v>
      </c>
      <c r="AO54" s="50">
        <f>G54*0.56169515</f>
      </c>
      <c r="AP54" s="50">
        <f>G54*(1-0.56169515)</f>
      </c>
      <c r="AQ54" s="52" t="s">
        <v>60</v>
      </c>
      <c r="AV54" s="50">
        <f>AW54+AX54</f>
      </c>
      <c r="AW54" s="50">
        <f>F54*AO54</f>
      </c>
      <c r="AX54" s="50">
        <f>F54*AP54</f>
      </c>
      <c r="AY54" s="52" t="s">
        <v>181</v>
      </c>
      <c r="AZ54" s="52" t="s">
        <v>172</v>
      </c>
      <c r="BA54" s="28" t="s">
        <v>67</v>
      </c>
      <c r="BC54" s="50">
        <f>AW54+AX54</f>
      </c>
      <c r="BD54" s="50">
        <f>G54/(100-BE54)*100</f>
      </c>
      <c r="BE54" s="50" t="n">
        <v>0</v>
      </c>
      <c r="BF54" s="50">
        <f>54</f>
      </c>
      <c r="BH54" s="50">
        <f>F54*AO54</f>
      </c>
      <c r="BI54" s="50">
        <f>F54*AP54</f>
      </c>
      <c r="BJ54" s="50">
        <f>F54*G54</f>
      </c>
      <c r="BK54" s="50"/>
      <c r="BL54" s="50" t="n">
        <v>89</v>
      </c>
      <c r="BW54" s="50" t="n">
        <v>21</v>
      </c>
      <c r="BX54" s="14" t="s">
        <v>190</v>
      </c>
    </row>
    <row r="55">
      <c r="A55" s="9" t="s">
        <v>191</v>
      </c>
      <c r="B55" s="10" t="s">
        <v>192</v>
      </c>
      <c r="C55" s="14" t="s">
        <v>193</v>
      </c>
      <c r="D55" s="10"/>
      <c r="E55" s="10" t="s">
        <v>71</v>
      </c>
      <c r="F55" s="50" t="n">
        <v>431</v>
      </c>
      <c r="G55" s="50" t="n">
        <v>0</v>
      </c>
      <c r="H55" s="50">
        <f>F55*AO55</f>
      </c>
      <c r="I55" s="50">
        <f>F55*AP55</f>
      </c>
      <c r="J55" s="50">
        <f>F55*G55</f>
      </c>
      <c r="K55" s="51" t="s">
        <v>64</v>
      </c>
      <c r="Z55" s="50">
        <f>IF(AQ55="5",BJ55,0)</f>
      </c>
      <c r="AB55" s="50">
        <f>IF(AQ55="1",BH55,0)</f>
      </c>
      <c r="AC55" s="50">
        <f>IF(AQ55="1",BI55,0)</f>
      </c>
      <c r="AD55" s="50">
        <f>IF(AQ55="7",BH55,0)</f>
      </c>
      <c r="AE55" s="50">
        <f>IF(AQ55="7",BI55,0)</f>
      </c>
      <c r="AF55" s="50">
        <f>IF(AQ55="2",BH55,0)</f>
      </c>
      <c r="AG55" s="50">
        <f>IF(AQ55="2",BI55,0)</f>
      </c>
      <c r="AH55" s="50">
        <f>IF(AQ55="0",BJ55,0)</f>
      </c>
      <c r="AI55" s="28" t="s">
        <v>59</v>
      </c>
      <c r="AJ55" s="50">
        <f>IF(AN55=0,J55,0)</f>
      </c>
      <c r="AK55" s="50">
        <f>IF(AN55=12,J55,0)</f>
      </c>
      <c r="AL55" s="50">
        <f>IF(AN55=21,J55,0)</f>
      </c>
      <c r="AN55" s="50" t="n">
        <v>21</v>
      </c>
      <c r="AO55" s="50">
        <f>G55*0.024050192</f>
      </c>
      <c r="AP55" s="50">
        <f>G55*(1-0.024050192)</f>
      </c>
      <c r="AQ55" s="52" t="s">
        <v>60</v>
      </c>
      <c r="AV55" s="50">
        <f>AW55+AX55</f>
      </c>
      <c r="AW55" s="50">
        <f>F55*AO55</f>
      </c>
      <c r="AX55" s="50">
        <f>F55*AP55</f>
      </c>
      <c r="AY55" s="52" t="s">
        <v>181</v>
      </c>
      <c r="AZ55" s="52" t="s">
        <v>172</v>
      </c>
      <c r="BA55" s="28" t="s">
        <v>67</v>
      </c>
      <c r="BC55" s="50">
        <f>AW55+AX55</f>
      </c>
      <c r="BD55" s="50">
        <f>G55/(100-BE55)*100</f>
      </c>
      <c r="BE55" s="50" t="n">
        <v>0</v>
      </c>
      <c r="BF55" s="50">
        <f>55</f>
      </c>
      <c r="BH55" s="50">
        <f>F55*AO55</f>
      </c>
      <c r="BI55" s="50">
        <f>F55*AP55</f>
      </c>
      <c r="BJ55" s="50">
        <f>F55*G55</f>
      </c>
      <c r="BK55" s="50"/>
      <c r="BL55" s="50" t="n">
        <v>89</v>
      </c>
      <c r="BW55" s="50" t="n">
        <v>21</v>
      </c>
      <c r="BX55" s="14" t="s">
        <v>193</v>
      </c>
    </row>
    <row r="56">
      <c r="A56" s="9" t="s">
        <v>194</v>
      </c>
      <c r="B56" s="10" t="s">
        <v>195</v>
      </c>
      <c r="C56" s="14" t="s">
        <v>196</v>
      </c>
      <c r="D56" s="10"/>
      <c r="E56" s="10" t="s">
        <v>71</v>
      </c>
      <c r="F56" s="50" t="n">
        <v>431</v>
      </c>
      <c r="G56" s="50" t="n">
        <v>0</v>
      </c>
      <c r="H56" s="50">
        <f>F56*AO56</f>
      </c>
      <c r="I56" s="50">
        <f>F56*AP56</f>
      </c>
      <c r="J56" s="50">
        <f>F56*G56</f>
      </c>
      <c r="K56" s="51" t="s">
        <v>64</v>
      </c>
      <c r="Z56" s="50">
        <f>IF(AQ56="5",BJ56,0)</f>
      </c>
      <c r="AB56" s="50">
        <f>IF(AQ56="1",BH56,0)</f>
      </c>
      <c r="AC56" s="50">
        <f>IF(AQ56="1",BI56,0)</f>
      </c>
      <c r="AD56" s="50">
        <f>IF(AQ56="7",BH56,0)</f>
      </c>
      <c r="AE56" s="50">
        <f>IF(AQ56="7",BI56,0)</f>
      </c>
      <c r="AF56" s="50">
        <f>IF(AQ56="2",BH56,0)</f>
      </c>
      <c r="AG56" s="50">
        <f>IF(AQ56="2",BI56,0)</f>
      </c>
      <c r="AH56" s="50">
        <f>IF(AQ56="0",BJ56,0)</f>
      </c>
      <c r="AI56" s="28" t="s">
        <v>59</v>
      </c>
      <c r="AJ56" s="50">
        <f>IF(AN56=0,J56,0)</f>
      </c>
      <c r="AK56" s="50">
        <f>IF(AN56=12,J56,0)</f>
      </c>
      <c r="AL56" s="50">
        <f>IF(AN56=21,J56,0)</f>
      </c>
      <c r="AN56" s="50" t="n">
        <v>21</v>
      </c>
      <c r="AO56" s="50">
        <f>G56*0.005572755</f>
      </c>
      <c r="AP56" s="50">
        <f>G56*(1-0.005572755)</f>
      </c>
      <c r="AQ56" s="52" t="s">
        <v>60</v>
      </c>
      <c r="AV56" s="50">
        <f>AW56+AX56</f>
      </c>
      <c r="AW56" s="50">
        <f>F56*AO56</f>
      </c>
      <c r="AX56" s="50">
        <f>F56*AP56</f>
      </c>
      <c r="AY56" s="52" t="s">
        <v>181</v>
      </c>
      <c r="AZ56" s="52" t="s">
        <v>172</v>
      </c>
      <c r="BA56" s="28" t="s">
        <v>67</v>
      </c>
      <c r="BC56" s="50">
        <f>AW56+AX56</f>
      </c>
      <c r="BD56" s="50">
        <f>G56/(100-BE56)*100</f>
      </c>
      <c r="BE56" s="50" t="n">
        <v>0</v>
      </c>
      <c r="BF56" s="50">
        <f>56</f>
      </c>
      <c r="BH56" s="50">
        <f>F56*AO56</f>
      </c>
      <c r="BI56" s="50">
        <f>F56*AP56</f>
      </c>
      <c r="BJ56" s="50">
        <f>F56*G56</f>
      </c>
      <c r="BK56" s="50"/>
      <c r="BL56" s="50" t="n">
        <v>89</v>
      </c>
      <c r="BW56" s="50" t="n">
        <v>21</v>
      </c>
      <c r="BX56" s="14" t="s">
        <v>196</v>
      </c>
    </row>
    <row r="57">
      <c r="A57" s="9" t="s">
        <v>197</v>
      </c>
      <c r="B57" s="10" t="s">
        <v>198</v>
      </c>
      <c r="C57" s="14" t="s">
        <v>199</v>
      </c>
      <c r="D57" s="10"/>
      <c r="E57" s="10" t="s">
        <v>170</v>
      </c>
      <c r="F57" s="50" t="n">
        <v>4</v>
      </c>
      <c r="G57" s="50" t="n">
        <v>0</v>
      </c>
      <c r="H57" s="50">
        <f>F57*AO57</f>
      </c>
      <c r="I57" s="50">
        <f>F57*AP57</f>
      </c>
      <c r="J57" s="50">
        <f>F57*G57</f>
      </c>
      <c r="K57" s="51" t="s">
        <v>64</v>
      </c>
      <c r="Z57" s="50">
        <f>IF(AQ57="5",BJ57,0)</f>
      </c>
      <c r="AB57" s="50">
        <f>IF(AQ57="1",BH57,0)</f>
      </c>
      <c r="AC57" s="50">
        <f>IF(AQ57="1",BI57,0)</f>
      </c>
      <c r="AD57" s="50">
        <f>IF(AQ57="7",BH57,0)</f>
      </c>
      <c r="AE57" s="50">
        <f>IF(AQ57="7",BI57,0)</f>
      </c>
      <c r="AF57" s="50">
        <f>IF(AQ57="2",BH57,0)</f>
      </c>
      <c r="AG57" s="50">
        <f>IF(AQ57="2",BI57,0)</f>
      </c>
      <c r="AH57" s="50">
        <f>IF(AQ57="0",BJ57,0)</f>
      </c>
      <c r="AI57" s="28" t="s">
        <v>59</v>
      </c>
      <c r="AJ57" s="50">
        <f>IF(AN57=0,J57,0)</f>
      </c>
      <c r="AK57" s="50">
        <f>IF(AN57=12,J57,0)</f>
      </c>
      <c r="AL57" s="50">
        <f>IF(AN57=21,J57,0)</f>
      </c>
      <c r="AN57" s="50" t="n">
        <v>21</v>
      </c>
      <c r="AO57" s="50">
        <f>G57*0.317163458</f>
      </c>
      <c r="AP57" s="50">
        <f>G57*(1-0.317163458)</f>
      </c>
      <c r="AQ57" s="52" t="s">
        <v>60</v>
      </c>
      <c r="AV57" s="50">
        <f>AW57+AX57</f>
      </c>
      <c r="AW57" s="50">
        <f>F57*AO57</f>
      </c>
      <c r="AX57" s="50">
        <f>F57*AP57</f>
      </c>
      <c r="AY57" s="52" t="s">
        <v>181</v>
      </c>
      <c r="AZ57" s="52" t="s">
        <v>172</v>
      </c>
      <c r="BA57" s="28" t="s">
        <v>67</v>
      </c>
      <c r="BC57" s="50">
        <f>AW57+AX57</f>
      </c>
      <c r="BD57" s="50">
        <f>G57/(100-BE57)*100</f>
      </c>
      <c r="BE57" s="50" t="n">
        <v>0</v>
      </c>
      <c r="BF57" s="50">
        <f>57</f>
      </c>
      <c r="BH57" s="50">
        <f>F57*AO57</f>
      </c>
      <c r="BI57" s="50">
        <f>F57*AP57</f>
      </c>
      <c r="BJ57" s="50">
        <f>F57*G57</f>
      </c>
      <c r="BK57" s="50"/>
      <c r="BL57" s="50" t="n">
        <v>89</v>
      </c>
      <c r="BW57" s="50" t="n">
        <v>21</v>
      </c>
      <c r="BX57" s="14" t="s">
        <v>199</v>
      </c>
    </row>
    <row r="58">
      <c r="A58" s="9" t="s">
        <v>200</v>
      </c>
      <c r="B58" s="10" t="s">
        <v>201</v>
      </c>
      <c r="C58" s="14" t="s">
        <v>202</v>
      </c>
      <c r="D58" s="10"/>
      <c r="E58" s="10" t="s">
        <v>71</v>
      </c>
      <c r="F58" s="50" t="n">
        <v>450</v>
      </c>
      <c r="G58" s="50" t="n">
        <v>0</v>
      </c>
      <c r="H58" s="50">
        <f>F58*AO58</f>
      </c>
      <c r="I58" s="50">
        <f>F58*AP58</f>
      </c>
      <c r="J58" s="50">
        <f>F58*G58</f>
      </c>
      <c r="K58" s="51" t="s">
        <v>64</v>
      </c>
      <c r="Z58" s="50">
        <f>IF(AQ58="5",BJ58,0)</f>
      </c>
      <c r="AB58" s="50">
        <f>IF(AQ58="1",BH58,0)</f>
      </c>
      <c r="AC58" s="50">
        <f>IF(AQ58="1",BI58,0)</f>
      </c>
      <c r="AD58" s="50">
        <f>IF(AQ58="7",BH58,0)</f>
      </c>
      <c r="AE58" s="50">
        <f>IF(AQ58="7",BI58,0)</f>
      </c>
      <c r="AF58" s="50">
        <f>IF(AQ58="2",BH58,0)</f>
      </c>
      <c r="AG58" s="50">
        <f>IF(AQ58="2",BI58,0)</f>
      </c>
      <c r="AH58" s="50">
        <f>IF(AQ58="0",BJ58,0)</f>
      </c>
      <c r="AI58" s="28" t="s">
        <v>59</v>
      </c>
      <c r="AJ58" s="50">
        <f>IF(AN58=0,J58,0)</f>
      </c>
      <c r="AK58" s="50">
        <f>IF(AN58=12,J58,0)</f>
      </c>
      <c r="AL58" s="50">
        <f>IF(AN58=21,J58,0)</f>
      </c>
      <c r="AN58" s="50" t="n">
        <v>21</v>
      </c>
      <c r="AO58" s="50">
        <f>G58*0.512571429</f>
      </c>
      <c r="AP58" s="50">
        <f>G58*(1-0.512571429)</f>
      </c>
      <c r="AQ58" s="52" t="s">
        <v>60</v>
      </c>
      <c r="AV58" s="50">
        <f>AW58+AX58</f>
      </c>
      <c r="AW58" s="50">
        <f>F58*AO58</f>
      </c>
      <c r="AX58" s="50">
        <f>F58*AP58</f>
      </c>
      <c r="AY58" s="52" t="s">
        <v>181</v>
      </c>
      <c r="AZ58" s="52" t="s">
        <v>172</v>
      </c>
      <c r="BA58" s="28" t="s">
        <v>67</v>
      </c>
      <c r="BC58" s="50">
        <f>AW58+AX58</f>
      </c>
      <c r="BD58" s="50">
        <f>G58/(100-BE58)*100</f>
      </c>
      <c r="BE58" s="50" t="n">
        <v>0</v>
      </c>
      <c r="BF58" s="50">
        <f>58</f>
      </c>
      <c r="BH58" s="50">
        <f>F58*AO58</f>
      </c>
      <c r="BI58" s="50">
        <f>F58*AP58</f>
      </c>
      <c r="BJ58" s="50">
        <f>F58*G58</f>
      </c>
      <c r="BK58" s="50"/>
      <c r="BL58" s="50" t="n">
        <v>89</v>
      </c>
      <c r="BW58" s="50" t="n">
        <v>21</v>
      </c>
      <c r="BX58" s="14" t="s">
        <v>202</v>
      </c>
    </row>
    <row r="59">
      <c r="A59" s="45" t="s">
        <v>55</v>
      </c>
      <c r="B59" s="46" t="s">
        <v>203</v>
      </c>
      <c r="C59" s="47" t="s">
        <v>204</v>
      </c>
      <c r="D59" s="46"/>
      <c r="E59" s="48" t="s">
        <v>36</v>
      </c>
      <c r="F59" s="48" t="s">
        <v>36</v>
      </c>
      <c r="G59" s="48" t="s">
        <v>36</v>
      </c>
      <c r="H59" s="2">
        <f>SUM(H60:H61)</f>
      </c>
      <c r="I59" s="2">
        <f>SUM(I60:I61)</f>
      </c>
      <c r="J59" s="2">
        <f>SUM(J60:J61)</f>
      </c>
      <c r="K59" s="49" t="s">
        <v>55</v>
      </c>
      <c r="AI59" s="28" t="s">
        <v>59</v>
      </c>
      <c r="AS59" s="2">
        <f>SUM(AJ60:AJ61)</f>
      </c>
      <c r="AT59" s="2">
        <f>SUM(AK60:AK61)</f>
      </c>
      <c r="AU59" s="2">
        <f>SUM(AL60:AL61)</f>
      </c>
    </row>
    <row r="60">
      <c r="A60" s="9" t="s">
        <v>205</v>
      </c>
      <c r="B60" s="10" t="s">
        <v>206</v>
      </c>
      <c r="C60" s="14" t="s">
        <v>207</v>
      </c>
      <c r="D60" s="10"/>
      <c r="E60" s="10" t="s">
        <v>71</v>
      </c>
      <c r="F60" s="50" t="n">
        <v>34</v>
      </c>
      <c r="G60" s="50" t="n">
        <v>0</v>
      </c>
      <c r="H60" s="50">
        <f>F60*AO60</f>
      </c>
      <c r="I60" s="50">
        <f>F60*AP60</f>
      </c>
      <c r="J60" s="50">
        <f>F60*G60</f>
      </c>
      <c r="K60" s="51" t="s">
        <v>76</v>
      </c>
      <c r="Z60" s="50">
        <f>IF(AQ60="5",BJ60,0)</f>
      </c>
      <c r="AB60" s="50">
        <f>IF(AQ60="1",BH60,0)</f>
      </c>
      <c r="AC60" s="50">
        <f>IF(AQ60="1",BI60,0)</f>
      </c>
      <c r="AD60" s="50">
        <f>IF(AQ60="7",BH60,0)</f>
      </c>
      <c r="AE60" s="50">
        <f>IF(AQ60="7",BI60,0)</f>
      </c>
      <c r="AF60" s="50">
        <f>IF(AQ60="2",BH60,0)</f>
      </c>
      <c r="AG60" s="50">
        <f>IF(AQ60="2",BI60,0)</f>
      </c>
      <c r="AH60" s="50">
        <f>IF(AQ60="0",BJ60,0)</f>
      </c>
      <c r="AI60" s="28" t="s">
        <v>59</v>
      </c>
      <c r="AJ60" s="50">
        <f>IF(AN60=0,J60,0)</f>
      </c>
      <c r="AK60" s="50">
        <f>IF(AN60=12,J60,0)</f>
      </c>
      <c r="AL60" s="50">
        <f>IF(AN60=21,J60,0)</f>
      </c>
      <c r="AN60" s="50" t="n">
        <v>21</v>
      </c>
      <c r="AO60" s="50">
        <f>G60*0.567052072</f>
      </c>
      <c r="AP60" s="50">
        <f>G60*(1-0.567052072)</f>
      </c>
      <c r="AQ60" s="52" t="s">
        <v>60</v>
      </c>
      <c r="AV60" s="50">
        <f>AW60+AX60</f>
      </c>
      <c r="AW60" s="50">
        <f>F60*AO60</f>
      </c>
      <c r="AX60" s="50">
        <f>F60*AP60</f>
      </c>
      <c r="AY60" s="52" t="s">
        <v>208</v>
      </c>
      <c r="AZ60" s="52" t="s">
        <v>209</v>
      </c>
      <c r="BA60" s="28" t="s">
        <v>67</v>
      </c>
      <c r="BC60" s="50">
        <f>AW60+AX60</f>
      </c>
      <c r="BD60" s="50">
        <f>G60/(100-BE60)*100</f>
      </c>
      <c r="BE60" s="50" t="n">
        <v>0</v>
      </c>
      <c r="BF60" s="50">
        <f>60</f>
      </c>
      <c r="BH60" s="50">
        <f>F60*AO60</f>
      </c>
      <c r="BI60" s="50">
        <f>F60*AP60</f>
      </c>
      <c r="BJ60" s="50">
        <f>F60*G60</f>
      </c>
      <c r="BK60" s="50"/>
      <c r="BL60" s="50" t="n">
        <v>91</v>
      </c>
      <c r="BW60" s="50" t="n">
        <v>21</v>
      </c>
      <c r="BX60" s="14" t="s">
        <v>207</v>
      </c>
    </row>
    <row r="61">
      <c r="A61" s="9" t="s">
        <v>210</v>
      </c>
      <c r="B61" s="10" t="s">
        <v>211</v>
      </c>
      <c r="C61" s="14" t="s">
        <v>212</v>
      </c>
      <c r="D61" s="10"/>
      <c r="E61" s="10" t="s">
        <v>71</v>
      </c>
      <c r="F61" s="50" t="n">
        <v>34</v>
      </c>
      <c r="G61" s="50" t="n">
        <v>0</v>
      </c>
      <c r="H61" s="50">
        <f>F61*AO61</f>
      </c>
      <c r="I61" s="50">
        <f>F61*AP61</f>
      </c>
      <c r="J61" s="50">
        <f>F61*G61</f>
      </c>
      <c r="K61" s="51" t="s">
        <v>76</v>
      </c>
      <c r="Z61" s="50">
        <f>IF(AQ61="5",BJ61,0)</f>
      </c>
      <c r="AB61" s="50">
        <f>IF(AQ61="1",BH61,0)</f>
      </c>
      <c r="AC61" s="50">
        <f>IF(AQ61="1",BI61,0)</f>
      </c>
      <c r="AD61" s="50">
        <f>IF(AQ61="7",BH61,0)</f>
      </c>
      <c r="AE61" s="50">
        <f>IF(AQ61="7",BI61,0)</f>
      </c>
      <c r="AF61" s="50">
        <f>IF(AQ61="2",BH61,0)</f>
      </c>
      <c r="AG61" s="50">
        <f>IF(AQ61="2",BI61,0)</f>
      </c>
      <c r="AH61" s="50">
        <f>IF(AQ61="0",BJ61,0)</f>
      </c>
      <c r="AI61" s="28" t="s">
        <v>59</v>
      </c>
      <c r="AJ61" s="50">
        <f>IF(AN61=0,J61,0)</f>
      </c>
      <c r="AK61" s="50">
        <f>IF(AN61=12,J61,0)</f>
      </c>
      <c r="AL61" s="50">
        <f>IF(AN61=21,J61,0)</f>
      </c>
      <c r="AN61" s="50" t="n">
        <v>21</v>
      </c>
      <c r="AO61" s="50">
        <f>G61*0.33502994</f>
      </c>
      <c r="AP61" s="50">
        <f>G61*(1-0.33502994)</f>
      </c>
      <c r="AQ61" s="52" t="s">
        <v>60</v>
      </c>
      <c r="AV61" s="50">
        <f>AW61+AX61</f>
      </c>
      <c r="AW61" s="50">
        <f>F61*AO61</f>
      </c>
      <c r="AX61" s="50">
        <f>F61*AP61</f>
      </c>
      <c r="AY61" s="52" t="s">
        <v>208</v>
      </c>
      <c r="AZ61" s="52" t="s">
        <v>209</v>
      </c>
      <c r="BA61" s="28" t="s">
        <v>67</v>
      </c>
      <c r="BC61" s="50">
        <f>AW61+AX61</f>
      </c>
      <c r="BD61" s="50">
        <f>G61/(100-BE61)*100</f>
      </c>
      <c r="BE61" s="50" t="n">
        <v>0</v>
      </c>
      <c r="BF61" s="50">
        <f>61</f>
      </c>
      <c r="BH61" s="50">
        <f>F61*AO61</f>
      </c>
      <c r="BI61" s="50">
        <f>F61*AP61</f>
      </c>
      <c r="BJ61" s="50">
        <f>F61*G61</f>
      </c>
      <c r="BK61" s="50"/>
      <c r="BL61" s="50" t="n">
        <v>91</v>
      </c>
      <c r="BW61" s="50" t="n">
        <v>21</v>
      </c>
      <c r="BX61" s="14" t="s">
        <v>212</v>
      </c>
    </row>
    <row r="62">
      <c r="A62" s="45" t="s">
        <v>55</v>
      </c>
      <c r="B62" s="46" t="s">
        <v>213</v>
      </c>
      <c r="C62" s="47" t="s">
        <v>214</v>
      </c>
      <c r="D62" s="46"/>
      <c r="E62" s="48" t="s">
        <v>36</v>
      </c>
      <c r="F62" s="48" t="s">
        <v>36</v>
      </c>
      <c r="G62" s="48" t="s">
        <v>36</v>
      </c>
      <c r="H62" s="2">
        <f>SUM(H63:H84)</f>
      </c>
      <c r="I62" s="2">
        <f>SUM(I63:I84)</f>
      </c>
      <c r="J62" s="2">
        <f>SUM(J63:J84)</f>
      </c>
      <c r="K62" s="49" t="s">
        <v>55</v>
      </c>
      <c r="AI62" s="28" t="s">
        <v>59</v>
      </c>
      <c r="AS62" s="2">
        <f>SUM(AJ63:AJ84)</f>
      </c>
      <c r="AT62" s="2">
        <f>SUM(AK63:AK84)</f>
      </c>
      <c r="AU62" s="2">
        <f>SUM(AL63:AL84)</f>
      </c>
    </row>
    <row r="63">
      <c r="A63" s="9" t="s">
        <v>215</v>
      </c>
      <c r="B63" s="10" t="s">
        <v>216</v>
      </c>
      <c r="C63" s="14" t="s">
        <v>217</v>
      </c>
      <c r="D63" s="10"/>
      <c r="E63" s="10" t="s">
        <v>71</v>
      </c>
      <c r="F63" s="50" t="n">
        <v>431</v>
      </c>
      <c r="G63" s="50" t="n">
        <v>0</v>
      </c>
      <c r="H63" s="50">
        <f>F63*AO63</f>
      </c>
      <c r="I63" s="50">
        <f>F63*AP63</f>
      </c>
      <c r="J63" s="50">
        <f>F63*G63</f>
      </c>
      <c r="K63" s="51" t="s">
        <v>64</v>
      </c>
      <c r="Z63" s="50">
        <f>IF(AQ63="5",BJ63,0)</f>
      </c>
      <c r="AB63" s="50">
        <f>IF(AQ63="1",BH63,0)</f>
      </c>
      <c r="AC63" s="50">
        <f>IF(AQ63="1",BI63,0)</f>
      </c>
      <c r="AD63" s="50">
        <f>IF(AQ63="7",BH63,0)</f>
      </c>
      <c r="AE63" s="50">
        <f>IF(AQ63="7",BI63,0)</f>
      </c>
      <c r="AF63" s="50">
        <f>IF(AQ63="2",BH63,0)</f>
      </c>
      <c r="AG63" s="50">
        <f>IF(AQ63="2",BI63,0)</f>
      </c>
      <c r="AH63" s="50">
        <f>IF(AQ63="0",BJ63,0)</f>
      </c>
      <c r="AI63" s="28" t="s">
        <v>59</v>
      </c>
      <c r="AJ63" s="50">
        <f>IF(AN63=0,J63,0)</f>
      </c>
      <c r="AK63" s="50">
        <f>IF(AN63=12,J63,0)</f>
      </c>
      <c r="AL63" s="50">
        <f>IF(AN63=21,J63,0)</f>
      </c>
      <c r="AN63" s="50" t="n">
        <v>21</v>
      </c>
      <c r="AO63" s="50">
        <f>G63*1</f>
      </c>
      <c r="AP63" s="50">
        <f>G63*(1-1)</f>
      </c>
      <c r="AQ63" s="52" t="s">
        <v>218</v>
      </c>
      <c r="AV63" s="50">
        <f>AW63+AX63</f>
      </c>
      <c r="AW63" s="50">
        <f>F63*AO63</f>
      </c>
      <c r="AX63" s="50">
        <f>F63*AP63</f>
      </c>
      <c r="AY63" s="52" t="s">
        <v>219</v>
      </c>
      <c r="AZ63" s="52" t="s">
        <v>220</v>
      </c>
      <c r="BA63" s="28" t="s">
        <v>67</v>
      </c>
      <c r="BC63" s="50">
        <f>AW63+AX63</f>
      </c>
      <c r="BD63" s="50">
        <f>G63/(100-BE63)*100</f>
      </c>
      <c r="BE63" s="50" t="n">
        <v>0</v>
      </c>
      <c r="BF63" s="50">
        <f>63</f>
      </c>
      <c r="BH63" s="50">
        <f>F63*AO63</f>
      </c>
      <c r="BI63" s="50">
        <f>F63*AP63</f>
      </c>
      <c r="BJ63" s="50">
        <f>F63*G63</f>
      </c>
      <c r="BK63" s="50"/>
      <c r="BL63" s="50"/>
      <c r="BW63" s="50" t="n">
        <v>21</v>
      </c>
      <c r="BX63" s="14" t="s">
        <v>217</v>
      </c>
    </row>
    <row r="64">
      <c r="A64" s="9" t="s">
        <v>221</v>
      </c>
      <c r="B64" s="10" t="s">
        <v>222</v>
      </c>
      <c r="C64" s="14" t="s">
        <v>223</v>
      </c>
      <c r="D64" s="10"/>
      <c r="E64" s="10" t="s">
        <v>71</v>
      </c>
      <c r="F64" s="50" t="n">
        <v>4</v>
      </c>
      <c r="G64" s="50" t="n">
        <v>0</v>
      </c>
      <c r="H64" s="50">
        <f>F64*AO64</f>
      </c>
      <c r="I64" s="50">
        <f>F64*AP64</f>
      </c>
      <c r="J64" s="50">
        <f>F64*G64</f>
      </c>
      <c r="K64" s="51" t="s">
        <v>64</v>
      </c>
      <c r="Z64" s="50">
        <f>IF(AQ64="5",BJ64,0)</f>
      </c>
      <c r="AB64" s="50">
        <f>IF(AQ64="1",BH64,0)</f>
      </c>
      <c r="AC64" s="50">
        <f>IF(AQ64="1",BI64,0)</f>
      </c>
      <c r="AD64" s="50">
        <f>IF(AQ64="7",BH64,0)</f>
      </c>
      <c r="AE64" s="50">
        <f>IF(AQ64="7",BI64,0)</f>
      </c>
      <c r="AF64" s="50">
        <f>IF(AQ64="2",BH64,0)</f>
      </c>
      <c r="AG64" s="50">
        <f>IF(AQ64="2",BI64,0)</f>
      </c>
      <c r="AH64" s="50">
        <f>IF(AQ64="0",BJ64,0)</f>
      </c>
      <c r="AI64" s="28" t="s">
        <v>59</v>
      </c>
      <c r="AJ64" s="50">
        <f>IF(AN64=0,J64,0)</f>
      </c>
      <c r="AK64" s="50">
        <f>IF(AN64=12,J64,0)</f>
      </c>
      <c r="AL64" s="50">
        <f>IF(AN64=21,J64,0)</f>
      </c>
      <c r="AN64" s="50" t="n">
        <v>21</v>
      </c>
      <c r="AO64" s="50">
        <f>G64*1</f>
      </c>
      <c r="AP64" s="50">
        <f>G64*(1-1)</f>
      </c>
      <c r="AQ64" s="52" t="s">
        <v>218</v>
      </c>
      <c r="AV64" s="50">
        <f>AW64+AX64</f>
      </c>
      <c r="AW64" s="50">
        <f>F64*AO64</f>
      </c>
      <c r="AX64" s="50">
        <f>F64*AP64</f>
      </c>
      <c r="AY64" s="52" t="s">
        <v>219</v>
      </c>
      <c r="AZ64" s="52" t="s">
        <v>220</v>
      </c>
      <c r="BA64" s="28" t="s">
        <v>67</v>
      </c>
      <c r="BC64" s="50">
        <f>AW64+AX64</f>
      </c>
      <c r="BD64" s="50">
        <f>G64/(100-BE64)*100</f>
      </c>
      <c r="BE64" s="50" t="n">
        <v>0</v>
      </c>
      <c r="BF64" s="50">
        <f>64</f>
      </c>
      <c r="BH64" s="50">
        <f>F64*AO64</f>
      </c>
      <c r="BI64" s="50">
        <f>F64*AP64</f>
      </c>
      <c r="BJ64" s="50">
        <f>F64*G64</f>
      </c>
      <c r="BK64" s="50"/>
      <c r="BL64" s="50"/>
      <c r="BW64" s="50" t="n">
        <v>21</v>
      </c>
      <c r="BX64" s="14" t="s">
        <v>223</v>
      </c>
    </row>
    <row r="65">
      <c r="A65" s="9" t="s">
        <v>224</v>
      </c>
      <c r="B65" s="10" t="s">
        <v>225</v>
      </c>
      <c r="C65" s="14" t="s">
        <v>226</v>
      </c>
      <c r="D65" s="10"/>
      <c r="E65" s="10" t="s">
        <v>170</v>
      </c>
      <c r="F65" s="50" t="n">
        <v>10</v>
      </c>
      <c r="G65" s="50" t="n">
        <v>0</v>
      </c>
      <c r="H65" s="50">
        <f>F65*AO65</f>
      </c>
      <c r="I65" s="50">
        <f>F65*AP65</f>
      </c>
      <c r="J65" s="50">
        <f>F65*G65</f>
      </c>
      <c r="K65" s="51" t="s">
        <v>64</v>
      </c>
      <c r="Z65" s="50">
        <f>IF(AQ65="5",BJ65,0)</f>
      </c>
      <c r="AB65" s="50">
        <f>IF(AQ65="1",BH65,0)</f>
      </c>
      <c r="AC65" s="50">
        <f>IF(AQ65="1",BI65,0)</f>
      </c>
      <c r="AD65" s="50">
        <f>IF(AQ65="7",BH65,0)</f>
      </c>
      <c r="AE65" s="50">
        <f>IF(AQ65="7",BI65,0)</f>
      </c>
      <c r="AF65" s="50">
        <f>IF(AQ65="2",BH65,0)</f>
      </c>
      <c r="AG65" s="50">
        <f>IF(AQ65="2",BI65,0)</f>
      </c>
      <c r="AH65" s="50">
        <f>IF(AQ65="0",BJ65,0)</f>
      </c>
      <c r="AI65" s="28" t="s">
        <v>59</v>
      </c>
      <c r="AJ65" s="50">
        <f>IF(AN65=0,J65,0)</f>
      </c>
      <c r="AK65" s="50">
        <f>IF(AN65=12,J65,0)</f>
      </c>
      <c r="AL65" s="50">
        <f>IF(AN65=21,J65,0)</f>
      </c>
      <c r="AN65" s="50" t="n">
        <v>21</v>
      </c>
      <c r="AO65" s="50">
        <f>G65*1</f>
      </c>
      <c r="AP65" s="50">
        <f>G65*(1-1)</f>
      </c>
      <c r="AQ65" s="52" t="s">
        <v>218</v>
      </c>
      <c r="AV65" s="50">
        <f>AW65+AX65</f>
      </c>
      <c r="AW65" s="50">
        <f>F65*AO65</f>
      </c>
      <c r="AX65" s="50">
        <f>F65*AP65</f>
      </c>
      <c r="AY65" s="52" t="s">
        <v>219</v>
      </c>
      <c r="AZ65" s="52" t="s">
        <v>220</v>
      </c>
      <c r="BA65" s="28" t="s">
        <v>67</v>
      </c>
      <c r="BC65" s="50">
        <f>AW65+AX65</f>
      </c>
      <c r="BD65" s="50">
        <f>G65/(100-BE65)*100</f>
      </c>
      <c r="BE65" s="50" t="n">
        <v>0</v>
      </c>
      <c r="BF65" s="50">
        <f>65</f>
      </c>
      <c r="BH65" s="50">
        <f>F65*AO65</f>
      </c>
      <c r="BI65" s="50">
        <f>F65*AP65</f>
      </c>
      <c r="BJ65" s="50">
        <f>F65*G65</f>
      </c>
      <c r="BK65" s="50"/>
      <c r="BL65" s="50"/>
      <c r="BW65" s="50" t="n">
        <v>21</v>
      </c>
      <c r="BX65" s="14" t="s">
        <v>226</v>
      </c>
    </row>
    <row r="66">
      <c r="A66" s="9" t="s">
        <v>227</v>
      </c>
      <c r="B66" s="10" t="s">
        <v>228</v>
      </c>
      <c r="C66" s="14" t="s">
        <v>229</v>
      </c>
      <c r="D66" s="10"/>
      <c r="E66" s="10" t="s">
        <v>170</v>
      </c>
      <c r="F66" s="50" t="n">
        <v>2</v>
      </c>
      <c r="G66" s="50" t="n">
        <v>0</v>
      </c>
      <c r="H66" s="50">
        <f>F66*AO66</f>
      </c>
      <c r="I66" s="50">
        <f>F66*AP66</f>
      </c>
      <c r="J66" s="50">
        <f>F66*G66</f>
      </c>
      <c r="K66" s="51" t="s">
        <v>64</v>
      </c>
      <c r="Z66" s="50">
        <f>IF(AQ66="5",BJ66,0)</f>
      </c>
      <c r="AB66" s="50">
        <f>IF(AQ66="1",BH66,0)</f>
      </c>
      <c r="AC66" s="50">
        <f>IF(AQ66="1",BI66,0)</f>
      </c>
      <c r="AD66" s="50">
        <f>IF(AQ66="7",BH66,0)</f>
      </c>
      <c r="AE66" s="50">
        <f>IF(AQ66="7",BI66,0)</f>
      </c>
      <c r="AF66" s="50">
        <f>IF(AQ66="2",BH66,0)</f>
      </c>
      <c r="AG66" s="50">
        <f>IF(AQ66="2",BI66,0)</f>
      </c>
      <c r="AH66" s="50">
        <f>IF(AQ66="0",BJ66,0)</f>
      </c>
      <c r="AI66" s="28" t="s">
        <v>59</v>
      </c>
      <c r="AJ66" s="50">
        <f>IF(AN66=0,J66,0)</f>
      </c>
      <c r="AK66" s="50">
        <f>IF(AN66=12,J66,0)</f>
      </c>
      <c r="AL66" s="50">
        <f>IF(AN66=21,J66,0)</f>
      </c>
      <c r="AN66" s="50" t="n">
        <v>21</v>
      </c>
      <c r="AO66" s="50">
        <f>G66*1</f>
      </c>
      <c r="AP66" s="50">
        <f>G66*(1-1)</f>
      </c>
      <c r="AQ66" s="52" t="s">
        <v>218</v>
      </c>
      <c r="AV66" s="50">
        <f>AW66+AX66</f>
      </c>
      <c r="AW66" s="50">
        <f>F66*AO66</f>
      </c>
      <c r="AX66" s="50">
        <f>F66*AP66</f>
      </c>
      <c r="AY66" s="52" t="s">
        <v>219</v>
      </c>
      <c r="AZ66" s="52" t="s">
        <v>220</v>
      </c>
      <c r="BA66" s="28" t="s">
        <v>67</v>
      </c>
      <c r="BC66" s="50">
        <f>AW66+AX66</f>
      </c>
      <c r="BD66" s="50">
        <f>G66/(100-BE66)*100</f>
      </c>
      <c r="BE66" s="50" t="n">
        <v>0</v>
      </c>
      <c r="BF66" s="50">
        <f>66</f>
      </c>
      <c r="BH66" s="50">
        <f>F66*AO66</f>
      </c>
      <c r="BI66" s="50">
        <f>F66*AP66</f>
      </c>
      <c r="BJ66" s="50">
        <f>F66*G66</f>
      </c>
      <c r="BK66" s="50"/>
      <c r="BL66" s="50"/>
      <c r="BW66" s="50" t="n">
        <v>21</v>
      </c>
      <c r="BX66" s="14" t="s">
        <v>229</v>
      </c>
    </row>
    <row r="67">
      <c r="A67" s="9" t="s">
        <v>230</v>
      </c>
      <c r="B67" s="10" t="s">
        <v>231</v>
      </c>
      <c r="C67" s="14" t="s">
        <v>232</v>
      </c>
      <c r="D67" s="10"/>
      <c r="E67" s="10" t="s">
        <v>170</v>
      </c>
      <c r="F67" s="50" t="n">
        <v>1</v>
      </c>
      <c r="G67" s="50" t="n">
        <v>0</v>
      </c>
      <c r="H67" s="50">
        <f>F67*AO67</f>
      </c>
      <c r="I67" s="50">
        <f>F67*AP67</f>
      </c>
      <c r="J67" s="50">
        <f>F67*G67</f>
      </c>
      <c r="K67" s="51" t="s">
        <v>64</v>
      </c>
      <c r="Z67" s="50">
        <f>IF(AQ67="5",BJ67,0)</f>
      </c>
      <c r="AB67" s="50">
        <f>IF(AQ67="1",BH67,0)</f>
      </c>
      <c r="AC67" s="50">
        <f>IF(AQ67="1",BI67,0)</f>
      </c>
      <c r="AD67" s="50">
        <f>IF(AQ67="7",BH67,0)</f>
      </c>
      <c r="AE67" s="50">
        <f>IF(AQ67="7",BI67,0)</f>
      </c>
      <c r="AF67" s="50">
        <f>IF(AQ67="2",BH67,0)</f>
      </c>
      <c r="AG67" s="50">
        <f>IF(AQ67="2",BI67,0)</f>
      </c>
      <c r="AH67" s="50">
        <f>IF(AQ67="0",BJ67,0)</f>
      </c>
      <c r="AI67" s="28" t="s">
        <v>59</v>
      </c>
      <c r="AJ67" s="50">
        <f>IF(AN67=0,J67,0)</f>
      </c>
      <c r="AK67" s="50">
        <f>IF(AN67=12,J67,0)</f>
      </c>
      <c r="AL67" s="50">
        <f>IF(AN67=21,J67,0)</f>
      </c>
      <c r="AN67" s="50" t="n">
        <v>21</v>
      </c>
      <c r="AO67" s="50">
        <f>G67*1</f>
      </c>
      <c r="AP67" s="50">
        <f>G67*(1-1)</f>
      </c>
      <c r="AQ67" s="52" t="s">
        <v>218</v>
      </c>
      <c r="AV67" s="50">
        <f>AW67+AX67</f>
      </c>
      <c r="AW67" s="50">
        <f>F67*AO67</f>
      </c>
      <c r="AX67" s="50">
        <f>F67*AP67</f>
      </c>
      <c r="AY67" s="52" t="s">
        <v>219</v>
      </c>
      <c r="AZ67" s="52" t="s">
        <v>220</v>
      </c>
      <c r="BA67" s="28" t="s">
        <v>67</v>
      </c>
      <c r="BC67" s="50">
        <f>AW67+AX67</f>
      </c>
      <c r="BD67" s="50">
        <f>G67/(100-BE67)*100</f>
      </c>
      <c r="BE67" s="50" t="n">
        <v>0</v>
      </c>
      <c r="BF67" s="50">
        <f>67</f>
      </c>
      <c r="BH67" s="50">
        <f>F67*AO67</f>
      </c>
      <c r="BI67" s="50">
        <f>F67*AP67</f>
      </c>
      <c r="BJ67" s="50">
        <f>F67*G67</f>
      </c>
      <c r="BK67" s="50"/>
      <c r="BL67" s="50"/>
      <c r="BW67" s="50" t="n">
        <v>21</v>
      </c>
      <c r="BX67" s="14" t="s">
        <v>232</v>
      </c>
    </row>
    <row r="68">
      <c r="A68" s="9" t="s">
        <v>233</v>
      </c>
      <c r="B68" s="10" t="s">
        <v>234</v>
      </c>
      <c r="C68" s="14" t="s">
        <v>235</v>
      </c>
      <c r="D68" s="10"/>
      <c r="E68" s="10" t="s">
        <v>170</v>
      </c>
      <c r="F68" s="50" t="n">
        <v>8</v>
      </c>
      <c r="G68" s="50" t="n">
        <v>0</v>
      </c>
      <c r="H68" s="50">
        <f>F68*AO68</f>
      </c>
      <c r="I68" s="50">
        <f>F68*AP68</f>
      </c>
      <c r="J68" s="50">
        <f>F68*G68</f>
      </c>
      <c r="K68" s="51" t="s">
        <v>64</v>
      </c>
      <c r="Z68" s="50">
        <f>IF(AQ68="5",BJ68,0)</f>
      </c>
      <c r="AB68" s="50">
        <f>IF(AQ68="1",BH68,0)</f>
      </c>
      <c r="AC68" s="50">
        <f>IF(AQ68="1",BI68,0)</f>
      </c>
      <c r="AD68" s="50">
        <f>IF(AQ68="7",BH68,0)</f>
      </c>
      <c r="AE68" s="50">
        <f>IF(AQ68="7",BI68,0)</f>
      </c>
      <c r="AF68" s="50">
        <f>IF(AQ68="2",BH68,0)</f>
      </c>
      <c r="AG68" s="50">
        <f>IF(AQ68="2",BI68,0)</f>
      </c>
      <c r="AH68" s="50">
        <f>IF(AQ68="0",BJ68,0)</f>
      </c>
      <c r="AI68" s="28" t="s">
        <v>59</v>
      </c>
      <c r="AJ68" s="50">
        <f>IF(AN68=0,J68,0)</f>
      </c>
      <c r="AK68" s="50">
        <f>IF(AN68=12,J68,0)</f>
      </c>
      <c r="AL68" s="50">
        <f>IF(AN68=21,J68,0)</f>
      </c>
      <c r="AN68" s="50" t="n">
        <v>21</v>
      </c>
      <c r="AO68" s="50">
        <f>G68*1</f>
      </c>
      <c r="AP68" s="50">
        <f>G68*(1-1)</f>
      </c>
      <c r="AQ68" s="52" t="s">
        <v>218</v>
      </c>
      <c r="AV68" s="50">
        <f>AW68+AX68</f>
      </c>
      <c r="AW68" s="50">
        <f>F68*AO68</f>
      </c>
      <c r="AX68" s="50">
        <f>F68*AP68</f>
      </c>
      <c r="AY68" s="52" t="s">
        <v>219</v>
      </c>
      <c r="AZ68" s="52" t="s">
        <v>220</v>
      </c>
      <c r="BA68" s="28" t="s">
        <v>67</v>
      </c>
      <c r="BC68" s="50">
        <f>AW68+AX68</f>
      </c>
      <c r="BD68" s="50">
        <f>G68/(100-BE68)*100</f>
      </c>
      <c r="BE68" s="50" t="n">
        <v>0</v>
      </c>
      <c r="BF68" s="50">
        <f>68</f>
      </c>
      <c r="BH68" s="50">
        <f>F68*AO68</f>
      </c>
      <c r="BI68" s="50">
        <f>F68*AP68</f>
      </c>
      <c r="BJ68" s="50">
        <f>F68*G68</f>
      </c>
      <c r="BK68" s="50"/>
      <c r="BL68" s="50"/>
      <c r="BW68" s="50" t="n">
        <v>21</v>
      </c>
      <c r="BX68" s="14" t="s">
        <v>235</v>
      </c>
    </row>
    <row r="69">
      <c r="A69" s="9" t="s">
        <v>236</v>
      </c>
      <c r="B69" s="10" t="s">
        <v>237</v>
      </c>
      <c r="C69" s="14" t="s">
        <v>238</v>
      </c>
      <c r="D69" s="10"/>
      <c r="E69" s="10" t="s">
        <v>170</v>
      </c>
      <c r="F69" s="50" t="n">
        <v>4</v>
      </c>
      <c r="G69" s="50" t="n">
        <v>0</v>
      </c>
      <c r="H69" s="50">
        <f>F69*AO69</f>
      </c>
      <c r="I69" s="50">
        <f>F69*AP69</f>
      </c>
      <c r="J69" s="50">
        <f>F69*G69</f>
      </c>
      <c r="K69" s="51" t="s">
        <v>64</v>
      </c>
      <c r="Z69" s="50">
        <f>IF(AQ69="5",BJ69,0)</f>
      </c>
      <c r="AB69" s="50">
        <f>IF(AQ69="1",BH69,0)</f>
      </c>
      <c r="AC69" s="50">
        <f>IF(AQ69="1",BI69,0)</f>
      </c>
      <c r="AD69" s="50">
        <f>IF(AQ69="7",BH69,0)</f>
      </c>
      <c r="AE69" s="50">
        <f>IF(AQ69="7",BI69,0)</f>
      </c>
      <c r="AF69" s="50">
        <f>IF(AQ69="2",BH69,0)</f>
      </c>
      <c r="AG69" s="50">
        <f>IF(AQ69="2",BI69,0)</f>
      </c>
      <c r="AH69" s="50">
        <f>IF(AQ69="0",BJ69,0)</f>
      </c>
      <c r="AI69" s="28" t="s">
        <v>59</v>
      </c>
      <c r="AJ69" s="50">
        <f>IF(AN69=0,J69,0)</f>
      </c>
      <c r="AK69" s="50">
        <f>IF(AN69=12,J69,0)</f>
      </c>
      <c r="AL69" s="50">
        <f>IF(AN69=21,J69,0)</f>
      </c>
      <c r="AN69" s="50" t="n">
        <v>21</v>
      </c>
      <c r="AO69" s="50">
        <f>G69*1</f>
      </c>
      <c r="AP69" s="50">
        <f>G69*(1-1)</f>
      </c>
      <c r="AQ69" s="52" t="s">
        <v>218</v>
      </c>
      <c r="AV69" s="50">
        <f>AW69+AX69</f>
      </c>
      <c r="AW69" s="50">
        <f>F69*AO69</f>
      </c>
      <c r="AX69" s="50">
        <f>F69*AP69</f>
      </c>
      <c r="AY69" s="52" t="s">
        <v>219</v>
      </c>
      <c r="AZ69" s="52" t="s">
        <v>220</v>
      </c>
      <c r="BA69" s="28" t="s">
        <v>67</v>
      </c>
      <c r="BC69" s="50">
        <f>AW69+AX69</f>
      </c>
      <c r="BD69" s="50">
        <f>G69/(100-BE69)*100</f>
      </c>
      <c r="BE69" s="50" t="n">
        <v>0</v>
      </c>
      <c r="BF69" s="50">
        <f>69</f>
      </c>
      <c r="BH69" s="50">
        <f>F69*AO69</f>
      </c>
      <c r="BI69" s="50">
        <f>F69*AP69</f>
      </c>
      <c r="BJ69" s="50">
        <f>F69*G69</f>
      </c>
      <c r="BK69" s="50"/>
      <c r="BL69" s="50"/>
      <c r="BW69" s="50" t="n">
        <v>21</v>
      </c>
      <c r="BX69" s="14" t="s">
        <v>238</v>
      </c>
    </row>
    <row r="70">
      <c r="A70" s="9" t="s">
        <v>239</v>
      </c>
      <c r="B70" s="10" t="s">
        <v>240</v>
      </c>
      <c r="C70" s="14" t="s">
        <v>241</v>
      </c>
      <c r="D70" s="10"/>
      <c r="E70" s="10" t="s">
        <v>170</v>
      </c>
      <c r="F70" s="50" t="n">
        <v>3</v>
      </c>
      <c r="G70" s="50" t="n">
        <v>0</v>
      </c>
      <c r="H70" s="50">
        <f>F70*AO70</f>
      </c>
      <c r="I70" s="50">
        <f>F70*AP70</f>
      </c>
      <c r="J70" s="50">
        <f>F70*G70</f>
      </c>
      <c r="K70" s="51" t="s">
        <v>64</v>
      </c>
      <c r="Z70" s="50">
        <f>IF(AQ70="5",BJ70,0)</f>
      </c>
      <c r="AB70" s="50">
        <f>IF(AQ70="1",BH70,0)</f>
      </c>
      <c r="AC70" s="50">
        <f>IF(AQ70="1",BI70,0)</f>
      </c>
      <c r="AD70" s="50">
        <f>IF(AQ70="7",BH70,0)</f>
      </c>
      <c r="AE70" s="50">
        <f>IF(AQ70="7",BI70,0)</f>
      </c>
      <c r="AF70" s="50">
        <f>IF(AQ70="2",BH70,0)</f>
      </c>
      <c r="AG70" s="50">
        <f>IF(AQ70="2",BI70,0)</f>
      </c>
      <c r="AH70" s="50">
        <f>IF(AQ70="0",BJ70,0)</f>
      </c>
      <c r="AI70" s="28" t="s">
        <v>59</v>
      </c>
      <c r="AJ70" s="50">
        <f>IF(AN70=0,J70,0)</f>
      </c>
      <c r="AK70" s="50">
        <f>IF(AN70=12,J70,0)</f>
      </c>
      <c r="AL70" s="50">
        <f>IF(AN70=21,J70,0)</f>
      </c>
      <c r="AN70" s="50" t="n">
        <v>21</v>
      </c>
      <c r="AO70" s="50">
        <f>G70*1</f>
      </c>
      <c r="AP70" s="50">
        <f>G70*(1-1)</f>
      </c>
      <c r="AQ70" s="52" t="s">
        <v>218</v>
      </c>
      <c r="AV70" s="50">
        <f>AW70+AX70</f>
      </c>
      <c r="AW70" s="50">
        <f>F70*AO70</f>
      </c>
      <c r="AX70" s="50">
        <f>F70*AP70</f>
      </c>
      <c r="AY70" s="52" t="s">
        <v>219</v>
      </c>
      <c r="AZ70" s="52" t="s">
        <v>220</v>
      </c>
      <c r="BA70" s="28" t="s">
        <v>67</v>
      </c>
      <c r="BC70" s="50">
        <f>AW70+AX70</f>
      </c>
      <c r="BD70" s="50">
        <f>G70/(100-BE70)*100</f>
      </c>
      <c r="BE70" s="50" t="n">
        <v>0</v>
      </c>
      <c r="BF70" s="50">
        <f>70</f>
      </c>
      <c r="BH70" s="50">
        <f>F70*AO70</f>
      </c>
      <c r="BI70" s="50">
        <f>F70*AP70</f>
      </c>
      <c r="BJ70" s="50">
        <f>F70*G70</f>
      </c>
      <c r="BK70" s="50"/>
      <c r="BL70" s="50"/>
      <c r="BW70" s="50" t="n">
        <v>21</v>
      </c>
      <c r="BX70" s="14" t="s">
        <v>241</v>
      </c>
    </row>
    <row r="71">
      <c r="A71" s="9" t="s">
        <v>139</v>
      </c>
      <c r="B71" s="10" t="s">
        <v>242</v>
      </c>
      <c r="C71" s="14" t="s">
        <v>243</v>
      </c>
      <c r="D71" s="10"/>
      <c r="E71" s="10" t="s">
        <v>170</v>
      </c>
      <c r="F71" s="50" t="n">
        <v>4</v>
      </c>
      <c r="G71" s="50" t="n">
        <v>0</v>
      </c>
      <c r="H71" s="50">
        <f>F71*AO71</f>
      </c>
      <c r="I71" s="50">
        <f>F71*AP71</f>
      </c>
      <c r="J71" s="50">
        <f>F71*G71</f>
      </c>
      <c r="K71" s="51" t="s">
        <v>64</v>
      </c>
      <c r="Z71" s="50">
        <f>IF(AQ71="5",BJ71,0)</f>
      </c>
      <c r="AB71" s="50">
        <f>IF(AQ71="1",BH71,0)</f>
      </c>
      <c r="AC71" s="50">
        <f>IF(AQ71="1",BI71,0)</f>
      </c>
      <c r="AD71" s="50">
        <f>IF(AQ71="7",BH71,0)</f>
      </c>
      <c r="AE71" s="50">
        <f>IF(AQ71="7",BI71,0)</f>
      </c>
      <c r="AF71" s="50">
        <f>IF(AQ71="2",BH71,0)</f>
      </c>
      <c r="AG71" s="50">
        <f>IF(AQ71="2",BI71,0)</f>
      </c>
      <c r="AH71" s="50">
        <f>IF(AQ71="0",BJ71,0)</f>
      </c>
      <c r="AI71" s="28" t="s">
        <v>59</v>
      </c>
      <c r="AJ71" s="50">
        <f>IF(AN71=0,J71,0)</f>
      </c>
      <c r="AK71" s="50">
        <f>IF(AN71=12,J71,0)</f>
      </c>
      <c r="AL71" s="50">
        <f>IF(AN71=21,J71,0)</f>
      </c>
      <c r="AN71" s="50" t="n">
        <v>21</v>
      </c>
      <c r="AO71" s="50">
        <f>G71*1</f>
      </c>
      <c r="AP71" s="50">
        <f>G71*(1-1)</f>
      </c>
      <c r="AQ71" s="52" t="s">
        <v>218</v>
      </c>
      <c r="AV71" s="50">
        <f>AW71+AX71</f>
      </c>
      <c r="AW71" s="50">
        <f>F71*AO71</f>
      </c>
      <c r="AX71" s="50">
        <f>F71*AP71</f>
      </c>
      <c r="AY71" s="52" t="s">
        <v>219</v>
      </c>
      <c r="AZ71" s="52" t="s">
        <v>220</v>
      </c>
      <c r="BA71" s="28" t="s">
        <v>67</v>
      </c>
      <c r="BC71" s="50">
        <f>AW71+AX71</f>
      </c>
      <c r="BD71" s="50">
        <f>G71/(100-BE71)*100</f>
      </c>
      <c r="BE71" s="50" t="n">
        <v>0</v>
      </c>
      <c r="BF71" s="50">
        <f>71</f>
      </c>
      <c r="BH71" s="50">
        <f>F71*AO71</f>
      </c>
      <c r="BI71" s="50">
        <f>F71*AP71</f>
      </c>
      <c r="BJ71" s="50">
        <f>F71*G71</f>
      </c>
      <c r="BK71" s="50"/>
      <c r="BL71" s="50"/>
      <c r="BW71" s="50" t="n">
        <v>21</v>
      </c>
      <c r="BX71" s="14" t="s">
        <v>243</v>
      </c>
    </row>
    <row r="72">
      <c r="A72" s="9" t="s">
        <v>244</v>
      </c>
      <c r="B72" s="10" t="s">
        <v>245</v>
      </c>
      <c r="C72" s="14" t="s">
        <v>246</v>
      </c>
      <c r="D72" s="10"/>
      <c r="E72" s="10" t="s">
        <v>170</v>
      </c>
      <c r="F72" s="50" t="n">
        <v>4</v>
      </c>
      <c r="G72" s="50" t="n">
        <v>0</v>
      </c>
      <c r="H72" s="50">
        <f>F72*AO72</f>
      </c>
      <c r="I72" s="50">
        <f>F72*AP72</f>
      </c>
      <c r="J72" s="50">
        <f>F72*G72</f>
      </c>
      <c r="K72" s="51" t="s">
        <v>64</v>
      </c>
      <c r="Z72" s="50">
        <f>IF(AQ72="5",BJ72,0)</f>
      </c>
      <c r="AB72" s="50">
        <f>IF(AQ72="1",BH72,0)</f>
      </c>
      <c r="AC72" s="50">
        <f>IF(AQ72="1",BI72,0)</f>
      </c>
      <c r="AD72" s="50">
        <f>IF(AQ72="7",BH72,0)</f>
      </c>
      <c r="AE72" s="50">
        <f>IF(AQ72="7",BI72,0)</f>
      </c>
      <c r="AF72" s="50">
        <f>IF(AQ72="2",BH72,0)</f>
      </c>
      <c r="AG72" s="50">
        <f>IF(AQ72="2",BI72,0)</f>
      </c>
      <c r="AH72" s="50">
        <f>IF(AQ72="0",BJ72,0)</f>
      </c>
      <c r="AI72" s="28" t="s">
        <v>59</v>
      </c>
      <c r="AJ72" s="50">
        <f>IF(AN72=0,J72,0)</f>
      </c>
      <c r="AK72" s="50">
        <f>IF(AN72=12,J72,0)</f>
      </c>
      <c r="AL72" s="50">
        <f>IF(AN72=21,J72,0)</f>
      </c>
      <c r="AN72" s="50" t="n">
        <v>21</v>
      </c>
      <c r="AO72" s="50">
        <f>G72*1</f>
      </c>
      <c r="AP72" s="50">
        <f>G72*(1-1)</f>
      </c>
      <c r="AQ72" s="52" t="s">
        <v>218</v>
      </c>
      <c r="AV72" s="50">
        <f>AW72+AX72</f>
      </c>
      <c r="AW72" s="50">
        <f>F72*AO72</f>
      </c>
      <c r="AX72" s="50">
        <f>F72*AP72</f>
      </c>
      <c r="AY72" s="52" t="s">
        <v>219</v>
      </c>
      <c r="AZ72" s="52" t="s">
        <v>220</v>
      </c>
      <c r="BA72" s="28" t="s">
        <v>67</v>
      </c>
      <c r="BC72" s="50">
        <f>AW72+AX72</f>
      </c>
      <c r="BD72" s="50">
        <f>G72/(100-BE72)*100</f>
      </c>
      <c r="BE72" s="50" t="n">
        <v>0</v>
      </c>
      <c r="BF72" s="50">
        <f>72</f>
      </c>
      <c r="BH72" s="50">
        <f>F72*AO72</f>
      </c>
      <c r="BI72" s="50">
        <f>F72*AP72</f>
      </c>
      <c r="BJ72" s="50">
        <f>F72*G72</f>
      </c>
      <c r="BK72" s="50"/>
      <c r="BL72" s="50"/>
      <c r="BW72" s="50" t="n">
        <v>21</v>
      </c>
      <c r="BX72" s="14" t="s">
        <v>246</v>
      </c>
    </row>
    <row r="73">
      <c r="A73" s="9" t="s">
        <v>247</v>
      </c>
      <c r="B73" s="10" t="s">
        <v>248</v>
      </c>
      <c r="C73" s="14" t="s">
        <v>249</v>
      </c>
      <c r="D73" s="10"/>
      <c r="E73" s="10" t="s">
        <v>170</v>
      </c>
      <c r="F73" s="50" t="n">
        <v>3</v>
      </c>
      <c r="G73" s="50" t="n">
        <v>0</v>
      </c>
      <c r="H73" s="50">
        <f>F73*AO73</f>
      </c>
      <c r="I73" s="50">
        <f>F73*AP73</f>
      </c>
      <c r="J73" s="50">
        <f>F73*G73</f>
      </c>
      <c r="K73" s="51" t="s">
        <v>64</v>
      </c>
      <c r="Z73" s="50">
        <f>IF(AQ73="5",BJ73,0)</f>
      </c>
      <c r="AB73" s="50">
        <f>IF(AQ73="1",BH73,0)</f>
      </c>
      <c r="AC73" s="50">
        <f>IF(AQ73="1",BI73,0)</f>
      </c>
      <c r="AD73" s="50">
        <f>IF(AQ73="7",BH73,0)</f>
      </c>
      <c r="AE73" s="50">
        <f>IF(AQ73="7",BI73,0)</f>
      </c>
      <c r="AF73" s="50">
        <f>IF(AQ73="2",BH73,0)</f>
      </c>
      <c r="AG73" s="50">
        <f>IF(AQ73="2",BI73,0)</f>
      </c>
      <c r="AH73" s="50">
        <f>IF(AQ73="0",BJ73,0)</f>
      </c>
      <c r="AI73" s="28" t="s">
        <v>59</v>
      </c>
      <c r="AJ73" s="50">
        <f>IF(AN73=0,J73,0)</f>
      </c>
      <c r="AK73" s="50">
        <f>IF(AN73=12,J73,0)</f>
      </c>
      <c r="AL73" s="50">
        <f>IF(AN73=21,J73,0)</f>
      </c>
      <c r="AN73" s="50" t="n">
        <v>21</v>
      </c>
      <c r="AO73" s="50">
        <f>G73*1</f>
      </c>
      <c r="AP73" s="50">
        <f>G73*(1-1)</f>
      </c>
      <c r="AQ73" s="52" t="s">
        <v>218</v>
      </c>
      <c r="AV73" s="50">
        <f>AW73+AX73</f>
      </c>
      <c r="AW73" s="50">
        <f>F73*AO73</f>
      </c>
      <c r="AX73" s="50">
        <f>F73*AP73</f>
      </c>
      <c r="AY73" s="52" t="s">
        <v>219</v>
      </c>
      <c r="AZ73" s="52" t="s">
        <v>220</v>
      </c>
      <c r="BA73" s="28" t="s">
        <v>67</v>
      </c>
      <c r="BC73" s="50">
        <f>AW73+AX73</f>
      </c>
      <c r="BD73" s="50">
        <f>G73/(100-BE73)*100</f>
      </c>
      <c r="BE73" s="50" t="n">
        <v>0</v>
      </c>
      <c r="BF73" s="50">
        <f>73</f>
      </c>
      <c r="BH73" s="50">
        <f>F73*AO73</f>
      </c>
      <c r="BI73" s="50">
        <f>F73*AP73</f>
      </c>
      <c r="BJ73" s="50">
        <f>F73*G73</f>
      </c>
      <c r="BK73" s="50"/>
      <c r="BL73" s="50"/>
      <c r="BW73" s="50" t="n">
        <v>21</v>
      </c>
      <c r="BX73" s="14" t="s">
        <v>249</v>
      </c>
    </row>
    <row r="74">
      <c r="A74" s="9" t="s">
        <v>250</v>
      </c>
      <c r="B74" s="10" t="s">
        <v>251</v>
      </c>
      <c r="C74" s="14" t="s">
        <v>252</v>
      </c>
      <c r="D74" s="10"/>
      <c r="E74" s="10" t="s">
        <v>170</v>
      </c>
      <c r="F74" s="50" t="n">
        <v>4</v>
      </c>
      <c r="G74" s="50" t="n">
        <v>0</v>
      </c>
      <c r="H74" s="50">
        <f>F74*AO74</f>
      </c>
      <c r="I74" s="50">
        <f>F74*AP74</f>
      </c>
      <c r="J74" s="50">
        <f>F74*G74</f>
      </c>
      <c r="K74" s="51" t="s">
        <v>64</v>
      </c>
      <c r="Z74" s="50">
        <f>IF(AQ74="5",BJ74,0)</f>
      </c>
      <c r="AB74" s="50">
        <f>IF(AQ74="1",BH74,0)</f>
      </c>
      <c r="AC74" s="50">
        <f>IF(AQ74="1",BI74,0)</f>
      </c>
      <c r="AD74" s="50">
        <f>IF(AQ74="7",BH74,0)</f>
      </c>
      <c r="AE74" s="50">
        <f>IF(AQ74="7",BI74,0)</f>
      </c>
      <c r="AF74" s="50">
        <f>IF(AQ74="2",BH74,0)</f>
      </c>
      <c r="AG74" s="50">
        <f>IF(AQ74="2",BI74,0)</f>
      </c>
      <c r="AH74" s="50">
        <f>IF(AQ74="0",BJ74,0)</f>
      </c>
      <c r="AI74" s="28" t="s">
        <v>59</v>
      </c>
      <c r="AJ74" s="50">
        <f>IF(AN74=0,J74,0)</f>
      </c>
      <c r="AK74" s="50">
        <f>IF(AN74=12,J74,0)</f>
      </c>
      <c r="AL74" s="50">
        <f>IF(AN74=21,J74,0)</f>
      </c>
      <c r="AN74" s="50" t="n">
        <v>21</v>
      </c>
      <c r="AO74" s="50">
        <f>G74*1</f>
      </c>
      <c r="AP74" s="50">
        <f>G74*(1-1)</f>
      </c>
      <c r="AQ74" s="52" t="s">
        <v>218</v>
      </c>
      <c r="AV74" s="50">
        <f>AW74+AX74</f>
      </c>
      <c r="AW74" s="50">
        <f>F74*AO74</f>
      </c>
      <c r="AX74" s="50">
        <f>F74*AP74</f>
      </c>
      <c r="AY74" s="52" t="s">
        <v>219</v>
      </c>
      <c r="AZ74" s="52" t="s">
        <v>220</v>
      </c>
      <c r="BA74" s="28" t="s">
        <v>67</v>
      </c>
      <c r="BC74" s="50">
        <f>AW74+AX74</f>
      </c>
      <c r="BD74" s="50">
        <f>G74/(100-BE74)*100</f>
      </c>
      <c r="BE74" s="50" t="n">
        <v>0</v>
      </c>
      <c r="BF74" s="50">
        <f>74</f>
      </c>
      <c r="BH74" s="50">
        <f>F74*AO74</f>
      </c>
      <c r="BI74" s="50">
        <f>F74*AP74</f>
      </c>
      <c r="BJ74" s="50">
        <f>F74*G74</f>
      </c>
      <c r="BK74" s="50"/>
      <c r="BL74" s="50"/>
      <c r="BW74" s="50" t="n">
        <v>21</v>
      </c>
      <c r="BX74" s="14" t="s">
        <v>252</v>
      </c>
    </row>
    <row r="75">
      <c r="A75" s="9" t="s">
        <v>253</v>
      </c>
      <c r="B75" s="10" t="s">
        <v>254</v>
      </c>
      <c r="C75" s="14" t="s">
        <v>255</v>
      </c>
      <c r="D75" s="10"/>
      <c r="E75" s="10" t="s">
        <v>170</v>
      </c>
      <c r="F75" s="50" t="n">
        <v>3</v>
      </c>
      <c r="G75" s="50" t="n">
        <v>0</v>
      </c>
      <c r="H75" s="50">
        <f>F75*AO75</f>
      </c>
      <c r="I75" s="50">
        <f>F75*AP75</f>
      </c>
      <c r="J75" s="50">
        <f>F75*G75</f>
      </c>
      <c r="K75" s="51" t="s">
        <v>64</v>
      </c>
      <c r="Z75" s="50">
        <f>IF(AQ75="5",BJ75,0)</f>
      </c>
      <c r="AB75" s="50">
        <f>IF(AQ75="1",BH75,0)</f>
      </c>
      <c r="AC75" s="50">
        <f>IF(AQ75="1",BI75,0)</f>
      </c>
      <c r="AD75" s="50">
        <f>IF(AQ75="7",BH75,0)</f>
      </c>
      <c r="AE75" s="50">
        <f>IF(AQ75="7",BI75,0)</f>
      </c>
      <c r="AF75" s="50">
        <f>IF(AQ75="2",BH75,0)</f>
      </c>
      <c r="AG75" s="50">
        <f>IF(AQ75="2",BI75,0)</f>
      </c>
      <c r="AH75" s="50">
        <f>IF(AQ75="0",BJ75,0)</f>
      </c>
      <c r="AI75" s="28" t="s">
        <v>59</v>
      </c>
      <c r="AJ75" s="50">
        <f>IF(AN75=0,J75,0)</f>
      </c>
      <c r="AK75" s="50">
        <f>IF(AN75=12,J75,0)</f>
      </c>
      <c r="AL75" s="50">
        <f>IF(AN75=21,J75,0)</f>
      </c>
      <c r="AN75" s="50" t="n">
        <v>21</v>
      </c>
      <c r="AO75" s="50">
        <f>G75*1</f>
      </c>
      <c r="AP75" s="50">
        <f>G75*(1-1)</f>
      </c>
      <c r="AQ75" s="52" t="s">
        <v>218</v>
      </c>
      <c r="AV75" s="50">
        <f>AW75+AX75</f>
      </c>
      <c r="AW75" s="50">
        <f>F75*AO75</f>
      </c>
      <c r="AX75" s="50">
        <f>F75*AP75</f>
      </c>
      <c r="AY75" s="52" t="s">
        <v>219</v>
      </c>
      <c r="AZ75" s="52" t="s">
        <v>220</v>
      </c>
      <c r="BA75" s="28" t="s">
        <v>67</v>
      </c>
      <c r="BC75" s="50">
        <f>AW75+AX75</f>
      </c>
      <c r="BD75" s="50">
        <f>G75/(100-BE75)*100</f>
      </c>
      <c r="BE75" s="50" t="n">
        <v>0</v>
      </c>
      <c r="BF75" s="50">
        <f>75</f>
      </c>
      <c r="BH75" s="50">
        <f>F75*AO75</f>
      </c>
      <c r="BI75" s="50">
        <f>F75*AP75</f>
      </c>
      <c r="BJ75" s="50">
        <f>F75*G75</f>
      </c>
      <c r="BK75" s="50"/>
      <c r="BL75" s="50"/>
      <c r="BW75" s="50" t="n">
        <v>21</v>
      </c>
      <c r="BX75" s="14" t="s">
        <v>255</v>
      </c>
    </row>
    <row r="76">
      <c r="A76" s="9" t="s">
        <v>256</v>
      </c>
      <c r="B76" s="10" t="s">
        <v>257</v>
      </c>
      <c r="C76" s="14" t="s">
        <v>258</v>
      </c>
      <c r="D76" s="10"/>
      <c r="E76" s="10" t="s">
        <v>170</v>
      </c>
      <c r="F76" s="50" t="n">
        <v>3</v>
      </c>
      <c r="G76" s="50" t="n">
        <v>0</v>
      </c>
      <c r="H76" s="50">
        <f>F76*AO76</f>
      </c>
      <c r="I76" s="50">
        <f>F76*AP76</f>
      </c>
      <c r="J76" s="50">
        <f>F76*G76</f>
      </c>
      <c r="K76" s="51" t="s">
        <v>64</v>
      </c>
      <c r="Z76" s="50">
        <f>IF(AQ76="5",BJ76,0)</f>
      </c>
      <c r="AB76" s="50">
        <f>IF(AQ76="1",BH76,0)</f>
      </c>
      <c r="AC76" s="50">
        <f>IF(AQ76="1",BI76,0)</f>
      </c>
      <c r="AD76" s="50">
        <f>IF(AQ76="7",BH76,0)</f>
      </c>
      <c r="AE76" s="50">
        <f>IF(AQ76="7",BI76,0)</f>
      </c>
      <c r="AF76" s="50">
        <f>IF(AQ76="2",BH76,0)</f>
      </c>
      <c r="AG76" s="50">
        <f>IF(AQ76="2",BI76,0)</f>
      </c>
      <c r="AH76" s="50">
        <f>IF(AQ76="0",BJ76,0)</f>
      </c>
      <c r="AI76" s="28" t="s">
        <v>59</v>
      </c>
      <c r="AJ76" s="50">
        <f>IF(AN76=0,J76,0)</f>
      </c>
      <c r="AK76" s="50">
        <f>IF(AN76=12,J76,0)</f>
      </c>
      <c r="AL76" s="50">
        <f>IF(AN76=21,J76,0)</f>
      </c>
      <c r="AN76" s="50" t="n">
        <v>21</v>
      </c>
      <c r="AO76" s="50">
        <f>G76*1</f>
      </c>
      <c r="AP76" s="50">
        <f>G76*(1-1)</f>
      </c>
      <c r="AQ76" s="52" t="s">
        <v>218</v>
      </c>
      <c r="AV76" s="50">
        <f>AW76+AX76</f>
      </c>
      <c r="AW76" s="50">
        <f>F76*AO76</f>
      </c>
      <c r="AX76" s="50">
        <f>F76*AP76</f>
      </c>
      <c r="AY76" s="52" t="s">
        <v>219</v>
      </c>
      <c r="AZ76" s="52" t="s">
        <v>220</v>
      </c>
      <c r="BA76" s="28" t="s">
        <v>67</v>
      </c>
      <c r="BC76" s="50">
        <f>AW76+AX76</f>
      </c>
      <c r="BD76" s="50">
        <f>G76/(100-BE76)*100</f>
      </c>
      <c r="BE76" s="50" t="n">
        <v>0</v>
      </c>
      <c r="BF76" s="50">
        <f>76</f>
      </c>
      <c r="BH76" s="50">
        <f>F76*AO76</f>
      </c>
      <c r="BI76" s="50">
        <f>F76*AP76</f>
      </c>
      <c r="BJ76" s="50">
        <f>F76*G76</f>
      </c>
      <c r="BK76" s="50"/>
      <c r="BL76" s="50"/>
      <c r="BW76" s="50" t="n">
        <v>21</v>
      </c>
      <c r="BX76" s="14" t="s">
        <v>258</v>
      </c>
    </row>
    <row r="77">
      <c r="A77" s="9" t="s">
        <v>259</v>
      </c>
      <c r="B77" s="10" t="s">
        <v>260</v>
      </c>
      <c r="C77" s="14" t="s">
        <v>261</v>
      </c>
      <c r="D77" s="10"/>
      <c r="E77" s="10" t="s">
        <v>170</v>
      </c>
      <c r="F77" s="50" t="n">
        <v>3</v>
      </c>
      <c r="G77" s="50" t="n">
        <v>0</v>
      </c>
      <c r="H77" s="50">
        <f>F77*AO77</f>
      </c>
      <c r="I77" s="50">
        <f>F77*AP77</f>
      </c>
      <c r="J77" s="50">
        <f>F77*G77</f>
      </c>
      <c r="K77" s="51" t="s">
        <v>64</v>
      </c>
      <c r="Z77" s="50">
        <f>IF(AQ77="5",BJ77,0)</f>
      </c>
      <c r="AB77" s="50">
        <f>IF(AQ77="1",BH77,0)</f>
      </c>
      <c r="AC77" s="50">
        <f>IF(AQ77="1",BI77,0)</f>
      </c>
      <c r="AD77" s="50">
        <f>IF(AQ77="7",BH77,0)</f>
      </c>
      <c r="AE77" s="50">
        <f>IF(AQ77="7",BI77,0)</f>
      </c>
      <c r="AF77" s="50">
        <f>IF(AQ77="2",BH77,0)</f>
      </c>
      <c r="AG77" s="50">
        <f>IF(AQ77="2",BI77,0)</f>
      </c>
      <c r="AH77" s="50">
        <f>IF(AQ77="0",BJ77,0)</f>
      </c>
      <c r="AI77" s="28" t="s">
        <v>59</v>
      </c>
      <c r="AJ77" s="50">
        <f>IF(AN77=0,J77,0)</f>
      </c>
      <c r="AK77" s="50">
        <f>IF(AN77=12,J77,0)</f>
      </c>
      <c r="AL77" s="50">
        <f>IF(AN77=21,J77,0)</f>
      </c>
      <c r="AN77" s="50" t="n">
        <v>21</v>
      </c>
      <c r="AO77" s="50">
        <f>G77*1</f>
      </c>
      <c r="AP77" s="50">
        <f>G77*(1-1)</f>
      </c>
      <c r="AQ77" s="52" t="s">
        <v>218</v>
      </c>
      <c r="AV77" s="50">
        <f>AW77+AX77</f>
      </c>
      <c r="AW77" s="50">
        <f>F77*AO77</f>
      </c>
      <c r="AX77" s="50">
        <f>F77*AP77</f>
      </c>
      <c r="AY77" s="52" t="s">
        <v>219</v>
      </c>
      <c r="AZ77" s="52" t="s">
        <v>220</v>
      </c>
      <c r="BA77" s="28" t="s">
        <v>67</v>
      </c>
      <c r="BC77" s="50">
        <f>AW77+AX77</f>
      </c>
      <c r="BD77" s="50">
        <f>G77/(100-BE77)*100</f>
      </c>
      <c r="BE77" s="50" t="n">
        <v>0</v>
      </c>
      <c r="BF77" s="50">
        <f>77</f>
      </c>
      <c r="BH77" s="50">
        <f>F77*AO77</f>
      </c>
      <c r="BI77" s="50">
        <f>F77*AP77</f>
      </c>
      <c r="BJ77" s="50">
        <f>F77*G77</f>
      </c>
      <c r="BK77" s="50"/>
      <c r="BL77" s="50"/>
      <c r="BW77" s="50" t="n">
        <v>21</v>
      </c>
      <c r="BX77" s="14" t="s">
        <v>261</v>
      </c>
    </row>
    <row r="78">
      <c r="A78" s="9" t="s">
        <v>262</v>
      </c>
      <c r="B78" s="10" t="s">
        <v>263</v>
      </c>
      <c r="C78" s="14" t="s">
        <v>264</v>
      </c>
      <c r="D78" s="10"/>
      <c r="E78" s="10" t="s">
        <v>170</v>
      </c>
      <c r="F78" s="50" t="n">
        <v>3</v>
      </c>
      <c r="G78" s="50" t="n">
        <v>0</v>
      </c>
      <c r="H78" s="50">
        <f>F78*AO78</f>
      </c>
      <c r="I78" s="50">
        <f>F78*AP78</f>
      </c>
      <c r="J78" s="50">
        <f>F78*G78</f>
      </c>
      <c r="K78" s="51" t="s">
        <v>64</v>
      </c>
      <c r="Z78" s="50">
        <f>IF(AQ78="5",BJ78,0)</f>
      </c>
      <c r="AB78" s="50">
        <f>IF(AQ78="1",BH78,0)</f>
      </c>
      <c r="AC78" s="50">
        <f>IF(AQ78="1",BI78,0)</f>
      </c>
      <c r="AD78" s="50">
        <f>IF(AQ78="7",BH78,0)</f>
      </c>
      <c r="AE78" s="50">
        <f>IF(AQ78="7",BI78,0)</f>
      </c>
      <c r="AF78" s="50">
        <f>IF(AQ78="2",BH78,0)</f>
      </c>
      <c r="AG78" s="50">
        <f>IF(AQ78="2",BI78,0)</f>
      </c>
      <c r="AH78" s="50">
        <f>IF(AQ78="0",BJ78,0)</f>
      </c>
      <c r="AI78" s="28" t="s">
        <v>59</v>
      </c>
      <c r="AJ78" s="50">
        <f>IF(AN78=0,J78,0)</f>
      </c>
      <c r="AK78" s="50">
        <f>IF(AN78=12,J78,0)</f>
      </c>
      <c r="AL78" s="50">
        <f>IF(AN78=21,J78,0)</f>
      </c>
      <c r="AN78" s="50" t="n">
        <v>21</v>
      </c>
      <c r="AO78" s="50">
        <f>G78*1</f>
      </c>
      <c r="AP78" s="50">
        <f>G78*(1-1)</f>
      </c>
      <c r="AQ78" s="52" t="s">
        <v>218</v>
      </c>
      <c r="AV78" s="50">
        <f>AW78+AX78</f>
      </c>
      <c r="AW78" s="50">
        <f>F78*AO78</f>
      </c>
      <c r="AX78" s="50">
        <f>F78*AP78</f>
      </c>
      <c r="AY78" s="52" t="s">
        <v>219</v>
      </c>
      <c r="AZ78" s="52" t="s">
        <v>220</v>
      </c>
      <c r="BA78" s="28" t="s">
        <v>67</v>
      </c>
      <c r="BC78" s="50">
        <f>AW78+AX78</f>
      </c>
      <c r="BD78" s="50">
        <f>G78/(100-BE78)*100</f>
      </c>
      <c r="BE78" s="50" t="n">
        <v>0</v>
      </c>
      <c r="BF78" s="50">
        <f>78</f>
      </c>
      <c r="BH78" s="50">
        <f>F78*AO78</f>
      </c>
      <c r="BI78" s="50">
        <f>F78*AP78</f>
      </c>
      <c r="BJ78" s="50">
        <f>F78*G78</f>
      </c>
      <c r="BK78" s="50"/>
      <c r="BL78" s="50"/>
      <c r="BW78" s="50" t="n">
        <v>21</v>
      </c>
      <c r="BX78" s="14" t="s">
        <v>264</v>
      </c>
    </row>
    <row r="79">
      <c r="A79" s="9" t="s">
        <v>265</v>
      </c>
      <c r="B79" s="10" t="s">
        <v>266</v>
      </c>
      <c r="C79" s="14" t="s">
        <v>267</v>
      </c>
      <c r="D79" s="10"/>
      <c r="E79" s="10" t="s">
        <v>170</v>
      </c>
      <c r="F79" s="50" t="n">
        <v>1</v>
      </c>
      <c r="G79" s="50" t="n">
        <v>0</v>
      </c>
      <c r="H79" s="50">
        <f>F79*AO79</f>
      </c>
      <c r="I79" s="50">
        <f>F79*AP79</f>
      </c>
      <c r="J79" s="50">
        <f>F79*G79</f>
      </c>
      <c r="K79" s="51" t="s">
        <v>64</v>
      </c>
      <c r="Z79" s="50">
        <f>IF(AQ79="5",BJ79,0)</f>
      </c>
      <c r="AB79" s="50">
        <f>IF(AQ79="1",BH79,0)</f>
      </c>
      <c r="AC79" s="50">
        <f>IF(AQ79="1",BI79,0)</f>
      </c>
      <c r="AD79" s="50">
        <f>IF(AQ79="7",BH79,0)</f>
      </c>
      <c r="AE79" s="50">
        <f>IF(AQ79="7",BI79,0)</f>
      </c>
      <c r="AF79" s="50">
        <f>IF(AQ79="2",BH79,0)</f>
      </c>
      <c r="AG79" s="50">
        <f>IF(AQ79="2",BI79,0)</f>
      </c>
      <c r="AH79" s="50">
        <f>IF(AQ79="0",BJ79,0)</f>
      </c>
      <c r="AI79" s="28" t="s">
        <v>59</v>
      </c>
      <c r="AJ79" s="50">
        <f>IF(AN79=0,J79,0)</f>
      </c>
      <c r="AK79" s="50">
        <f>IF(AN79=12,J79,0)</f>
      </c>
      <c r="AL79" s="50">
        <f>IF(AN79=21,J79,0)</f>
      </c>
      <c r="AN79" s="50" t="n">
        <v>21</v>
      </c>
      <c r="AO79" s="50">
        <f>G79*1</f>
      </c>
      <c r="AP79" s="50">
        <f>G79*(1-1)</f>
      </c>
      <c r="AQ79" s="52" t="s">
        <v>218</v>
      </c>
      <c r="AV79" s="50">
        <f>AW79+AX79</f>
      </c>
      <c r="AW79" s="50">
        <f>F79*AO79</f>
      </c>
      <c r="AX79" s="50">
        <f>F79*AP79</f>
      </c>
      <c r="AY79" s="52" t="s">
        <v>219</v>
      </c>
      <c r="AZ79" s="52" t="s">
        <v>220</v>
      </c>
      <c r="BA79" s="28" t="s">
        <v>67</v>
      </c>
      <c r="BC79" s="50">
        <f>AW79+AX79</f>
      </c>
      <c r="BD79" s="50">
        <f>G79/(100-BE79)*100</f>
      </c>
      <c r="BE79" s="50" t="n">
        <v>0</v>
      </c>
      <c r="BF79" s="50">
        <f>79</f>
      </c>
      <c r="BH79" s="50">
        <f>F79*AO79</f>
      </c>
      <c r="BI79" s="50">
        <f>F79*AP79</f>
      </c>
      <c r="BJ79" s="50">
        <f>F79*G79</f>
      </c>
      <c r="BK79" s="50"/>
      <c r="BL79" s="50"/>
      <c r="BW79" s="50" t="n">
        <v>21</v>
      </c>
      <c r="BX79" s="14" t="s">
        <v>267</v>
      </c>
    </row>
    <row r="80">
      <c r="A80" s="9" t="s">
        <v>268</v>
      </c>
      <c r="B80" s="10" t="s">
        <v>269</v>
      </c>
      <c r="C80" s="14" t="s">
        <v>270</v>
      </c>
      <c r="D80" s="10"/>
      <c r="E80" s="10" t="s">
        <v>170</v>
      </c>
      <c r="F80" s="50" t="n">
        <v>14</v>
      </c>
      <c r="G80" s="50" t="n">
        <v>0</v>
      </c>
      <c r="H80" s="50">
        <f>F80*AO80</f>
      </c>
      <c r="I80" s="50">
        <f>F80*AP80</f>
      </c>
      <c r="J80" s="50">
        <f>F80*G80</f>
      </c>
      <c r="K80" s="51" t="s">
        <v>64</v>
      </c>
      <c r="Z80" s="50">
        <f>IF(AQ80="5",BJ80,0)</f>
      </c>
      <c r="AB80" s="50">
        <f>IF(AQ80="1",BH80,0)</f>
      </c>
      <c r="AC80" s="50">
        <f>IF(AQ80="1",BI80,0)</f>
      </c>
      <c r="AD80" s="50">
        <f>IF(AQ80="7",BH80,0)</f>
      </c>
      <c r="AE80" s="50">
        <f>IF(AQ80="7",BI80,0)</f>
      </c>
      <c r="AF80" s="50">
        <f>IF(AQ80="2",BH80,0)</f>
      </c>
      <c r="AG80" s="50">
        <f>IF(AQ80="2",BI80,0)</f>
      </c>
      <c r="AH80" s="50">
        <f>IF(AQ80="0",BJ80,0)</f>
      </c>
      <c r="AI80" s="28" t="s">
        <v>59</v>
      </c>
      <c r="AJ80" s="50">
        <f>IF(AN80=0,J80,0)</f>
      </c>
      <c r="AK80" s="50">
        <f>IF(AN80=12,J80,0)</f>
      </c>
      <c r="AL80" s="50">
        <f>IF(AN80=21,J80,0)</f>
      </c>
      <c r="AN80" s="50" t="n">
        <v>21</v>
      </c>
      <c r="AO80" s="50">
        <f>G80*1</f>
      </c>
      <c r="AP80" s="50">
        <f>G80*(1-1)</f>
      </c>
      <c r="AQ80" s="52" t="s">
        <v>218</v>
      </c>
      <c r="AV80" s="50">
        <f>AW80+AX80</f>
      </c>
      <c r="AW80" s="50">
        <f>F80*AO80</f>
      </c>
      <c r="AX80" s="50">
        <f>F80*AP80</f>
      </c>
      <c r="AY80" s="52" t="s">
        <v>219</v>
      </c>
      <c r="AZ80" s="52" t="s">
        <v>220</v>
      </c>
      <c r="BA80" s="28" t="s">
        <v>67</v>
      </c>
      <c r="BC80" s="50">
        <f>AW80+AX80</f>
      </c>
      <c r="BD80" s="50">
        <f>G80/(100-BE80)*100</f>
      </c>
      <c r="BE80" s="50" t="n">
        <v>0</v>
      </c>
      <c r="BF80" s="50">
        <f>80</f>
      </c>
      <c r="BH80" s="50">
        <f>F80*AO80</f>
      </c>
      <c r="BI80" s="50">
        <f>F80*AP80</f>
      </c>
      <c r="BJ80" s="50">
        <f>F80*G80</f>
      </c>
      <c r="BK80" s="50"/>
      <c r="BL80" s="50"/>
      <c r="BW80" s="50" t="n">
        <v>21</v>
      </c>
      <c r="BX80" s="14" t="s">
        <v>270</v>
      </c>
    </row>
    <row r="81">
      <c r="A81" s="9" t="s">
        <v>271</v>
      </c>
      <c r="B81" s="10" t="s">
        <v>272</v>
      </c>
      <c r="C81" s="14" t="s">
        <v>273</v>
      </c>
      <c r="D81" s="10"/>
      <c r="E81" s="10" t="s">
        <v>170</v>
      </c>
      <c r="F81" s="50" t="n">
        <v>6</v>
      </c>
      <c r="G81" s="50" t="n">
        <v>0</v>
      </c>
      <c r="H81" s="50">
        <f>F81*AO81</f>
      </c>
      <c r="I81" s="50">
        <f>F81*AP81</f>
      </c>
      <c r="J81" s="50">
        <f>F81*G81</f>
      </c>
      <c r="K81" s="51" t="s">
        <v>64</v>
      </c>
      <c r="Z81" s="50">
        <f>IF(AQ81="5",BJ81,0)</f>
      </c>
      <c r="AB81" s="50">
        <f>IF(AQ81="1",BH81,0)</f>
      </c>
      <c r="AC81" s="50">
        <f>IF(AQ81="1",BI81,0)</f>
      </c>
      <c r="AD81" s="50">
        <f>IF(AQ81="7",BH81,0)</f>
      </c>
      <c r="AE81" s="50">
        <f>IF(AQ81="7",BI81,0)</f>
      </c>
      <c r="AF81" s="50">
        <f>IF(AQ81="2",BH81,0)</f>
      </c>
      <c r="AG81" s="50">
        <f>IF(AQ81="2",BI81,0)</f>
      </c>
      <c r="AH81" s="50">
        <f>IF(AQ81="0",BJ81,0)</f>
      </c>
      <c r="AI81" s="28" t="s">
        <v>59</v>
      </c>
      <c r="AJ81" s="50">
        <f>IF(AN81=0,J81,0)</f>
      </c>
      <c r="AK81" s="50">
        <f>IF(AN81=12,J81,0)</f>
      </c>
      <c r="AL81" s="50">
        <f>IF(AN81=21,J81,0)</f>
      </c>
      <c r="AN81" s="50" t="n">
        <v>21</v>
      </c>
      <c r="AO81" s="50">
        <f>G81*1</f>
      </c>
      <c r="AP81" s="50">
        <f>G81*(1-1)</f>
      </c>
      <c r="AQ81" s="52" t="s">
        <v>218</v>
      </c>
      <c r="AV81" s="50">
        <f>AW81+AX81</f>
      </c>
      <c r="AW81" s="50">
        <f>F81*AO81</f>
      </c>
      <c r="AX81" s="50">
        <f>F81*AP81</f>
      </c>
      <c r="AY81" s="52" t="s">
        <v>219</v>
      </c>
      <c r="AZ81" s="52" t="s">
        <v>220</v>
      </c>
      <c r="BA81" s="28" t="s">
        <v>67</v>
      </c>
      <c r="BC81" s="50">
        <f>AW81+AX81</f>
      </c>
      <c r="BD81" s="50">
        <f>G81/(100-BE81)*100</f>
      </c>
      <c r="BE81" s="50" t="n">
        <v>0</v>
      </c>
      <c r="BF81" s="50">
        <f>81</f>
      </c>
      <c r="BH81" s="50">
        <f>F81*AO81</f>
      </c>
      <c r="BI81" s="50">
        <f>F81*AP81</f>
      </c>
      <c r="BJ81" s="50">
        <f>F81*G81</f>
      </c>
      <c r="BK81" s="50"/>
      <c r="BL81" s="50"/>
      <c r="BW81" s="50" t="n">
        <v>21</v>
      </c>
      <c r="BX81" s="14" t="s">
        <v>273</v>
      </c>
    </row>
    <row r="82">
      <c r="A82" s="9" t="s">
        <v>146</v>
      </c>
      <c r="B82" s="10" t="s">
        <v>274</v>
      </c>
      <c r="C82" s="14" t="s">
        <v>275</v>
      </c>
      <c r="D82" s="10"/>
      <c r="E82" s="10" t="s">
        <v>170</v>
      </c>
      <c r="F82" s="50" t="n">
        <v>104</v>
      </c>
      <c r="G82" s="50" t="n">
        <v>0</v>
      </c>
      <c r="H82" s="50">
        <f>F82*AO82</f>
      </c>
      <c r="I82" s="50">
        <f>F82*AP82</f>
      </c>
      <c r="J82" s="50">
        <f>F82*G82</f>
      </c>
      <c r="K82" s="51" t="s">
        <v>64</v>
      </c>
      <c r="Z82" s="50">
        <f>IF(AQ82="5",BJ82,0)</f>
      </c>
      <c r="AB82" s="50">
        <f>IF(AQ82="1",BH82,0)</f>
      </c>
      <c r="AC82" s="50">
        <f>IF(AQ82="1",BI82,0)</f>
      </c>
      <c r="AD82" s="50">
        <f>IF(AQ82="7",BH82,0)</f>
      </c>
      <c r="AE82" s="50">
        <f>IF(AQ82="7",BI82,0)</f>
      </c>
      <c r="AF82" s="50">
        <f>IF(AQ82="2",BH82,0)</f>
      </c>
      <c r="AG82" s="50">
        <f>IF(AQ82="2",BI82,0)</f>
      </c>
      <c r="AH82" s="50">
        <f>IF(AQ82="0",BJ82,0)</f>
      </c>
      <c r="AI82" s="28" t="s">
        <v>59</v>
      </c>
      <c r="AJ82" s="50">
        <f>IF(AN82=0,J82,0)</f>
      </c>
      <c r="AK82" s="50">
        <f>IF(AN82=12,J82,0)</f>
      </c>
      <c r="AL82" s="50">
        <f>IF(AN82=21,J82,0)</f>
      </c>
      <c r="AN82" s="50" t="n">
        <v>21</v>
      </c>
      <c r="AO82" s="50">
        <f>G82*1</f>
      </c>
      <c r="AP82" s="50">
        <f>G82*(1-1)</f>
      </c>
      <c r="AQ82" s="52" t="s">
        <v>218</v>
      </c>
      <c r="AV82" s="50">
        <f>AW82+AX82</f>
      </c>
      <c r="AW82" s="50">
        <f>F82*AO82</f>
      </c>
      <c r="AX82" s="50">
        <f>F82*AP82</f>
      </c>
      <c r="AY82" s="52" t="s">
        <v>219</v>
      </c>
      <c r="AZ82" s="52" t="s">
        <v>220</v>
      </c>
      <c r="BA82" s="28" t="s">
        <v>67</v>
      </c>
      <c r="BC82" s="50">
        <f>AW82+AX82</f>
      </c>
      <c r="BD82" s="50">
        <f>G82/(100-BE82)*100</f>
      </c>
      <c r="BE82" s="50" t="n">
        <v>0</v>
      </c>
      <c r="BF82" s="50">
        <f>82</f>
      </c>
      <c r="BH82" s="50">
        <f>F82*AO82</f>
      </c>
      <c r="BI82" s="50">
        <f>F82*AP82</f>
      </c>
      <c r="BJ82" s="50">
        <f>F82*G82</f>
      </c>
      <c r="BK82" s="50"/>
      <c r="BL82" s="50"/>
      <c r="BW82" s="50" t="n">
        <v>21</v>
      </c>
      <c r="BX82" s="14" t="s">
        <v>275</v>
      </c>
    </row>
    <row r="83">
      <c r="A83" s="9" t="s">
        <v>156</v>
      </c>
      <c r="B83" s="10" t="s">
        <v>276</v>
      </c>
      <c r="C83" s="14" t="s">
        <v>277</v>
      </c>
      <c r="D83" s="10"/>
      <c r="E83" s="10" t="s">
        <v>170</v>
      </c>
      <c r="F83" s="50" t="n">
        <v>208</v>
      </c>
      <c r="G83" s="50" t="n">
        <v>0</v>
      </c>
      <c r="H83" s="50">
        <f>F83*AO83</f>
      </c>
      <c r="I83" s="50">
        <f>F83*AP83</f>
      </c>
      <c r="J83" s="50">
        <f>F83*G83</f>
      </c>
      <c r="K83" s="51" t="s">
        <v>64</v>
      </c>
      <c r="Z83" s="50">
        <f>IF(AQ83="5",BJ83,0)</f>
      </c>
      <c r="AB83" s="50">
        <f>IF(AQ83="1",BH83,0)</f>
      </c>
      <c r="AC83" s="50">
        <f>IF(AQ83="1",BI83,0)</f>
      </c>
      <c r="AD83" s="50">
        <f>IF(AQ83="7",BH83,0)</f>
      </c>
      <c r="AE83" s="50">
        <f>IF(AQ83="7",BI83,0)</f>
      </c>
      <c r="AF83" s="50">
        <f>IF(AQ83="2",BH83,0)</f>
      </c>
      <c r="AG83" s="50">
        <f>IF(AQ83="2",BI83,0)</f>
      </c>
      <c r="AH83" s="50">
        <f>IF(AQ83="0",BJ83,0)</f>
      </c>
      <c r="AI83" s="28" t="s">
        <v>59</v>
      </c>
      <c r="AJ83" s="50">
        <f>IF(AN83=0,J83,0)</f>
      </c>
      <c r="AK83" s="50">
        <f>IF(AN83=12,J83,0)</f>
      </c>
      <c r="AL83" s="50">
        <f>IF(AN83=21,J83,0)</f>
      </c>
      <c r="AN83" s="50" t="n">
        <v>21</v>
      </c>
      <c r="AO83" s="50">
        <f>G83*1</f>
      </c>
      <c r="AP83" s="50">
        <f>G83*(1-1)</f>
      </c>
      <c r="AQ83" s="52" t="s">
        <v>218</v>
      </c>
      <c r="AV83" s="50">
        <f>AW83+AX83</f>
      </c>
      <c r="AW83" s="50">
        <f>F83*AO83</f>
      </c>
      <c r="AX83" s="50">
        <f>F83*AP83</f>
      </c>
      <c r="AY83" s="52" t="s">
        <v>219</v>
      </c>
      <c r="AZ83" s="52" t="s">
        <v>220</v>
      </c>
      <c r="BA83" s="28" t="s">
        <v>67</v>
      </c>
      <c r="BC83" s="50">
        <f>AW83+AX83</f>
      </c>
      <c r="BD83" s="50">
        <f>G83/(100-BE83)*100</f>
      </c>
      <c r="BE83" s="50" t="n">
        <v>0</v>
      </c>
      <c r="BF83" s="50">
        <f>83</f>
      </c>
      <c r="BH83" s="50">
        <f>F83*AO83</f>
      </c>
      <c r="BI83" s="50">
        <f>F83*AP83</f>
      </c>
      <c r="BJ83" s="50">
        <f>F83*G83</f>
      </c>
      <c r="BK83" s="50"/>
      <c r="BL83" s="50"/>
      <c r="BW83" s="50" t="n">
        <v>21</v>
      </c>
      <c r="BX83" s="14" t="s">
        <v>277</v>
      </c>
    </row>
    <row r="84">
      <c r="A84" s="9" t="s">
        <v>278</v>
      </c>
      <c r="B84" s="10" t="s">
        <v>279</v>
      </c>
      <c r="C84" s="14" t="s">
        <v>280</v>
      </c>
      <c r="D84" s="10"/>
      <c r="E84" s="10" t="s">
        <v>281</v>
      </c>
      <c r="F84" s="50" t="n">
        <v>4.1</v>
      </c>
      <c r="G84" s="50" t="n">
        <v>0</v>
      </c>
      <c r="H84" s="50">
        <f>F84*AO84</f>
      </c>
      <c r="I84" s="50">
        <f>F84*AP84</f>
      </c>
      <c r="J84" s="50">
        <f>F84*G84</f>
      </c>
      <c r="K84" s="51" t="s">
        <v>64</v>
      </c>
      <c r="Z84" s="50">
        <f>IF(AQ84="5",BJ84,0)</f>
      </c>
      <c r="AB84" s="50">
        <f>IF(AQ84="1",BH84,0)</f>
      </c>
      <c r="AC84" s="50">
        <f>IF(AQ84="1",BI84,0)</f>
      </c>
      <c r="AD84" s="50">
        <f>IF(AQ84="7",BH84,0)</f>
      </c>
      <c r="AE84" s="50">
        <f>IF(AQ84="7",BI84,0)</f>
      </c>
      <c r="AF84" s="50">
        <f>IF(AQ84="2",BH84,0)</f>
      </c>
      <c r="AG84" s="50">
        <f>IF(AQ84="2",BI84,0)</f>
      </c>
      <c r="AH84" s="50">
        <f>IF(AQ84="0",BJ84,0)</f>
      </c>
      <c r="AI84" s="28" t="s">
        <v>59</v>
      </c>
      <c r="AJ84" s="50">
        <f>IF(AN84=0,J84,0)</f>
      </c>
      <c r="AK84" s="50">
        <f>IF(AN84=12,J84,0)</f>
      </c>
      <c r="AL84" s="50">
        <f>IF(AN84=21,J84,0)</f>
      </c>
      <c r="AN84" s="50" t="n">
        <v>21</v>
      </c>
      <c r="AO84" s="50">
        <f>G84*1</f>
      </c>
      <c r="AP84" s="50">
        <f>G84*(1-1)</f>
      </c>
      <c r="AQ84" s="52" t="s">
        <v>218</v>
      </c>
      <c r="AV84" s="50">
        <f>AW84+AX84</f>
      </c>
      <c r="AW84" s="50">
        <f>F84*AO84</f>
      </c>
      <c r="AX84" s="50">
        <f>F84*AP84</f>
      </c>
      <c r="AY84" s="52" t="s">
        <v>219</v>
      </c>
      <c r="AZ84" s="52" t="s">
        <v>220</v>
      </c>
      <c r="BA84" s="28" t="s">
        <v>67</v>
      </c>
      <c r="BC84" s="50">
        <f>AW84+AX84</f>
      </c>
      <c r="BD84" s="50">
        <f>G84/(100-BE84)*100</f>
      </c>
      <c r="BE84" s="50" t="n">
        <v>0</v>
      </c>
      <c r="BF84" s="50">
        <f>84</f>
      </c>
      <c r="BH84" s="50">
        <f>F84*AO84</f>
      </c>
      <c r="BI84" s="50">
        <f>F84*AP84</f>
      </c>
      <c r="BJ84" s="50">
        <f>F84*G84</f>
      </c>
      <c r="BK84" s="50"/>
      <c r="BL84" s="50"/>
      <c r="BW84" s="50" t="n">
        <v>21</v>
      </c>
      <c r="BX84" s="14" t="s">
        <v>280</v>
      </c>
    </row>
    <row r="85">
      <c r="A85" s="45" t="s">
        <v>55</v>
      </c>
      <c r="B85" s="46" t="s">
        <v>282</v>
      </c>
      <c r="C85" s="47" t="s">
        <v>283</v>
      </c>
      <c r="D85" s="46"/>
      <c r="E85" s="48" t="s">
        <v>36</v>
      </c>
      <c r="F85" s="48" t="s">
        <v>36</v>
      </c>
      <c r="G85" s="48" t="s">
        <v>36</v>
      </c>
      <c r="H85" s="2">
        <f>H86+H88+H90</f>
      </c>
      <c r="I85" s="2">
        <f>I86+I88+I90</f>
      </c>
      <c r="J85" s="2">
        <f>J86+J88+J90</f>
      </c>
      <c r="K85" s="49" t="s">
        <v>55</v>
      </c>
      <c r="AI85" s="28" t="s">
        <v>59</v>
      </c>
    </row>
    <row r="86">
      <c r="A86" s="45" t="s">
        <v>55</v>
      </c>
      <c r="B86" s="46" t="s">
        <v>284</v>
      </c>
      <c r="C86" s="47" t="s">
        <v>285</v>
      </c>
      <c r="D86" s="46"/>
      <c r="E86" s="48" t="s">
        <v>36</v>
      </c>
      <c r="F86" s="48" t="s">
        <v>36</v>
      </c>
      <c r="G86" s="48" t="s">
        <v>36</v>
      </c>
      <c r="H86" s="2">
        <f>SUM(H87:H87)</f>
      </c>
      <c r="I86" s="2">
        <f>SUM(I87:I87)</f>
      </c>
      <c r="J86" s="2">
        <f>SUM(J87:J87)</f>
      </c>
      <c r="K86" s="49" t="s">
        <v>55</v>
      </c>
      <c r="AI86" s="28" t="s">
        <v>59</v>
      </c>
      <c r="AS86" s="2">
        <f>SUM(AJ87:AJ87)</f>
      </c>
      <c r="AT86" s="2">
        <f>SUM(AK87:AK87)</f>
      </c>
      <c r="AU86" s="2">
        <f>SUM(AL87:AL87)</f>
      </c>
    </row>
    <row r="87">
      <c r="A87" s="9" t="s">
        <v>286</v>
      </c>
      <c r="B87" s="10" t="s">
        <v>287</v>
      </c>
      <c r="C87" s="14" t="s">
        <v>288</v>
      </c>
      <c r="D87" s="10"/>
      <c r="E87" s="10" t="s">
        <v>289</v>
      </c>
      <c r="F87" s="50" t="n">
        <v>1</v>
      </c>
      <c r="G87" s="50" t="n">
        <v>0</v>
      </c>
      <c r="H87" s="50">
        <f>F87*AO87</f>
      </c>
      <c r="I87" s="50">
        <f>F87*AP87</f>
      </c>
      <c r="J87" s="50">
        <f>F87*G87</f>
      </c>
      <c r="K87" s="51" t="s">
        <v>117</v>
      </c>
      <c r="Z87" s="50">
        <f>IF(AQ87="5",BJ87,0)</f>
      </c>
      <c r="AB87" s="50">
        <f>IF(AQ87="1",BH87,0)</f>
      </c>
      <c r="AC87" s="50">
        <f>IF(AQ87="1",BI87,0)</f>
      </c>
      <c r="AD87" s="50">
        <f>IF(AQ87="7",BH87,0)</f>
      </c>
      <c r="AE87" s="50">
        <f>IF(AQ87="7",BI87,0)</f>
      </c>
      <c r="AF87" s="50">
        <f>IF(AQ87="2",BH87,0)</f>
      </c>
      <c r="AG87" s="50">
        <f>IF(AQ87="2",BI87,0)</f>
      </c>
      <c r="AH87" s="50">
        <f>IF(AQ87="0",BJ87,0)</f>
      </c>
      <c r="AI87" s="28" t="s">
        <v>59</v>
      </c>
      <c r="AJ87" s="50">
        <f>IF(AN87=0,J87,0)</f>
      </c>
      <c r="AK87" s="50">
        <f>IF(AN87=12,J87,0)</f>
      </c>
      <c r="AL87" s="50">
        <f>IF(AN87=21,J87,0)</f>
      </c>
      <c r="AN87" s="50" t="n">
        <v>21</v>
      </c>
      <c r="AO87" s="50">
        <f>G87*0</f>
      </c>
      <c r="AP87" s="50">
        <f>G87*(1-0)</f>
      </c>
      <c r="AQ87" s="52" t="s">
        <v>290</v>
      </c>
      <c r="AV87" s="50">
        <f>AW87+AX87</f>
      </c>
      <c r="AW87" s="50">
        <f>F87*AO87</f>
      </c>
      <c r="AX87" s="50">
        <f>F87*AP87</f>
      </c>
      <c r="AY87" s="52" t="s">
        <v>291</v>
      </c>
      <c r="AZ87" s="52" t="s">
        <v>292</v>
      </c>
      <c r="BA87" s="28" t="s">
        <v>67</v>
      </c>
      <c r="BC87" s="50">
        <f>AW87+AX87</f>
      </c>
      <c r="BD87" s="50">
        <f>G87/(100-BE87)*100</f>
      </c>
      <c r="BE87" s="50" t="n">
        <v>0</v>
      </c>
      <c r="BF87" s="50">
        <f>87</f>
      </c>
      <c r="BH87" s="50">
        <f>F87*AO87</f>
      </c>
      <c r="BI87" s="50">
        <f>F87*AP87</f>
      </c>
      <c r="BJ87" s="50">
        <f>F87*G87</f>
      </c>
      <c r="BK87" s="50"/>
      <c r="BL87" s="50"/>
      <c r="BM87" s="50">
        <f>F87*G87</f>
      </c>
      <c r="BW87" s="50" t="n">
        <v>21</v>
      </c>
      <c r="BX87" s="14" t="s">
        <v>288</v>
      </c>
    </row>
    <row r="88">
      <c r="A88" s="45" t="s">
        <v>55</v>
      </c>
      <c r="B88" s="46" t="s">
        <v>293</v>
      </c>
      <c r="C88" s="47" t="s">
        <v>294</v>
      </c>
      <c r="D88" s="46"/>
      <c r="E88" s="48" t="s">
        <v>36</v>
      </c>
      <c r="F88" s="48" t="s">
        <v>36</v>
      </c>
      <c r="G88" s="48" t="s">
        <v>36</v>
      </c>
      <c r="H88" s="2">
        <f>SUM(H89:H89)</f>
      </c>
      <c r="I88" s="2">
        <f>SUM(I89:I89)</f>
      </c>
      <c r="J88" s="2">
        <f>SUM(J89:J89)</f>
      </c>
      <c r="K88" s="49" t="s">
        <v>55</v>
      </c>
      <c r="AI88" s="28" t="s">
        <v>59</v>
      </c>
      <c r="AS88" s="2">
        <f>SUM(AJ89:AJ89)</f>
      </c>
      <c r="AT88" s="2">
        <f>SUM(AK89:AK89)</f>
      </c>
      <c r="AU88" s="2">
        <f>SUM(AL89:AL89)</f>
      </c>
    </row>
    <row r="89">
      <c r="A89" s="9" t="s">
        <v>295</v>
      </c>
      <c r="B89" s="10" t="s">
        <v>296</v>
      </c>
      <c r="C89" s="14" t="s">
        <v>294</v>
      </c>
      <c r="D89" s="10"/>
      <c r="E89" s="10" t="s">
        <v>289</v>
      </c>
      <c r="F89" s="50" t="n">
        <v>1</v>
      </c>
      <c r="G89" s="50" t="n">
        <v>0</v>
      </c>
      <c r="H89" s="50">
        <f>F89*AO89</f>
      </c>
      <c r="I89" s="50">
        <f>F89*AP89</f>
      </c>
      <c r="J89" s="50">
        <f>F89*G89</f>
      </c>
      <c r="K89" s="51" t="s">
        <v>117</v>
      </c>
      <c r="Z89" s="50">
        <f>IF(AQ89="5",BJ89,0)</f>
      </c>
      <c r="AB89" s="50">
        <f>IF(AQ89="1",BH89,0)</f>
      </c>
      <c r="AC89" s="50">
        <f>IF(AQ89="1",BI89,0)</f>
      </c>
      <c r="AD89" s="50">
        <f>IF(AQ89="7",BH89,0)</f>
      </c>
      <c r="AE89" s="50">
        <f>IF(AQ89="7",BI89,0)</f>
      </c>
      <c r="AF89" s="50">
        <f>IF(AQ89="2",BH89,0)</f>
      </c>
      <c r="AG89" s="50">
        <f>IF(AQ89="2",BI89,0)</f>
      </c>
      <c r="AH89" s="50">
        <f>IF(AQ89="0",BJ89,0)</f>
      </c>
      <c r="AI89" s="28" t="s">
        <v>59</v>
      </c>
      <c r="AJ89" s="50">
        <f>IF(AN89=0,J89,0)</f>
      </c>
      <c r="AK89" s="50">
        <f>IF(AN89=12,J89,0)</f>
      </c>
      <c r="AL89" s="50">
        <f>IF(AN89=21,J89,0)</f>
      </c>
      <c r="AN89" s="50" t="n">
        <v>21</v>
      </c>
      <c r="AO89" s="50">
        <f>G89*0</f>
      </c>
      <c r="AP89" s="50">
        <f>G89*(1-0)</f>
      </c>
      <c r="AQ89" s="52" t="s">
        <v>290</v>
      </c>
      <c r="AV89" s="50">
        <f>AW89+AX89</f>
      </c>
      <c r="AW89" s="50">
        <f>F89*AO89</f>
      </c>
      <c r="AX89" s="50">
        <f>F89*AP89</f>
      </c>
      <c r="AY89" s="52" t="s">
        <v>297</v>
      </c>
      <c r="AZ89" s="52" t="s">
        <v>292</v>
      </c>
      <c r="BA89" s="28" t="s">
        <v>67</v>
      </c>
      <c r="BC89" s="50">
        <f>AW89+AX89</f>
      </c>
      <c r="BD89" s="50">
        <f>G89/(100-BE89)*100</f>
      </c>
      <c r="BE89" s="50" t="n">
        <v>0</v>
      </c>
      <c r="BF89" s="50">
        <f>89</f>
      </c>
      <c r="BH89" s="50">
        <f>F89*AO89</f>
      </c>
      <c r="BI89" s="50">
        <f>F89*AP89</f>
      </c>
      <c r="BJ89" s="50">
        <f>F89*G89</f>
      </c>
      <c r="BK89" s="50"/>
      <c r="BL89" s="50"/>
      <c r="BO89" s="50">
        <f>F89*G89</f>
      </c>
      <c r="BW89" s="50" t="n">
        <v>21</v>
      </c>
      <c r="BX89" s="14" t="s">
        <v>294</v>
      </c>
    </row>
    <row r="90">
      <c r="A90" s="45" t="s">
        <v>55</v>
      </c>
      <c r="B90" s="46" t="s">
        <v>298</v>
      </c>
      <c r="C90" s="47" t="s">
        <v>299</v>
      </c>
      <c r="D90" s="46"/>
      <c r="E90" s="48" t="s">
        <v>36</v>
      </c>
      <c r="F90" s="48" t="s">
        <v>36</v>
      </c>
      <c r="G90" s="48" t="s">
        <v>36</v>
      </c>
      <c r="H90" s="2">
        <f>SUM(H91:H91)</f>
      </c>
      <c r="I90" s="2">
        <f>SUM(I91:I91)</f>
      </c>
      <c r="J90" s="2">
        <f>SUM(J91:J91)</f>
      </c>
      <c r="K90" s="49" t="s">
        <v>55</v>
      </c>
      <c r="AI90" s="28" t="s">
        <v>59</v>
      </c>
      <c r="AS90" s="2">
        <f>SUM(AJ91:AJ91)</f>
      </c>
      <c r="AT90" s="2">
        <f>SUM(AK91:AK91)</f>
      </c>
      <c r="AU90" s="2">
        <f>SUM(AL91:AL91)</f>
      </c>
    </row>
    <row r="91">
      <c r="A91" s="9" t="s">
        <v>300</v>
      </c>
      <c r="B91" s="10" t="s">
        <v>301</v>
      </c>
      <c r="C91" s="14" t="s">
        <v>302</v>
      </c>
      <c r="D91" s="10"/>
      <c r="E91" s="10" t="s">
        <v>289</v>
      </c>
      <c r="F91" s="50" t="n">
        <v>1</v>
      </c>
      <c r="G91" s="50" t="n">
        <v>0</v>
      </c>
      <c r="H91" s="50">
        <f>F91*AO91</f>
      </c>
      <c r="I91" s="50">
        <f>F91*AP91</f>
      </c>
      <c r="J91" s="50">
        <f>F91*G91</f>
      </c>
      <c r="K91" s="51" t="s">
        <v>117</v>
      </c>
      <c r="Z91" s="50">
        <f>IF(AQ91="5",BJ91,0)</f>
      </c>
      <c r="AB91" s="50">
        <f>IF(AQ91="1",BH91,0)</f>
      </c>
      <c r="AC91" s="50">
        <f>IF(AQ91="1",BI91,0)</f>
      </c>
      <c r="AD91" s="50">
        <f>IF(AQ91="7",BH91,0)</f>
      </c>
      <c r="AE91" s="50">
        <f>IF(AQ91="7",BI91,0)</f>
      </c>
      <c r="AF91" s="50">
        <f>IF(AQ91="2",BH91,0)</f>
      </c>
      <c r="AG91" s="50">
        <f>IF(AQ91="2",BI91,0)</f>
      </c>
      <c r="AH91" s="50">
        <f>IF(AQ91="0",BJ91,0)</f>
      </c>
      <c r="AI91" s="28" t="s">
        <v>59</v>
      </c>
      <c r="AJ91" s="50">
        <f>IF(AN91=0,J91,0)</f>
      </c>
      <c r="AK91" s="50">
        <f>IF(AN91=12,J91,0)</f>
      </c>
      <c r="AL91" s="50">
        <f>IF(AN91=21,J91,0)</f>
      </c>
      <c r="AN91" s="50" t="n">
        <v>21</v>
      </c>
      <c r="AO91" s="50">
        <f>G91*0</f>
      </c>
      <c r="AP91" s="50">
        <f>G91*(1-0)</f>
      </c>
      <c r="AQ91" s="52" t="s">
        <v>290</v>
      </c>
      <c r="AV91" s="50">
        <f>AW91+AX91</f>
      </c>
      <c r="AW91" s="50">
        <f>F91*AO91</f>
      </c>
      <c r="AX91" s="50">
        <f>F91*AP91</f>
      </c>
      <c r="AY91" s="52" t="s">
        <v>303</v>
      </c>
      <c r="AZ91" s="52" t="s">
        <v>292</v>
      </c>
      <c r="BA91" s="28" t="s">
        <v>67</v>
      </c>
      <c r="BC91" s="50">
        <f>AW91+AX91</f>
      </c>
      <c r="BD91" s="50">
        <f>G91/(100-BE91)*100</f>
      </c>
      <c r="BE91" s="50" t="n">
        <v>0</v>
      </c>
      <c r="BF91" s="50">
        <f>91</f>
      </c>
      <c r="BH91" s="50">
        <f>F91*AO91</f>
      </c>
      <c r="BI91" s="50">
        <f>F91*AP91</f>
      </c>
      <c r="BJ91" s="50">
        <f>F91*G91</f>
      </c>
      <c r="BK91" s="50"/>
      <c r="BL91" s="50"/>
      <c r="BR91" s="50">
        <f>F91*G91</f>
      </c>
      <c r="BW91" s="50" t="n">
        <v>21</v>
      </c>
      <c r="BX91" s="14" t="s">
        <v>302</v>
      </c>
    </row>
    <row r="92">
      <c r="A92" s="45" t="s">
        <v>55</v>
      </c>
      <c r="B92" s="46" t="s">
        <v>55</v>
      </c>
      <c r="C92" s="47" t="s">
        <v>304</v>
      </c>
      <c r="D92" s="46"/>
      <c r="E92" s="48" t="s">
        <v>36</v>
      </c>
      <c r="F92" s="48" t="s">
        <v>36</v>
      </c>
      <c r="G92" s="48" t="s">
        <v>36</v>
      </c>
      <c r="H92" s="2">
        <f>H93+H95+H97+H100+H102+H104+H108+H111+H113+H116+H118+H127+H146+H148</f>
      </c>
      <c r="I92" s="2">
        <f>I93+I95+I97+I100+I102+I104+I108+I111+I113+I116+I118+I127+I146+I148</f>
      </c>
      <c r="J92" s="2">
        <f>J93+J95+J97+J100+J102+J104+J108+J111+J113+J116+J118+J127+J146+J148</f>
      </c>
      <c r="K92" s="49" t="s">
        <v>55</v>
      </c>
    </row>
    <row r="93">
      <c r="A93" s="45" t="s">
        <v>55</v>
      </c>
      <c r="B93" s="46" t="s">
        <v>57</v>
      </c>
      <c r="C93" s="47" t="s">
        <v>58</v>
      </c>
      <c r="D93" s="46"/>
      <c r="E93" s="48" t="s">
        <v>36</v>
      </c>
      <c r="F93" s="48" t="s">
        <v>36</v>
      </c>
      <c r="G93" s="48" t="s">
        <v>36</v>
      </c>
      <c r="H93" s="2">
        <f>SUM(H94:H94)</f>
      </c>
      <c r="I93" s="2">
        <f>SUM(I94:I94)</f>
      </c>
      <c r="J93" s="2">
        <f>SUM(J94:J94)</f>
      </c>
      <c r="K93" s="49" t="s">
        <v>55</v>
      </c>
      <c r="AI93" s="28" t="s">
        <v>305</v>
      </c>
      <c r="AS93" s="2">
        <f>SUM(AJ94:AJ94)</f>
      </c>
      <c r="AT93" s="2">
        <f>SUM(AK94:AK94)</f>
      </c>
      <c r="AU93" s="2">
        <f>SUM(AL94:AL94)</f>
      </c>
    </row>
    <row r="94">
      <c r="A94" s="9" t="s">
        <v>306</v>
      </c>
      <c r="B94" s="10" t="s">
        <v>61</v>
      </c>
      <c r="C94" s="14" t="s">
        <v>62</v>
      </c>
      <c r="D94" s="10"/>
      <c r="E94" s="10" t="s">
        <v>63</v>
      </c>
      <c r="F94" s="50" t="n">
        <v>2</v>
      </c>
      <c r="G94" s="50" t="n">
        <v>0</v>
      </c>
      <c r="H94" s="50">
        <f>F94*AO94</f>
      </c>
      <c r="I94" s="50">
        <f>F94*AP94</f>
      </c>
      <c r="J94" s="50">
        <f>F94*G94</f>
      </c>
      <c r="K94" s="51" t="s">
        <v>64</v>
      </c>
      <c r="Z94" s="50">
        <f>IF(AQ94="5",BJ94,0)</f>
      </c>
      <c r="AB94" s="50">
        <f>IF(AQ94="1",BH94,0)</f>
      </c>
      <c r="AC94" s="50">
        <f>IF(AQ94="1",BI94,0)</f>
      </c>
      <c r="AD94" s="50">
        <f>IF(AQ94="7",BH94,0)</f>
      </c>
      <c r="AE94" s="50">
        <f>IF(AQ94="7",BI94,0)</f>
      </c>
      <c r="AF94" s="50">
        <f>IF(AQ94="2",BH94,0)</f>
      </c>
      <c r="AG94" s="50">
        <f>IF(AQ94="2",BI94,0)</f>
      </c>
      <c r="AH94" s="50">
        <f>IF(AQ94="0",BJ94,0)</f>
      </c>
      <c r="AI94" s="28" t="s">
        <v>305</v>
      </c>
      <c r="AJ94" s="50">
        <f>IF(AN94=0,J94,0)</f>
      </c>
      <c r="AK94" s="50">
        <f>IF(AN94=12,J94,0)</f>
      </c>
      <c r="AL94" s="50">
        <f>IF(AN94=21,J94,0)</f>
      </c>
      <c r="AN94" s="50" t="n">
        <v>21</v>
      </c>
      <c r="AO94" s="50">
        <f>G94*0</f>
      </c>
      <c r="AP94" s="50">
        <f>G94*(1-0)</f>
      </c>
      <c r="AQ94" s="52" t="s">
        <v>60</v>
      </c>
      <c r="AV94" s="50">
        <f>AW94+AX94</f>
      </c>
      <c r="AW94" s="50">
        <f>F94*AO94</f>
      </c>
      <c r="AX94" s="50">
        <f>F94*AP94</f>
      </c>
      <c r="AY94" s="52" t="s">
        <v>65</v>
      </c>
      <c r="AZ94" s="52" t="s">
        <v>307</v>
      </c>
      <c r="BA94" s="28" t="s">
        <v>308</v>
      </c>
      <c r="BC94" s="50">
        <f>AW94+AX94</f>
      </c>
      <c r="BD94" s="50">
        <f>G94/(100-BE94)*100</f>
      </c>
      <c r="BE94" s="50" t="n">
        <v>0</v>
      </c>
      <c r="BF94" s="50">
        <f>94</f>
      </c>
      <c r="BH94" s="50">
        <f>F94*AO94</f>
      </c>
      <c r="BI94" s="50">
        <f>F94*AP94</f>
      </c>
      <c r="BJ94" s="50">
        <f>F94*G94</f>
      </c>
      <c r="BK94" s="50"/>
      <c r="BL94" s="50" t="n">
        <v>11</v>
      </c>
      <c r="BW94" s="50" t="n">
        <v>21</v>
      </c>
      <c r="BX94" s="14" t="s">
        <v>62</v>
      </c>
    </row>
    <row r="95">
      <c r="A95" s="45" t="s">
        <v>55</v>
      </c>
      <c r="B95" s="46" t="s">
        <v>77</v>
      </c>
      <c r="C95" s="47" t="s">
        <v>78</v>
      </c>
      <c r="D95" s="46"/>
      <c r="E95" s="48" t="s">
        <v>36</v>
      </c>
      <c r="F95" s="48" t="s">
        <v>36</v>
      </c>
      <c r="G95" s="48" t="s">
        <v>36</v>
      </c>
      <c r="H95" s="2">
        <f>SUM(H96:H96)</f>
      </c>
      <c r="I95" s="2">
        <f>SUM(I96:I96)</f>
      </c>
      <c r="J95" s="2">
        <f>SUM(J96:J96)</f>
      </c>
      <c r="K95" s="49" t="s">
        <v>55</v>
      </c>
      <c r="AI95" s="28" t="s">
        <v>305</v>
      </c>
      <c r="AS95" s="2">
        <f>SUM(AJ96:AJ96)</f>
      </c>
      <c r="AT95" s="2">
        <f>SUM(AK96:AK96)</f>
      </c>
      <c r="AU95" s="2">
        <f>SUM(AL96:AL96)</f>
      </c>
    </row>
    <row r="96">
      <c r="A96" s="9" t="s">
        <v>309</v>
      </c>
      <c r="B96" s="10" t="s">
        <v>80</v>
      </c>
      <c r="C96" s="14" t="s">
        <v>81</v>
      </c>
      <c r="D96" s="10"/>
      <c r="E96" s="10" t="s">
        <v>82</v>
      </c>
      <c r="F96" s="50" t="n">
        <v>0.9</v>
      </c>
      <c r="G96" s="50" t="n">
        <v>0</v>
      </c>
      <c r="H96" s="50">
        <f>F96*AO96</f>
      </c>
      <c r="I96" s="50">
        <f>F96*AP96</f>
      </c>
      <c r="J96" s="50">
        <f>F96*G96</f>
      </c>
      <c r="K96" s="51" t="s">
        <v>64</v>
      </c>
      <c r="Z96" s="50">
        <f>IF(AQ96="5",BJ96,0)</f>
      </c>
      <c r="AB96" s="50">
        <f>IF(AQ96="1",BH96,0)</f>
      </c>
      <c r="AC96" s="50">
        <f>IF(AQ96="1",BI96,0)</f>
      </c>
      <c r="AD96" s="50">
        <f>IF(AQ96="7",BH96,0)</f>
      </c>
      <c r="AE96" s="50">
        <f>IF(AQ96="7",BI96,0)</f>
      </c>
      <c r="AF96" s="50">
        <f>IF(AQ96="2",BH96,0)</f>
      </c>
      <c r="AG96" s="50">
        <f>IF(AQ96="2",BI96,0)</f>
      </c>
      <c r="AH96" s="50">
        <f>IF(AQ96="0",BJ96,0)</f>
      </c>
      <c r="AI96" s="28" t="s">
        <v>305</v>
      </c>
      <c r="AJ96" s="50">
        <f>IF(AN96=0,J96,0)</f>
      </c>
      <c r="AK96" s="50">
        <f>IF(AN96=12,J96,0)</f>
      </c>
      <c r="AL96" s="50">
        <f>IF(AN96=21,J96,0)</f>
      </c>
      <c r="AN96" s="50" t="n">
        <v>21</v>
      </c>
      <c r="AO96" s="50">
        <f>G96*0</f>
      </c>
      <c r="AP96" s="50">
        <f>G96*(1-0)</f>
      </c>
      <c r="AQ96" s="52" t="s">
        <v>60</v>
      </c>
      <c r="AV96" s="50">
        <f>AW96+AX96</f>
      </c>
      <c r="AW96" s="50">
        <f>F96*AO96</f>
      </c>
      <c r="AX96" s="50">
        <f>F96*AP96</f>
      </c>
      <c r="AY96" s="52" t="s">
        <v>83</v>
      </c>
      <c r="AZ96" s="52" t="s">
        <v>307</v>
      </c>
      <c r="BA96" s="28" t="s">
        <v>308</v>
      </c>
      <c r="BC96" s="50">
        <f>AW96+AX96</f>
      </c>
      <c r="BD96" s="50">
        <f>G96/(100-BE96)*100</f>
      </c>
      <c r="BE96" s="50" t="n">
        <v>0</v>
      </c>
      <c r="BF96" s="50">
        <f>96</f>
      </c>
      <c r="BH96" s="50">
        <f>F96*AO96</f>
      </c>
      <c r="BI96" s="50">
        <f>F96*AP96</f>
      </c>
      <c r="BJ96" s="50">
        <f>F96*G96</f>
      </c>
      <c r="BK96" s="50"/>
      <c r="BL96" s="50" t="n">
        <v>12</v>
      </c>
      <c r="BW96" s="50" t="n">
        <v>21</v>
      </c>
      <c r="BX96" s="14" t="s">
        <v>81</v>
      </c>
    </row>
    <row r="97">
      <c r="A97" s="45" t="s">
        <v>55</v>
      </c>
      <c r="B97" s="46" t="s">
        <v>84</v>
      </c>
      <c r="C97" s="47" t="s">
        <v>85</v>
      </c>
      <c r="D97" s="46"/>
      <c r="E97" s="48" t="s">
        <v>36</v>
      </c>
      <c r="F97" s="48" t="s">
        <v>36</v>
      </c>
      <c r="G97" s="48" t="s">
        <v>36</v>
      </c>
      <c r="H97" s="2">
        <f>SUM(H98:H99)</f>
      </c>
      <c r="I97" s="2">
        <f>SUM(I98:I99)</f>
      </c>
      <c r="J97" s="2">
        <f>SUM(J98:J99)</f>
      </c>
      <c r="K97" s="49" t="s">
        <v>55</v>
      </c>
      <c r="AI97" s="28" t="s">
        <v>305</v>
      </c>
      <c r="AS97" s="2">
        <f>SUM(AJ98:AJ99)</f>
      </c>
      <c r="AT97" s="2">
        <f>SUM(AK98:AK99)</f>
      </c>
      <c r="AU97" s="2">
        <f>SUM(AL98:AL99)</f>
      </c>
    </row>
    <row r="98">
      <c r="A98" s="9" t="s">
        <v>310</v>
      </c>
      <c r="B98" s="10" t="s">
        <v>94</v>
      </c>
      <c r="C98" s="14" t="s">
        <v>95</v>
      </c>
      <c r="D98" s="10"/>
      <c r="E98" s="10" t="s">
        <v>82</v>
      </c>
      <c r="F98" s="50" t="n">
        <v>1.08</v>
      </c>
      <c r="G98" s="50" t="n">
        <v>0</v>
      </c>
      <c r="H98" s="50">
        <f>F98*AO98</f>
      </c>
      <c r="I98" s="50">
        <f>F98*AP98</f>
      </c>
      <c r="J98" s="50">
        <f>F98*G98</f>
      </c>
      <c r="K98" s="51" t="s">
        <v>64</v>
      </c>
      <c r="Z98" s="50">
        <f>IF(AQ98="5",BJ98,0)</f>
      </c>
      <c r="AB98" s="50">
        <f>IF(AQ98="1",BH98,0)</f>
      </c>
      <c r="AC98" s="50">
        <f>IF(AQ98="1",BI98,0)</f>
      </c>
      <c r="AD98" s="50">
        <f>IF(AQ98="7",BH98,0)</f>
      </c>
      <c r="AE98" s="50">
        <f>IF(AQ98="7",BI98,0)</f>
      </c>
      <c r="AF98" s="50">
        <f>IF(AQ98="2",BH98,0)</f>
      </c>
      <c r="AG98" s="50">
        <f>IF(AQ98="2",BI98,0)</f>
      </c>
      <c r="AH98" s="50">
        <f>IF(AQ98="0",BJ98,0)</f>
      </c>
      <c r="AI98" s="28" t="s">
        <v>305</v>
      </c>
      <c r="AJ98" s="50">
        <f>IF(AN98=0,J98,0)</f>
      </c>
      <c r="AK98" s="50">
        <f>IF(AN98=12,J98,0)</f>
      </c>
      <c r="AL98" s="50">
        <f>IF(AN98=21,J98,0)</f>
      </c>
      <c r="AN98" s="50" t="n">
        <v>21</v>
      </c>
      <c r="AO98" s="50">
        <f>G98*0</f>
      </c>
      <c r="AP98" s="50">
        <f>G98*(1-0)</f>
      </c>
      <c r="AQ98" s="52" t="s">
        <v>60</v>
      </c>
      <c r="AV98" s="50">
        <f>AW98+AX98</f>
      </c>
      <c r="AW98" s="50">
        <f>F98*AO98</f>
      </c>
      <c r="AX98" s="50">
        <f>F98*AP98</f>
      </c>
      <c r="AY98" s="52" t="s">
        <v>89</v>
      </c>
      <c r="AZ98" s="52" t="s">
        <v>307</v>
      </c>
      <c r="BA98" s="28" t="s">
        <v>308</v>
      </c>
      <c r="BC98" s="50">
        <f>AW98+AX98</f>
      </c>
      <c r="BD98" s="50">
        <f>G98/(100-BE98)*100</f>
      </c>
      <c r="BE98" s="50" t="n">
        <v>0</v>
      </c>
      <c r="BF98" s="50">
        <f>98</f>
      </c>
      <c r="BH98" s="50">
        <f>F98*AO98</f>
      </c>
      <c r="BI98" s="50">
        <f>F98*AP98</f>
      </c>
      <c r="BJ98" s="50">
        <f>F98*G98</f>
      </c>
      <c r="BK98" s="50"/>
      <c r="BL98" s="50" t="n">
        <v>13</v>
      </c>
      <c r="BW98" s="50" t="n">
        <v>21</v>
      </c>
      <c r="BX98" s="14" t="s">
        <v>95</v>
      </c>
    </row>
    <row r="99">
      <c r="A99" s="9" t="s">
        <v>311</v>
      </c>
      <c r="B99" s="10" t="s">
        <v>97</v>
      </c>
      <c r="C99" s="14" t="s">
        <v>98</v>
      </c>
      <c r="D99" s="10"/>
      <c r="E99" s="10" t="s">
        <v>82</v>
      </c>
      <c r="F99" s="50" t="n">
        <v>1.62</v>
      </c>
      <c r="G99" s="50" t="n">
        <v>0</v>
      </c>
      <c r="H99" s="50">
        <f>F99*AO99</f>
      </c>
      <c r="I99" s="50">
        <f>F99*AP99</f>
      </c>
      <c r="J99" s="50">
        <f>F99*G99</f>
      </c>
      <c r="K99" s="51" t="s">
        <v>64</v>
      </c>
      <c r="Z99" s="50">
        <f>IF(AQ99="5",BJ99,0)</f>
      </c>
      <c r="AB99" s="50">
        <f>IF(AQ99="1",BH99,0)</f>
      </c>
      <c r="AC99" s="50">
        <f>IF(AQ99="1",BI99,0)</f>
      </c>
      <c r="AD99" s="50">
        <f>IF(AQ99="7",BH99,0)</f>
      </c>
      <c r="AE99" s="50">
        <f>IF(AQ99="7",BI99,0)</f>
      </c>
      <c r="AF99" s="50">
        <f>IF(AQ99="2",BH99,0)</f>
      </c>
      <c r="AG99" s="50">
        <f>IF(AQ99="2",BI99,0)</f>
      </c>
      <c r="AH99" s="50">
        <f>IF(AQ99="0",BJ99,0)</f>
      </c>
      <c r="AI99" s="28" t="s">
        <v>305</v>
      </c>
      <c r="AJ99" s="50">
        <f>IF(AN99=0,J99,0)</f>
      </c>
      <c r="AK99" s="50">
        <f>IF(AN99=12,J99,0)</f>
      </c>
      <c r="AL99" s="50">
        <f>IF(AN99=21,J99,0)</f>
      </c>
      <c r="AN99" s="50" t="n">
        <v>21</v>
      </c>
      <c r="AO99" s="50">
        <f>G99*0</f>
      </c>
      <c r="AP99" s="50">
        <f>G99*(1-0)</f>
      </c>
      <c r="AQ99" s="52" t="s">
        <v>60</v>
      </c>
      <c r="AV99" s="50">
        <f>AW99+AX99</f>
      </c>
      <c r="AW99" s="50">
        <f>F99*AO99</f>
      </c>
      <c r="AX99" s="50">
        <f>F99*AP99</f>
      </c>
      <c r="AY99" s="52" t="s">
        <v>89</v>
      </c>
      <c r="AZ99" s="52" t="s">
        <v>307</v>
      </c>
      <c r="BA99" s="28" t="s">
        <v>308</v>
      </c>
      <c r="BC99" s="50">
        <f>AW99+AX99</f>
      </c>
      <c r="BD99" s="50">
        <f>G99/(100-BE99)*100</f>
      </c>
      <c r="BE99" s="50" t="n">
        <v>0</v>
      </c>
      <c r="BF99" s="50">
        <f>99</f>
      </c>
      <c r="BH99" s="50">
        <f>F99*AO99</f>
      </c>
      <c r="BI99" s="50">
        <f>F99*AP99</f>
      </c>
      <c r="BJ99" s="50">
        <f>F99*G99</f>
      </c>
      <c r="BK99" s="50"/>
      <c r="BL99" s="50" t="n">
        <v>13</v>
      </c>
      <c r="BW99" s="50" t="n">
        <v>21</v>
      </c>
      <c r="BX99" s="14" t="s">
        <v>98</v>
      </c>
    </row>
    <row r="100">
      <c r="A100" s="45" t="s">
        <v>55</v>
      </c>
      <c r="B100" s="46" t="s">
        <v>102</v>
      </c>
      <c r="C100" s="47" t="s">
        <v>103</v>
      </c>
      <c r="D100" s="46"/>
      <c r="E100" s="48" t="s">
        <v>36</v>
      </c>
      <c r="F100" s="48" t="s">
        <v>36</v>
      </c>
      <c r="G100" s="48" t="s">
        <v>36</v>
      </c>
      <c r="H100" s="2">
        <f>SUM(H101:H101)</f>
      </c>
      <c r="I100" s="2">
        <f>SUM(I101:I101)</f>
      </c>
      <c r="J100" s="2">
        <f>SUM(J101:J101)</f>
      </c>
      <c r="K100" s="49" t="s">
        <v>55</v>
      </c>
      <c r="AI100" s="28" t="s">
        <v>305</v>
      </c>
      <c r="AS100" s="2">
        <f>SUM(AJ101:AJ101)</f>
      </c>
      <c r="AT100" s="2">
        <f>SUM(AK101:AK101)</f>
      </c>
      <c r="AU100" s="2">
        <f>SUM(AL101:AL101)</f>
      </c>
    </row>
    <row r="101">
      <c r="A101" s="9" t="s">
        <v>312</v>
      </c>
      <c r="B101" s="10" t="s">
        <v>105</v>
      </c>
      <c r="C101" s="14" t="s">
        <v>106</v>
      </c>
      <c r="D101" s="10"/>
      <c r="E101" s="10" t="s">
        <v>71</v>
      </c>
      <c r="F101" s="50" t="n">
        <v>38</v>
      </c>
      <c r="G101" s="50" t="n">
        <v>0</v>
      </c>
      <c r="H101" s="50">
        <f>F101*AO101</f>
      </c>
      <c r="I101" s="50">
        <f>F101*AP101</f>
      </c>
      <c r="J101" s="50">
        <f>F101*G101</f>
      </c>
      <c r="K101" s="51" t="s">
        <v>64</v>
      </c>
      <c r="Z101" s="50">
        <f>IF(AQ101="5",BJ101,0)</f>
      </c>
      <c r="AB101" s="50">
        <f>IF(AQ101="1",BH101,0)</f>
      </c>
      <c r="AC101" s="50">
        <f>IF(AQ101="1",BI101,0)</f>
      </c>
      <c r="AD101" s="50">
        <f>IF(AQ101="7",BH101,0)</f>
      </c>
      <c r="AE101" s="50">
        <f>IF(AQ101="7",BI101,0)</f>
      </c>
      <c r="AF101" s="50">
        <f>IF(AQ101="2",BH101,0)</f>
      </c>
      <c r="AG101" s="50">
        <f>IF(AQ101="2",BI101,0)</f>
      </c>
      <c r="AH101" s="50">
        <f>IF(AQ101="0",BJ101,0)</f>
      </c>
      <c r="AI101" s="28" t="s">
        <v>305</v>
      </c>
      <c r="AJ101" s="50">
        <f>IF(AN101=0,J101,0)</f>
      </c>
      <c r="AK101" s="50">
        <f>IF(AN101=12,J101,0)</f>
      </c>
      <c r="AL101" s="50">
        <f>IF(AN101=21,J101,0)</f>
      </c>
      <c r="AN101" s="50" t="n">
        <v>21</v>
      </c>
      <c r="AO101" s="50">
        <f>G101*0.008413223</f>
      </c>
      <c r="AP101" s="50">
        <f>G101*(1-0.008413223)</f>
      </c>
      <c r="AQ101" s="52" t="s">
        <v>60</v>
      </c>
      <c r="AV101" s="50">
        <f>AW101+AX101</f>
      </c>
      <c r="AW101" s="50">
        <f>F101*AO101</f>
      </c>
      <c r="AX101" s="50">
        <f>F101*AP101</f>
      </c>
      <c r="AY101" s="52" t="s">
        <v>107</v>
      </c>
      <c r="AZ101" s="52" t="s">
        <v>307</v>
      </c>
      <c r="BA101" s="28" t="s">
        <v>308</v>
      </c>
      <c r="BC101" s="50">
        <f>AW101+AX101</f>
      </c>
      <c r="BD101" s="50">
        <f>G101/(100-BE101)*100</f>
      </c>
      <c r="BE101" s="50" t="n">
        <v>0</v>
      </c>
      <c r="BF101" s="50">
        <f>101</f>
      </c>
      <c r="BH101" s="50">
        <f>F101*AO101</f>
      </c>
      <c r="BI101" s="50">
        <f>F101*AP101</f>
      </c>
      <c r="BJ101" s="50">
        <f>F101*G101</f>
      </c>
      <c r="BK101" s="50"/>
      <c r="BL101" s="50" t="n">
        <v>14</v>
      </c>
      <c r="BW101" s="50" t="n">
        <v>21</v>
      </c>
      <c r="BX101" s="14" t="s">
        <v>106</v>
      </c>
    </row>
    <row r="102">
      <c r="A102" s="45" t="s">
        <v>55</v>
      </c>
      <c r="B102" s="46" t="s">
        <v>110</v>
      </c>
      <c r="C102" s="47" t="s">
        <v>111</v>
      </c>
      <c r="D102" s="46"/>
      <c r="E102" s="48" t="s">
        <v>36</v>
      </c>
      <c r="F102" s="48" t="s">
        <v>36</v>
      </c>
      <c r="G102" s="48" t="s">
        <v>36</v>
      </c>
      <c r="H102" s="2">
        <f>SUM(H103:H103)</f>
      </c>
      <c r="I102" s="2">
        <f>SUM(I103:I103)</f>
      </c>
      <c r="J102" s="2">
        <f>SUM(J103:J103)</f>
      </c>
      <c r="K102" s="49" t="s">
        <v>55</v>
      </c>
      <c r="AI102" s="28" t="s">
        <v>305</v>
      </c>
      <c r="AS102" s="2">
        <f>SUM(AJ103:AJ103)</f>
      </c>
      <c r="AT102" s="2">
        <f>SUM(AK103:AK103)</f>
      </c>
      <c r="AU102" s="2">
        <f>SUM(AL103:AL103)</f>
      </c>
    </row>
    <row r="103">
      <c r="A103" s="9" t="s">
        <v>313</v>
      </c>
      <c r="B103" s="10" t="s">
        <v>112</v>
      </c>
      <c r="C103" s="14" t="s">
        <v>113</v>
      </c>
      <c r="D103" s="10"/>
      <c r="E103" s="10" t="s">
        <v>82</v>
      </c>
      <c r="F103" s="50" t="n">
        <v>0.3</v>
      </c>
      <c r="G103" s="50" t="n">
        <v>0</v>
      </c>
      <c r="H103" s="50">
        <f>F103*AO103</f>
      </c>
      <c r="I103" s="50">
        <f>F103*AP103</f>
      </c>
      <c r="J103" s="50">
        <f>F103*G103</f>
      </c>
      <c r="K103" s="51" t="s">
        <v>64</v>
      </c>
      <c r="Z103" s="50">
        <f>IF(AQ103="5",BJ103,0)</f>
      </c>
      <c r="AB103" s="50">
        <f>IF(AQ103="1",BH103,0)</f>
      </c>
      <c r="AC103" s="50">
        <f>IF(AQ103="1",BI103,0)</f>
      </c>
      <c r="AD103" s="50">
        <f>IF(AQ103="7",BH103,0)</f>
      </c>
      <c r="AE103" s="50">
        <f>IF(AQ103="7",BI103,0)</f>
      </c>
      <c r="AF103" s="50">
        <f>IF(AQ103="2",BH103,0)</f>
      </c>
      <c r="AG103" s="50">
        <f>IF(AQ103="2",BI103,0)</f>
      </c>
      <c r="AH103" s="50">
        <f>IF(AQ103="0",BJ103,0)</f>
      </c>
      <c r="AI103" s="28" t="s">
        <v>305</v>
      </c>
      <c r="AJ103" s="50">
        <f>IF(AN103=0,J103,0)</f>
      </c>
      <c r="AK103" s="50">
        <f>IF(AN103=12,J103,0)</f>
      </c>
      <c r="AL103" s="50">
        <f>IF(AN103=21,J103,0)</f>
      </c>
      <c r="AN103" s="50" t="n">
        <v>21</v>
      </c>
      <c r="AO103" s="50">
        <f>G103*0</f>
      </c>
      <c r="AP103" s="50">
        <f>G103*(1-0)</f>
      </c>
      <c r="AQ103" s="52" t="s">
        <v>60</v>
      </c>
      <c r="AV103" s="50">
        <f>AW103+AX103</f>
      </c>
      <c r="AW103" s="50">
        <f>F103*AO103</f>
      </c>
      <c r="AX103" s="50">
        <f>F103*AP103</f>
      </c>
      <c r="AY103" s="52" t="s">
        <v>114</v>
      </c>
      <c r="AZ103" s="52" t="s">
        <v>307</v>
      </c>
      <c r="BA103" s="28" t="s">
        <v>308</v>
      </c>
      <c r="BC103" s="50">
        <f>AW103+AX103</f>
      </c>
      <c r="BD103" s="50">
        <f>G103/(100-BE103)*100</f>
      </c>
      <c r="BE103" s="50" t="n">
        <v>0</v>
      </c>
      <c r="BF103" s="50">
        <f>103</f>
      </c>
      <c r="BH103" s="50">
        <f>F103*AO103</f>
      </c>
      <c r="BI103" s="50">
        <f>F103*AP103</f>
      </c>
      <c r="BJ103" s="50">
        <f>F103*G103</f>
      </c>
      <c r="BK103" s="50"/>
      <c r="BL103" s="50" t="n">
        <v>16</v>
      </c>
      <c r="BW103" s="50" t="n">
        <v>21</v>
      </c>
      <c r="BX103" s="14" t="s">
        <v>113</v>
      </c>
    </row>
    <row r="104">
      <c r="A104" s="45" t="s">
        <v>55</v>
      </c>
      <c r="B104" s="46" t="s">
        <v>121</v>
      </c>
      <c r="C104" s="47" t="s">
        <v>122</v>
      </c>
      <c r="D104" s="46"/>
      <c r="E104" s="48" t="s">
        <v>36</v>
      </c>
      <c r="F104" s="48" t="s">
        <v>36</v>
      </c>
      <c r="G104" s="48" t="s">
        <v>36</v>
      </c>
      <c r="H104" s="2">
        <f>SUM(H105:H107)</f>
      </c>
      <c r="I104" s="2">
        <f>SUM(I105:I107)</f>
      </c>
      <c r="J104" s="2">
        <f>SUM(J105:J107)</f>
      </c>
      <c r="K104" s="49" t="s">
        <v>55</v>
      </c>
      <c r="AI104" s="28" t="s">
        <v>305</v>
      </c>
      <c r="AS104" s="2">
        <f>SUM(AJ105:AJ107)</f>
      </c>
      <c r="AT104" s="2">
        <f>SUM(AK105:AK107)</f>
      </c>
      <c r="AU104" s="2">
        <f>SUM(AL105:AL107)</f>
      </c>
    </row>
    <row r="105">
      <c r="A105" s="9" t="s">
        <v>314</v>
      </c>
      <c r="B105" s="10" t="s">
        <v>124</v>
      </c>
      <c r="C105" s="14" t="s">
        <v>125</v>
      </c>
      <c r="D105" s="10"/>
      <c r="E105" s="10" t="s">
        <v>82</v>
      </c>
      <c r="F105" s="50" t="n">
        <v>2.4</v>
      </c>
      <c r="G105" s="50" t="n">
        <v>0</v>
      </c>
      <c r="H105" s="50">
        <f>F105*AO105</f>
      </c>
      <c r="I105" s="50">
        <f>F105*AP105</f>
      </c>
      <c r="J105" s="50">
        <f>F105*G105</f>
      </c>
      <c r="K105" s="51" t="s">
        <v>64</v>
      </c>
      <c r="Z105" s="50">
        <f>IF(AQ105="5",BJ105,0)</f>
      </c>
      <c r="AB105" s="50">
        <f>IF(AQ105="1",BH105,0)</f>
      </c>
      <c r="AC105" s="50">
        <f>IF(AQ105="1",BI105,0)</f>
      </c>
      <c r="AD105" s="50">
        <f>IF(AQ105="7",BH105,0)</f>
      </c>
      <c r="AE105" s="50">
        <f>IF(AQ105="7",BI105,0)</f>
      </c>
      <c r="AF105" s="50">
        <f>IF(AQ105="2",BH105,0)</f>
      </c>
      <c r="AG105" s="50">
        <f>IF(AQ105="2",BI105,0)</f>
      </c>
      <c r="AH105" s="50">
        <f>IF(AQ105="0",BJ105,0)</f>
      </c>
      <c r="AI105" s="28" t="s">
        <v>305</v>
      </c>
      <c r="AJ105" s="50">
        <f>IF(AN105=0,J105,0)</f>
      </c>
      <c r="AK105" s="50">
        <f>IF(AN105=12,J105,0)</f>
      </c>
      <c r="AL105" s="50">
        <f>IF(AN105=21,J105,0)</f>
      </c>
      <c r="AN105" s="50" t="n">
        <v>21</v>
      </c>
      <c r="AO105" s="50">
        <f>G105*0</f>
      </c>
      <c r="AP105" s="50">
        <f>G105*(1-0)</f>
      </c>
      <c r="AQ105" s="52" t="s">
        <v>60</v>
      </c>
      <c r="AV105" s="50">
        <f>AW105+AX105</f>
      </c>
      <c r="AW105" s="50">
        <f>F105*AO105</f>
      </c>
      <c r="AX105" s="50">
        <f>F105*AP105</f>
      </c>
      <c r="AY105" s="52" t="s">
        <v>126</v>
      </c>
      <c r="AZ105" s="52" t="s">
        <v>307</v>
      </c>
      <c r="BA105" s="28" t="s">
        <v>308</v>
      </c>
      <c r="BC105" s="50">
        <f>AW105+AX105</f>
      </c>
      <c r="BD105" s="50">
        <f>G105/(100-BE105)*100</f>
      </c>
      <c r="BE105" s="50" t="n">
        <v>0</v>
      </c>
      <c r="BF105" s="50">
        <f>105</f>
      </c>
      <c r="BH105" s="50">
        <f>F105*AO105</f>
      </c>
      <c r="BI105" s="50">
        <f>F105*AP105</f>
      </c>
      <c r="BJ105" s="50">
        <f>F105*G105</f>
      </c>
      <c r="BK105" s="50"/>
      <c r="BL105" s="50" t="n">
        <v>17</v>
      </c>
      <c r="BW105" s="50" t="n">
        <v>21</v>
      </c>
      <c r="BX105" s="14" t="s">
        <v>125</v>
      </c>
    </row>
    <row r="106">
      <c r="A106" s="9" t="s">
        <v>315</v>
      </c>
      <c r="B106" s="10" t="s">
        <v>127</v>
      </c>
      <c r="C106" s="14" t="s">
        <v>128</v>
      </c>
      <c r="D106" s="10"/>
      <c r="E106" s="10" t="s">
        <v>82</v>
      </c>
      <c r="F106" s="50" t="n">
        <v>0.2</v>
      </c>
      <c r="G106" s="50" t="n">
        <v>0</v>
      </c>
      <c r="H106" s="50">
        <f>F106*AO106</f>
      </c>
      <c r="I106" s="50">
        <f>F106*AP106</f>
      </c>
      <c r="J106" s="50">
        <f>F106*G106</f>
      </c>
      <c r="K106" s="51" t="s">
        <v>64</v>
      </c>
      <c r="Z106" s="50">
        <f>IF(AQ106="5",BJ106,0)</f>
      </c>
      <c r="AB106" s="50">
        <f>IF(AQ106="1",BH106,0)</f>
      </c>
      <c r="AC106" s="50">
        <f>IF(AQ106="1",BI106,0)</f>
      </c>
      <c r="AD106" s="50">
        <f>IF(AQ106="7",BH106,0)</f>
      </c>
      <c r="AE106" s="50">
        <f>IF(AQ106="7",BI106,0)</f>
      </c>
      <c r="AF106" s="50">
        <f>IF(AQ106="2",BH106,0)</f>
      </c>
      <c r="AG106" s="50">
        <f>IF(AQ106="2",BI106,0)</f>
      </c>
      <c r="AH106" s="50">
        <f>IF(AQ106="0",BJ106,0)</f>
      </c>
      <c r="AI106" s="28" t="s">
        <v>305</v>
      </c>
      <c r="AJ106" s="50">
        <f>IF(AN106=0,J106,0)</f>
      </c>
      <c r="AK106" s="50">
        <f>IF(AN106=12,J106,0)</f>
      </c>
      <c r="AL106" s="50">
        <f>IF(AN106=21,J106,0)</f>
      </c>
      <c r="AN106" s="50" t="n">
        <v>21</v>
      </c>
      <c r="AO106" s="50">
        <f>G106*0</f>
      </c>
      <c r="AP106" s="50">
        <f>G106*(1-0)</f>
      </c>
      <c r="AQ106" s="52" t="s">
        <v>60</v>
      </c>
      <c r="AV106" s="50">
        <f>AW106+AX106</f>
      </c>
      <c r="AW106" s="50">
        <f>F106*AO106</f>
      </c>
      <c r="AX106" s="50">
        <f>F106*AP106</f>
      </c>
      <c r="AY106" s="52" t="s">
        <v>126</v>
      </c>
      <c r="AZ106" s="52" t="s">
        <v>307</v>
      </c>
      <c r="BA106" s="28" t="s">
        <v>308</v>
      </c>
      <c r="BC106" s="50">
        <f>AW106+AX106</f>
      </c>
      <c r="BD106" s="50">
        <f>G106/(100-BE106)*100</f>
      </c>
      <c r="BE106" s="50" t="n">
        <v>0</v>
      </c>
      <c r="BF106" s="50">
        <f>106</f>
      </c>
      <c r="BH106" s="50">
        <f>F106*AO106</f>
      </c>
      <c r="BI106" s="50">
        <f>F106*AP106</f>
      </c>
      <c r="BJ106" s="50">
        <f>F106*G106</f>
      </c>
      <c r="BK106" s="50"/>
      <c r="BL106" s="50" t="n">
        <v>17</v>
      </c>
      <c r="BW106" s="50" t="n">
        <v>21</v>
      </c>
      <c r="BX106" s="14" t="s">
        <v>128</v>
      </c>
    </row>
    <row r="107">
      <c r="A107" s="9" t="s">
        <v>316</v>
      </c>
      <c r="B107" s="10" t="s">
        <v>129</v>
      </c>
      <c r="C107" s="14" t="s">
        <v>130</v>
      </c>
      <c r="D107" s="10"/>
      <c r="E107" s="10" t="s">
        <v>82</v>
      </c>
      <c r="F107" s="50" t="n">
        <v>0.3</v>
      </c>
      <c r="G107" s="50" t="n">
        <v>0</v>
      </c>
      <c r="H107" s="50">
        <f>F107*AO107</f>
      </c>
      <c r="I107" s="50">
        <f>F107*AP107</f>
      </c>
      <c r="J107" s="50">
        <f>F107*G107</f>
      </c>
      <c r="K107" s="51" t="s">
        <v>64</v>
      </c>
      <c r="Z107" s="50">
        <f>IF(AQ107="5",BJ107,0)</f>
      </c>
      <c r="AB107" s="50">
        <f>IF(AQ107="1",BH107,0)</f>
      </c>
      <c r="AC107" s="50">
        <f>IF(AQ107="1",BI107,0)</f>
      </c>
      <c r="AD107" s="50">
        <f>IF(AQ107="7",BH107,0)</f>
      </c>
      <c r="AE107" s="50">
        <f>IF(AQ107="7",BI107,0)</f>
      </c>
      <c r="AF107" s="50">
        <f>IF(AQ107="2",BH107,0)</f>
      </c>
      <c r="AG107" s="50">
        <f>IF(AQ107="2",BI107,0)</f>
      </c>
      <c r="AH107" s="50">
        <f>IF(AQ107="0",BJ107,0)</f>
      </c>
      <c r="AI107" s="28" t="s">
        <v>305</v>
      </c>
      <c r="AJ107" s="50">
        <f>IF(AN107=0,J107,0)</f>
      </c>
      <c r="AK107" s="50">
        <f>IF(AN107=12,J107,0)</f>
      </c>
      <c r="AL107" s="50">
        <f>IF(AN107=21,J107,0)</f>
      </c>
      <c r="AN107" s="50" t="n">
        <v>21</v>
      </c>
      <c r="AO107" s="50">
        <f>G107*0</f>
      </c>
      <c r="AP107" s="50">
        <f>G107*(1-0)</f>
      </c>
      <c r="AQ107" s="52" t="s">
        <v>60</v>
      </c>
      <c r="AV107" s="50">
        <f>AW107+AX107</f>
      </c>
      <c r="AW107" s="50">
        <f>F107*AO107</f>
      </c>
      <c r="AX107" s="50">
        <f>F107*AP107</f>
      </c>
      <c r="AY107" s="52" t="s">
        <v>126</v>
      </c>
      <c r="AZ107" s="52" t="s">
        <v>307</v>
      </c>
      <c r="BA107" s="28" t="s">
        <v>308</v>
      </c>
      <c r="BC107" s="50">
        <f>AW107+AX107</f>
      </c>
      <c r="BD107" s="50">
        <f>G107/(100-BE107)*100</f>
      </c>
      <c r="BE107" s="50" t="n">
        <v>0</v>
      </c>
      <c r="BF107" s="50">
        <f>107</f>
      </c>
      <c r="BH107" s="50">
        <f>F107*AO107</f>
      </c>
      <c r="BI107" s="50">
        <f>F107*AP107</f>
      </c>
      <c r="BJ107" s="50">
        <f>F107*G107</f>
      </c>
      <c r="BK107" s="50"/>
      <c r="BL107" s="50" t="n">
        <v>17</v>
      </c>
      <c r="BW107" s="50" t="n">
        <v>21</v>
      </c>
      <c r="BX107" s="14" t="s">
        <v>130</v>
      </c>
    </row>
    <row r="108">
      <c r="A108" s="45" t="s">
        <v>55</v>
      </c>
      <c r="B108" s="46" t="s">
        <v>131</v>
      </c>
      <c r="C108" s="47" t="s">
        <v>132</v>
      </c>
      <c r="D108" s="46"/>
      <c r="E108" s="48" t="s">
        <v>36</v>
      </c>
      <c r="F108" s="48" t="s">
        <v>36</v>
      </c>
      <c r="G108" s="48" t="s">
        <v>36</v>
      </c>
      <c r="H108" s="2">
        <f>SUM(H109:H110)</f>
      </c>
      <c r="I108" s="2">
        <f>SUM(I109:I110)</f>
      </c>
      <c r="J108" s="2">
        <f>SUM(J109:J110)</f>
      </c>
      <c r="K108" s="49" t="s">
        <v>55</v>
      </c>
      <c r="AI108" s="28" t="s">
        <v>305</v>
      </c>
      <c r="AS108" s="2">
        <f>SUM(AJ109:AJ110)</f>
      </c>
      <c r="AT108" s="2">
        <f>SUM(AK109:AK110)</f>
      </c>
      <c r="AU108" s="2">
        <f>SUM(AL109:AL110)</f>
      </c>
    </row>
    <row r="109">
      <c r="A109" s="9" t="s">
        <v>317</v>
      </c>
      <c r="B109" s="10" t="s">
        <v>133</v>
      </c>
      <c r="C109" s="14" t="s">
        <v>134</v>
      </c>
      <c r="D109" s="10"/>
      <c r="E109" s="10" t="s">
        <v>75</v>
      </c>
      <c r="F109" s="50" t="n">
        <v>6</v>
      </c>
      <c r="G109" s="50" t="n">
        <v>0</v>
      </c>
      <c r="H109" s="50">
        <f>F109*AO109</f>
      </c>
      <c r="I109" s="50">
        <f>F109*AP109</f>
      </c>
      <c r="J109" s="50">
        <f>F109*G109</f>
      </c>
      <c r="K109" s="51" t="s">
        <v>64</v>
      </c>
      <c r="Z109" s="50">
        <f>IF(AQ109="5",BJ109,0)</f>
      </c>
      <c r="AB109" s="50">
        <f>IF(AQ109="1",BH109,0)</f>
      </c>
      <c r="AC109" s="50">
        <f>IF(AQ109="1",BI109,0)</f>
      </c>
      <c r="AD109" s="50">
        <f>IF(AQ109="7",BH109,0)</f>
      </c>
      <c r="AE109" s="50">
        <f>IF(AQ109="7",BI109,0)</f>
      </c>
      <c r="AF109" s="50">
        <f>IF(AQ109="2",BH109,0)</f>
      </c>
      <c r="AG109" s="50">
        <f>IF(AQ109="2",BI109,0)</f>
      </c>
      <c r="AH109" s="50">
        <f>IF(AQ109="0",BJ109,0)</f>
      </c>
      <c r="AI109" s="28" t="s">
        <v>305</v>
      </c>
      <c r="AJ109" s="50">
        <f>IF(AN109=0,J109,0)</f>
      </c>
      <c r="AK109" s="50">
        <f>IF(AN109=12,J109,0)</f>
      </c>
      <c r="AL109" s="50">
        <f>IF(AN109=21,J109,0)</f>
      </c>
      <c r="AN109" s="50" t="n">
        <v>21</v>
      </c>
      <c r="AO109" s="50">
        <f>G109*0</f>
      </c>
      <c r="AP109" s="50">
        <f>G109*(1-0)</f>
      </c>
      <c r="AQ109" s="52" t="s">
        <v>60</v>
      </c>
      <c r="AV109" s="50">
        <f>AW109+AX109</f>
      </c>
      <c r="AW109" s="50">
        <f>F109*AO109</f>
      </c>
      <c r="AX109" s="50">
        <f>F109*AP109</f>
      </c>
      <c r="AY109" s="52" t="s">
        <v>135</v>
      </c>
      <c r="AZ109" s="52" t="s">
        <v>307</v>
      </c>
      <c r="BA109" s="28" t="s">
        <v>308</v>
      </c>
      <c r="BC109" s="50">
        <f>AW109+AX109</f>
      </c>
      <c r="BD109" s="50">
        <f>G109/(100-BE109)*100</f>
      </c>
      <c r="BE109" s="50" t="n">
        <v>0</v>
      </c>
      <c r="BF109" s="50">
        <f>109</f>
      </c>
      <c r="BH109" s="50">
        <f>F109*AO109</f>
      </c>
      <c r="BI109" s="50">
        <f>F109*AP109</f>
      </c>
      <c r="BJ109" s="50">
        <f>F109*G109</f>
      </c>
      <c r="BK109" s="50"/>
      <c r="BL109" s="50" t="n">
        <v>18</v>
      </c>
      <c r="BW109" s="50" t="n">
        <v>21</v>
      </c>
      <c r="BX109" s="14" t="s">
        <v>134</v>
      </c>
    </row>
    <row r="110">
      <c r="A110" s="9" t="s">
        <v>318</v>
      </c>
      <c r="B110" s="10" t="s">
        <v>137</v>
      </c>
      <c r="C110" s="14" t="s">
        <v>138</v>
      </c>
      <c r="D110" s="10"/>
      <c r="E110" s="10" t="s">
        <v>75</v>
      </c>
      <c r="F110" s="50" t="n">
        <v>6</v>
      </c>
      <c r="G110" s="50" t="n">
        <v>0</v>
      </c>
      <c r="H110" s="50">
        <f>F110*AO110</f>
      </c>
      <c r="I110" s="50">
        <f>F110*AP110</f>
      </c>
      <c r="J110" s="50">
        <f>F110*G110</f>
      </c>
      <c r="K110" s="51" t="s">
        <v>64</v>
      </c>
      <c r="Z110" s="50">
        <f>IF(AQ110="5",BJ110,0)</f>
      </c>
      <c r="AB110" s="50">
        <f>IF(AQ110="1",BH110,0)</f>
      </c>
      <c r="AC110" s="50">
        <f>IF(AQ110="1",BI110,0)</f>
      </c>
      <c r="AD110" s="50">
        <f>IF(AQ110="7",BH110,0)</f>
      </c>
      <c r="AE110" s="50">
        <f>IF(AQ110="7",BI110,0)</f>
      </c>
      <c r="AF110" s="50">
        <f>IF(AQ110="2",BH110,0)</f>
      </c>
      <c r="AG110" s="50">
        <f>IF(AQ110="2",BI110,0)</f>
      </c>
      <c r="AH110" s="50">
        <f>IF(AQ110="0",BJ110,0)</f>
      </c>
      <c r="AI110" s="28" t="s">
        <v>305</v>
      </c>
      <c r="AJ110" s="50">
        <f>IF(AN110=0,J110,0)</f>
      </c>
      <c r="AK110" s="50">
        <f>IF(AN110=12,J110,0)</f>
      </c>
      <c r="AL110" s="50">
        <f>IF(AN110=21,J110,0)</f>
      </c>
      <c r="AN110" s="50" t="n">
        <v>21</v>
      </c>
      <c r="AO110" s="50">
        <f>G110*0.068199841</f>
      </c>
      <c r="AP110" s="50">
        <f>G110*(1-0.068199841)</f>
      </c>
      <c r="AQ110" s="52" t="s">
        <v>60</v>
      </c>
      <c r="AV110" s="50">
        <f>AW110+AX110</f>
      </c>
      <c r="AW110" s="50">
        <f>F110*AO110</f>
      </c>
      <c r="AX110" s="50">
        <f>F110*AP110</f>
      </c>
      <c r="AY110" s="52" t="s">
        <v>135</v>
      </c>
      <c r="AZ110" s="52" t="s">
        <v>307</v>
      </c>
      <c r="BA110" s="28" t="s">
        <v>308</v>
      </c>
      <c r="BC110" s="50">
        <f>AW110+AX110</f>
      </c>
      <c r="BD110" s="50">
        <f>G110/(100-BE110)*100</f>
      </c>
      <c r="BE110" s="50" t="n">
        <v>0</v>
      </c>
      <c r="BF110" s="50">
        <f>110</f>
      </c>
      <c r="BH110" s="50">
        <f>F110*AO110</f>
      </c>
      <c r="BI110" s="50">
        <f>F110*AP110</f>
      </c>
      <c r="BJ110" s="50">
        <f>F110*G110</f>
      </c>
      <c r="BK110" s="50"/>
      <c r="BL110" s="50" t="n">
        <v>18</v>
      </c>
      <c r="BW110" s="50" t="n">
        <v>21</v>
      </c>
      <c r="BX110" s="14" t="s">
        <v>138</v>
      </c>
    </row>
    <row r="111">
      <c r="A111" s="45" t="s">
        <v>55</v>
      </c>
      <c r="B111" s="46" t="s">
        <v>139</v>
      </c>
      <c r="C111" s="47" t="s">
        <v>140</v>
      </c>
      <c r="D111" s="46"/>
      <c r="E111" s="48" t="s">
        <v>36</v>
      </c>
      <c r="F111" s="48" t="s">
        <v>36</v>
      </c>
      <c r="G111" s="48" t="s">
        <v>36</v>
      </c>
      <c r="H111" s="2">
        <f>SUM(H112:H112)</f>
      </c>
      <c r="I111" s="2">
        <f>SUM(I112:I112)</f>
      </c>
      <c r="J111" s="2">
        <f>SUM(J112:J112)</f>
      </c>
      <c r="K111" s="49" t="s">
        <v>55</v>
      </c>
      <c r="AI111" s="28" t="s">
        <v>305</v>
      </c>
      <c r="AS111" s="2">
        <f>SUM(AJ112:AJ112)</f>
      </c>
      <c r="AT111" s="2">
        <f>SUM(AK112:AK112)</f>
      </c>
      <c r="AU111" s="2">
        <f>SUM(AL112:AL112)</f>
      </c>
    </row>
    <row r="112">
      <c r="A112" s="9" t="s">
        <v>319</v>
      </c>
      <c r="B112" s="10" t="s">
        <v>142</v>
      </c>
      <c r="C112" s="14" t="s">
        <v>143</v>
      </c>
      <c r="D112" s="10"/>
      <c r="E112" s="10" t="s">
        <v>82</v>
      </c>
      <c r="F112" s="50" t="n">
        <v>0.1</v>
      </c>
      <c r="G112" s="50" t="n">
        <v>0</v>
      </c>
      <c r="H112" s="50">
        <f>F112*AO112</f>
      </c>
      <c r="I112" s="50">
        <f>F112*AP112</f>
      </c>
      <c r="J112" s="50">
        <f>F112*G112</f>
      </c>
      <c r="K112" s="51" t="s">
        <v>64</v>
      </c>
      <c r="Z112" s="50">
        <f>IF(AQ112="5",BJ112,0)</f>
      </c>
      <c r="AB112" s="50">
        <f>IF(AQ112="1",BH112,0)</f>
      </c>
      <c r="AC112" s="50">
        <f>IF(AQ112="1",BI112,0)</f>
      </c>
      <c r="AD112" s="50">
        <f>IF(AQ112="7",BH112,0)</f>
      </c>
      <c r="AE112" s="50">
        <f>IF(AQ112="7",BI112,0)</f>
      </c>
      <c r="AF112" s="50">
        <f>IF(AQ112="2",BH112,0)</f>
      </c>
      <c r="AG112" s="50">
        <f>IF(AQ112="2",BI112,0)</f>
      </c>
      <c r="AH112" s="50">
        <f>IF(AQ112="0",BJ112,0)</f>
      </c>
      <c r="AI112" s="28" t="s">
        <v>305</v>
      </c>
      <c r="AJ112" s="50">
        <f>IF(AN112=0,J112,0)</f>
      </c>
      <c r="AK112" s="50">
        <f>IF(AN112=12,J112,0)</f>
      </c>
      <c r="AL112" s="50">
        <f>IF(AN112=21,J112,0)</f>
      </c>
      <c r="AN112" s="50" t="n">
        <v>21</v>
      </c>
      <c r="AO112" s="50">
        <f>G112*0.467115987</f>
      </c>
      <c r="AP112" s="50">
        <f>G112*(1-0.467115987)</f>
      </c>
      <c r="AQ112" s="52" t="s">
        <v>60</v>
      </c>
      <c r="AV112" s="50">
        <f>AW112+AX112</f>
      </c>
      <c r="AW112" s="50">
        <f>F112*AO112</f>
      </c>
      <c r="AX112" s="50">
        <f>F112*AP112</f>
      </c>
      <c r="AY112" s="52" t="s">
        <v>144</v>
      </c>
      <c r="AZ112" s="52" t="s">
        <v>320</v>
      </c>
      <c r="BA112" s="28" t="s">
        <v>308</v>
      </c>
      <c r="BC112" s="50">
        <f>AW112+AX112</f>
      </c>
      <c r="BD112" s="50">
        <f>G112/(100-BE112)*100</f>
      </c>
      <c r="BE112" s="50" t="n">
        <v>0</v>
      </c>
      <c r="BF112" s="50">
        <f>112</f>
      </c>
      <c r="BH112" s="50">
        <f>F112*AO112</f>
      </c>
      <c r="BI112" s="50">
        <f>F112*AP112</f>
      </c>
      <c r="BJ112" s="50">
        <f>F112*G112</f>
      </c>
      <c r="BK112" s="50"/>
      <c r="BL112" s="50" t="n">
        <v>45</v>
      </c>
      <c r="BW112" s="50" t="n">
        <v>21</v>
      </c>
      <c r="BX112" s="14" t="s">
        <v>143</v>
      </c>
    </row>
    <row r="113">
      <c r="A113" s="45" t="s">
        <v>55</v>
      </c>
      <c r="B113" s="46" t="s">
        <v>146</v>
      </c>
      <c r="C113" s="47" t="s">
        <v>147</v>
      </c>
      <c r="D113" s="46"/>
      <c r="E113" s="48" t="s">
        <v>36</v>
      </c>
      <c r="F113" s="48" t="s">
        <v>36</v>
      </c>
      <c r="G113" s="48" t="s">
        <v>36</v>
      </c>
      <c r="H113" s="2">
        <f>SUM(H114:H115)</f>
      </c>
      <c r="I113" s="2">
        <f>SUM(I114:I115)</f>
      </c>
      <c r="J113" s="2">
        <f>SUM(J114:J115)</f>
      </c>
      <c r="K113" s="49" t="s">
        <v>55</v>
      </c>
      <c r="AI113" s="28" t="s">
        <v>305</v>
      </c>
      <c r="AS113" s="2">
        <f>SUM(AJ114:AJ115)</f>
      </c>
      <c r="AT113" s="2">
        <f>SUM(AK114:AK115)</f>
      </c>
      <c r="AU113" s="2">
        <f>SUM(AL114:AL115)</f>
      </c>
    </row>
    <row r="114">
      <c r="A114" s="9" t="s">
        <v>321</v>
      </c>
      <c r="B114" s="10" t="s">
        <v>149</v>
      </c>
      <c r="C114" s="14" t="s">
        <v>322</v>
      </c>
      <c r="D114" s="10"/>
      <c r="E114" s="10" t="s">
        <v>75</v>
      </c>
      <c r="F114" s="50" t="n">
        <v>2</v>
      </c>
      <c r="G114" s="50" t="n">
        <v>0</v>
      </c>
      <c r="H114" s="50">
        <f>F114*AO114</f>
      </c>
      <c r="I114" s="50">
        <f>F114*AP114</f>
      </c>
      <c r="J114" s="50">
        <f>F114*G114</f>
      </c>
      <c r="K114" s="51" t="s">
        <v>64</v>
      </c>
      <c r="Z114" s="50">
        <f>IF(AQ114="5",BJ114,0)</f>
      </c>
      <c r="AB114" s="50">
        <f>IF(AQ114="1",BH114,0)</f>
      </c>
      <c r="AC114" s="50">
        <f>IF(AQ114="1",BI114,0)</f>
      </c>
      <c r="AD114" s="50">
        <f>IF(AQ114="7",BH114,0)</f>
      </c>
      <c r="AE114" s="50">
        <f>IF(AQ114="7",BI114,0)</f>
      </c>
      <c r="AF114" s="50">
        <f>IF(AQ114="2",BH114,0)</f>
      </c>
      <c r="AG114" s="50">
        <f>IF(AQ114="2",BI114,0)</f>
      </c>
      <c r="AH114" s="50">
        <f>IF(AQ114="0",BJ114,0)</f>
      </c>
      <c r="AI114" s="28" t="s">
        <v>305</v>
      </c>
      <c r="AJ114" s="50">
        <f>IF(AN114=0,J114,0)</f>
      </c>
      <c r="AK114" s="50">
        <f>IF(AN114=12,J114,0)</f>
      </c>
      <c r="AL114" s="50">
        <f>IF(AN114=21,J114,0)</f>
      </c>
      <c r="AN114" s="50" t="n">
        <v>21</v>
      </c>
      <c r="AO114" s="50">
        <f>G114*0.844923027</f>
      </c>
      <c r="AP114" s="50">
        <f>G114*(1-0.844923027)</f>
      </c>
      <c r="AQ114" s="52" t="s">
        <v>60</v>
      </c>
      <c r="AV114" s="50">
        <f>AW114+AX114</f>
      </c>
      <c r="AW114" s="50">
        <f>F114*AO114</f>
      </c>
      <c r="AX114" s="50">
        <f>F114*AP114</f>
      </c>
      <c r="AY114" s="52" t="s">
        <v>151</v>
      </c>
      <c r="AZ114" s="52" t="s">
        <v>323</v>
      </c>
      <c r="BA114" s="28" t="s">
        <v>308</v>
      </c>
      <c r="BC114" s="50">
        <f>AW114+AX114</f>
      </c>
      <c r="BD114" s="50">
        <f>G114/(100-BE114)*100</f>
      </c>
      <c r="BE114" s="50" t="n">
        <v>0</v>
      </c>
      <c r="BF114" s="50">
        <f>114</f>
      </c>
      <c r="BH114" s="50">
        <f>F114*AO114</f>
      </c>
      <c r="BI114" s="50">
        <f>F114*AP114</f>
      </c>
      <c r="BJ114" s="50">
        <f>F114*G114</f>
      </c>
      <c r="BK114" s="50"/>
      <c r="BL114" s="50" t="n">
        <v>56</v>
      </c>
      <c r="BW114" s="50" t="n">
        <v>21</v>
      </c>
      <c r="BX114" s="14" t="s">
        <v>322</v>
      </c>
    </row>
    <row r="115">
      <c r="A115" s="9" t="s">
        <v>324</v>
      </c>
      <c r="B115" s="10" t="s">
        <v>325</v>
      </c>
      <c r="C115" s="14" t="s">
        <v>326</v>
      </c>
      <c r="D115" s="10"/>
      <c r="E115" s="10" t="s">
        <v>75</v>
      </c>
      <c r="F115" s="50" t="n">
        <v>2</v>
      </c>
      <c r="G115" s="50" t="n">
        <v>0</v>
      </c>
      <c r="H115" s="50">
        <f>F115*AO115</f>
      </c>
      <c r="I115" s="50">
        <f>F115*AP115</f>
      </c>
      <c r="J115" s="50">
        <f>F115*G115</f>
      </c>
      <c r="K115" s="51" t="s">
        <v>64</v>
      </c>
      <c r="Z115" s="50">
        <f>IF(AQ115="5",BJ115,0)</f>
      </c>
      <c r="AB115" s="50">
        <f>IF(AQ115="1",BH115,0)</f>
      </c>
      <c r="AC115" s="50">
        <f>IF(AQ115="1",BI115,0)</f>
      </c>
      <c r="AD115" s="50">
        <f>IF(AQ115="7",BH115,0)</f>
      </c>
      <c r="AE115" s="50">
        <f>IF(AQ115="7",BI115,0)</f>
      </c>
      <c r="AF115" s="50">
        <f>IF(AQ115="2",BH115,0)</f>
      </c>
      <c r="AG115" s="50">
        <f>IF(AQ115="2",BI115,0)</f>
      </c>
      <c r="AH115" s="50">
        <f>IF(AQ115="0",BJ115,0)</f>
      </c>
      <c r="AI115" s="28" t="s">
        <v>305</v>
      </c>
      <c r="AJ115" s="50">
        <f>IF(AN115=0,J115,0)</f>
      </c>
      <c r="AK115" s="50">
        <f>IF(AN115=12,J115,0)</f>
      </c>
      <c r="AL115" s="50">
        <f>IF(AN115=21,J115,0)</f>
      </c>
      <c r="AN115" s="50" t="n">
        <v>21</v>
      </c>
      <c r="AO115" s="50">
        <f>G115*0.776746032</f>
      </c>
      <c r="AP115" s="50">
        <f>G115*(1-0.776746032)</f>
      </c>
      <c r="AQ115" s="52" t="s">
        <v>60</v>
      </c>
      <c r="AV115" s="50">
        <f>AW115+AX115</f>
      </c>
      <c r="AW115" s="50">
        <f>F115*AO115</f>
      </c>
      <c r="AX115" s="50">
        <f>F115*AP115</f>
      </c>
      <c r="AY115" s="52" t="s">
        <v>151</v>
      </c>
      <c r="AZ115" s="52" t="s">
        <v>323</v>
      </c>
      <c r="BA115" s="28" t="s">
        <v>308</v>
      </c>
      <c r="BC115" s="50">
        <f>AW115+AX115</f>
      </c>
      <c r="BD115" s="50">
        <f>G115/(100-BE115)*100</f>
      </c>
      <c r="BE115" s="50" t="n">
        <v>0</v>
      </c>
      <c r="BF115" s="50">
        <f>115</f>
      </c>
      <c r="BH115" s="50">
        <f>F115*AO115</f>
      </c>
      <c r="BI115" s="50">
        <f>F115*AP115</f>
      </c>
      <c r="BJ115" s="50">
        <f>F115*G115</f>
      </c>
      <c r="BK115" s="50"/>
      <c r="BL115" s="50" t="n">
        <v>56</v>
      </c>
      <c r="BW115" s="50" t="n">
        <v>21</v>
      </c>
      <c r="BX115" s="14" t="s">
        <v>326</v>
      </c>
    </row>
    <row r="116">
      <c r="A116" s="45" t="s">
        <v>55</v>
      </c>
      <c r="B116" s="46" t="s">
        <v>165</v>
      </c>
      <c r="C116" s="47" t="s">
        <v>166</v>
      </c>
      <c r="D116" s="46"/>
      <c r="E116" s="48" t="s">
        <v>36</v>
      </c>
      <c r="F116" s="48" t="s">
        <v>36</v>
      </c>
      <c r="G116" s="48" t="s">
        <v>36</v>
      </c>
      <c r="H116" s="2">
        <f>SUM(H117:H117)</f>
      </c>
      <c r="I116" s="2">
        <f>SUM(I117:I117)</f>
      </c>
      <c r="J116" s="2">
        <f>SUM(J117:J117)</f>
      </c>
      <c r="K116" s="49" t="s">
        <v>55</v>
      </c>
      <c r="AI116" s="28" t="s">
        <v>305</v>
      </c>
      <c r="AS116" s="2">
        <f>SUM(AJ117:AJ117)</f>
      </c>
      <c r="AT116" s="2">
        <f>SUM(AK117:AK117)</f>
      </c>
      <c r="AU116" s="2">
        <f>SUM(AL117:AL117)</f>
      </c>
    </row>
    <row r="117">
      <c r="A117" s="9" t="s">
        <v>327</v>
      </c>
      <c r="B117" s="10" t="s">
        <v>168</v>
      </c>
      <c r="C117" s="14" t="s">
        <v>169</v>
      </c>
      <c r="D117" s="10"/>
      <c r="E117" s="10" t="s">
        <v>170</v>
      </c>
      <c r="F117" s="50" t="n">
        <v>1</v>
      </c>
      <c r="G117" s="50" t="n">
        <v>0</v>
      </c>
      <c r="H117" s="50">
        <f>F117*AO117</f>
      </c>
      <c r="I117" s="50">
        <f>F117*AP117</f>
      </c>
      <c r="J117" s="50">
        <f>F117*G117</f>
      </c>
      <c r="K117" s="51" t="s">
        <v>64</v>
      </c>
      <c r="Z117" s="50">
        <f>IF(AQ117="5",BJ117,0)</f>
      </c>
      <c r="AB117" s="50">
        <f>IF(AQ117="1",BH117,0)</f>
      </c>
      <c r="AC117" s="50">
        <f>IF(AQ117="1",BI117,0)</f>
      </c>
      <c r="AD117" s="50">
        <f>IF(AQ117="7",BH117,0)</f>
      </c>
      <c r="AE117" s="50">
        <f>IF(AQ117="7",BI117,0)</f>
      </c>
      <c r="AF117" s="50">
        <f>IF(AQ117="2",BH117,0)</f>
      </c>
      <c r="AG117" s="50">
        <f>IF(AQ117="2",BI117,0)</f>
      </c>
      <c r="AH117" s="50">
        <f>IF(AQ117="0",BJ117,0)</f>
      </c>
      <c r="AI117" s="28" t="s">
        <v>305</v>
      </c>
      <c r="AJ117" s="50">
        <f>IF(AN117=0,J117,0)</f>
      </c>
      <c r="AK117" s="50">
        <f>IF(AN117=12,J117,0)</f>
      </c>
      <c r="AL117" s="50">
        <f>IF(AN117=21,J117,0)</f>
      </c>
      <c r="AN117" s="50" t="n">
        <v>21</v>
      </c>
      <c r="AO117" s="50">
        <f>G117*0.163862333</f>
      </c>
      <c r="AP117" s="50">
        <f>G117*(1-0.163862333)</f>
      </c>
      <c r="AQ117" s="52" t="s">
        <v>60</v>
      </c>
      <c r="AV117" s="50">
        <f>AW117+AX117</f>
      </c>
      <c r="AW117" s="50">
        <f>F117*AO117</f>
      </c>
      <c r="AX117" s="50">
        <f>F117*AP117</f>
      </c>
      <c r="AY117" s="52" t="s">
        <v>171</v>
      </c>
      <c r="AZ117" s="52" t="s">
        <v>328</v>
      </c>
      <c r="BA117" s="28" t="s">
        <v>308</v>
      </c>
      <c r="BC117" s="50">
        <f>AW117+AX117</f>
      </c>
      <c r="BD117" s="50">
        <f>G117/(100-BE117)*100</f>
      </c>
      <c r="BE117" s="50" t="n">
        <v>0</v>
      </c>
      <c r="BF117" s="50">
        <f>117</f>
      </c>
      <c r="BH117" s="50">
        <f>F117*AO117</f>
      </c>
      <c r="BI117" s="50">
        <f>F117*AP117</f>
      </c>
      <c r="BJ117" s="50">
        <f>F117*G117</f>
      </c>
      <c r="BK117" s="50"/>
      <c r="BL117" s="50" t="n">
        <v>85</v>
      </c>
      <c r="BW117" s="50" t="n">
        <v>21</v>
      </c>
      <c r="BX117" s="14" t="s">
        <v>169</v>
      </c>
    </row>
    <row r="118">
      <c r="A118" s="45" t="s">
        <v>55</v>
      </c>
      <c r="B118" s="46" t="s">
        <v>176</v>
      </c>
      <c r="C118" s="47" t="s">
        <v>177</v>
      </c>
      <c r="D118" s="46"/>
      <c r="E118" s="48" t="s">
        <v>36</v>
      </c>
      <c r="F118" s="48" t="s">
        <v>36</v>
      </c>
      <c r="G118" s="48" t="s">
        <v>36</v>
      </c>
      <c r="H118" s="2">
        <f>SUM(H119:H126)</f>
      </c>
      <c r="I118" s="2">
        <f>SUM(I119:I126)</f>
      </c>
      <c r="J118" s="2">
        <f>SUM(J119:J126)</f>
      </c>
      <c r="K118" s="49" t="s">
        <v>55</v>
      </c>
      <c r="AI118" s="28" t="s">
        <v>305</v>
      </c>
      <c r="AS118" s="2">
        <f>SUM(AJ119:AJ126)</f>
      </c>
      <c r="AT118" s="2">
        <f>SUM(AK119:AK126)</f>
      </c>
      <c r="AU118" s="2">
        <f>SUM(AL119:AL126)</f>
      </c>
    </row>
    <row r="119">
      <c r="A119" s="9" t="s">
        <v>329</v>
      </c>
      <c r="B119" s="10" t="s">
        <v>179</v>
      </c>
      <c r="C119" s="14" t="s">
        <v>180</v>
      </c>
      <c r="D119" s="10"/>
      <c r="E119" s="10" t="s">
        <v>170</v>
      </c>
      <c r="F119" s="50" t="n">
        <v>2</v>
      </c>
      <c r="G119" s="50" t="n">
        <v>0</v>
      </c>
      <c r="H119" s="50">
        <f>F119*AO119</f>
      </c>
      <c r="I119" s="50">
        <f>F119*AP119</f>
      </c>
      <c r="J119" s="50">
        <f>F119*G119</f>
      </c>
      <c r="K119" s="51" t="s">
        <v>64</v>
      </c>
      <c r="Z119" s="50">
        <f>IF(AQ119="5",BJ119,0)</f>
      </c>
      <c r="AB119" s="50">
        <f>IF(AQ119="1",BH119,0)</f>
      </c>
      <c r="AC119" s="50">
        <f>IF(AQ119="1",BI119,0)</f>
      </c>
      <c r="AD119" s="50">
        <f>IF(AQ119="7",BH119,0)</f>
      </c>
      <c r="AE119" s="50">
        <f>IF(AQ119="7",BI119,0)</f>
      </c>
      <c r="AF119" s="50">
        <f>IF(AQ119="2",BH119,0)</f>
      </c>
      <c r="AG119" s="50">
        <f>IF(AQ119="2",BI119,0)</f>
      </c>
      <c r="AH119" s="50">
        <f>IF(AQ119="0",BJ119,0)</f>
      </c>
      <c r="AI119" s="28" t="s">
        <v>305</v>
      </c>
      <c r="AJ119" s="50">
        <f>IF(AN119=0,J119,0)</f>
      </c>
      <c r="AK119" s="50">
        <f>IF(AN119=12,J119,0)</f>
      </c>
      <c r="AL119" s="50">
        <f>IF(AN119=21,J119,0)</f>
      </c>
      <c r="AN119" s="50" t="n">
        <v>21</v>
      </c>
      <c r="AO119" s="50">
        <f>G119*0.082483951</f>
      </c>
      <c r="AP119" s="50">
        <f>G119*(1-0.082483951)</f>
      </c>
      <c r="AQ119" s="52" t="s">
        <v>60</v>
      </c>
      <c r="AV119" s="50">
        <f>AW119+AX119</f>
      </c>
      <c r="AW119" s="50">
        <f>F119*AO119</f>
      </c>
      <c r="AX119" s="50">
        <f>F119*AP119</f>
      </c>
      <c r="AY119" s="52" t="s">
        <v>181</v>
      </c>
      <c r="AZ119" s="52" t="s">
        <v>328</v>
      </c>
      <c r="BA119" s="28" t="s">
        <v>308</v>
      </c>
      <c r="BC119" s="50">
        <f>AW119+AX119</f>
      </c>
      <c r="BD119" s="50">
        <f>G119/(100-BE119)*100</f>
      </c>
      <c r="BE119" s="50" t="n">
        <v>0</v>
      </c>
      <c r="BF119" s="50">
        <f>119</f>
      </c>
      <c r="BH119" s="50">
        <f>F119*AO119</f>
      </c>
      <c r="BI119" s="50">
        <f>F119*AP119</f>
      </c>
      <c r="BJ119" s="50">
        <f>F119*G119</f>
      </c>
      <c r="BK119" s="50"/>
      <c r="BL119" s="50" t="n">
        <v>89</v>
      </c>
      <c r="BW119" s="50" t="n">
        <v>21</v>
      </c>
      <c r="BX119" s="14" t="s">
        <v>180</v>
      </c>
    </row>
    <row r="120">
      <c r="A120" s="9" t="s">
        <v>330</v>
      </c>
      <c r="B120" s="10" t="s">
        <v>183</v>
      </c>
      <c r="C120" s="14" t="s">
        <v>184</v>
      </c>
      <c r="D120" s="10"/>
      <c r="E120" s="10" t="s">
        <v>170</v>
      </c>
      <c r="F120" s="50" t="n">
        <v>1</v>
      </c>
      <c r="G120" s="50" t="n">
        <v>0</v>
      </c>
      <c r="H120" s="50">
        <f>F120*AO120</f>
      </c>
      <c r="I120" s="50">
        <f>F120*AP120</f>
      </c>
      <c r="J120" s="50">
        <f>F120*G120</f>
      </c>
      <c r="K120" s="51" t="s">
        <v>64</v>
      </c>
      <c r="Z120" s="50">
        <f>IF(AQ120="5",BJ120,0)</f>
      </c>
      <c r="AB120" s="50">
        <f>IF(AQ120="1",BH120,0)</f>
      </c>
      <c r="AC120" s="50">
        <f>IF(AQ120="1",BI120,0)</f>
      </c>
      <c r="AD120" s="50">
        <f>IF(AQ120="7",BH120,0)</f>
      </c>
      <c r="AE120" s="50">
        <f>IF(AQ120="7",BI120,0)</f>
      </c>
      <c r="AF120" s="50">
        <f>IF(AQ120="2",BH120,0)</f>
      </c>
      <c r="AG120" s="50">
        <f>IF(AQ120="2",BI120,0)</f>
      </c>
      <c r="AH120" s="50">
        <f>IF(AQ120="0",BJ120,0)</f>
      </c>
      <c r="AI120" s="28" t="s">
        <v>305</v>
      </c>
      <c r="AJ120" s="50">
        <f>IF(AN120=0,J120,0)</f>
      </c>
      <c r="AK120" s="50">
        <f>IF(AN120=12,J120,0)</f>
      </c>
      <c r="AL120" s="50">
        <f>IF(AN120=21,J120,0)</f>
      </c>
      <c r="AN120" s="50" t="n">
        <v>21</v>
      </c>
      <c r="AO120" s="50">
        <f>G120*0.08141649</f>
      </c>
      <c r="AP120" s="50">
        <f>G120*(1-0.08141649)</f>
      </c>
      <c r="AQ120" s="52" t="s">
        <v>60</v>
      </c>
      <c r="AV120" s="50">
        <f>AW120+AX120</f>
      </c>
      <c r="AW120" s="50">
        <f>F120*AO120</f>
      </c>
      <c r="AX120" s="50">
        <f>F120*AP120</f>
      </c>
      <c r="AY120" s="52" t="s">
        <v>181</v>
      </c>
      <c r="AZ120" s="52" t="s">
        <v>328</v>
      </c>
      <c r="BA120" s="28" t="s">
        <v>308</v>
      </c>
      <c r="BC120" s="50">
        <f>AW120+AX120</f>
      </c>
      <c r="BD120" s="50">
        <f>G120/(100-BE120)*100</f>
      </c>
      <c r="BE120" s="50" t="n">
        <v>0</v>
      </c>
      <c r="BF120" s="50">
        <f>120</f>
      </c>
      <c r="BH120" s="50">
        <f>F120*AO120</f>
      </c>
      <c r="BI120" s="50">
        <f>F120*AP120</f>
      </c>
      <c r="BJ120" s="50">
        <f>F120*G120</f>
      </c>
      <c r="BK120" s="50"/>
      <c r="BL120" s="50" t="n">
        <v>89</v>
      </c>
      <c r="BW120" s="50" t="n">
        <v>21</v>
      </c>
      <c r="BX120" s="14" t="s">
        <v>184</v>
      </c>
    </row>
    <row r="121">
      <c r="A121" s="9" t="s">
        <v>331</v>
      </c>
      <c r="B121" s="10" t="s">
        <v>186</v>
      </c>
      <c r="C121" s="14" t="s">
        <v>187</v>
      </c>
      <c r="D121" s="10"/>
      <c r="E121" s="10" t="s">
        <v>170</v>
      </c>
      <c r="F121" s="50" t="n">
        <v>2</v>
      </c>
      <c r="G121" s="50" t="n">
        <v>0</v>
      </c>
      <c r="H121" s="50">
        <f>F121*AO121</f>
      </c>
      <c r="I121" s="50">
        <f>F121*AP121</f>
      </c>
      <c r="J121" s="50">
        <f>F121*G121</f>
      </c>
      <c r="K121" s="51" t="s">
        <v>64</v>
      </c>
      <c r="Z121" s="50">
        <f>IF(AQ121="5",BJ121,0)</f>
      </c>
      <c r="AB121" s="50">
        <f>IF(AQ121="1",BH121,0)</f>
      </c>
      <c r="AC121" s="50">
        <f>IF(AQ121="1",BI121,0)</f>
      </c>
      <c r="AD121" s="50">
        <f>IF(AQ121="7",BH121,0)</f>
      </c>
      <c r="AE121" s="50">
        <f>IF(AQ121="7",BI121,0)</f>
      </c>
      <c r="AF121" s="50">
        <f>IF(AQ121="2",BH121,0)</f>
      </c>
      <c r="AG121" s="50">
        <f>IF(AQ121="2",BI121,0)</f>
      </c>
      <c r="AH121" s="50">
        <f>IF(AQ121="0",BJ121,0)</f>
      </c>
      <c r="AI121" s="28" t="s">
        <v>305</v>
      </c>
      <c r="AJ121" s="50">
        <f>IF(AN121=0,J121,0)</f>
      </c>
      <c r="AK121" s="50">
        <f>IF(AN121=12,J121,0)</f>
      </c>
      <c r="AL121" s="50">
        <f>IF(AN121=21,J121,0)</f>
      </c>
      <c r="AN121" s="50" t="n">
        <v>21</v>
      </c>
      <c r="AO121" s="50">
        <f>G121*0.397211896</f>
      </c>
      <c r="AP121" s="50">
        <f>G121*(1-0.397211896)</f>
      </c>
      <c r="AQ121" s="52" t="s">
        <v>60</v>
      </c>
      <c r="AV121" s="50">
        <f>AW121+AX121</f>
      </c>
      <c r="AW121" s="50">
        <f>F121*AO121</f>
      </c>
      <c r="AX121" s="50">
        <f>F121*AP121</f>
      </c>
      <c r="AY121" s="52" t="s">
        <v>181</v>
      </c>
      <c r="AZ121" s="52" t="s">
        <v>328</v>
      </c>
      <c r="BA121" s="28" t="s">
        <v>308</v>
      </c>
      <c r="BC121" s="50">
        <f>AW121+AX121</f>
      </c>
      <c r="BD121" s="50">
        <f>G121/(100-BE121)*100</f>
      </c>
      <c r="BE121" s="50" t="n">
        <v>0</v>
      </c>
      <c r="BF121" s="50">
        <f>121</f>
      </c>
      <c r="BH121" s="50">
        <f>F121*AO121</f>
      </c>
      <c r="BI121" s="50">
        <f>F121*AP121</f>
      </c>
      <c r="BJ121" s="50">
        <f>F121*G121</f>
      </c>
      <c r="BK121" s="50"/>
      <c r="BL121" s="50" t="n">
        <v>89</v>
      </c>
      <c r="BW121" s="50" t="n">
        <v>21</v>
      </c>
      <c r="BX121" s="14" t="s">
        <v>187</v>
      </c>
    </row>
    <row r="122">
      <c r="A122" s="9" t="s">
        <v>332</v>
      </c>
      <c r="B122" s="10" t="s">
        <v>189</v>
      </c>
      <c r="C122" s="14" t="s">
        <v>190</v>
      </c>
      <c r="D122" s="10"/>
      <c r="E122" s="10" t="s">
        <v>170</v>
      </c>
      <c r="F122" s="50" t="n">
        <v>1</v>
      </c>
      <c r="G122" s="50" t="n">
        <v>0</v>
      </c>
      <c r="H122" s="50">
        <f>F122*AO122</f>
      </c>
      <c r="I122" s="50">
        <f>F122*AP122</f>
      </c>
      <c r="J122" s="50">
        <f>F122*G122</f>
      </c>
      <c r="K122" s="51" t="s">
        <v>64</v>
      </c>
      <c r="Z122" s="50">
        <f>IF(AQ122="5",BJ122,0)</f>
      </c>
      <c r="AB122" s="50">
        <f>IF(AQ122="1",BH122,0)</f>
      </c>
      <c r="AC122" s="50">
        <f>IF(AQ122="1",BI122,0)</f>
      </c>
      <c r="AD122" s="50">
        <f>IF(AQ122="7",BH122,0)</f>
      </c>
      <c r="AE122" s="50">
        <f>IF(AQ122="7",BI122,0)</f>
      </c>
      <c r="AF122" s="50">
        <f>IF(AQ122="2",BH122,0)</f>
      </c>
      <c r="AG122" s="50">
        <f>IF(AQ122="2",BI122,0)</f>
      </c>
      <c r="AH122" s="50">
        <f>IF(AQ122="0",BJ122,0)</f>
      </c>
      <c r="AI122" s="28" t="s">
        <v>305</v>
      </c>
      <c r="AJ122" s="50">
        <f>IF(AN122=0,J122,0)</f>
      </c>
      <c r="AK122" s="50">
        <f>IF(AN122=12,J122,0)</f>
      </c>
      <c r="AL122" s="50">
        <f>IF(AN122=21,J122,0)</f>
      </c>
      <c r="AN122" s="50" t="n">
        <v>21</v>
      </c>
      <c r="AO122" s="50">
        <f>G122*0.56169515</f>
      </c>
      <c r="AP122" s="50">
        <f>G122*(1-0.56169515)</f>
      </c>
      <c r="AQ122" s="52" t="s">
        <v>60</v>
      </c>
      <c r="AV122" s="50">
        <f>AW122+AX122</f>
      </c>
      <c r="AW122" s="50">
        <f>F122*AO122</f>
      </c>
      <c r="AX122" s="50">
        <f>F122*AP122</f>
      </c>
      <c r="AY122" s="52" t="s">
        <v>181</v>
      </c>
      <c r="AZ122" s="52" t="s">
        <v>328</v>
      </c>
      <c r="BA122" s="28" t="s">
        <v>308</v>
      </c>
      <c r="BC122" s="50">
        <f>AW122+AX122</f>
      </c>
      <c r="BD122" s="50">
        <f>G122/(100-BE122)*100</f>
      </c>
      <c r="BE122" s="50" t="n">
        <v>0</v>
      </c>
      <c r="BF122" s="50">
        <f>122</f>
      </c>
      <c r="BH122" s="50">
        <f>F122*AO122</f>
      </c>
      <c r="BI122" s="50">
        <f>F122*AP122</f>
      </c>
      <c r="BJ122" s="50">
        <f>F122*G122</f>
      </c>
      <c r="BK122" s="50"/>
      <c r="BL122" s="50" t="n">
        <v>89</v>
      </c>
      <c r="BW122" s="50" t="n">
        <v>21</v>
      </c>
      <c r="BX122" s="14" t="s">
        <v>190</v>
      </c>
    </row>
    <row r="123">
      <c r="A123" s="9" t="s">
        <v>333</v>
      </c>
      <c r="B123" s="10" t="s">
        <v>192</v>
      </c>
      <c r="C123" s="14" t="s">
        <v>193</v>
      </c>
      <c r="D123" s="10"/>
      <c r="E123" s="10" t="s">
        <v>71</v>
      </c>
      <c r="F123" s="50" t="n">
        <v>38</v>
      </c>
      <c r="G123" s="50" t="n">
        <v>0</v>
      </c>
      <c r="H123" s="50">
        <f>F123*AO123</f>
      </c>
      <c r="I123" s="50">
        <f>F123*AP123</f>
      </c>
      <c r="J123" s="50">
        <f>F123*G123</f>
      </c>
      <c r="K123" s="51" t="s">
        <v>64</v>
      </c>
      <c r="Z123" s="50">
        <f>IF(AQ123="5",BJ123,0)</f>
      </c>
      <c r="AB123" s="50">
        <f>IF(AQ123="1",BH123,0)</f>
      </c>
      <c r="AC123" s="50">
        <f>IF(AQ123="1",BI123,0)</f>
      </c>
      <c r="AD123" s="50">
        <f>IF(AQ123="7",BH123,0)</f>
      </c>
      <c r="AE123" s="50">
        <f>IF(AQ123="7",BI123,0)</f>
      </c>
      <c r="AF123" s="50">
        <f>IF(AQ123="2",BH123,0)</f>
      </c>
      <c r="AG123" s="50">
        <f>IF(AQ123="2",BI123,0)</f>
      </c>
      <c r="AH123" s="50">
        <f>IF(AQ123="0",BJ123,0)</f>
      </c>
      <c r="AI123" s="28" t="s">
        <v>305</v>
      </c>
      <c r="AJ123" s="50">
        <f>IF(AN123=0,J123,0)</f>
      </c>
      <c r="AK123" s="50">
        <f>IF(AN123=12,J123,0)</f>
      </c>
      <c r="AL123" s="50">
        <f>IF(AN123=21,J123,0)</f>
      </c>
      <c r="AN123" s="50" t="n">
        <v>21</v>
      </c>
      <c r="AO123" s="50">
        <f>G123*0.024050192</f>
      </c>
      <c r="AP123" s="50">
        <f>G123*(1-0.024050192)</f>
      </c>
      <c r="AQ123" s="52" t="s">
        <v>60</v>
      </c>
      <c r="AV123" s="50">
        <f>AW123+AX123</f>
      </c>
      <c r="AW123" s="50">
        <f>F123*AO123</f>
      </c>
      <c r="AX123" s="50">
        <f>F123*AP123</f>
      </c>
      <c r="AY123" s="52" t="s">
        <v>181</v>
      </c>
      <c r="AZ123" s="52" t="s">
        <v>328</v>
      </c>
      <c r="BA123" s="28" t="s">
        <v>308</v>
      </c>
      <c r="BC123" s="50">
        <f>AW123+AX123</f>
      </c>
      <c r="BD123" s="50">
        <f>G123/(100-BE123)*100</f>
      </c>
      <c r="BE123" s="50" t="n">
        <v>0</v>
      </c>
      <c r="BF123" s="50">
        <f>123</f>
      </c>
      <c r="BH123" s="50">
        <f>F123*AO123</f>
      </c>
      <c r="BI123" s="50">
        <f>F123*AP123</f>
      </c>
      <c r="BJ123" s="50">
        <f>F123*G123</f>
      </c>
      <c r="BK123" s="50"/>
      <c r="BL123" s="50" t="n">
        <v>89</v>
      </c>
      <c r="BW123" s="50" t="n">
        <v>21</v>
      </c>
      <c r="BX123" s="14" t="s">
        <v>193</v>
      </c>
    </row>
    <row r="124">
      <c r="A124" s="9" t="s">
        <v>334</v>
      </c>
      <c r="B124" s="10" t="s">
        <v>195</v>
      </c>
      <c r="C124" s="14" t="s">
        <v>196</v>
      </c>
      <c r="D124" s="10"/>
      <c r="E124" s="10" t="s">
        <v>71</v>
      </c>
      <c r="F124" s="50" t="n">
        <v>38</v>
      </c>
      <c r="G124" s="50" t="n">
        <v>0</v>
      </c>
      <c r="H124" s="50">
        <f>F124*AO124</f>
      </c>
      <c r="I124" s="50">
        <f>F124*AP124</f>
      </c>
      <c r="J124" s="50">
        <f>F124*G124</f>
      </c>
      <c r="K124" s="51" t="s">
        <v>64</v>
      </c>
      <c r="Z124" s="50">
        <f>IF(AQ124="5",BJ124,0)</f>
      </c>
      <c r="AB124" s="50">
        <f>IF(AQ124="1",BH124,0)</f>
      </c>
      <c r="AC124" s="50">
        <f>IF(AQ124="1",BI124,0)</f>
      </c>
      <c r="AD124" s="50">
        <f>IF(AQ124="7",BH124,0)</f>
      </c>
      <c r="AE124" s="50">
        <f>IF(AQ124="7",BI124,0)</f>
      </c>
      <c r="AF124" s="50">
        <f>IF(AQ124="2",BH124,0)</f>
      </c>
      <c r="AG124" s="50">
        <f>IF(AQ124="2",BI124,0)</f>
      </c>
      <c r="AH124" s="50">
        <f>IF(AQ124="0",BJ124,0)</f>
      </c>
      <c r="AI124" s="28" t="s">
        <v>305</v>
      </c>
      <c r="AJ124" s="50">
        <f>IF(AN124=0,J124,0)</f>
      </c>
      <c r="AK124" s="50">
        <f>IF(AN124=12,J124,0)</f>
      </c>
      <c r="AL124" s="50">
        <f>IF(AN124=21,J124,0)</f>
      </c>
      <c r="AN124" s="50" t="n">
        <v>21</v>
      </c>
      <c r="AO124" s="50">
        <f>G124*0.005572755</f>
      </c>
      <c r="AP124" s="50">
        <f>G124*(1-0.005572755)</f>
      </c>
      <c r="AQ124" s="52" t="s">
        <v>60</v>
      </c>
      <c r="AV124" s="50">
        <f>AW124+AX124</f>
      </c>
      <c r="AW124" s="50">
        <f>F124*AO124</f>
      </c>
      <c r="AX124" s="50">
        <f>F124*AP124</f>
      </c>
      <c r="AY124" s="52" t="s">
        <v>181</v>
      </c>
      <c r="AZ124" s="52" t="s">
        <v>328</v>
      </c>
      <c r="BA124" s="28" t="s">
        <v>308</v>
      </c>
      <c r="BC124" s="50">
        <f>AW124+AX124</f>
      </c>
      <c r="BD124" s="50">
        <f>G124/(100-BE124)*100</f>
      </c>
      <c r="BE124" s="50" t="n">
        <v>0</v>
      </c>
      <c r="BF124" s="50">
        <f>124</f>
      </c>
      <c r="BH124" s="50">
        <f>F124*AO124</f>
      </c>
      <c r="BI124" s="50">
        <f>F124*AP124</f>
      </c>
      <c r="BJ124" s="50">
        <f>F124*G124</f>
      </c>
      <c r="BK124" s="50"/>
      <c r="BL124" s="50" t="n">
        <v>89</v>
      </c>
      <c r="BW124" s="50" t="n">
        <v>21</v>
      </c>
      <c r="BX124" s="14" t="s">
        <v>196</v>
      </c>
    </row>
    <row r="125">
      <c r="A125" s="9" t="s">
        <v>335</v>
      </c>
      <c r="B125" s="10" t="s">
        <v>198</v>
      </c>
      <c r="C125" s="14" t="s">
        <v>199</v>
      </c>
      <c r="D125" s="10"/>
      <c r="E125" s="10" t="s">
        <v>170</v>
      </c>
      <c r="F125" s="50" t="n">
        <v>1</v>
      </c>
      <c r="G125" s="50" t="n">
        <v>0</v>
      </c>
      <c r="H125" s="50">
        <f>F125*AO125</f>
      </c>
      <c r="I125" s="50">
        <f>F125*AP125</f>
      </c>
      <c r="J125" s="50">
        <f>F125*G125</f>
      </c>
      <c r="K125" s="51" t="s">
        <v>64</v>
      </c>
      <c r="Z125" s="50">
        <f>IF(AQ125="5",BJ125,0)</f>
      </c>
      <c r="AB125" s="50">
        <f>IF(AQ125="1",BH125,0)</f>
      </c>
      <c r="AC125" s="50">
        <f>IF(AQ125="1",BI125,0)</f>
      </c>
      <c r="AD125" s="50">
        <f>IF(AQ125="7",BH125,0)</f>
      </c>
      <c r="AE125" s="50">
        <f>IF(AQ125="7",BI125,0)</f>
      </c>
      <c r="AF125" s="50">
        <f>IF(AQ125="2",BH125,0)</f>
      </c>
      <c r="AG125" s="50">
        <f>IF(AQ125="2",BI125,0)</f>
      </c>
      <c r="AH125" s="50">
        <f>IF(AQ125="0",BJ125,0)</f>
      </c>
      <c r="AI125" s="28" t="s">
        <v>305</v>
      </c>
      <c r="AJ125" s="50">
        <f>IF(AN125=0,J125,0)</f>
      </c>
      <c r="AK125" s="50">
        <f>IF(AN125=12,J125,0)</f>
      </c>
      <c r="AL125" s="50">
        <f>IF(AN125=21,J125,0)</f>
      </c>
      <c r="AN125" s="50" t="n">
        <v>21</v>
      </c>
      <c r="AO125" s="50">
        <f>G125*0.317163458</f>
      </c>
      <c r="AP125" s="50">
        <f>G125*(1-0.317163458)</f>
      </c>
      <c r="AQ125" s="52" t="s">
        <v>60</v>
      </c>
      <c r="AV125" s="50">
        <f>AW125+AX125</f>
      </c>
      <c r="AW125" s="50">
        <f>F125*AO125</f>
      </c>
      <c r="AX125" s="50">
        <f>F125*AP125</f>
      </c>
      <c r="AY125" s="52" t="s">
        <v>181</v>
      </c>
      <c r="AZ125" s="52" t="s">
        <v>328</v>
      </c>
      <c r="BA125" s="28" t="s">
        <v>308</v>
      </c>
      <c r="BC125" s="50">
        <f>AW125+AX125</f>
      </c>
      <c r="BD125" s="50">
        <f>G125/(100-BE125)*100</f>
      </c>
      <c r="BE125" s="50" t="n">
        <v>0</v>
      </c>
      <c r="BF125" s="50">
        <f>125</f>
      </c>
      <c r="BH125" s="50">
        <f>F125*AO125</f>
      </c>
      <c r="BI125" s="50">
        <f>F125*AP125</f>
      </c>
      <c r="BJ125" s="50">
        <f>F125*G125</f>
      </c>
      <c r="BK125" s="50"/>
      <c r="BL125" s="50" t="n">
        <v>89</v>
      </c>
      <c r="BW125" s="50" t="n">
        <v>21</v>
      </c>
      <c r="BX125" s="14" t="s">
        <v>199</v>
      </c>
    </row>
    <row r="126">
      <c r="A126" s="9" t="s">
        <v>336</v>
      </c>
      <c r="B126" s="10" t="s">
        <v>201</v>
      </c>
      <c r="C126" s="14" t="s">
        <v>202</v>
      </c>
      <c r="D126" s="10"/>
      <c r="E126" s="10" t="s">
        <v>71</v>
      </c>
      <c r="F126" s="50" t="n">
        <v>42</v>
      </c>
      <c r="G126" s="50" t="n">
        <v>0</v>
      </c>
      <c r="H126" s="50">
        <f>F126*AO126</f>
      </c>
      <c r="I126" s="50">
        <f>F126*AP126</f>
      </c>
      <c r="J126" s="50">
        <f>F126*G126</f>
      </c>
      <c r="K126" s="51" t="s">
        <v>64</v>
      </c>
      <c r="Z126" s="50">
        <f>IF(AQ126="5",BJ126,0)</f>
      </c>
      <c r="AB126" s="50">
        <f>IF(AQ126="1",BH126,0)</f>
      </c>
      <c r="AC126" s="50">
        <f>IF(AQ126="1",BI126,0)</f>
      </c>
      <c r="AD126" s="50">
        <f>IF(AQ126="7",BH126,0)</f>
      </c>
      <c r="AE126" s="50">
        <f>IF(AQ126="7",BI126,0)</f>
      </c>
      <c r="AF126" s="50">
        <f>IF(AQ126="2",BH126,0)</f>
      </c>
      <c r="AG126" s="50">
        <f>IF(AQ126="2",BI126,0)</f>
      </c>
      <c r="AH126" s="50">
        <f>IF(AQ126="0",BJ126,0)</f>
      </c>
      <c r="AI126" s="28" t="s">
        <v>305</v>
      </c>
      <c r="AJ126" s="50">
        <f>IF(AN126=0,J126,0)</f>
      </c>
      <c r="AK126" s="50">
        <f>IF(AN126=12,J126,0)</f>
      </c>
      <c r="AL126" s="50">
        <f>IF(AN126=21,J126,0)</f>
      </c>
      <c r="AN126" s="50" t="n">
        <v>21</v>
      </c>
      <c r="AO126" s="50">
        <f>G126*0.512571429</f>
      </c>
      <c r="AP126" s="50">
        <f>G126*(1-0.512571429)</f>
      </c>
      <c r="AQ126" s="52" t="s">
        <v>60</v>
      </c>
      <c r="AV126" s="50">
        <f>AW126+AX126</f>
      </c>
      <c r="AW126" s="50">
        <f>F126*AO126</f>
      </c>
      <c r="AX126" s="50">
        <f>F126*AP126</f>
      </c>
      <c r="AY126" s="52" t="s">
        <v>181</v>
      </c>
      <c r="AZ126" s="52" t="s">
        <v>328</v>
      </c>
      <c r="BA126" s="28" t="s">
        <v>308</v>
      </c>
      <c r="BC126" s="50">
        <f>AW126+AX126</f>
      </c>
      <c r="BD126" s="50">
        <f>G126/(100-BE126)*100</f>
      </c>
      <c r="BE126" s="50" t="n">
        <v>0</v>
      </c>
      <c r="BF126" s="50">
        <f>126</f>
      </c>
      <c r="BH126" s="50">
        <f>F126*AO126</f>
      </c>
      <c r="BI126" s="50">
        <f>F126*AP126</f>
      </c>
      <c r="BJ126" s="50">
        <f>F126*G126</f>
      </c>
      <c r="BK126" s="50"/>
      <c r="BL126" s="50" t="n">
        <v>89</v>
      </c>
      <c r="BW126" s="50" t="n">
        <v>21</v>
      </c>
      <c r="BX126" s="14" t="s">
        <v>202</v>
      </c>
    </row>
    <row r="127">
      <c r="A127" s="45" t="s">
        <v>55</v>
      </c>
      <c r="B127" s="46" t="s">
        <v>213</v>
      </c>
      <c r="C127" s="47" t="s">
        <v>214</v>
      </c>
      <c r="D127" s="46"/>
      <c r="E127" s="48" t="s">
        <v>36</v>
      </c>
      <c r="F127" s="48" t="s">
        <v>36</v>
      </c>
      <c r="G127" s="48" t="s">
        <v>36</v>
      </c>
      <c r="H127" s="2">
        <f>SUM(H128:H144)</f>
      </c>
      <c r="I127" s="2">
        <f>SUM(I128:I144)</f>
      </c>
      <c r="J127" s="2">
        <f>SUM(J128:J144)</f>
      </c>
      <c r="K127" s="49" t="s">
        <v>55</v>
      </c>
      <c r="AI127" s="28" t="s">
        <v>305</v>
      </c>
      <c r="AS127" s="2">
        <f>SUM(AJ128:AJ144)</f>
      </c>
      <c r="AT127" s="2">
        <f>SUM(AK128:AK144)</f>
      </c>
      <c r="AU127" s="2">
        <f>SUM(AL128:AL144)</f>
      </c>
    </row>
    <row r="128">
      <c r="A128" s="9" t="s">
        <v>165</v>
      </c>
      <c r="B128" s="10" t="s">
        <v>216</v>
      </c>
      <c r="C128" s="14" t="s">
        <v>217</v>
      </c>
      <c r="D128" s="10"/>
      <c r="E128" s="10" t="s">
        <v>71</v>
      </c>
      <c r="F128" s="50" t="n">
        <v>38</v>
      </c>
      <c r="G128" s="50" t="n">
        <v>0</v>
      </c>
      <c r="H128" s="50">
        <f>F128*AO128</f>
      </c>
      <c r="I128" s="50">
        <f>F128*AP128</f>
      </c>
      <c r="J128" s="50">
        <f>F128*G128</f>
      </c>
      <c r="K128" s="51" t="s">
        <v>64</v>
      </c>
      <c r="Z128" s="50">
        <f>IF(AQ128="5",BJ128,0)</f>
      </c>
      <c r="AB128" s="50">
        <f>IF(AQ128="1",BH128,0)</f>
      </c>
      <c r="AC128" s="50">
        <f>IF(AQ128="1",BI128,0)</f>
      </c>
      <c r="AD128" s="50">
        <f>IF(AQ128="7",BH128,0)</f>
      </c>
      <c r="AE128" s="50">
        <f>IF(AQ128="7",BI128,0)</f>
      </c>
      <c r="AF128" s="50">
        <f>IF(AQ128="2",BH128,0)</f>
      </c>
      <c r="AG128" s="50">
        <f>IF(AQ128="2",BI128,0)</f>
      </c>
      <c r="AH128" s="50">
        <f>IF(AQ128="0",BJ128,0)</f>
      </c>
      <c r="AI128" s="28" t="s">
        <v>305</v>
      </c>
      <c r="AJ128" s="50">
        <f>IF(AN128=0,J128,0)</f>
      </c>
      <c r="AK128" s="50">
        <f>IF(AN128=12,J128,0)</f>
      </c>
      <c r="AL128" s="50">
        <f>IF(AN128=21,J128,0)</f>
      </c>
      <c r="AN128" s="50" t="n">
        <v>21</v>
      </c>
      <c r="AO128" s="50">
        <f>G128*1</f>
      </c>
      <c r="AP128" s="50">
        <f>G128*(1-1)</f>
      </c>
      <c r="AQ128" s="52" t="s">
        <v>218</v>
      </c>
      <c r="AV128" s="50">
        <f>AW128+AX128</f>
      </c>
      <c r="AW128" s="50">
        <f>F128*AO128</f>
      </c>
      <c r="AX128" s="50">
        <f>F128*AP128</f>
      </c>
      <c r="AY128" s="52" t="s">
        <v>219</v>
      </c>
      <c r="AZ128" s="52" t="s">
        <v>337</v>
      </c>
      <c r="BA128" s="28" t="s">
        <v>308</v>
      </c>
      <c r="BC128" s="50">
        <f>AW128+AX128</f>
      </c>
      <c r="BD128" s="50">
        <f>G128/(100-BE128)*100</f>
      </c>
      <c r="BE128" s="50" t="n">
        <v>0</v>
      </c>
      <c r="BF128" s="50">
        <f>128</f>
      </c>
      <c r="BH128" s="50">
        <f>F128*AO128</f>
      </c>
      <c r="BI128" s="50">
        <f>F128*AP128</f>
      </c>
      <c r="BJ128" s="50">
        <f>F128*G128</f>
      </c>
      <c r="BK128" s="50"/>
      <c r="BL128" s="50"/>
      <c r="BW128" s="50" t="n">
        <v>21</v>
      </c>
      <c r="BX128" s="14" t="s">
        <v>217</v>
      </c>
    </row>
    <row r="129">
      <c r="A129" s="9" t="s">
        <v>338</v>
      </c>
      <c r="B129" s="10" t="s">
        <v>225</v>
      </c>
      <c r="C129" s="14" t="s">
        <v>226</v>
      </c>
      <c r="D129" s="10"/>
      <c r="E129" s="10" t="s">
        <v>170</v>
      </c>
      <c r="F129" s="50" t="n">
        <v>2</v>
      </c>
      <c r="G129" s="50" t="n">
        <v>0</v>
      </c>
      <c r="H129" s="50">
        <f>F129*AO129</f>
      </c>
      <c r="I129" s="50">
        <f>F129*AP129</f>
      </c>
      <c r="J129" s="50">
        <f>F129*G129</f>
      </c>
      <c r="K129" s="51" t="s">
        <v>64</v>
      </c>
      <c r="Z129" s="50">
        <f>IF(AQ129="5",BJ129,0)</f>
      </c>
      <c r="AB129" s="50">
        <f>IF(AQ129="1",BH129,0)</f>
      </c>
      <c r="AC129" s="50">
        <f>IF(AQ129="1",BI129,0)</f>
      </c>
      <c r="AD129" s="50">
        <f>IF(AQ129="7",BH129,0)</f>
      </c>
      <c r="AE129" s="50">
        <f>IF(AQ129="7",BI129,0)</f>
      </c>
      <c r="AF129" s="50">
        <f>IF(AQ129="2",BH129,0)</f>
      </c>
      <c r="AG129" s="50">
        <f>IF(AQ129="2",BI129,0)</f>
      </c>
      <c r="AH129" s="50">
        <f>IF(AQ129="0",BJ129,0)</f>
      </c>
      <c r="AI129" s="28" t="s">
        <v>305</v>
      </c>
      <c r="AJ129" s="50">
        <f>IF(AN129=0,J129,0)</f>
      </c>
      <c r="AK129" s="50">
        <f>IF(AN129=12,J129,0)</f>
      </c>
      <c r="AL129" s="50">
        <f>IF(AN129=21,J129,0)</f>
      </c>
      <c r="AN129" s="50" t="n">
        <v>21</v>
      </c>
      <c r="AO129" s="50">
        <f>G129*1</f>
      </c>
      <c r="AP129" s="50">
        <f>G129*(1-1)</f>
      </c>
      <c r="AQ129" s="52" t="s">
        <v>218</v>
      </c>
      <c r="AV129" s="50">
        <f>AW129+AX129</f>
      </c>
      <c r="AW129" s="50">
        <f>F129*AO129</f>
      </c>
      <c r="AX129" s="50">
        <f>F129*AP129</f>
      </c>
      <c r="AY129" s="52" t="s">
        <v>219</v>
      </c>
      <c r="AZ129" s="52" t="s">
        <v>337</v>
      </c>
      <c r="BA129" s="28" t="s">
        <v>308</v>
      </c>
      <c r="BC129" s="50">
        <f>AW129+AX129</f>
      </c>
      <c r="BD129" s="50">
        <f>G129/(100-BE129)*100</f>
      </c>
      <c r="BE129" s="50" t="n">
        <v>0</v>
      </c>
      <c r="BF129" s="50">
        <f>129</f>
      </c>
      <c r="BH129" s="50">
        <f>F129*AO129</f>
      </c>
      <c r="BI129" s="50">
        <f>F129*AP129</f>
      </c>
      <c r="BJ129" s="50">
        <f>F129*G129</f>
      </c>
      <c r="BK129" s="50"/>
      <c r="BL129" s="50"/>
      <c r="BW129" s="50" t="n">
        <v>21</v>
      </c>
      <c r="BX129" s="14" t="s">
        <v>226</v>
      </c>
    </row>
    <row r="130">
      <c r="A130" s="9" t="s">
        <v>339</v>
      </c>
      <c r="B130" s="10" t="s">
        <v>234</v>
      </c>
      <c r="C130" s="14" t="s">
        <v>235</v>
      </c>
      <c r="D130" s="10"/>
      <c r="E130" s="10" t="s">
        <v>170</v>
      </c>
      <c r="F130" s="50" t="n">
        <v>2</v>
      </c>
      <c r="G130" s="50" t="n">
        <v>0</v>
      </c>
      <c r="H130" s="50">
        <f>F130*AO130</f>
      </c>
      <c r="I130" s="50">
        <f>F130*AP130</f>
      </c>
      <c r="J130" s="50">
        <f>F130*G130</f>
      </c>
      <c r="K130" s="51" t="s">
        <v>64</v>
      </c>
      <c r="Z130" s="50">
        <f>IF(AQ130="5",BJ130,0)</f>
      </c>
      <c r="AB130" s="50">
        <f>IF(AQ130="1",BH130,0)</f>
      </c>
      <c r="AC130" s="50">
        <f>IF(AQ130="1",BI130,0)</f>
      </c>
      <c r="AD130" s="50">
        <f>IF(AQ130="7",BH130,0)</f>
      </c>
      <c r="AE130" s="50">
        <f>IF(AQ130="7",BI130,0)</f>
      </c>
      <c r="AF130" s="50">
        <f>IF(AQ130="2",BH130,0)</f>
      </c>
      <c r="AG130" s="50">
        <f>IF(AQ130="2",BI130,0)</f>
      </c>
      <c r="AH130" s="50">
        <f>IF(AQ130="0",BJ130,0)</f>
      </c>
      <c r="AI130" s="28" t="s">
        <v>305</v>
      </c>
      <c r="AJ130" s="50">
        <f>IF(AN130=0,J130,0)</f>
      </c>
      <c r="AK130" s="50">
        <f>IF(AN130=12,J130,0)</f>
      </c>
      <c r="AL130" s="50">
        <f>IF(AN130=21,J130,0)</f>
      </c>
      <c r="AN130" s="50" t="n">
        <v>21</v>
      </c>
      <c r="AO130" s="50">
        <f>G130*1</f>
      </c>
      <c r="AP130" s="50">
        <f>G130*(1-1)</f>
      </c>
      <c r="AQ130" s="52" t="s">
        <v>218</v>
      </c>
      <c r="AV130" s="50">
        <f>AW130+AX130</f>
      </c>
      <c r="AW130" s="50">
        <f>F130*AO130</f>
      </c>
      <c r="AX130" s="50">
        <f>F130*AP130</f>
      </c>
      <c r="AY130" s="52" t="s">
        <v>219</v>
      </c>
      <c r="AZ130" s="52" t="s">
        <v>337</v>
      </c>
      <c r="BA130" s="28" t="s">
        <v>308</v>
      </c>
      <c r="BC130" s="50">
        <f>AW130+AX130</f>
      </c>
      <c r="BD130" s="50">
        <f>G130/(100-BE130)*100</f>
      </c>
      <c r="BE130" s="50" t="n">
        <v>0</v>
      </c>
      <c r="BF130" s="50">
        <f>130</f>
      </c>
      <c r="BH130" s="50">
        <f>F130*AO130</f>
      </c>
      <c r="BI130" s="50">
        <f>F130*AP130</f>
      </c>
      <c r="BJ130" s="50">
        <f>F130*G130</f>
      </c>
      <c r="BK130" s="50"/>
      <c r="BL130" s="50"/>
      <c r="BW130" s="50" t="n">
        <v>21</v>
      </c>
      <c r="BX130" s="14" t="s">
        <v>235</v>
      </c>
    </row>
    <row r="131">
      <c r="A131" s="9" t="s">
        <v>340</v>
      </c>
      <c r="B131" s="10" t="s">
        <v>237</v>
      </c>
      <c r="C131" s="14" t="s">
        <v>238</v>
      </c>
      <c r="D131" s="10"/>
      <c r="E131" s="10" t="s">
        <v>170</v>
      </c>
      <c r="F131" s="50" t="n">
        <v>2</v>
      </c>
      <c r="G131" s="50" t="n">
        <v>0</v>
      </c>
      <c r="H131" s="50">
        <f>F131*AO131</f>
      </c>
      <c r="I131" s="50">
        <f>F131*AP131</f>
      </c>
      <c r="J131" s="50">
        <f>F131*G131</f>
      </c>
      <c r="K131" s="51" t="s">
        <v>64</v>
      </c>
      <c r="Z131" s="50">
        <f>IF(AQ131="5",BJ131,0)</f>
      </c>
      <c r="AB131" s="50">
        <f>IF(AQ131="1",BH131,0)</f>
      </c>
      <c r="AC131" s="50">
        <f>IF(AQ131="1",BI131,0)</f>
      </c>
      <c r="AD131" s="50">
        <f>IF(AQ131="7",BH131,0)</f>
      </c>
      <c r="AE131" s="50">
        <f>IF(AQ131="7",BI131,0)</f>
      </c>
      <c r="AF131" s="50">
        <f>IF(AQ131="2",BH131,0)</f>
      </c>
      <c r="AG131" s="50">
        <f>IF(AQ131="2",BI131,0)</f>
      </c>
      <c r="AH131" s="50">
        <f>IF(AQ131="0",BJ131,0)</f>
      </c>
      <c r="AI131" s="28" t="s">
        <v>305</v>
      </c>
      <c r="AJ131" s="50">
        <f>IF(AN131=0,J131,0)</f>
      </c>
      <c r="AK131" s="50">
        <f>IF(AN131=12,J131,0)</f>
      </c>
      <c r="AL131" s="50">
        <f>IF(AN131=21,J131,0)</f>
      </c>
      <c r="AN131" s="50" t="n">
        <v>21</v>
      </c>
      <c r="AO131" s="50">
        <f>G131*1</f>
      </c>
      <c r="AP131" s="50">
        <f>G131*(1-1)</f>
      </c>
      <c r="AQ131" s="52" t="s">
        <v>218</v>
      </c>
      <c r="AV131" s="50">
        <f>AW131+AX131</f>
      </c>
      <c r="AW131" s="50">
        <f>F131*AO131</f>
      </c>
      <c r="AX131" s="50">
        <f>F131*AP131</f>
      </c>
      <c r="AY131" s="52" t="s">
        <v>219</v>
      </c>
      <c r="AZ131" s="52" t="s">
        <v>337</v>
      </c>
      <c r="BA131" s="28" t="s">
        <v>308</v>
      </c>
      <c r="BC131" s="50">
        <f>AW131+AX131</f>
      </c>
      <c r="BD131" s="50">
        <f>G131/(100-BE131)*100</f>
      </c>
      <c r="BE131" s="50" t="n">
        <v>0</v>
      </c>
      <c r="BF131" s="50">
        <f>131</f>
      </c>
      <c r="BH131" s="50">
        <f>F131*AO131</f>
      </c>
      <c r="BI131" s="50">
        <f>F131*AP131</f>
      </c>
      <c r="BJ131" s="50">
        <f>F131*G131</f>
      </c>
      <c r="BK131" s="50"/>
      <c r="BL131" s="50"/>
      <c r="BW131" s="50" t="n">
        <v>21</v>
      </c>
      <c r="BX131" s="14" t="s">
        <v>238</v>
      </c>
    </row>
    <row r="132" ht="24.75">
      <c r="A132" s="9" t="s">
        <v>176</v>
      </c>
      <c r="B132" s="10" t="s">
        <v>240</v>
      </c>
      <c r="C132" s="14" t="s">
        <v>341</v>
      </c>
      <c r="D132" s="10"/>
      <c r="E132" s="10" t="s">
        <v>170</v>
      </c>
      <c r="F132" s="50" t="n">
        <v>1</v>
      </c>
      <c r="G132" s="50" t="n">
        <v>0</v>
      </c>
      <c r="H132" s="50">
        <f>F132*AO132</f>
      </c>
      <c r="I132" s="50">
        <f>F132*AP132</f>
      </c>
      <c r="J132" s="50">
        <f>F132*G132</f>
      </c>
      <c r="K132" s="51" t="s">
        <v>64</v>
      </c>
      <c r="Z132" s="50">
        <f>IF(AQ132="5",BJ132,0)</f>
      </c>
      <c r="AB132" s="50">
        <f>IF(AQ132="1",BH132,0)</f>
      </c>
      <c r="AC132" s="50">
        <f>IF(AQ132="1",BI132,0)</f>
      </c>
      <c r="AD132" s="50">
        <f>IF(AQ132="7",BH132,0)</f>
      </c>
      <c r="AE132" s="50">
        <f>IF(AQ132="7",BI132,0)</f>
      </c>
      <c r="AF132" s="50">
        <f>IF(AQ132="2",BH132,0)</f>
      </c>
      <c r="AG132" s="50">
        <f>IF(AQ132="2",BI132,0)</f>
      </c>
      <c r="AH132" s="50">
        <f>IF(AQ132="0",BJ132,0)</f>
      </c>
      <c r="AI132" s="28" t="s">
        <v>305</v>
      </c>
      <c r="AJ132" s="50">
        <f>IF(AN132=0,J132,0)</f>
      </c>
      <c r="AK132" s="50">
        <f>IF(AN132=12,J132,0)</f>
      </c>
      <c r="AL132" s="50">
        <f>IF(AN132=21,J132,0)</f>
      </c>
      <c r="AN132" s="50" t="n">
        <v>21</v>
      </c>
      <c r="AO132" s="50">
        <f>G132*1</f>
      </c>
      <c r="AP132" s="50">
        <f>G132*(1-1)</f>
      </c>
      <c r="AQ132" s="52" t="s">
        <v>218</v>
      </c>
      <c r="AV132" s="50">
        <f>AW132+AX132</f>
      </c>
      <c r="AW132" s="50">
        <f>F132*AO132</f>
      </c>
      <c r="AX132" s="50">
        <f>F132*AP132</f>
      </c>
      <c r="AY132" s="52" t="s">
        <v>219</v>
      </c>
      <c r="AZ132" s="52" t="s">
        <v>337</v>
      </c>
      <c r="BA132" s="28" t="s">
        <v>308</v>
      </c>
      <c r="BC132" s="50">
        <f>AW132+AX132</f>
      </c>
      <c r="BD132" s="50">
        <f>G132/(100-BE132)*100</f>
      </c>
      <c r="BE132" s="50" t="n">
        <v>0</v>
      </c>
      <c r="BF132" s="50">
        <f>132</f>
      </c>
      <c r="BH132" s="50">
        <f>F132*AO132</f>
      </c>
      <c r="BI132" s="50">
        <f>F132*AP132</f>
      </c>
      <c r="BJ132" s="50">
        <f>F132*G132</f>
      </c>
      <c r="BK132" s="50"/>
      <c r="BL132" s="50"/>
      <c r="BW132" s="50" t="n">
        <v>21</v>
      </c>
      <c r="BX132" s="14" t="s">
        <v>341</v>
      </c>
    </row>
    <row r="133">
      <c r="A133" s="9" t="s">
        <v>342</v>
      </c>
      <c r="B133" s="10" t="s">
        <v>242</v>
      </c>
      <c r="C133" s="14" t="s">
        <v>343</v>
      </c>
      <c r="D133" s="10"/>
      <c r="E133" s="10" t="s">
        <v>170</v>
      </c>
      <c r="F133" s="50" t="n">
        <v>2</v>
      </c>
      <c r="G133" s="50" t="n">
        <v>0</v>
      </c>
      <c r="H133" s="50">
        <f>F133*AO133</f>
      </c>
      <c r="I133" s="50">
        <f>F133*AP133</f>
      </c>
      <c r="J133" s="50">
        <f>F133*G133</f>
      </c>
      <c r="K133" s="51" t="s">
        <v>64</v>
      </c>
      <c r="Z133" s="50">
        <f>IF(AQ133="5",BJ133,0)</f>
      </c>
      <c r="AB133" s="50">
        <f>IF(AQ133="1",BH133,0)</f>
      </c>
      <c r="AC133" s="50">
        <f>IF(AQ133="1",BI133,0)</f>
      </c>
      <c r="AD133" s="50">
        <f>IF(AQ133="7",BH133,0)</f>
      </c>
      <c r="AE133" s="50">
        <f>IF(AQ133="7",BI133,0)</f>
      </c>
      <c r="AF133" s="50">
        <f>IF(AQ133="2",BH133,0)</f>
      </c>
      <c r="AG133" s="50">
        <f>IF(AQ133="2",BI133,0)</f>
      </c>
      <c r="AH133" s="50">
        <f>IF(AQ133="0",BJ133,0)</f>
      </c>
      <c r="AI133" s="28" t="s">
        <v>305</v>
      </c>
      <c r="AJ133" s="50">
        <f>IF(AN133=0,J133,0)</f>
      </c>
      <c r="AK133" s="50">
        <f>IF(AN133=12,J133,0)</f>
      </c>
      <c r="AL133" s="50">
        <f>IF(AN133=21,J133,0)</f>
      </c>
      <c r="AN133" s="50" t="n">
        <v>21</v>
      </c>
      <c r="AO133" s="50">
        <f>G133*1</f>
      </c>
      <c r="AP133" s="50">
        <f>G133*(1-1)</f>
      </c>
      <c r="AQ133" s="52" t="s">
        <v>218</v>
      </c>
      <c r="AV133" s="50">
        <f>AW133+AX133</f>
      </c>
      <c r="AW133" s="50">
        <f>F133*AO133</f>
      </c>
      <c r="AX133" s="50">
        <f>F133*AP133</f>
      </c>
      <c r="AY133" s="52" t="s">
        <v>219</v>
      </c>
      <c r="AZ133" s="52" t="s">
        <v>337</v>
      </c>
      <c r="BA133" s="28" t="s">
        <v>308</v>
      </c>
      <c r="BC133" s="50">
        <f>AW133+AX133</f>
      </c>
      <c r="BD133" s="50">
        <f>G133/(100-BE133)*100</f>
      </c>
      <c r="BE133" s="50" t="n">
        <v>0</v>
      </c>
      <c r="BF133" s="50">
        <f>133</f>
      </c>
      <c r="BH133" s="50">
        <f>F133*AO133</f>
      </c>
      <c r="BI133" s="50">
        <f>F133*AP133</f>
      </c>
      <c r="BJ133" s="50">
        <f>F133*G133</f>
      </c>
      <c r="BK133" s="50"/>
      <c r="BL133" s="50"/>
      <c r="BW133" s="50" t="n">
        <v>21</v>
      </c>
      <c r="BX133" s="14" t="s">
        <v>343</v>
      </c>
    </row>
    <row r="134">
      <c r="A134" s="9" t="s">
        <v>203</v>
      </c>
      <c r="B134" s="10" t="s">
        <v>245</v>
      </c>
      <c r="C134" s="14" t="s">
        <v>246</v>
      </c>
      <c r="D134" s="10"/>
      <c r="E134" s="10" t="s">
        <v>170</v>
      </c>
      <c r="F134" s="50" t="n">
        <v>2</v>
      </c>
      <c r="G134" s="50" t="n">
        <v>0</v>
      </c>
      <c r="H134" s="50">
        <f>F134*AO134</f>
      </c>
      <c r="I134" s="50">
        <f>F134*AP134</f>
      </c>
      <c r="J134" s="50">
        <f>F134*G134</f>
      </c>
      <c r="K134" s="51" t="s">
        <v>64</v>
      </c>
      <c r="Z134" s="50">
        <f>IF(AQ134="5",BJ134,0)</f>
      </c>
      <c r="AB134" s="50">
        <f>IF(AQ134="1",BH134,0)</f>
      </c>
      <c r="AC134" s="50">
        <f>IF(AQ134="1",BI134,0)</f>
      </c>
      <c r="AD134" s="50">
        <f>IF(AQ134="7",BH134,0)</f>
      </c>
      <c r="AE134" s="50">
        <f>IF(AQ134="7",BI134,0)</f>
      </c>
      <c r="AF134" s="50">
        <f>IF(AQ134="2",BH134,0)</f>
      </c>
      <c r="AG134" s="50">
        <f>IF(AQ134="2",BI134,0)</f>
      </c>
      <c r="AH134" s="50">
        <f>IF(AQ134="0",BJ134,0)</f>
      </c>
      <c r="AI134" s="28" t="s">
        <v>305</v>
      </c>
      <c r="AJ134" s="50">
        <f>IF(AN134=0,J134,0)</f>
      </c>
      <c r="AK134" s="50">
        <f>IF(AN134=12,J134,0)</f>
      </c>
      <c r="AL134" s="50">
        <f>IF(AN134=21,J134,0)</f>
      </c>
      <c r="AN134" s="50" t="n">
        <v>21</v>
      </c>
      <c r="AO134" s="50">
        <f>G134*1</f>
      </c>
      <c r="AP134" s="50">
        <f>G134*(1-1)</f>
      </c>
      <c r="AQ134" s="52" t="s">
        <v>218</v>
      </c>
      <c r="AV134" s="50">
        <f>AW134+AX134</f>
      </c>
      <c r="AW134" s="50">
        <f>F134*AO134</f>
      </c>
      <c r="AX134" s="50">
        <f>F134*AP134</f>
      </c>
      <c r="AY134" s="52" t="s">
        <v>219</v>
      </c>
      <c r="AZ134" s="52" t="s">
        <v>337</v>
      </c>
      <c r="BA134" s="28" t="s">
        <v>308</v>
      </c>
      <c r="BC134" s="50">
        <f>AW134+AX134</f>
      </c>
      <c r="BD134" s="50">
        <f>G134/(100-BE134)*100</f>
      </c>
      <c r="BE134" s="50" t="n">
        <v>0</v>
      </c>
      <c r="BF134" s="50">
        <f>134</f>
      </c>
      <c r="BH134" s="50">
        <f>F134*AO134</f>
      </c>
      <c r="BI134" s="50">
        <f>F134*AP134</f>
      </c>
      <c r="BJ134" s="50">
        <f>F134*G134</f>
      </c>
      <c r="BK134" s="50"/>
      <c r="BL134" s="50"/>
      <c r="BW134" s="50" t="n">
        <v>21</v>
      </c>
      <c r="BX134" s="14" t="s">
        <v>246</v>
      </c>
    </row>
    <row r="135">
      <c r="A135" s="9" t="s">
        <v>344</v>
      </c>
      <c r="B135" s="10" t="s">
        <v>248</v>
      </c>
      <c r="C135" s="14" t="s">
        <v>249</v>
      </c>
      <c r="D135" s="10"/>
      <c r="E135" s="10" t="s">
        <v>170</v>
      </c>
      <c r="F135" s="50" t="n">
        <v>1</v>
      </c>
      <c r="G135" s="50" t="n">
        <v>0</v>
      </c>
      <c r="H135" s="50">
        <f>F135*AO135</f>
      </c>
      <c r="I135" s="50">
        <f>F135*AP135</f>
      </c>
      <c r="J135" s="50">
        <f>F135*G135</f>
      </c>
      <c r="K135" s="51" t="s">
        <v>64</v>
      </c>
      <c r="Z135" s="50">
        <f>IF(AQ135="5",BJ135,0)</f>
      </c>
      <c r="AB135" s="50">
        <f>IF(AQ135="1",BH135,0)</f>
      </c>
      <c r="AC135" s="50">
        <f>IF(AQ135="1",BI135,0)</f>
      </c>
      <c r="AD135" s="50">
        <f>IF(AQ135="7",BH135,0)</f>
      </c>
      <c r="AE135" s="50">
        <f>IF(AQ135="7",BI135,0)</f>
      </c>
      <c r="AF135" s="50">
        <f>IF(AQ135="2",BH135,0)</f>
      </c>
      <c r="AG135" s="50">
        <f>IF(AQ135="2",BI135,0)</f>
      </c>
      <c r="AH135" s="50">
        <f>IF(AQ135="0",BJ135,0)</f>
      </c>
      <c r="AI135" s="28" t="s">
        <v>305</v>
      </c>
      <c r="AJ135" s="50">
        <f>IF(AN135=0,J135,0)</f>
      </c>
      <c r="AK135" s="50">
        <f>IF(AN135=12,J135,0)</f>
      </c>
      <c r="AL135" s="50">
        <f>IF(AN135=21,J135,0)</f>
      </c>
      <c r="AN135" s="50" t="n">
        <v>21</v>
      </c>
      <c r="AO135" s="50">
        <f>G135*1</f>
      </c>
      <c r="AP135" s="50">
        <f>G135*(1-1)</f>
      </c>
      <c r="AQ135" s="52" t="s">
        <v>218</v>
      </c>
      <c r="AV135" s="50">
        <f>AW135+AX135</f>
      </c>
      <c r="AW135" s="50">
        <f>F135*AO135</f>
      </c>
      <c r="AX135" s="50">
        <f>F135*AP135</f>
      </c>
      <c r="AY135" s="52" t="s">
        <v>219</v>
      </c>
      <c r="AZ135" s="52" t="s">
        <v>337</v>
      </c>
      <c r="BA135" s="28" t="s">
        <v>308</v>
      </c>
      <c r="BC135" s="50">
        <f>AW135+AX135</f>
      </c>
      <c r="BD135" s="50">
        <f>G135/(100-BE135)*100</f>
      </c>
      <c r="BE135" s="50" t="n">
        <v>0</v>
      </c>
      <c r="BF135" s="50">
        <f>135</f>
      </c>
      <c r="BH135" s="50">
        <f>F135*AO135</f>
      </c>
      <c r="BI135" s="50">
        <f>F135*AP135</f>
      </c>
      <c r="BJ135" s="50">
        <f>F135*G135</f>
      </c>
      <c r="BK135" s="50"/>
      <c r="BL135" s="50"/>
      <c r="BW135" s="50" t="n">
        <v>21</v>
      </c>
      <c r="BX135" s="14" t="s">
        <v>249</v>
      </c>
    </row>
    <row r="136">
      <c r="A136" s="9" t="s">
        <v>345</v>
      </c>
      <c r="B136" s="10" t="s">
        <v>251</v>
      </c>
      <c r="C136" s="14" t="s">
        <v>252</v>
      </c>
      <c r="D136" s="10"/>
      <c r="E136" s="10" t="s">
        <v>170</v>
      </c>
      <c r="F136" s="50" t="n">
        <v>2</v>
      </c>
      <c r="G136" s="50" t="n">
        <v>0</v>
      </c>
      <c r="H136" s="50">
        <f>F136*AO136</f>
      </c>
      <c r="I136" s="50">
        <f>F136*AP136</f>
      </c>
      <c r="J136" s="50">
        <f>F136*G136</f>
      </c>
      <c r="K136" s="51" t="s">
        <v>64</v>
      </c>
      <c r="Z136" s="50">
        <f>IF(AQ136="5",BJ136,0)</f>
      </c>
      <c r="AB136" s="50">
        <f>IF(AQ136="1",BH136,0)</f>
      </c>
      <c r="AC136" s="50">
        <f>IF(AQ136="1",BI136,0)</f>
      </c>
      <c r="AD136" s="50">
        <f>IF(AQ136="7",BH136,0)</f>
      </c>
      <c r="AE136" s="50">
        <f>IF(AQ136="7",BI136,0)</f>
      </c>
      <c r="AF136" s="50">
        <f>IF(AQ136="2",BH136,0)</f>
      </c>
      <c r="AG136" s="50">
        <f>IF(AQ136="2",BI136,0)</f>
      </c>
      <c r="AH136" s="50">
        <f>IF(AQ136="0",BJ136,0)</f>
      </c>
      <c r="AI136" s="28" t="s">
        <v>305</v>
      </c>
      <c r="AJ136" s="50">
        <f>IF(AN136=0,J136,0)</f>
      </c>
      <c r="AK136" s="50">
        <f>IF(AN136=12,J136,0)</f>
      </c>
      <c r="AL136" s="50">
        <f>IF(AN136=21,J136,0)</f>
      </c>
      <c r="AN136" s="50" t="n">
        <v>21</v>
      </c>
      <c r="AO136" s="50">
        <f>G136*1</f>
      </c>
      <c r="AP136" s="50">
        <f>G136*(1-1)</f>
      </c>
      <c r="AQ136" s="52" t="s">
        <v>218</v>
      </c>
      <c r="AV136" s="50">
        <f>AW136+AX136</f>
      </c>
      <c r="AW136" s="50">
        <f>F136*AO136</f>
      </c>
      <c r="AX136" s="50">
        <f>F136*AP136</f>
      </c>
      <c r="AY136" s="52" t="s">
        <v>219</v>
      </c>
      <c r="AZ136" s="52" t="s">
        <v>337</v>
      </c>
      <c r="BA136" s="28" t="s">
        <v>308</v>
      </c>
      <c r="BC136" s="50">
        <f>AW136+AX136</f>
      </c>
      <c r="BD136" s="50">
        <f>G136/(100-BE136)*100</f>
      </c>
      <c r="BE136" s="50" t="n">
        <v>0</v>
      </c>
      <c r="BF136" s="50">
        <f>136</f>
      </c>
      <c r="BH136" s="50">
        <f>F136*AO136</f>
      </c>
      <c r="BI136" s="50">
        <f>F136*AP136</f>
      </c>
      <c r="BJ136" s="50">
        <f>F136*G136</f>
      </c>
      <c r="BK136" s="50"/>
      <c r="BL136" s="50"/>
      <c r="BW136" s="50" t="n">
        <v>21</v>
      </c>
      <c r="BX136" s="14" t="s">
        <v>252</v>
      </c>
    </row>
    <row r="137">
      <c r="A137" s="9" t="s">
        <v>346</v>
      </c>
      <c r="B137" s="10" t="s">
        <v>254</v>
      </c>
      <c r="C137" s="14" t="s">
        <v>255</v>
      </c>
      <c r="D137" s="10"/>
      <c r="E137" s="10" t="s">
        <v>170</v>
      </c>
      <c r="F137" s="50" t="n">
        <v>1</v>
      </c>
      <c r="G137" s="50" t="n">
        <v>0</v>
      </c>
      <c r="H137" s="50">
        <f>F137*AO137</f>
      </c>
      <c r="I137" s="50">
        <f>F137*AP137</f>
      </c>
      <c r="J137" s="50">
        <f>F137*G137</f>
      </c>
      <c r="K137" s="51" t="s">
        <v>64</v>
      </c>
      <c r="Z137" s="50">
        <f>IF(AQ137="5",BJ137,0)</f>
      </c>
      <c r="AB137" s="50">
        <f>IF(AQ137="1",BH137,0)</f>
      </c>
      <c r="AC137" s="50">
        <f>IF(AQ137="1",BI137,0)</f>
      </c>
      <c r="AD137" s="50">
        <f>IF(AQ137="7",BH137,0)</f>
      </c>
      <c r="AE137" s="50">
        <f>IF(AQ137="7",BI137,0)</f>
      </c>
      <c r="AF137" s="50">
        <f>IF(AQ137="2",BH137,0)</f>
      </c>
      <c r="AG137" s="50">
        <f>IF(AQ137="2",BI137,0)</f>
      </c>
      <c r="AH137" s="50">
        <f>IF(AQ137="0",BJ137,0)</f>
      </c>
      <c r="AI137" s="28" t="s">
        <v>305</v>
      </c>
      <c r="AJ137" s="50">
        <f>IF(AN137=0,J137,0)</f>
      </c>
      <c r="AK137" s="50">
        <f>IF(AN137=12,J137,0)</f>
      </c>
      <c r="AL137" s="50">
        <f>IF(AN137=21,J137,0)</f>
      </c>
      <c r="AN137" s="50" t="n">
        <v>21</v>
      </c>
      <c r="AO137" s="50">
        <f>G137*1</f>
      </c>
      <c r="AP137" s="50">
        <f>G137*(1-1)</f>
      </c>
      <c r="AQ137" s="52" t="s">
        <v>218</v>
      </c>
      <c r="AV137" s="50">
        <f>AW137+AX137</f>
      </c>
      <c r="AW137" s="50">
        <f>F137*AO137</f>
      </c>
      <c r="AX137" s="50">
        <f>F137*AP137</f>
      </c>
      <c r="AY137" s="52" t="s">
        <v>219</v>
      </c>
      <c r="AZ137" s="52" t="s">
        <v>337</v>
      </c>
      <c r="BA137" s="28" t="s">
        <v>308</v>
      </c>
      <c r="BC137" s="50">
        <f>AW137+AX137</f>
      </c>
      <c r="BD137" s="50">
        <f>G137/(100-BE137)*100</f>
      </c>
      <c r="BE137" s="50" t="n">
        <v>0</v>
      </c>
      <c r="BF137" s="50">
        <f>137</f>
      </c>
      <c r="BH137" s="50">
        <f>F137*AO137</f>
      </c>
      <c r="BI137" s="50">
        <f>F137*AP137</f>
      </c>
      <c r="BJ137" s="50">
        <f>F137*G137</f>
      </c>
      <c r="BK137" s="50"/>
      <c r="BL137" s="50"/>
      <c r="BW137" s="50" t="n">
        <v>21</v>
      </c>
      <c r="BX137" s="14" t="s">
        <v>255</v>
      </c>
    </row>
    <row r="138">
      <c r="A138" s="9" t="s">
        <v>347</v>
      </c>
      <c r="B138" s="10" t="s">
        <v>260</v>
      </c>
      <c r="C138" s="14" t="s">
        <v>261</v>
      </c>
      <c r="D138" s="10"/>
      <c r="E138" s="10" t="s">
        <v>170</v>
      </c>
      <c r="F138" s="50" t="n">
        <v>1</v>
      </c>
      <c r="G138" s="50" t="n">
        <v>0</v>
      </c>
      <c r="H138" s="50">
        <f>F138*AO138</f>
      </c>
      <c r="I138" s="50">
        <f>F138*AP138</f>
      </c>
      <c r="J138" s="50">
        <f>F138*G138</f>
      </c>
      <c r="K138" s="51" t="s">
        <v>64</v>
      </c>
      <c r="Z138" s="50">
        <f>IF(AQ138="5",BJ138,0)</f>
      </c>
      <c r="AB138" s="50">
        <f>IF(AQ138="1",BH138,0)</f>
      </c>
      <c r="AC138" s="50">
        <f>IF(AQ138="1",BI138,0)</f>
      </c>
      <c r="AD138" s="50">
        <f>IF(AQ138="7",BH138,0)</f>
      </c>
      <c r="AE138" s="50">
        <f>IF(AQ138="7",BI138,0)</f>
      </c>
      <c r="AF138" s="50">
        <f>IF(AQ138="2",BH138,0)</f>
      </c>
      <c r="AG138" s="50">
        <f>IF(AQ138="2",BI138,0)</f>
      </c>
      <c r="AH138" s="50">
        <f>IF(AQ138="0",BJ138,0)</f>
      </c>
      <c r="AI138" s="28" t="s">
        <v>305</v>
      </c>
      <c r="AJ138" s="50">
        <f>IF(AN138=0,J138,0)</f>
      </c>
      <c r="AK138" s="50">
        <f>IF(AN138=12,J138,0)</f>
      </c>
      <c r="AL138" s="50">
        <f>IF(AN138=21,J138,0)</f>
      </c>
      <c r="AN138" s="50" t="n">
        <v>21</v>
      </c>
      <c r="AO138" s="50">
        <f>G138*1</f>
      </c>
      <c r="AP138" s="50">
        <f>G138*(1-1)</f>
      </c>
      <c r="AQ138" s="52" t="s">
        <v>218</v>
      </c>
      <c r="AV138" s="50">
        <f>AW138+AX138</f>
      </c>
      <c r="AW138" s="50">
        <f>F138*AO138</f>
      </c>
      <c r="AX138" s="50">
        <f>F138*AP138</f>
      </c>
      <c r="AY138" s="52" t="s">
        <v>219</v>
      </c>
      <c r="AZ138" s="52" t="s">
        <v>337</v>
      </c>
      <c r="BA138" s="28" t="s">
        <v>308</v>
      </c>
      <c r="BC138" s="50">
        <f>AW138+AX138</f>
      </c>
      <c r="BD138" s="50">
        <f>G138/(100-BE138)*100</f>
      </c>
      <c r="BE138" s="50" t="n">
        <v>0</v>
      </c>
      <c r="BF138" s="50">
        <f>138</f>
      </c>
      <c r="BH138" s="50">
        <f>F138*AO138</f>
      </c>
      <c r="BI138" s="50">
        <f>F138*AP138</f>
      </c>
      <c r="BJ138" s="50">
        <f>F138*G138</f>
      </c>
      <c r="BK138" s="50"/>
      <c r="BL138" s="50"/>
      <c r="BW138" s="50" t="n">
        <v>21</v>
      </c>
      <c r="BX138" s="14" t="s">
        <v>261</v>
      </c>
    </row>
    <row r="139">
      <c r="A139" s="9" t="s">
        <v>348</v>
      </c>
      <c r="B139" s="10" t="s">
        <v>263</v>
      </c>
      <c r="C139" s="14" t="s">
        <v>264</v>
      </c>
      <c r="D139" s="10"/>
      <c r="E139" s="10" t="s">
        <v>170</v>
      </c>
      <c r="F139" s="50" t="n">
        <v>1</v>
      </c>
      <c r="G139" s="50" t="n">
        <v>0</v>
      </c>
      <c r="H139" s="50">
        <f>F139*AO139</f>
      </c>
      <c r="I139" s="50">
        <f>F139*AP139</f>
      </c>
      <c r="J139" s="50">
        <f>F139*G139</f>
      </c>
      <c r="K139" s="51" t="s">
        <v>64</v>
      </c>
      <c r="Z139" s="50">
        <f>IF(AQ139="5",BJ139,0)</f>
      </c>
      <c r="AB139" s="50">
        <f>IF(AQ139="1",BH139,0)</f>
      </c>
      <c r="AC139" s="50">
        <f>IF(AQ139="1",BI139,0)</f>
      </c>
      <c r="AD139" s="50">
        <f>IF(AQ139="7",BH139,0)</f>
      </c>
      <c r="AE139" s="50">
        <f>IF(AQ139="7",BI139,0)</f>
      </c>
      <c r="AF139" s="50">
        <f>IF(AQ139="2",BH139,0)</f>
      </c>
      <c r="AG139" s="50">
        <f>IF(AQ139="2",BI139,0)</f>
      </c>
      <c r="AH139" s="50">
        <f>IF(AQ139="0",BJ139,0)</f>
      </c>
      <c r="AI139" s="28" t="s">
        <v>305</v>
      </c>
      <c r="AJ139" s="50">
        <f>IF(AN139=0,J139,0)</f>
      </c>
      <c r="AK139" s="50">
        <f>IF(AN139=12,J139,0)</f>
      </c>
      <c r="AL139" s="50">
        <f>IF(AN139=21,J139,0)</f>
      </c>
      <c r="AN139" s="50" t="n">
        <v>21</v>
      </c>
      <c r="AO139" s="50">
        <f>G139*1</f>
      </c>
      <c r="AP139" s="50">
        <f>G139*(1-1)</f>
      </c>
      <c r="AQ139" s="52" t="s">
        <v>218</v>
      </c>
      <c r="AV139" s="50">
        <f>AW139+AX139</f>
      </c>
      <c r="AW139" s="50">
        <f>F139*AO139</f>
      </c>
      <c r="AX139" s="50">
        <f>F139*AP139</f>
      </c>
      <c r="AY139" s="52" t="s">
        <v>219</v>
      </c>
      <c r="AZ139" s="52" t="s">
        <v>337</v>
      </c>
      <c r="BA139" s="28" t="s">
        <v>308</v>
      </c>
      <c r="BC139" s="50">
        <f>AW139+AX139</f>
      </c>
      <c r="BD139" s="50">
        <f>G139/(100-BE139)*100</f>
      </c>
      <c r="BE139" s="50" t="n">
        <v>0</v>
      </c>
      <c r="BF139" s="50">
        <f>139</f>
      </c>
      <c r="BH139" s="50">
        <f>F139*AO139</f>
      </c>
      <c r="BI139" s="50">
        <f>F139*AP139</f>
      </c>
      <c r="BJ139" s="50">
        <f>F139*G139</f>
      </c>
      <c r="BK139" s="50"/>
      <c r="BL139" s="50"/>
      <c r="BW139" s="50" t="n">
        <v>21</v>
      </c>
      <c r="BX139" s="14" t="s">
        <v>264</v>
      </c>
    </row>
    <row r="140">
      <c r="A140" s="9" t="s">
        <v>349</v>
      </c>
      <c r="B140" s="10" t="s">
        <v>269</v>
      </c>
      <c r="C140" s="14" t="s">
        <v>270</v>
      </c>
      <c r="D140" s="10"/>
      <c r="E140" s="10" t="s">
        <v>170</v>
      </c>
      <c r="F140" s="50" t="n">
        <v>4</v>
      </c>
      <c r="G140" s="50" t="n">
        <v>0</v>
      </c>
      <c r="H140" s="50">
        <f>F140*AO140</f>
      </c>
      <c r="I140" s="50">
        <f>F140*AP140</f>
      </c>
      <c r="J140" s="50">
        <f>F140*G140</f>
      </c>
      <c r="K140" s="51" t="s">
        <v>64</v>
      </c>
      <c r="Z140" s="50">
        <f>IF(AQ140="5",BJ140,0)</f>
      </c>
      <c r="AB140" s="50">
        <f>IF(AQ140="1",BH140,0)</f>
      </c>
      <c r="AC140" s="50">
        <f>IF(AQ140="1",BI140,0)</f>
      </c>
      <c r="AD140" s="50">
        <f>IF(AQ140="7",BH140,0)</f>
      </c>
      <c r="AE140" s="50">
        <f>IF(AQ140="7",BI140,0)</f>
      </c>
      <c r="AF140" s="50">
        <f>IF(AQ140="2",BH140,0)</f>
      </c>
      <c r="AG140" s="50">
        <f>IF(AQ140="2",BI140,0)</f>
      </c>
      <c r="AH140" s="50">
        <f>IF(AQ140="0",BJ140,0)</f>
      </c>
      <c r="AI140" s="28" t="s">
        <v>305</v>
      </c>
      <c r="AJ140" s="50">
        <f>IF(AN140=0,J140,0)</f>
      </c>
      <c r="AK140" s="50">
        <f>IF(AN140=12,J140,0)</f>
      </c>
      <c r="AL140" s="50">
        <f>IF(AN140=21,J140,0)</f>
      </c>
      <c r="AN140" s="50" t="n">
        <v>21</v>
      </c>
      <c r="AO140" s="50">
        <f>G140*1</f>
      </c>
      <c r="AP140" s="50">
        <f>G140*(1-1)</f>
      </c>
      <c r="AQ140" s="52" t="s">
        <v>218</v>
      </c>
      <c r="AV140" s="50">
        <f>AW140+AX140</f>
      </c>
      <c r="AW140" s="50">
        <f>F140*AO140</f>
      </c>
      <c r="AX140" s="50">
        <f>F140*AP140</f>
      </c>
      <c r="AY140" s="52" t="s">
        <v>219</v>
      </c>
      <c r="AZ140" s="52" t="s">
        <v>337</v>
      </c>
      <c r="BA140" s="28" t="s">
        <v>308</v>
      </c>
      <c r="BC140" s="50">
        <f>AW140+AX140</f>
      </c>
      <c r="BD140" s="50">
        <f>G140/(100-BE140)*100</f>
      </c>
      <c r="BE140" s="50" t="n">
        <v>0</v>
      </c>
      <c r="BF140" s="50">
        <f>140</f>
      </c>
      <c r="BH140" s="50">
        <f>F140*AO140</f>
      </c>
      <c r="BI140" s="50">
        <f>F140*AP140</f>
      </c>
      <c r="BJ140" s="50">
        <f>F140*G140</f>
      </c>
      <c r="BK140" s="50"/>
      <c r="BL140" s="50"/>
      <c r="BW140" s="50" t="n">
        <v>21</v>
      </c>
      <c r="BX140" s="14" t="s">
        <v>270</v>
      </c>
    </row>
    <row r="141">
      <c r="A141" s="9" t="s">
        <v>350</v>
      </c>
      <c r="B141" s="10" t="s">
        <v>272</v>
      </c>
      <c r="C141" s="14" t="s">
        <v>273</v>
      </c>
      <c r="D141" s="10"/>
      <c r="E141" s="10" t="s">
        <v>170</v>
      </c>
      <c r="F141" s="50" t="n">
        <v>2</v>
      </c>
      <c r="G141" s="50" t="n">
        <v>0</v>
      </c>
      <c r="H141" s="50">
        <f>F141*AO141</f>
      </c>
      <c r="I141" s="50">
        <f>F141*AP141</f>
      </c>
      <c r="J141" s="50">
        <f>F141*G141</f>
      </c>
      <c r="K141" s="51" t="s">
        <v>64</v>
      </c>
      <c r="Z141" s="50">
        <f>IF(AQ141="5",BJ141,0)</f>
      </c>
      <c r="AB141" s="50">
        <f>IF(AQ141="1",BH141,0)</f>
      </c>
      <c r="AC141" s="50">
        <f>IF(AQ141="1",BI141,0)</f>
      </c>
      <c r="AD141" s="50">
        <f>IF(AQ141="7",BH141,0)</f>
      </c>
      <c r="AE141" s="50">
        <f>IF(AQ141="7",BI141,0)</f>
      </c>
      <c r="AF141" s="50">
        <f>IF(AQ141="2",BH141,0)</f>
      </c>
      <c r="AG141" s="50">
        <f>IF(AQ141="2",BI141,0)</f>
      </c>
      <c r="AH141" s="50">
        <f>IF(AQ141="0",BJ141,0)</f>
      </c>
      <c r="AI141" s="28" t="s">
        <v>305</v>
      </c>
      <c r="AJ141" s="50">
        <f>IF(AN141=0,J141,0)</f>
      </c>
      <c r="AK141" s="50">
        <f>IF(AN141=12,J141,0)</f>
      </c>
      <c r="AL141" s="50">
        <f>IF(AN141=21,J141,0)</f>
      </c>
      <c r="AN141" s="50" t="n">
        <v>21</v>
      </c>
      <c r="AO141" s="50">
        <f>G141*1</f>
      </c>
      <c r="AP141" s="50">
        <f>G141*(1-1)</f>
      </c>
      <c r="AQ141" s="52" t="s">
        <v>218</v>
      </c>
      <c r="AV141" s="50">
        <f>AW141+AX141</f>
      </c>
      <c r="AW141" s="50">
        <f>F141*AO141</f>
      </c>
      <c r="AX141" s="50">
        <f>F141*AP141</f>
      </c>
      <c r="AY141" s="52" t="s">
        <v>219</v>
      </c>
      <c r="AZ141" s="52" t="s">
        <v>337</v>
      </c>
      <c r="BA141" s="28" t="s">
        <v>308</v>
      </c>
      <c r="BC141" s="50">
        <f>AW141+AX141</f>
      </c>
      <c r="BD141" s="50">
        <f>G141/(100-BE141)*100</f>
      </c>
      <c r="BE141" s="50" t="n">
        <v>0</v>
      </c>
      <c r="BF141" s="50">
        <f>141</f>
      </c>
      <c r="BH141" s="50">
        <f>F141*AO141</f>
      </c>
      <c r="BI141" s="50">
        <f>F141*AP141</f>
      </c>
      <c r="BJ141" s="50">
        <f>F141*G141</f>
      </c>
      <c r="BK141" s="50"/>
      <c r="BL141" s="50"/>
      <c r="BW141" s="50" t="n">
        <v>21</v>
      </c>
      <c r="BX141" s="14" t="s">
        <v>273</v>
      </c>
    </row>
    <row r="142">
      <c r="A142" s="9" t="s">
        <v>290</v>
      </c>
      <c r="B142" s="10" t="s">
        <v>274</v>
      </c>
      <c r="C142" s="14" t="s">
        <v>275</v>
      </c>
      <c r="D142" s="10"/>
      <c r="E142" s="10" t="s">
        <v>170</v>
      </c>
      <c r="F142" s="50" t="n">
        <v>24</v>
      </c>
      <c r="G142" s="50" t="n">
        <v>0</v>
      </c>
      <c r="H142" s="50">
        <f>F142*AO142</f>
      </c>
      <c r="I142" s="50">
        <f>F142*AP142</f>
      </c>
      <c r="J142" s="50">
        <f>F142*G142</f>
      </c>
      <c r="K142" s="51" t="s">
        <v>64</v>
      </c>
      <c r="Z142" s="50">
        <f>IF(AQ142="5",BJ142,0)</f>
      </c>
      <c r="AB142" s="50">
        <f>IF(AQ142="1",BH142,0)</f>
      </c>
      <c r="AC142" s="50">
        <f>IF(AQ142="1",BI142,0)</f>
      </c>
      <c r="AD142" s="50">
        <f>IF(AQ142="7",BH142,0)</f>
      </c>
      <c r="AE142" s="50">
        <f>IF(AQ142="7",BI142,0)</f>
      </c>
      <c r="AF142" s="50">
        <f>IF(AQ142="2",BH142,0)</f>
      </c>
      <c r="AG142" s="50">
        <f>IF(AQ142="2",BI142,0)</f>
      </c>
      <c r="AH142" s="50">
        <f>IF(AQ142="0",BJ142,0)</f>
      </c>
      <c r="AI142" s="28" t="s">
        <v>305</v>
      </c>
      <c r="AJ142" s="50">
        <f>IF(AN142=0,J142,0)</f>
      </c>
      <c r="AK142" s="50">
        <f>IF(AN142=12,J142,0)</f>
      </c>
      <c r="AL142" s="50">
        <f>IF(AN142=21,J142,0)</f>
      </c>
      <c r="AN142" s="50" t="n">
        <v>21</v>
      </c>
      <c r="AO142" s="50">
        <f>G142*1</f>
      </c>
      <c r="AP142" s="50">
        <f>G142*(1-1)</f>
      </c>
      <c r="AQ142" s="52" t="s">
        <v>218</v>
      </c>
      <c r="AV142" s="50">
        <f>AW142+AX142</f>
      </c>
      <c r="AW142" s="50">
        <f>F142*AO142</f>
      </c>
      <c r="AX142" s="50">
        <f>F142*AP142</f>
      </c>
      <c r="AY142" s="52" t="s">
        <v>219</v>
      </c>
      <c r="AZ142" s="52" t="s">
        <v>337</v>
      </c>
      <c r="BA142" s="28" t="s">
        <v>308</v>
      </c>
      <c r="BC142" s="50">
        <f>AW142+AX142</f>
      </c>
      <c r="BD142" s="50">
        <f>G142/(100-BE142)*100</f>
      </c>
      <c r="BE142" s="50" t="n">
        <v>0</v>
      </c>
      <c r="BF142" s="50">
        <f>142</f>
      </c>
      <c r="BH142" s="50">
        <f>F142*AO142</f>
      </c>
      <c r="BI142" s="50">
        <f>F142*AP142</f>
      </c>
      <c r="BJ142" s="50">
        <f>F142*G142</f>
      </c>
      <c r="BK142" s="50"/>
      <c r="BL142" s="50"/>
      <c r="BW142" s="50" t="n">
        <v>21</v>
      </c>
      <c r="BX142" s="14" t="s">
        <v>275</v>
      </c>
    </row>
    <row r="143">
      <c r="A143" s="9" t="s">
        <v>351</v>
      </c>
      <c r="B143" s="10" t="s">
        <v>276</v>
      </c>
      <c r="C143" s="14" t="s">
        <v>277</v>
      </c>
      <c r="D143" s="10"/>
      <c r="E143" s="10" t="s">
        <v>170</v>
      </c>
      <c r="F143" s="50" t="n">
        <v>48</v>
      </c>
      <c r="G143" s="50" t="n">
        <v>0</v>
      </c>
      <c r="H143" s="50">
        <f>F143*AO143</f>
      </c>
      <c r="I143" s="50">
        <f>F143*AP143</f>
      </c>
      <c r="J143" s="50">
        <f>F143*G143</f>
      </c>
      <c r="K143" s="51" t="s">
        <v>64</v>
      </c>
      <c r="Z143" s="50">
        <f>IF(AQ143="5",BJ143,0)</f>
      </c>
      <c r="AB143" s="50">
        <f>IF(AQ143="1",BH143,0)</f>
      </c>
      <c r="AC143" s="50">
        <f>IF(AQ143="1",BI143,0)</f>
      </c>
      <c r="AD143" s="50">
        <f>IF(AQ143="7",BH143,0)</f>
      </c>
      <c r="AE143" s="50">
        <f>IF(AQ143="7",BI143,0)</f>
      </c>
      <c r="AF143" s="50">
        <f>IF(AQ143="2",BH143,0)</f>
      </c>
      <c r="AG143" s="50">
        <f>IF(AQ143="2",BI143,0)</f>
      </c>
      <c r="AH143" s="50">
        <f>IF(AQ143="0",BJ143,0)</f>
      </c>
      <c r="AI143" s="28" t="s">
        <v>305</v>
      </c>
      <c r="AJ143" s="50">
        <f>IF(AN143=0,J143,0)</f>
      </c>
      <c r="AK143" s="50">
        <f>IF(AN143=12,J143,0)</f>
      </c>
      <c r="AL143" s="50">
        <f>IF(AN143=21,J143,0)</f>
      </c>
      <c r="AN143" s="50" t="n">
        <v>21</v>
      </c>
      <c r="AO143" s="50">
        <f>G143*1</f>
      </c>
      <c r="AP143" s="50">
        <f>G143*(1-1)</f>
      </c>
      <c r="AQ143" s="52" t="s">
        <v>218</v>
      </c>
      <c r="AV143" s="50">
        <f>AW143+AX143</f>
      </c>
      <c r="AW143" s="50">
        <f>F143*AO143</f>
      </c>
      <c r="AX143" s="50">
        <f>F143*AP143</f>
      </c>
      <c r="AY143" s="52" t="s">
        <v>219</v>
      </c>
      <c r="AZ143" s="52" t="s">
        <v>337</v>
      </c>
      <c r="BA143" s="28" t="s">
        <v>308</v>
      </c>
      <c r="BC143" s="50">
        <f>AW143+AX143</f>
      </c>
      <c r="BD143" s="50">
        <f>G143/(100-BE143)*100</f>
      </c>
      <c r="BE143" s="50" t="n">
        <v>0</v>
      </c>
      <c r="BF143" s="50">
        <f>143</f>
      </c>
      <c r="BH143" s="50">
        <f>F143*AO143</f>
      </c>
      <c r="BI143" s="50">
        <f>F143*AP143</f>
      </c>
      <c r="BJ143" s="50">
        <f>F143*G143</f>
      </c>
      <c r="BK143" s="50"/>
      <c r="BL143" s="50"/>
      <c r="BW143" s="50" t="n">
        <v>21</v>
      </c>
      <c r="BX143" s="14" t="s">
        <v>277</v>
      </c>
    </row>
    <row r="144">
      <c r="A144" s="9" t="s">
        <v>352</v>
      </c>
      <c r="B144" s="10" t="s">
        <v>279</v>
      </c>
      <c r="C144" s="14" t="s">
        <v>280</v>
      </c>
      <c r="D144" s="10"/>
      <c r="E144" s="10" t="s">
        <v>281</v>
      </c>
      <c r="F144" s="50" t="n">
        <v>0.36</v>
      </c>
      <c r="G144" s="50" t="n">
        <v>0</v>
      </c>
      <c r="H144" s="50">
        <f>F144*AO144</f>
      </c>
      <c r="I144" s="50">
        <f>F144*AP144</f>
      </c>
      <c r="J144" s="50">
        <f>F144*G144</f>
      </c>
      <c r="K144" s="51" t="s">
        <v>64</v>
      </c>
      <c r="Z144" s="50">
        <f>IF(AQ144="5",BJ144,0)</f>
      </c>
      <c r="AB144" s="50">
        <f>IF(AQ144="1",BH144,0)</f>
      </c>
      <c r="AC144" s="50">
        <f>IF(AQ144="1",BI144,0)</f>
      </c>
      <c r="AD144" s="50">
        <f>IF(AQ144="7",BH144,0)</f>
      </c>
      <c r="AE144" s="50">
        <f>IF(AQ144="7",BI144,0)</f>
      </c>
      <c r="AF144" s="50">
        <f>IF(AQ144="2",BH144,0)</f>
      </c>
      <c r="AG144" s="50">
        <f>IF(AQ144="2",BI144,0)</f>
      </c>
      <c r="AH144" s="50">
        <f>IF(AQ144="0",BJ144,0)</f>
      </c>
      <c r="AI144" s="28" t="s">
        <v>305</v>
      </c>
      <c r="AJ144" s="50">
        <f>IF(AN144=0,J144,0)</f>
      </c>
      <c r="AK144" s="50">
        <f>IF(AN144=12,J144,0)</f>
      </c>
      <c r="AL144" s="50">
        <f>IF(AN144=21,J144,0)</f>
      </c>
      <c r="AN144" s="50" t="n">
        <v>21</v>
      </c>
      <c r="AO144" s="50">
        <f>G144*1</f>
      </c>
      <c r="AP144" s="50">
        <f>G144*(1-1)</f>
      </c>
      <c r="AQ144" s="52" t="s">
        <v>218</v>
      </c>
      <c r="AV144" s="50">
        <f>AW144+AX144</f>
      </c>
      <c r="AW144" s="50">
        <f>F144*AO144</f>
      </c>
      <c r="AX144" s="50">
        <f>F144*AP144</f>
      </c>
      <c r="AY144" s="52" t="s">
        <v>219</v>
      </c>
      <c r="AZ144" s="52" t="s">
        <v>337</v>
      </c>
      <c r="BA144" s="28" t="s">
        <v>308</v>
      </c>
      <c r="BC144" s="50">
        <f>AW144+AX144</f>
      </c>
      <c r="BD144" s="50">
        <f>G144/(100-BE144)*100</f>
      </c>
      <c r="BE144" s="50" t="n">
        <v>0</v>
      </c>
      <c r="BF144" s="50">
        <f>144</f>
      </c>
      <c r="BH144" s="50">
        <f>F144*AO144</f>
      </c>
      <c r="BI144" s="50">
        <f>F144*AP144</f>
      </c>
      <c r="BJ144" s="50">
        <f>F144*G144</f>
      </c>
      <c r="BK144" s="50"/>
      <c r="BL144" s="50"/>
      <c r="BW144" s="50" t="n">
        <v>21</v>
      </c>
      <c r="BX144" s="14" t="s">
        <v>280</v>
      </c>
    </row>
    <row r="145">
      <c r="A145" s="45" t="s">
        <v>55</v>
      </c>
      <c r="B145" s="46" t="s">
        <v>282</v>
      </c>
      <c r="C145" s="47" t="s">
        <v>283</v>
      </c>
      <c r="D145" s="46"/>
      <c r="E145" s="48" t="s">
        <v>36</v>
      </c>
      <c r="F145" s="48" t="s">
        <v>36</v>
      </c>
      <c r="G145" s="48" t="s">
        <v>36</v>
      </c>
      <c r="H145" s="2">
        <f>H146+H148</f>
      </c>
      <c r="I145" s="2">
        <f>I146+I148</f>
      </c>
      <c r="J145" s="2">
        <f>J146+J148</f>
      </c>
      <c r="K145" s="49" t="s">
        <v>55</v>
      </c>
      <c r="AI145" s="28" t="s">
        <v>305</v>
      </c>
    </row>
    <row r="146">
      <c r="A146" s="45" t="s">
        <v>55</v>
      </c>
      <c r="B146" s="46" t="s">
        <v>284</v>
      </c>
      <c r="C146" s="47" t="s">
        <v>285</v>
      </c>
      <c r="D146" s="46"/>
      <c r="E146" s="48" t="s">
        <v>36</v>
      </c>
      <c r="F146" s="48" t="s">
        <v>36</v>
      </c>
      <c r="G146" s="48" t="s">
        <v>36</v>
      </c>
      <c r="H146" s="2">
        <f>SUM(H147:H147)</f>
      </c>
      <c r="I146" s="2">
        <f>SUM(I147:I147)</f>
      </c>
      <c r="J146" s="2">
        <f>SUM(J147:J147)</f>
      </c>
      <c r="K146" s="49" t="s">
        <v>55</v>
      </c>
      <c r="AI146" s="28" t="s">
        <v>305</v>
      </c>
      <c r="AS146" s="2">
        <f>SUM(AJ147:AJ147)</f>
      </c>
      <c r="AT146" s="2">
        <f>SUM(AK147:AK147)</f>
      </c>
      <c r="AU146" s="2">
        <f>SUM(AL147:AL147)</f>
      </c>
    </row>
    <row r="147">
      <c r="A147" s="9" t="s">
        <v>353</v>
      </c>
      <c r="B147" s="10" t="s">
        <v>287</v>
      </c>
      <c r="C147" s="14" t="s">
        <v>288</v>
      </c>
      <c r="D147" s="10"/>
      <c r="E147" s="10" t="s">
        <v>289</v>
      </c>
      <c r="F147" s="50" t="n">
        <v>1</v>
      </c>
      <c r="G147" s="50" t="n">
        <v>0</v>
      </c>
      <c r="H147" s="50">
        <f>F147*AO147</f>
      </c>
      <c r="I147" s="50">
        <f>F147*AP147</f>
      </c>
      <c r="J147" s="50">
        <f>F147*G147</f>
      </c>
      <c r="K147" s="51" t="s">
        <v>117</v>
      </c>
      <c r="Z147" s="50">
        <f>IF(AQ147="5",BJ147,0)</f>
      </c>
      <c r="AB147" s="50">
        <f>IF(AQ147="1",BH147,0)</f>
      </c>
      <c r="AC147" s="50">
        <f>IF(AQ147="1",BI147,0)</f>
      </c>
      <c r="AD147" s="50">
        <f>IF(AQ147="7",BH147,0)</f>
      </c>
      <c r="AE147" s="50">
        <f>IF(AQ147="7",BI147,0)</f>
      </c>
      <c r="AF147" s="50">
        <f>IF(AQ147="2",BH147,0)</f>
      </c>
      <c r="AG147" s="50">
        <f>IF(AQ147="2",BI147,0)</f>
      </c>
      <c r="AH147" s="50">
        <f>IF(AQ147="0",BJ147,0)</f>
      </c>
      <c r="AI147" s="28" t="s">
        <v>305</v>
      </c>
      <c r="AJ147" s="50">
        <f>IF(AN147=0,J147,0)</f>
      </c>
      <c r="AK147" s="50">
        <f>IF(AN147=12,J147,0)</f>
      </c>
      <c r="AL147" s="50">
        <f>IF(AN147=21,J147,0)</f>
      </c>
      <c r="AN147" s="50" t="n">
        <v>21</v>
      </c>
      <c r="AO147" s="50">
        <f>G147*0</f>
      </c>
      <c r="AP147" s="50">
        <f>G147*(1-0)</f>
      </c>
      <c r="AQ147" s="52" t="s">
        <v>290</v>
      </c>
      <c r="AV147" s="50">
        <f>AW147+AX147</f>
      </c>
      <c r="AW147" s="50">
        <f>F147*AO147</f>
      </c>
      <c r="AX147" s="50">
        <f>F147*AP147</f>
      </c>
      <c r="AY147" s="52" t="s">
        <v>291</v>
      </c>
      <c r="AZ147" s="52" t="s">
        <v>354</v>
      </c>
      <c r="BA147" s="28" t="s">
        <v>308</v>
      </c>
      <c r="BC147" s="50">
        <f>AW147+AX147</f>
      </c>
      <c r="BD147" s="50">
        <f>G147/(100-BE147)*100</f>
      </c>
      <c r="BE147" s="50" t="n">
        <v>0</v>
      </c>
      <c r="BF147" s="50">
        <f>147</f>
      </c>
      <c r="BH147" s="50">
        <f>F147*AO147</f>
      </c>
      <c r="BI147" s="50">
        <f>F147*AP147</f>
      </c>
      <c r="BJ147" s="50">
        <f>F147*G147</f>
      </c>
      <c r="BK147" s="50"/>
      <c r="BL147" s="50"/>
      <c r="BM147" s="50">
        <f>F147*G147</f>
      </c>
      <c r="BW147" s="50" t="n">
        <v>21</v>
      </c>
      <c r="BX147" s="14" t="s">
        <v>288</v>
      </c>
    </row>
    <row r="148">
      <c r="A148" s="45" t="s">
        <v>55</v>
      </c>
      <c r="B148" s="46" t="s">
        <v>298</v>
      </c>
      <c r="C148" s="47" t="s">
        <v>299</v>
      </c>
      <c r="D148" s="46"/>
      <c r="E148" s="48" t="s">
        <v>36</v>
      </c>
      <c r="F148" s="48" t="s">
        <v>36</v>
      </c>
      <c r="G148" s="48" t="s">
        <v>36</v>
      </c>
      <c r="H148" s="2">
        <f>SUM(H149:H149)</f>
      </c>
      <c r="I148" s="2">
        <f>SUM(I149:I149)</f>
      </c>
      <c r="J148" s="2">
        <f>SUM(J149:J149)</f>
      </c>
      <c r="K148" s="49" t="s">
        <v>55</v>
      </c>
      <c r="AI148" s="28" t="s">
        <v>305</v>
      </c>
      <c r="AS148" s="2">
        <f>SUM(AJ149:AJ149)</f>
      </c>
      <c r="AT148" s="2">
        <f>SUM(AK149:AK149)</f>
      </c>
      <c r="AU148" s="2">
        <f>SUM(AL149:AL149)</f>
      </c>
    </row>
    <row r="149">
      <c r="A149" s="53" t="s">
        <v>355</v>
      </c>
      <c r="B149" s="54" t="s">
        <v>301</v>
      </c>
      <c r="C149" s="55" t="s">
        <v>302</v>
      </c>
      <c r="D149" s="54"/>
      <c r="E149" s="54" t="s">
        <v>289</v>
      </c>
      <c r="F149" s="56" t="n">
        <v>1</v>
      </c>
      <c r="G149" s="56" t="n">
        <v>0</v>
      </c>
      <c r="H149" s="56">
        <f>F149*AO149</f>
      </c>
      <c r="I149" s="56">
        <f>F149*AP149</f>
      </c>
      <c r="J149" s="56">
        <f>F149*G149</f>
      </c>
      <c r="K149" s="57" t="s">
        <v>117</v>
      </c>
      <c r="Z149" s="50">
        <f>IF(AQ149="5",BJ149,0)</f>
      </c>
      <c r="AB149" s="50">
        <f>IF(AQ149="1",BH149,0)</f>
      </c>
      <c r="AC149" s="50">
        <f>IF(AQ149="1",BI149,0)</f>
      </c>
      <c r="AD149" s="50">
        <f>IF(AQ149="7",BH149,0)</f>
      </c>
      <c r="AE149" s="50">
        <f>IF(AQ149="7",BI149,0)</f>
      </c>
      <c r="AF149" s="50">
        <f>IF(AQ149="2",BH149,0)</f>
      </c>
      <c r="AG149" s="50">
        <f>IF(AQ149="2",BI149,0)</f>
      </c>
      <c r="AH149" s="50">
        <f>IF(AQ149="0",BJ149,0)</f>
      </c>
      <c r="AI149" s="28" t="s">
        <v>305</v>
      </c>
      <c r="AJ149" s="50">
        <f>IF(AN149=0,J149,0)</f>
      </c>
      <c r="AK149" s="50">
        <f>IF(AN149=12,J149,0)</f>
      </c>
      <c r="AL149" s="50">
        <f>IF(AN149=21,J149,0)</f>
      </c>
      <c r="AN149" s="50" t="n">
        <v>21</v>
      </c>
      <c r="AO149" s="50">
        <f>G149*0</f>
      </c>
      <c r="AP149" s="50">
        <f>G149*(1-0)</f>
      </c>
      <c r="AQ149" s="52" t="s">
        <v>290</v>
      </c>
      <c r="AV149" s="50">
        <f>AW149+AX149</f>
      </c>
      <c r="AW149" s="50">
        <f>F149*AO149</f>
      </c>
      <c r="AX149" s="50">
        <f>F149*AP149</f>
      </c>
      <c r="AY149" s="52" t="s">
        <v>303</v>
      </c>
      <c r="AZ149" s="52" t="s">
        <v>354</v>
      </c>
      <c r="BA149" s="28" t="s">
        <v>308</v>
      </c>
      <c r="BC149" s="50">
        <f>AW149+AX149</f>
      </c>
      <c r="BD149" s="50">
        <f>G149/(100-BE149)*100</f>
      </c>
      <c r="BE149" s="50" t="n">
        <v>0</v>
      </c>
      <c r="BF149" s="50">
        <f>149</f>
      </c>
      <c r="BH149" s="50">
        <f>F149*AO149</f>
      </c>
      <c r="BI149" s="50">
        <f>F149*AP149</f>
      </c>
      <c r="BJ149" s="50">
        <f>F149*G149</f>
      </c>
      <c r="BK149" s="50"/>
      <c r="BL149" s="50"/>
      <c r="BR149" s="50">
        <f>F149*G149</f>
      </c>
      <c r="BW149" s="50" t="n">
        <v>21</v>
      </c>
      <c r="BX149" s="14" t="s">
        <v>302</v>
      </c>
    </row>
    <row r="150">
      <c r="H150" s="58" t="s">
        <v>356</v>
      </c>
      <c r="I150" s="58"/>
      <c r="J150" s="59">
        <f>ROUND(J13+J17+J19+J25+J28+J32+J36+J39+J41+J44+J47+J50+J59+J62+J86+J88+J90+J93+J95+J97+J100+J102+J104+J108+J111+J113+J116+J118+J127+J146+J148,0)</f>
      </c>
    </row>
    <row r="151">
      <c r="A151" s="60" t="s">
        <v>357</v>
      </c>
    </row>
    <row r="152" customHeight="true" ht="12.75">
      <c r="A152" s="14" t="s">
        <v>55</v>
      </c>
      <c r="B152" s="10"/>
      <c r="C152" s="10"/>
      <c r="D152" s="10"/>
      <c r="E152" s="10"/>
      <c r="F152" s="10"/>
      <c r="G152" s="10"/>
      <c r="H152" s="10"/>
      <c r="I152" s="10"/>
      <c r="J152" s="10"/>
      <c r="K152" s="10"/>
    </row>
  </sheetData>
  <mergeCells>
    <mergeCell ref="A1:K1"/>
    <mergeCell ref="A2:B3"/>
    <mergeCell ref="A4:B5"/>
    <mergeCell ref="A6:B7"/>
    <mergeCell ref="A8:B9"/>
    <mergeCell ref="E2:F3"/>
    <mergeCell ref="E4:F5"/>
    <mergeCell ref="E6:F7"/>
    <mergeCell ref="E8:F9"/>
    <mergeCell ref="H2:H3"/>
    <mergeCell ref="H4:H5"/>
    <mergeCell ref="H6:H7"/>
    <mergeCell ref="H8:H9"/>
    <mergeCell ref="C2:D3"/>
    <mergeCell ref="C4:D5"/>
    <mergeCell ref="C6:D7"/>
    <mergeCell ref="C8:D9"/>
    <mergeCell ref="G2:G3"/>
    <mergeCell ref="G4:G5"/>
    <mergeCell ref="G6:G7"/>
    <mergeCell ref="G8:G9"/>
    <mergeCell ref="I2:K3"/>
    <mergeCell ref="I4:K5"/>
    <mergeCell ref="I6:K7"/>
    <mergeCell ref="I8:K9"/>
    <mergeCell ref="C10:D10"/>
    <mergeCell ref="C11:D11"/>
    <mergeCell ref="H10:J10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C73:D73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  <mergeCell ref="C85:D85"/>
    <mergeCell ref="C86:D86"/>
    <mergeCell ref="C87:D87"/>
    <mergeCell ref="C88:D88"/>
    <mergeCell ref="C89:D89"/>
    <mergeCell ref="C90:D90"/>
    <mergeCell ref="C91:D91"/>
    <mergeCell ref="C92:D92"/>
    <mergeCell ref="C93:D93"/>
    <mergeCell ref="C94:D94"/>
    <mergeCell ref="C95:D95"/>
    <mergeCell ref="C96:D96"/>
    <mergeCell ref="C97:D97"/>
    <mergeCell ref="C98:D98"/>
    <mergeCell ref="C99:D99"/>
    <mergeCell ref="C100:D100"/>
    <mergeCell ref="C101:D101"/>
    <mergeCell ref="C102:D102"/>
    <mergeCell ref="C103:D103"/>
    <mergeCell ref="C104:D104"/>
    <mergeCell ref="C105:D105"/>
    <mergeCell ref="C106:D106"/>
    <mergeCell ref="C107:D107"/>
    <mergeCell ref="C108:D108"/>
    <mergeCell ref="C109:D109"/>
    <mergeCell ref="C110:D110"/>
    <mergeCell ref="C111:D111"/>
    <mergeCell ref="C112:D112"/>
    <mergeCell ref="C113:D113"/>
    <mergeCell ref="C114:D114"/>
    <mergeCell ref="C115:D115"/>
    <mergeCell ref="C116:D116"/>
    <mergeCell ref="C117:D117"/>
    <mergeCell ref="C118:D118"/>
    <mergeCell ref="C119:D119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29:D129"/>
    <mergeCell ref="C130:D130"/>
    <mergeCell ref="C131:D131"/>
    <mergeCell ref="C132:D132"/>
    <mergeCell ref="C133:D133"/>
    <mergeCell ref="C134:D134"/>
    <mergeCell ref="C135:D135"/>
    <mergeCell ref="C136:D136"/>
    <mergeCell ref="C137:D137"/>
    <mergeCell ref="C138:D138"/>
    <mergeCell ref="C139:D139"/>
    <mergeCell ref="C140:D140"/>
    <mergeCell ref="C141:D141"/>
    <mergeCell ref="C142:D142"/>
    <mergeCell ref="C143:D143"/>
    <mergeCell ref="C144:D144"/>
    <mergeCell ref="C145:D145"/>
    <mergeCell ref="C146:D146"/>
    <mergeCell ref="C147:D147"/>
    <mergeCell ref="C148:D148"/>
    <mergeCell ref="C149:D149"/>
    <mergeCell ref="H150:I150"/>
    <mergeCell ref="A152:K152"/>
  </mergeCells>
  <pageMargins left="0.393999993801117" top="0.591000020503998" right="0.393999993801117" bottom="0.591000020503998" header="0" footer="0"/>
  <pageSetup orientation="landscape" fitToHeight="0" fitToWidth="1" cellComments="none"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true" summaryRight="true"/>
    <pageSetUpPr fitToPage="true"/>
  </sheetPr>
  <dimension ref="A1:H217"/>
  <sheetViews>
    <sheetView workbookViewId="0" showZeros="true" showFormulas="false" showGridLines="true" showRowColHeaders="true">
      <selection sqref="A217:G217" activeCell="A217"/>
    </sheetView>
  </sheetViews>
  <sheetFormatPr defaultColWidth="12.140625" customHeight="true" defaultRowHeight="15"/>
  <cols>
    <col max="2" min="1" style="0" width="9.140625" customWidth="true"/>
    <col max="3" min="3" style="0" width="14.28515625" customWidth="true"/>
    <col max="4" min="4" style="0" width="42.85546875" customWidth="true"/>
    <col max="5" min="5" style="0" width="33.42578125" customWidth="true"/>
    <col max="6" min="6" style="0" width="24.140625" customWidth="true"/>
    <col max="7" min="7" style="0" width="15.7109375" customWidth="true"/>
    <col max="8" min="8" style="0" width="19.99609375" customWidth="true"/>
  </cols>
  <sheetData>
    <row r="1" customHeight="true" ht="54.75">
      <c r="A1" s="1" t="s">
        <v>358</v>
      </c>
      <c r="B1" s="1"/>
      <c r="C1" s="1"/>
      <c r="D1" s="1"/>
      <c r="E1" s="1"/>
      <c r="F1" s="1"/>
      <c r="G1" s="1"/>
      <c r="H1" s="1"/>
    </row>
    <row r="2">
      <c r="A2" s="3" t="s">
        <v>1</v>
      </c>
      <c r="B2" s="4"/>
      <c r="C2" s="5">
        <f>'Stavební rozpočet'!C2</f>
      </c>
      <c r="D2" s="6"/>
      <c r="E2" s="7" t="s">
        <v>5</v>
      </c>
      <c r="F2" s="7">
        <f>'Stavební rozpočet'!I2</f>
      </c>
      <c r="G2" s="4"/>
      <c r="H2" s="8"/>
    </row>
    <row r="3" customHeight="true" ht="15">
      <c r="A3" s="9"/>
      <c r="B3" s="10"/>
      <c r="C3" s="11"/>
      <c r="D3" s="11"/>
      <c r="E3" s="10"/>
      <c r="F3" s="10"/>
      <c r="G3" s="10"/>
      <c r="H3" s="12"/>
    </row>
    <row r="4">
      <c r="A4" s="13" t="s">
        <v>7</v>
      </c>
      <c r="B4" s="10"/>
      <c r="C4" s="14">
        <f>'Stavební rozpočet'!C4</f>
      </c>
      <c r="D4" s="10"/>
      <c r="E4" s="14" t="s">
        <v>11</v>
      </c>
      <c r="F4" s="14">
        <f>'Stavební rozpočet'!I4</f>
      </c>
      <c r="G4" s="10"/>
      <c r="H4" s="12"/>
    </row>
    <row r="5" customHeight="true" ht="15">
      <c r="A5" s="9"/>
      <c r="B5" s="10"/>
      <c r="C5" s="10"/>
      <c r="D5" s="10"/>
      <c r="E5" s="10"/>
      <c r="F5" s="10"/>
      <c r="G5" s="10"/>
      <c r="H5" s="12"/>
    </row>
    <row r="6">
      <c r="A6" s="13" t="s">
        <v>13</v>
      </c>
      <c r="B6" s="10"/>
      <c r="C6" s="14">
        <f>'Stavební rozpočet'!C6</f>
      </c>
      <c r="D6" s="10"/>
      <c r="E6" s="14" t="s">
        <v>17</v>
      </c>
      <c r="F6" s="14">
        <f>'Stavební rozpočet'!I6</f>
      </c>
      <c r="G6" s="10"/>
      <c r="H6" s="12"/>
    </row>
    <row r="7" customHeight="true" ht="15">
      <c r="A7" s="9"/>
      <c r="B7" s="10"/>
      <c r="C7" s="10"/>
      <c r="D7" s="10"/>
      <c r="E7" s="10"/>
      <c r="F7" s="10"/>
      <c r="G7" s="10"/>
      <c r="H7" s="12"/>
    </row>
    <row r="8">
      <c r="A8" s="13" t="s">
        <v>23</v>
      </c>
      <c r="B8" s="10"/>
      <c r="C8" s="14">
        <f>'Stavební rozpočet'!I8</f>
      </c>
      <c r="D8" s="10"/>
      <c r="E8" s="14" t="s">
        <v>21</v>
      </c>
      <c r="F8" s="14">
        <f>'Stavební rozpočet'!G8</f>
      </c>
      <c r="G8" s="10"/>
      <c r="H8" s="12"/>
    </row>
    <row r="9">
      <c r="A9" s="15"/>
      <c r="B9" s="16"/>
      <c r="C9" s="16"/>
      <c r="D9" s="16"/>
      <c r="E9" s="16"/>
      <c r="F9" s="16"/>
      <c r="G9" s="16"/>
      <c r="H9" s="17"/>
    </row>
    <row r="10">
      <c r="A10" s="61" t="s">
        <v>25</v>
      </c>
      <c r="B10" s="62" t="s">
        <v>359</v>
      </c>
      <c r="C10" s="62" t="s">
        <v>26</v>
      </c>
      <c r="D10" s="63" t="s">
        <v>27</v>
      </c>
      <c r="E10" s="64"/>
      <c r="F10" s="62" t="s">
        <v>28</v>
      </c>
      <c r="G10" s="65" t="s">
        <v>29</v>
      </c>
      <c r="H10" s="66" t="s">
        <v>360</v>
      </c>
    </row>
    <row r="11">
      <c r="A11" s="67" t="s">
        <v>55</v>
      </c>
      <c r="B11" s="40" t="s">
        <v>59</v>
      </c>
      <c r="C11" s="40" t="s">
        <v>55</v>
      </c>
      <c r="D11" s="40" t="s">
        <v>56</v>
      </c>
      <c r="E11" s="40"/>
      <c r="F11" s="40" t="s">
        <v>55</v>
      </c>
      <c r="G11" s="68" t="s">
        <v>55</v>
      </c>
      <c r="H11" s="44" t="s">
        <v>55</v>
      </c>
    </row>
    <row r="12">
      <c r="A12" s="9" t="s">
        <v>60</v>
      </c>
      <c r="B12" s="10" t="s">
        <v>59</v>
      </c>
      <c r="C12" s="10" t="s">
        <v>61</v>
      </c>
      <c r="D12" s="10" t="s">
        <v>62</v>
      </c>
      <c r="E12" s="10"/>
      <c r="F12" s="10" t="s">
        <v>63</v>
      </c>
      <c r="G12" s="50" t="n">
        <v>8</v>
      </c>
      <c r="H12" s="69" t="n">
        <v>0</v>
      </c>
    </row>
    <row r="13">
      <c r="A13" s="70"/>
      <c r="D13" s="71" t="s">
        <v>96</v>
      </c>
      <c r="E13" s="71" t="s">
        <v>55</v>
      </c>
      <c r="F13" s="71"/>
      <c r="G13" s="72" t="n">
        <v>8</v>
      </c>
      <c r="H13" s="73"/>
    </row>
    <row r="14">
      <c r="A14" s="9" t="s">
        <v>68</v>
      </c>
      <c r="B14" s="10" t="s">
        <v>59</v>
      </c>
      <c r="C14" s="10" t="s">
        <v>69</v>
      </c>
      <c r="D14" s="10" t="s">
        <v>70</v>
      </c>
      <c r="E14" s="10"/>
      <c r="F14" s="10" t="s">
        <v>71</v>
      </c>
      <c r="G14" s="50" t="n">
        <v>4</v>
      </c>
      <c r="H14" s="69" t="n">
        <v>0</v>
      </c>
    </row>
    <row r="15">
      <c r="A15" s="70"/>
      <c r="D15" s="71" t="s">
        <v>79</v>
      </c>
      <c r="E15" s="71" t="s">
        <v>55</v>
      </c>
      <c r="F15" s="71"/>
      <c r="G15" s="72" t="n">
        <v>4</v>
      </c>
      <c r="H15" s="73"/>
    </row>
    <row r="16">
      <c r="A16" s="9" t="s">
        <v>72</v>
      </c>
      <c r="B16" s="10" t="s">
        <v>59</v>
      </c>
      <c r="C16" s="10" t="s">
        <v>73</v>
      </c>
      <c r="D16" s="10" t="s">
        <v>74</v>
      </c>
      <c r="E16" s="10"/>
      <c r="F16" s="10" t="s">
        <v>75</v>
      </c>
      <c r="G16" s="50" t="n">
        <v>25</v>
      </c>
      <c r="H16" s="69" t="n">
        <v>0</v>
      </c>
    </row>
    <row r="17">
      <c r="A17" s="70"/>
      <c r="D17" s="71" t="s">
        <v>167</v>
      </c>
      <c r="E17" s="71" t="s">
        <v>55</v>
      </c>
      <c r="F17" s="71"/>
      <c r="G17" s="72" t="n">
        <v>25</v>
      </c>
      <c r="H17" s="73"/>
    </row>
    <row r="18">
      <c r="A18" s="9" t="s">
        <v>79</v>
      </c>
      <c r="B18" s="10" t="s">
        <v>59</v>
      </c>
      <c r="C18" s="10" t="s">
        <v>80</v>
      </c>
      <c r="D18" s="10" t="s">
        <v>81</v>
      </c>
      <c r="E18" s="10"/>
      <c r="F18" s="10" t="s">
        <v>82</v>
      </c>
      <c r="G18" s="50" t="n">
        <v>1.5</v>
      </c>
      <c r="H18" s="69" t="n">
        <v>0</v>
      </c>
    </row>
    <row r="19">
      <c r="A19" s="70"/>
      <c r="D19" s="71" t="s">
        <v>361</v>
      </c>
      <c r="E19" s="71" t="s">
        <v>55</v>
      </c>
      <c r="F19" s="71"/>
      <c r="G19" s="72" t="n">
        <v>1.5</v>
      </c>
      <c r="H19" s="73"/>
    </row>
    <row r="20">
      <c r="A20" s="9" t="s">
        <v>86</v>
      </c>
      <c r="B20" s="10" t="s">
        <v>59</v>
      </c>
      <c r="C20" s="10" t="s">
        <v>87</v>
      </c>
      <c r="D20" s="10" t="s">
        <v>88</v>
      </c>
      <c r="E20" s="10"/>
      <c r="F20" s="10" t="s">
        <v>82</v>
      </c>
      <c r="G20" s="50" t="n">
        <v>4.75</v>
      </c>
      <c r="H20" s="69" t="n">
        <v>0</v>
      </c>
    </row>
    <row r="21">
      <c r="A21" s="70"/>
      <c r="D21" s="71" t="s">
        <v>362</v>
      </c>
      <c r="E21" s="71" t="s">
        <v>55</v>
      </c>
      <c r="F21" s="71"/>
      <c r="G21" s="72" t="n">
        <v>4.75</v>
      </c>
      <c r="H21" s="73"/>
    </row>
    <row r="22">
      <c r="A22" s="9" t="s">
        <v>90</v>
      </c>
      <c r="B22" s="10" t="s">
        <v>59</v>
      </c>
      <c r="C22" s="10" t="s">
        <v>91</v>
      </c>
      <c r="D22" s="10" t="s">
        <v>92</v>
      </c>
      <c r="E22" s="10"/>
      <c r="F22" s="10" t="s">
        <v>82</v>
      </c>
      <c r="G22" s="50" t="n">
        <v>7.13</v>
      </c>
      <c r="H22" s="69" t="n">
        <v>0</v>
      </c>
    </row>
    <row r="23">
      <c r="A23" s="70"/>
      <c r="D23" s="71" t="s">
        <v>363</v>
      </c>
      <c r="E23" s="71" t="s">
        <v>55</v>
      </c>
      <c r="F23" s="71"/>
      <c r="G23" s="72" t="n">
        <v>7.13</v>
      </c>
      <c r="H23" s="73"/>
    </row>
    <row r="24">
      <c r="A24" s="9" t="s">
        <v>93</v>
      </c>
      <c r="B24" s="10" t="s">
        <v>59</v>
      </c>
      <c r="C24" s="10" t="s">
        <v>94</v>
      </c>
      <c r="D24" s="10" t="s">
        <v>95</v>
      </c>
      <c r="E24" s="10"/>
      <c r="F24" s="10" t="s">
        <v>82</v>
      </c>
      <c r="G24" s="50" t="n">
        <v>7.56</v>
      </c>
      <c r="H24" s="69" t="n">
        <v>0</v>
      </c>
    </row>
    <row r="25">
      <c r="A25" s="70"/>
      <c r="D25" s="71" t="s">
        <v>364</v>
      </c>
      <c r="E25" s="71" t="s">
        <v>55</v>
      </c>
      <c r="F25" s="71"/>
      <c r="G25" s="72" t="n">
        <v>7.56</v>
      </c>
      <c r="H25" s="73"/>
    </row>
    <row r="26">
      <c r="A26" s="9" t="s">
        <v>96</v>
      </c>
      <c r="B26" s="10" t="s">
        <v>59</v>
      </c>
      <c r="C26" s="10" t="s">
        <v>97</v>
      </c>
      <c r="D26" s="10" t="s">
        <v>98</v>
      </c>
      <c r="E26" s="10"/>
      <c r="F26" s="10" t="s">
        <v>82</v>
      </c>
      <c r="G26" s="50" t="n">
        <v>11.34</v>
      </c>
      <c r="H26" s="69" t="n">
        <v>0</v>
      </c>
    </row>
    <row r="27">
      <c r="A27" s="70"/>
      <c r="D27" s="71" t="s">
        <v>365</v>
      </c>
      <c r="E27" s="71" t="s">
        <v>55</v>
      </c>
      <c r="F27" s="71"/>
      <c r="G27" s="72" t="n">
        <v>11.34</v>
      </c>
      <c r="H27" s="73"/>
    </row>
    <row r="28">
      <c r="A28" s="9" t="s">
        <v>99</v>
      </c>
      <c r="B28" s="10" t="s">
        <v>59</v>
      </c>
      <c r="C28" s="10" t="s">
        <v>100</v>
      </c>
      <c r="D28" s="10" t="s">
        <v>101</v>
      </c>
      <c r="E28" s="10"/>
      <c r="F28" s="10" t="s">
        <v>82</v>
      </c>
      <c r="G28" s="50" t="n">
        <v>4.32</v>
      </c>
      <c r="H28" s="69" t="n">
        <v>0</v>
      </c>
    </row>
    <row r="29">
      <c r="A29" s="70"/>
      <c r="D29" s="71" t="s">
        <v>366</v>
      </c>
      <c r="E29" s="71" t="s">
        <v>55</v>
      </c>
      <c r="F29" s="71"/>
      <c r="G29" s="72" t="n">
        <v>4.32</v>
      </c>
      <c r="H29" s="73"/>
    </row>
    <row r="30">
      <c r="A30" s="9" t="s">
        <v>104</v>
      </c>
      <c r="B30" s="10" t="s">
        <v>59</v>
      </c>
      <c r="C30" s="10" t="s">
        <v>105</v>
      </c>
      <c r="D30" s="10" t="s">
        <v>106</v>
      </c>
      <c r="E30" s="10"/>
      <c r="F30" s="10" t="s">
        <v>71</v>
      </c>
      <c r="G30" s="50" t="n">
        <v>427</v>
      </c>
      <c r="H30" s="69" t="n">
        <v>0</v>
      </c>
    </row>
    <row r="31">
      <c r="A31" s="70"/>
      <c r="D31" s="71" t="s">
        <v>367</v>
      </c>
      <c r="E31" s="71" t="s">
        <v>55</v>
      </c>
      <c r="F31" s="71"/>
      <c r="G31" s="72" t="n">
        <v>427</v>
      </c>
      <c r="H31" s="73"/>
    </row>
    <row r="32">
      <c r="A32" s="9" t="s">
        <v>57</v>
      </c>
      <c r="B32" s="10" t="s">
        <v>59</v>
      </c>
      <c r="C32" s="10" t="s">
        <v>108</v>
      </c>
      <c r="D32" s="10" t="s">
        <v>109</v>
      </c>
      <c r="E32" s="10"/>
      <c r="F32" s="10" t="s">
        <v>71</v>
      </c>
      <c r="G32" s="50" t="n">
        <v>4</v>
      </c>
      <c r="H32" s="69" t="n">
        <v>0</v>
      </c>
    </row>
    <row r="33">
      <c r="A33" s="70"/>
      <c r="D33" s="71" t="s">
        <v>79</v>
      </c>
      <c r="E33" s="71" t="s">
        <v>55</v>
      </c>
      <c r="F33" s="71"/>
      <c r="G33" s="72" t="n">
        <v>4</v>
      </c>
      <c r="H33" s="73"/>
    </row>
    <row r="34">
      <c r="A34" s="9" t="s">
        <v>77</v>
      </c>
      <c r="B34" s="10" t="s">
        <v>59</v>
      </c>
      <c r="C34" s="10" t="s">
        <v>112</v>
      </c>
      <c r="D34" s="10" t="s">
        <v>113</v>
      </c>
      <c r="E34" s="10"/>
      <c r="F34" s="10" t="s">
        <v>82</v>
      </c>
      <c r="G34" s="50" t="n">
        <v>3.42</v>
      </c>
      <c r="H34" s="69" t="n">
        <v>0</v>
      </c>
    </row>
    <row r="35">
      <c r="A35" s="70"/>
      <c r="D35" s="71" t="s">
        <v>368</v>
      </c>
      <c r="E35" s="71" t="s">
        <v>55</v>
      </c>
      <c r="F35" s="71"/>
      <c r="G35" s="72" t="n">
        <v>3.42</v>
      </c>
      <c r="H35" s="73"/>
    </row>
    <row r="36">
      <c r="A36" s="9" t="s">
        <v>84</v>
      </c>
      <c r="B36" s="10" t="s">
        <v>59</v>
      </c>
      <c r="C36" s="10" t="s">
        <v>115</v>
      </c>
      <c r="D36" s="10" t="s">
        <v>116</v>
      </c>
      <c r="E36" s="10"/>
      <c r="F36" s="10" t="s">
        <v>82</v>
      </c>
      <c r="G36" s="50" t="n">
        <v>3.75</v>
      </c>
      <c r="H36" s="69" t="n">
        <v>0</v>
      </c>
    </row>
    <row r="37">
      <c r="A37" s="70"/>
      <c r="D37" s="71" t="s">
        <v>369</v>
      </c>
      <c r="E37" s="71" t="s">
        <v>55</v>
      </c>
      <c r="F37" s="71"/>
      <c r="G37" s="72" t="n">
        <v>3.75</v>
      </c>
      <c r="H37" s="73"/>
    </row>
    <row r="38">
      <c r="A38" s="9" t="s">
        <v>102</v>
      </c>
      <c r="B38" s="10" t="s">
        <v>59</v>
      </c>
      <c r="C38" s="10" t="s">
        <v>118</v>
      </c>
      <c r="D38" s="10" t="s">
        <v>119</v>
      </c>
      <c r="E38" s="10"/>
      <c r="F38" s="10" t="s">
        <v>120</v>
      </c>
      <c r="G38" s="50" t="n">
        <v>9.38</v>
      </c>
      <c r="H38" s="69" t="n">
        <v>0</v>
      </c>
    </row>
    <row r="39">
      <c r="A39" s="70"/>
      <c r="D39" s="71" t="s">
        <v>370</v>
      </c>
      <c r="E39" s="71" t="s">
        <v>55</v>
      </c>
      <c r="F39" s="71"/>
      <c r="G39" s="72" t="n">
        <v>9.38</v>
      </c>
      <c r="H39" s="73"/>
    </row>
    <row r="40">
      <c r="A40" s="9" t="s">
        <v>123</v>
      </c>
      <c r="B40" s="10" t="s">
        <v>59</v>
      </c>
      <c r="C40" s="10" t="s">
        <v>124</v>
      </c>
      <c r="D40" s="10" t="s">
        <v>125</v>
      </c>
      <c r="E40" s="10"/>
      <c r="F40" s="10" t="s">
        <v>82</v>
      </c>
      <c r="G40" s="50" t="n">
        <v>27.36</v>
      </c>
      <c r="H40" s="69" t="n">
        <v>0</v>
      </c>
    </row>
    <row r="41">
      <c r="A41" s="70"/>
      <c r="D41" s="71" t="s">
        <v>371</v>
      </c>
      <c r="E41" s="71" t="s">
        <v>55</v>
      </c>
      <c r="F41" s="71"/>
      <c r="G41" s="72" t="n">
        <v>27.36</v>
      </c>
      <c r="H41" s="73"/>
    </row>
    <row r="42">
      <c r="A42" s="9" t="s">
        <v>110</v>
      </c>
      <c r="B42" s="10" t="s">
        <v>59</v>
      </c>
      <c r="C42" s="10" t="s">
        <v>127</v>
      </c>
      <c r="D42" s="10" t="s">
        <v>128</v>
      </c>
      <c r="E42" s="10"/>
      <c r="F42" s="10" t="s">
        <v>82</v>
      </c>
      <c r="G42" s="50" t="n">
        <v>2.28</v>
      </c>
      <c r="H42" s="69" t="n">
        <v>0</v>
      </c>
    </row>
    <row r="43">
      <c r="A43" s="70"/>
      <c r="D43" s="71" t="s">
        <v>372</v>
      </c>
      <c r="E43" s="71" t="s">
        <v>55</v>
      </c>
      <c r="F43" s="71"/>
      <c r="G43" s="72" t="n">
        <v>2.28</v>
      </c>
      <c r="H43" s="73"/>
    </row>
    <row r="44">
      <c r="A44" s="9" t="s">
        <v>121</v>
      </c>
      <c r="B44" s="10" t="s">
        <v>59</v>
      </c>
      <c r="C44" s="10" t="s">
        <v>129</v>
      </c>
      <c r="D44" s="10" t="s">
        <v>130</v>
      </c>
      <c r="E44" s="10"/>
      <c r="F44" s="10" t="s">
        <v>82</v>
      </c>
      <c r="G44" s="50" t="n">
        <v>3.42</v>
      </c>
      <c r="H44" s="69" t="n">
        <v>0</v>
      </c>
    </row>
    <row r="45">
      <c r="A45" s="70"/>
      <c r="D45" s="71" t="s">
        <v>373</v>
      </c>
      <c r="E45" s="71" t="s">
        <v>55</v>
      </c>
      <c r="F45" s="71"/>
      <c r="G45" s="72" t="n">
        <v>3.42</v>
      </c>
      <c r="H45" s="73"/>
    </row>
    <row r="46">
      <c r="A46" s="9" t="s">
        <v>131</v>
      </c>
      <c r="B46" s="10" t="s">
        <v>59</v>
      </c>
      <c r="C46" s="10" t="s">
        <v>133</v>
      </c>
      <c r="D46" s="10" t="s">
        <v>134</v>
      </c>
      <c r="E46" s="10"/>
      <c r="F46" s="10" t="s">
        <v>75</v>
      </c>
      <c r="G46" s="50" t="n">
        <v>10</v>
      </c>
      <c r="H46" s="69" t="n">
        <v>0</v>
      </c>
    </row>
    <row r="47">
      <c r="A47" s="70"/>
      <c r="D47" s="71" t="s">
        <v>374</v>
      </c>
      <c r="E47" s="71" t="s">
        <v>55</v>
      </c>
      <c r="F47" s="71"/>
      <c r="G47" s="72" t="n">
        <v>10</v>
      </c>
      <c r="H47" s="73"/>
    </row>
    <row r="48">
      <c r="A48" s="9" t="s">
        <v>136</v>
      </c>
      <c r="B48" s="10" t="s">
        <v>59</v>
      </c>
      <c r="C48" s="10" t="s">
        <v>137</v>
      </c>
      <c r="D48" s="10" t="s">
        <v>138</v>
      </c>
      <c r="E48" s="10"/>
      <c r="F48" s="10" t="s">
        <v>75</v>
      </c>
      <c r="G48" s="50" t="n">
        <v>10</v>
      </c>
      <c r="H48" s="69" t="n">
        <v>0</v>
      </c>
    </row>
    <row r="49">
      <c r="A49" s="70"/>
      <c r="D49" s="71" t="s">
        <v>104</v>
      </c>
      <c r="E49" s="71" t="s">
        <v>55</v>
      </c>
      <c r="F49" s="71"/>
      <c r="G49" s="72" t="n">
        <v>10</v>
      </c>
      <c r="H49" s="73"/>
    </row>
    <row r="50">
      <c r="A50" s="9" t="s">
        <v>141</v>
      </c>
      <c r="B50" s="10" t="s">
        <v>59</v>
      </c>
      <c r="C50" s="10" t="s">
        <v>142</v>
      </c>
      <c r="D50" s="10" t="s">
        <v>143</v>
      </c>
      <c r="E50" s="10"/>
      <c r="F50" s="10" t="s">
        <v>82</v>
      </c>
      <c r="G50" s="50" t="n">
        <v>1.14</v>
      </c>
      <c r="H50" s="69" t="n">
        <v>0</v>
      </c>
    </row>
    <row r="51">
      <c r="A51" s="70"/>
      <c r="D51" s="71" t="s">
        <v>375</v>
      </c>
      <c r="E51" s="71" t="s">
        <v>55</v>
      </c>
      <c r="F51" s="71"/>
      <c r="G51" s="72" t="n">
        <v>1.14</v>
      </c>
      <c r="H51" s="73"/>
    </row>
    <row r="52">
      <c r="A52" s="9" t="s">
        <v>148</v>
      </c>
      <c r="B52" s="10" t="s">
        <v>59</v>
      </c>
      <c r="C52" s="10" t="s">
        <v>149</v>
      </c>
      <c r="D52" s="10" t="s">
        <v>150</v>
      </c>
      <c r="E52" s="10"/>
      <c r="F52" s="10" t="s">
        <v>75</v>
      </c>
      <c r="G52" s="50" t="n">
        <v>25</v>
      </c>
      <c r="H52" s="69" t="n">
        <v>0</v>
      </c>
    </row>
    <row r="53">
      <c r="A53" s="70"/>
      <c r="D53" s="71" t="s">
        <v>167</v>
      </c>
      <c r="E53" s="71" t="s">
        <v>55</v>
      </c>
      <c r="F53" s="71"/>
      <c r="G53" s="72" t="n">
        <v>25</v>
      </c>
      <c r="H53" s="73"/>
    </row>
    <row r="54">
      <c r="A54" s="9" t="s">
        <v>153</v>
      </c>
      <c r="B54" s="10" t="s">
        <v>59</v>
      </c>
      <c r="C54" s="10" t="s">
        <v>154</v>
      </c>
      <c r="D54" s="10" t="s">
        <v>155</v>
      </c>
      <c r="E54" s="10"/>
      <c r="F54" s="10" t="s">
        <v>75</v>
      </c>
      <c r="G54" s="50" t="n">
        <v>25</v>
      </c>
      <c r="H54" s="69" t="n">
        <v>0</v>
      </c>
    </row>
    <row r="55">
      <c r="A55" s="70"/>
      <c r="D55" s="71" t="s">
        <v>167</v>
      </c>
      <c r="E55" s="71" t="s">
        <v>55</v>
      </c>
      <c r="F55" s="71"/>
      <c r="G55" s="72" t="n">
        <v>25</v>
      </c>
      <c r="H55" s="73"/>
    </row>
    <row r="56">
      <c r="A56" s="9" t="s">
        <v>158</v>
      </c>
      <c r="B56" s="10" t="s">
        <v>59</v>
      </c>
      <c r="C56" s="10" t="s">
        <v>159</v>
      </c>
      <c r="D56" s="10" t="s">
        <v>160</v>
      </c>
      <c r="E56" s="10"/>
      <c r="F56" s="10" t="s">
        <v>75</v>
      </c>
      <c r="G56" s="50" t="n">
        <v>27.5</v>
      </c>
      <c r="H56" s="69" t="n">
        <v>0</v>
      </c>
    </row>
    <row r="57">
      <c r="A57" s="70"/>
      <c r="D57" s="71" t="s">
        <v>376</v>
      </c>
      <c r="E57" s="71" t="s">
        <v>55</v>
      </c>
      <c r="F57" s="71"/>
      <c r="G57" s="72" t="n">
        <v>27.5</v>
      </c>
      <c r="H57" s="73"/>
    </row>
    <row r="58">
      <c r="A58" s="9" t="s">
        <v>162</v>
      </c>
      <c r="B58" s="10" t="s">
        <v>59</v>
      </c>
      <c r="C58" s="10" t="s">
        <v>163</v>
      </c>
      <c r="D58" s="10" t="s">
        <v>164</v>
      </c>
      <c r="E58" s="10"/>
      <c r="F58" s="10" t="s">
        <v>75</v>
      </c>
      <c r="G58" s="50" t="n">
        <v>25</v>
      </c>
      <c r="H58" s="69" t="n">
        <v>0</v>
      </c>
    </row>
    <row r="59">
      <c r="A59" s="70"/>
      <c r="D59" s="71" t="s">
        <v>167</v>
      </c>
      <c r="E59" s="71" t="s">
        <v>55</v>
      </c>
      <c r="F59" s="71"/>
      <c r="G59" s="72" t="n">
        <v>25</v>
      </c>
      <c r="H59" s="73"/>
    </row>
    <row r="60">
      <c r="A60" s="9" t="s">
        <v>167</v>
      </c>
      <c r="B60" s="10" t="s">
        <v>59</v>
      </c>
      <c r="C60" s="10" t="s">
        <v>168</v>
      </c>
      <c r="D60" s="10" t="s">
        <v>169</v>
      </c>
      <c r="E60" s="10"/>
      <c r="F60" s="10" t="s">
        <v>170</v>
      </c>
      <c r="G60" s="50" t="n">
        <v>3</v>
      </c>
      <c r="H60" s="69" t="n">
        <v>0</v>
      </c>
    </row>
    <row r="61">
      <c r="A61" s="70"/>
      <c r="D61" s="71" t="s">
        <v>72</v>
      </c>
      <c r="E61" s="71" t="s">
        <v>55</v>
      </c>
      <c r="F61" s="71"/>
      <c r="G61" s="72" t="n">
        <v>3</v>
      </c>
      <c r="H61" s="73"/>
    </row>
    <row r="62">
      <c r="A62" s="9" t="s">
        <v>173</v>
      </c>
      <c r="B62" s="10" t="s">
        <v>59</v>
      </c>
      <c r="C62" s="10" t="s">
        <v>174</v>
      </c>
      <c r="D62" s="10" t="s">
        <v>175</v>
      </c>
      <c r="E62" s="10"/>
      <c r="F62" s="10" t="s">
        <v>170</v>
      </c>
      <c r="G62" s="50" t="n">
        <v>3</v>
      </c>
      <c r="H62" s="69" t="n">
        <v>0</v>
      </c>
    </row>
    <row r="63">
      <c r="A63" s="70"/>
      <c r="D63" s="71" t="s">
        <v>72</v>
      </c>
      <c r="E63" s="71" t="s">
        <v>55</v>
      </c>
      <c r="F63" s="71"/>
      <c r="G63" s="72" t="n">
        <v>3</v>
      </c>
      <c r="H63" s="73"/>
    </row>
    <row r="64">
      <c r="A64" s="9" t="s">
        <v>178</v>
      </c>
      <c r="B64" s="10" t="s">
        <v>59</v>
      </c>
      <c r="C64" s="10" t="s">
        <v>179</v>
      </c>
      <c r="D64" s="10" t="s">
        <v>180</v>
      </c>
      <c r="E64" s="10"/>
      <c r="F64" s="10" t="s">
        <v>170</v>
      </c>
      <c r="G64" s="50" t="n">
        <v>4</v>
      </c>
      <c r="H64" s="69" t="n">
        <v>0</v>
      </c>
    </row>
    <row r="65">
      <c r="A65" s="70"/>
      <c r="D65" s="71" t="s">
        <v>79</v>
      </c>
      <c r="E65" s="71" t="s">
        <v>55</v>
      </c>
      <c r="F65" s="71"/>
      <c r="G65" s="72" t="n">
        <v>4</v>
      </c>
      <c r="H65" s="73"/>
    </row>
    <row r="66">
      <c r="A66" s="9" t="s">
        <v>182</v>
      </c>
      <c r="B66" s="10" t="s">
        <v>59</v>
      </c>
      <c r="C66" s="10" t="s">
        <v>183</v>
      </c>
      <c r="D66" s="10" t="s">
        <v>184</v>
      </c>
      <c r="E66" s="10"/>
      <c r="F66" s="10" t="s">
        <v>170</v>
      </c>
      <c r="G66" s="50" t="n">
        <v>3</v>
      </c>
      <c r="H66" s="69" t="n">
        <v>0</v>
      </c>
    </row>
    <row r="67">
      <c r="A67" s="70"/>
      <c r="D67" s="71" t="s">
        <v>72</v>
      </c>
      <c r="E67" s="71" t="s">
        <v>55</v>
      </c>
      <c r="F67" s="71"/>
      <c r="G67" s="72" t="n">
        <v>3</v>
      </c>
      <c r="H67" s="73"/>
    </row>
    <row r="68">
      <c r="A68" s="9" t="s">
        <v>185</v>
      </c>
      <c r="B68" s="10" t="s">
        <v>59</v>
      </c>
      <c r="C68" s="10" t="s">
        <v>186</v>
      </c>
      <c r="D68" s="10" t="s">
        <v>187</v>
      </c>
      <c r="E68" s="10"/>
      <c r="F68" s="10" t="s">
        <v>170</v>
      </c>
      <c r="G68" s="50" t="n">
        <v>4</v>
      </c>
      <c r="H68" s="69" t="n">
        <v>0</v>
      </c>
    </row>
    <row r="69">
      <c r="A69" s="70"/>
      <c r="D69" s="71" t="s">
        <v>79</v>
      </c>
      <c r="E69" s="71" t="s">
        <v>55</v>
      </c>
      <c r="F69" s="71"/>
      <c r="G69" s="72" t="n">
        <v>4</v>
      </c>
      <c r="H69" s="73"/>
    </row>
    <row r="70">
      <c r="A70" s="9" t="s">
        <v>188</v>
      </c>
      <c r="B70" s="10" t="s">
        <v>59</v>
      </c>
      <c r="C70" s="10" t="s">
        <v>189</v>
      </c>
      <c r="D70" s="10" t="s">
        <v>190</v>
      </c>
      <c r="E70" s="10"/>
      <c r="F70" s="10" t="s">
        <v>170</v>
      </c>
      <c r="G70" s="50" t="n">
        <v>3</v>
      </c>
      <c r="H70" s="69" t="n">
        <v>0</v>
      </c>
    </row>
    <row r="71">
      <c r="A71" s="70"/>
      <c r="D71" s="71" t="s">
        <v>72</v>
      </c>
      <c r="E71" s="71" t="s">
        <v>55</v>
      </c>
      <c r="F71" s="71"/>
      <c r="G71" s="72" t="n">
        <v>3</v>
      </c>
      <c r="H71" s="73"/>
    </row>
    <row r="72">
      <c r="A72" s="9" t="s">
        <v>191</v>
      </c>
      <c r="B72" s="10" t="s">
        <v>59</v>
      </c>
      <c r="C72" s="10" t="s">
        <v>192</v>
      </c>
      <c r="D72" s="10" t="s">
        <v>193</v>
      </c>
      <c r="E72" s="10"/>
      <c r="F72" s="10" t="s">
        <v>71</v>
      </c>
      <c r="G72" s="50" t="n">
        <v>431</v>
      </c>
      <c r="H72" s="69" t="n">
        <v>0</v>
      </c>
    </row>
    <row r="73">
      <c r="A73" s="70"/>
      <c r="D73" s="71" t="s">
        <v>377</v>
      </c>
      <c r="E73" s="71" t="s">
        <v>55</v>
      </c>
      <c r="F73" s="71"/>
      <c r="G73" s="72" t="n">
        <v>431</v>
      </c>
      <c r="H73" s="73"/>
    </row>
    <row r="74">
      <c r="A74" s="9" t="s">
        <v>194</v>
      </c>
      <c r="B74" s="10" t="s">
        <v>59</v>
      </c>
      <c r="C74" s="10" t="s">
        <v>195</v>
      </c>
      <c r="D74" s="10" t="s">
        <v>196</v>
      </c>
      <c r="E74" s="10"/>
      <c r="F74" s="10" t="s">
        <v>71</v>
      </c>
      <c r="G74" s="50" t="n">
        <v>431</v>
      </c>
      <c r="H74" s="69" t="n">
        <v>0</v>
      </c>
    </row>
    <row r="75">
      <c r="A75" s="70"/>
      <c r="D75" s="71" t="s">
        <v>377</v>
      </c>
      <c r="E75" s="71" t="s">
        <v>55</v>
      </c>
      <c r="F75" s="71"/>
      <c r="G75" s="72" t="n">
        <v>431</v>
      </c>
      <c r="H75" s="73"/>
    </row>
    <row r="76">
      <c r="A76" s="9" t="s">
        <v>197</v>
      </c>
      <c r="B76" s="10" t="s">
        <v>59</v>
      </c>
      <c r="C76" s="10" t="s">
        <v>198</v>
      </c>
      <c r="D76" s="10" t="s">
        <v>199</v>
      </c>
      <c r="E76" s="10"/>
      <c r="F76" s="10" t="s">
        <v>170</v>
      </c>
      <c r="G76" s="50" t="n">
        <v>4</v>
      </c>
      <c r="H76" s="69" t="n">
        <v>0</v>
      </c>
    </row>
    <row r="77">
      <c r="A77" s="70"/>
      <c r="D77" s="71" t="s">
        <v>79</v>
      </c>
      <c r="E77" s="71" t="s">
        <v>55</v>
      </c>
      <c r="F77" s="71"/>
      <c r="G77" s="72" t="n">
        <v>4</v>
      </c>
      <c r="H77" s="73"/>
    </row>
    <row r="78">
      <c r="A78" s="9" t="s">
        <v>200</v>
      </c>
      <c r="B78" s="10" t="s">
        <v>59</v>
      </c>
      <c r="C78" s="10" t="s">
        <v>201</v>
      </c>
      <c r="D78" s="10" t="s">
        <v>202</v>
      </c>
      <c r="E78" s="10"/>
      <c r="F78" s="10" t="s">
        <v>71</v>
      </c>
      <c r="G78" s="50" t="n">
        <v>450</v>
      </c>
      <c r="H78" s="69" t="n">
        <v>0</v>
      </c>
    </row>
    <row r="79">
      <c r="A79" s="70"/>
      <c r="D79" s="71" t="s">
        <v>378</v>
      </c>
      <c r="E79" s="71" t="s">
        <v>55</v>
      </c>
      <c r="F79" s="71"/>
      <c r="G79" s="72" t="n">
        <v>450</v>
      </c>
      <c r="H79" s="73"/>
    </row>
    <row r="80">
      <c r="A80" s="9" t="s">
        <v>205</v>
      </c>
      <c r="B80" s="10" t="s">
        <v>59</v>
      </c>
      <c r="C80" s="10" t="s">
        <v>206</v>
      </c>
      <c r="D80" s="10" t="s">
        <v>207</v>
      </c>
      <c r="E80" s="10"/>
      <c r="F80" s="10" t="s">
        <v>71</v>
      </c>
      <c r="G80" s="50" t="n">
        <v>34</v>
      </c>
      <c r="H80" s="69" t="n">
        <v>0</v>
      </c>
    </row>
    <row r="81">
      <c r="A81" s="70"/>
      <c r="D81" s="71" t="s">
        <v>200</v>
      </c>
      <c r="E81" s="71" t="s">
        <v>55</v>
      </c>
      <c r="F81" s="71"/>
      <c r="G81" s="72" t="n">
        <v>34</v>
      </c>
      <c r="H81" s="73"/>
    </row>
    <row r="82">
      <c r="A82" s="9" t="s">
        <v>210</v>
      </c>
      <c r="B82" s="10" t="s">
        <v>59</v>
      </c>
      <c r="C82" s="10" t="s">
        <v>211</v>
      </c>
      <c r="D82" s="10" t="s">
        <v>212</v>
      </c>
      <c r="E82" s="10"/>
      <c r="F82" s="10" t="s">
        <v>71</v>
      </c>
      <c r="G82" s="50" t="n">
        <v>34</v>
      </c>
      <c r="H82" s="69" t="n">
        <v>0</v>
      </c>
    </row>
    <row r="83">
      <c r="A83" s="70"/>
      <c r="D83" s="71" t="s">
        <v>200</v>
      </c>
      <c r="E83" s="71" t="s">
        <v>55</v>
      </c>
      <c r="F83" s="71"/>
      <c r="G83" s="72" t="n">
        <v>34</v>
      </c>
      <c r="H83" s="73"/>
    </row>
    <row r="84">
      <c r="A84" s="9" t="s">
        <v>215</v>
      </c>
      <c r="B84" s="10" t="s">
        <v>59</v>
      </c>
      <c r="C84" s="10" t="s">
        <v>216</v>
      </c>
      <c r="D84" s="10" t="s">
        <v>217</v>
      </c>
      <c r="E84" s="10"/>
      <c r="F84" s="10" t="s">
        <v>71</v>
      </c>
      <c r="G84" s="50" t="n">
        <v>431</v>
      </c>
      <c r="H84" s="69" t="n">
        <v>0</v>
      </c>
    </row>
    <row r="85">
      <c r="A85" s="70"/>
      <c r="D85" s="71" t="s">
        <v>377</v>
      </c>
      <c r="E85" s="71" t="s">
        <v>55</v>
      </c>
      <c r="F85" s="71"/>
      <c r="G85" s="72" t="n">
        <v>431</v>
      </c>
      <c r="H85" s="73"/>
    </row>
    <row r="86">
      <c r="A86" s="9" t="s">
        <v>221</v>
      </c>
      <c r="B86" s="10" t="s">
        <v>59</v>
      </c>
      <c r="C86" s="10" t="s">
        <v>222</v>
      </c>
      <c r="D86" s="10" t="s">
        <v>223</v>
      </c>
      <c r="E86" s="10"/>
      <c r="F86" s="10" t="s">
        <v>71</v>
      </c>
      <c r="G86" s="50" t="n">
        <v>4</v>
      </c>
      <c r="H86" s="69" t="n">
        <v>0</v>
      </c>
    </row>
    <row r="87">
      <c r="A87" s="70"/>
      <c r="D87" s="71" t="s">
        <v>79</v>
      </c>
      <c r="E87" s="71" t="s">
        <v>55</v>
      </c>
      <c r="F87" s="71"/>
      <c r="G87" s="72" t="n">
        <v>4</v>
      </c>
      <c r="H87" s="73"/>
    </row>
    <row r="88">
      <c r="A88" s="9" t="s">
        <v>224</v>
      </c>
      <c r="B88" s="10" t="s">
        <v>59</v>
      </c>
      <c r="C88" s="10" t="s">
        <v>225</v>
      </c>
      <c r="D88" s="10" t="s">
        <v>226</v>
      </c>
      <c r="E88" s="10"/>
      <c r="F88" s="10" t="s">
        <v>170</v>
      </c>
      <c r="G88" s="50" t="n">
        <v>10</v>
      </c>
      <c r="H88" s="69" t="n">
        <v>0</v>
      </c>
    </row>
    <row r="89">
      <c r="A89" s="70"/>
      <c r="D89" s="71" t="s">
        <v>104</v>
      </c>
      <c r="E89" s="71" t="s">
        <v>55</v>
      </c>
      <c r="F89" s="71"/>
      <c r="G89" s="72" t="n">
        <v>10</v>
      </c>
      <c r="H89" s="73"/>
    </row>
    <row r="90">
      <c r="A90" s="9" t="s">
        <v>227</v>
      </c>
      <c r="B90" s="10" t="s">
        <v>59</v>
      </c>
      <c r="C90" s="10" t="s">
        <v>228</v>
      </c>
      <c r="D90" s="10" t="s">
        <v>229</v>
      </c>
      <c r="E90" s="10"/>
      <c r="F90" s="10" t="s">
        <v>170</v>
      </c>
      <c r="G90" s="50" t="n">
        <v>2</v>
      </c>
      <c r="H90" s="69" t="n">
        <v>0</v>
      </c>
    </row>
    <row r="91">
      <c r="A91" s="70"/>
      <c r="D91" s="71" t="s">
        <v>68</v>
      </c>
      <c r="E91" s="71" t="s">
        <v>55</v>
      </c>
      <c r="F91" s="71"/>
      <c r="G91" s="72" t="n">
        <v>2</v>
      </c>
      <c r="H91" s="73"/>
    </row>
    <row r="92">
      <c r="A92" s="9" t="s">
        <v>230</v>
      </c>
      <c r="B92" s="10" t="s">
        <v>59</v>
      </c>
      <c r="C92" s="10" t="s">
        <v>231</v>
      </c>
      <c r="D92" s="10" t="s">
        <v>232</v>
      </c>
      <c r="E92" s="10"/>
      <c r="F92" s="10" t="s">
        <v>170</v>
      </c>
      <c r="G92" s="50" t="n">
        <v>1</v>
      </c>
      <c r="H92" s="69" t="n">
        <v>0</v>
      </c>
    </row>
    <row r="93">
      <c r="A93" s="70"/>
      <c r="D93" s="71" t="s">
        <v>60</v>
      </c>
      <c r="E93" s="71" t="s">
        <v>55</v>
      </c>
      <c r="F93" s="71"/>
      <c r="G93" s="72" t="n">
        <v>1</v>
      </c>
      <c r="H93" s="73"/>
    </row>
    <row r="94">
      <c r="A94" s="9" t="s">
        <v>233</v>
      </c>
      <c r="B94" s="10" t="s">
        <v>59</v>
      </c>
      <c r="C94" s="10" t="s">
        <v>234</v>
      </c>
      <c r="D94" s="10" t="s">
        <v>235</v>
      </c>
      <c r="E94" s="10"/>
      <c r="F94" s="10" t="s">
        <v>170</v>
      </c>
      <c r="G94" s="50" t="n">
        <v>8</v>
      </c>
      <c r="H94" s="69" t="n">
        <v>0</v>
      </c>
    </row>
    <row r="95">
      <c r="A95" s="70"/>
      <c r="D95" s="71" t="s">
        <v>96</v>
      </c>
      <c r="E95" s="71" t="s">
        <v>55</v>
      </c>
      <c r="F95" s="71"/>
      <c r="G95" s="72" t="n">
        <v>8</v>
      </c>
      <c r="H95" s="73"/>
    </row>
    <row r="96">
      <c r="A96" s="9" t="s">
        <v>236</v>
      </c>
      <c r="B96" s="10" t="s">
        <v>59</v>
      </c>
      <c r="C96" s="10" t="s">
        <v>237</v>
      </c>
      <c r="D96" s="10" t="s">
        <v>238</v>
      </c>
      <c r="E96" s="10"/>
      <c r="F96" s="10" t="s">
        <v>170</v>
      </c>
      <c r="G96" s="50" t="n">
        <v>4</v>
      </c>
      <c r="H96" s="69" t="n">
        <v>0</v>
      </c>
    </row>
    <row r="97">
      <c r="A97" s="70"/>
      <c r="D97" s="71" t="s">
        <v>79</v>
      </c>
      <c r="E97" s="71" t="s">
        <v>55</v>
      </c>
      <c r="F97" s="71"/>
      <c r="G97" s="72" t="n">
        <v>4</v>
      </c>
      <c r="H97" s="73"/>
    </row>
    <row r="98">
      <c r="A98" s="9" t="s">
        <v>239</v>
      </c>
      <c r="B98" s="10" t="s">
        <v>59</v>
      </c>
      <c r="C98" s="10" t="s">
        <v>240</v>
      </c>
      <c r="D98" s="10" t="s">
        <v>241</v>
      </c>
      <c r="E98" s="10"/>
      <c r="F98" s="10" t="s">
        <v>170</v>
      </c>
      <c r="G98" s="50" t="n">
        <v>3</v>
      </c>
      <c r="H98" s="69" t="n">
        <v>0</v>
      </c>
    </row>
    <row r="99">
      <c r="A99" s="70"/>
      <c r="D99" s="71" t="s">
        <v>72</v>
      </c>
      <c r="E99" s="71" t="s">
        <v>55</v>
      </c>
      <c r="F99" s="71"/>
      <c r="G99" s="72" t="n">
        <v>3</v>
      </c>
      <c r="H99" s="73"/>
    </row>
    <row r="100">
      <c r="A100" s="9" t="s">
        <v>139</v>
      </c>
      <c r="B100" s="10" t="s">
        <v>59</v>
      </c>
      <c r="C100" s="10" t="s">
        <v>242</v>
      </c>
      <c r="D100" s="10" t="s">
        <v>243</v>
      </c>
      <c r="E100" s="10"/>
      <c r="F100" s="10" t="s">
        <v>170</v>
      </c>
      <c r="G100" s="50" t="n">
        <v>4</v>
      </c>
      <c r="H100" s="69" t="n">
        <v>0</v>
      </c>
    </row>
    <row r="101">
      <c r="A101" s="70"/>
      <c r="D101" s="71" t="s">
        <v>79</v>
      </c>
      <c r="E101" s="71" t="s">
        <v>55</v>
      </c>
      <c r="F101" s="71"/>
      <c r="G101" s="72" t="n">
        <v>4</v>
      </c>
      <c r="H101" s="73"/>
    </row>
    <row r="102">
      <c r="A102" s="9" t="s">
        <v>244</v>
      </c>
      <c r="B102" s="10" t="s">
        <v>59</v>
      </c>
      <c r="C102" s="10" t="s">
        <v>245</v>
      </c>
      <c r="D102" s="10" t="s">
        <v>246</v>
      </c>
      <c r="E102" s="10"/>
      <c r="F102" s="10" t="s">
        <v>170</v>
      </c>
      <c r="G102" s="50" t="n">
        <v>4</v>
      </c>
      <c r="H102" s="69" t="n">
        <v>0</v>
      </c>
    </row>
    <row r="103">
      <c r="A103" s="70"/>
      <c r="D103" s="71" t="s">
        <v>79</v>
      </c>
      <c r="E103" s="71" t="s">
        <v>55</v>
      </c>
      <c r="F103" s="71"/>
      <c r="G103" s="72" t="n">
        <v>4</v>
      </c>
      <c r="H103" s="73"/>
    </row>
    <row r="104">
      <c r="A104" s="9" t="s">
        <v>247</v>
      </c>
      <c r="B104" s="10" t="s">
        <v>59</v>
      </c>
      <c r="C104" s="10" t="s">
        <v>248</v>
      </c>
      <c r="D104" s="10" t="s">
        <v>249</v>
      </c>
      <c r="E104" s="10"/>
      <c r="F104" s="10" t="s">
        <v>170</v>
      </c>
      <c r="G104" s="50" t="n">
        <v>3</v>
      </c>
      <c r="H104" s="69" t="n">
        <v>0</v>
      </c>
    </row>
    <row r="105">
      <c r="A105" s="70"/>
      <c r="D105" s="71" t="s">
        <v>72</v>
      </c>
      <c r="E105" s="71" t="s">
        <v>55</v>
      </c>
      <c r="F105" s="71"/>
      <c r="G105" s="72" t="n">
        <v>3</v>
      </c>
      <c r="H105" s="73"/>
    </row>
    <row r="106">
      <c r="A106" s="9" t="s">
        <v>250</v>
      </c>
      <c r="B106" s="10" t="s">
        <v>59</v>
      </c>
      <c r="C106" s="10" t="s">
        <v>251</v>
      </c>
      <c r="D106" s="10" t="s">
        <v>252</v>
      </c>
      <c r="E106" s="10"/>
      <c r="F106" s="10" t="s">
        <v>170</v>
      </c>
      <c r="G106" s="50" t="n">
        <v>4</v>
      </c>
      <c r="H106" s="69" t="n">
        <v>0</v>
      </c>
    </row>
    <row r="107">
      <c r="A107" s="70"/>
      <c r="D107" s="71" t="s">
        <v>79</v>
      </c>
      <c r="E107" s="71" t="s">
        <v>55</v>
      </c>
      <c r="F107" s="71"/>
      <c r="G107" s="72" t="n">
        <v>4</v>
      </c>
      <c r="H107" s="73"/>
    </row>
    <row r="108">
      <c r="A108" s="9" t="s">
        <v>253</v>
      </c>
      <c r="B108" s="10" t="s">
        <v>59</v>
      </c>
      <c r="C108" s="10" t="s">
        <v>254</v>
      </c>
      <c r="D108" s="10" t="s">
        <v>255</v>
      </c>
      <c r="E108" s="10"/>
      <c r="F108" s="10" t="s">
        <v>170</v>
      </c>
      <c r="G108" s="50" t="n">
        <v>3</v>
      </c>
      <c r="H108" s="69" t="n">
        <v>0</v>
      </c>
    </row>
    <row r="109">
      <c r="A109" s="70"/>
      <c r="D109" s="71" t="s">
        <v>72</v>
      </c>
      <c r="E109" s="71" t="s">
        <v>55</v>
      </c>
      <c r="F109" s="71"/>
      <c r="G109" s="72" t="n">
        <v>3</v>
      </c>
      <c r="H109" s="73"/>
    </row>
    <row r="110">
      <c r="A110" s="9" t="s">
        <v>256</v>
      </c>
      <c r="B110" s="10" t="s">
        <v>59</v>
      </c>
      <c r="C110" s="10" t="s">
        <v>257</v>
      </c>
      <c r="D110" s="10" t="s">
        <v>258</v>
      </c>
      <c r="E110" s="10"/>
      <c r="F110" s="10" t="s">
        <v>170</v>
      </c>
      <c r="G110" s="50" t="n">
        <v>3</v>
      </c>
      <c r="H110" s="69" t="n">
        <v>0</v>
      </c>
    </row>
    <row r="111">
      <c r="A111" s="70"/>
      <c r="D111" s="71" t="s">
        <v>72</v>
      </c>
      <c r="E111" s="71" t="s">
        <v>55</v>
      </c>
      <c r="F111" s="71"/>
      <c r="G111" s="72" t="n">
        <v>3</v>
      </c>
      <c r="H111" s="73"/>
    </row>
    <row r="112">
      <c r="A112" s="9" t="s">
        <v>259</v>
      </c>
      <c r="B112" s="10" t="s">
        <v>59</v>
      </c>
      <c r="C112" s="10" t="s">
        <v>260</v>
      </c>
      <c r="D112" s="10" t="s">
        <v>261</v>
      </c>
      <c r="E112" s="10"/>
      <c r="F112" s="10" t="s">
        <v>170</v>
      </c>
      <c r="G112" s="50" t="n">
        <v>3</v>
      </c>
      <c r="H112" s="69" t="n">
        <v>0</v>
      </c>
    </row>
    <row r="113">
      <c r="A113" s="70"/>
      <c r="D113" s="71" t="s">
        <v>72</v>
      </c>
      <c r="E113" s="71" t="s">
        <v>55</v>
      </c>
      <c r="F113" s="71"/>
      <c r="G113" s="72" t="n">
        <v>3</v>
      </c>
      <c r="H113" s="73"/>
    </row>
    <row r="114">
      <c r="A114" s="9" t="s">
        <v>262</v>
      </c>
      <c r="B114" s="10" t="s">
        <v>59</v>
      </c>
      <c r="C114" s="10" t="s">
        <v>263</v>
      </c>
      <c r="D114" s="10" t="s">
        <v>264</v>
      </c>
      <c r="E114" s="10"/>
      <c r="F114" s="10" t="s">
        <v>170</v>
      </c>
      <c r="G114" s="50" t="n">
        <v>3</v>
      </c>
      <c r="H114" s="69" t="n">
        <v>0</v>
      </c>
    </row>
    <row r="115">
      <c r="A115" s="70"/>
      <c r="D115" s="71" t="s">
        <v>72</v>
      </c>
      <c r="E115" s="71" t="s">
        <v>55</v>
      </c>
      <c r="F115" s="71"/>
      <c r="G115" s="72" t="n">
        <v>3</v>
      </c>
      <c r="H115" s="73"/>
    </row>
    <row r="116">
      <c r="A116" s="9" t="s">
        <v>265</v>
      </c>
      <c r="B116" s="10" t="s">
        <v>59</v>
      </c>
      <c r="C116" s="10" t="s">
        <v>266</v>
      </c>
      <c r="D116" s="10" t="s">
        <v>267</v>
      </c>
      <c r="E116" s="10"/>
      <c r="F116" s="10" t="s">
        <v>170</v>
      </c>
      <c r="G116" s="50" t="n">
        <v>1</v>
      </c>
      <c r="H116" s="69" t="n">
        <v>0</v>
      </c>
    </row>
    <row r="117">
      <c r="A117" s="70"/>
      <c r="D117" s="71" t="s">
        <v>60</v>
      </c>
      <c r="E117" s="71" t="s">
        <v>55</v>
      </c>
      <c r="F117" s="71"/>
      <c r="G117" s="72" t="n">
        <v>1</v>
      </c>
      <c r="H117" s="73"/>
    </row>
    <row r="118">
      <c r="A118" s="9" t="s">
        <v>268</v>
      </c>
      <c r="B118" s="10" t="s">
        <v>59</v>
      </c>
      <c r="C118" s="10" t="s">
        <v>269</v>
      </c>
      <c r="D118" s="10" t="s">
        <v>270</v>
      </c>
      <c r="E118" s="10"/>
      <c r="F118" s="10" t="s">
        <v>170</v>
      </c>
      <c r="G118" s="50" t="n">
        <v>14</v>
      </c>
      <c r="H118" s="69" t="n">
        <v>0</v>
      </c>
    </row>
    <row r="119">
      <c r="A119" s="70"/>
      <c r="D119" s="71" t="s">
        <v>102</v>
      </c>
      <c r="E119" s="71" t="s">
        <v>55</v>
      </c>
      <c r="F119" s="71"/>
      <c r="G119" s="72" t="n">
        <v>14</v>
      </c>
      <c r="H119" s="73"/>
    </row>
    <row r="120">
      <c r="A120" s="9" t="s">
        <v>271</v>
      </c>
      <c r="B120" s="10" t="s">
        <v>59</v>
      </c>
      <c r="C120" s="10" t="s">
        <v>272</v>
      </c>
      <c r="D120" s="10" t="s">
        <v>273</v>
      </c>
      <c r="E120" s="10"/>
      <c r="F120" s="10" t="s">
        <v>170</v>
      </c>
      <c r="G120" s="50" t="n">
        <v>6</v>
      </c>
      <c r="H120" s="69" t="n">
        <v>0</v>
      </c>
    </row>
    <row r="121">
      <c r="A121" s="70"/>
      <c r="D121" s="71" t="s">
        <v>90</v>
      </c>
      <c r="E121" s="71" t="s">
        <v>55</v>
      </c>
      <c r="F121" s="71"/>
      <c r="G121" s="72" t="n">
        <v>6</v>
      </c>
      <c r="H121" s="73"/>
    </row>
    <row r="122">
      <c r="A122" s="9" t="s">
        <v>146</v>
      </c>
      <c r="B122" s="10" t="s">
        <v>59</v>
      </c>
      <c r="C122" s="10" t="s">
        <v>274</v>
      </c>
      <c r="D122" s="10" t="s">
        <v>275</v>
      </c>
      <c r="E122" s="10"/>
      <c r="F122" s="10" t="s">
        <v>170</v>
      </c>
      <c r="G122" s="50" t="n">
        <v>104</v>
      </c>
      <c r="H122" s="69" t="n">
        <v>0</v>
      </c>
    </row>
    <row r="123">
      <c r="A123" s="70"/>
      <c r="D123" s="71" t="s">
        <v>379</v>
      </c>
      <c r="E123" s="71" t="s">
        <v>55</v>
      </c>
      <c r="F123" s="71"/>
      <c r="G123" s="72" t="n">
        <v>104</v>
      </c>
      <c r="H123" s="73"/>
    </row>
    <row r="124">
      <c r="A124" s="9" t="s">
        <v>156</v>
      </c>
      <c r="B124" s="10" t="s">
        <v>59</v>
      </c>
      <c r="C124" s="10" t="s">
        <v>276</v>
      </c>
      <c r="D124" s="10" t="s">
        <v>277</v>
      </c>
      <c r="E124" s="10"/>
      <c r="F124" s="10" t="s">
        <v>170</v>
      </c>
      <c r="G124" s="50" t="n">
        <v>208</v>
      </c>
      <c r="H124" s="69" t="n">
        <v>0</v>
      </c>
    </row>
    <row r="125">
      <c r="A125" s="70"/>
      <c r="D125" s="71" t="s">
        <v>380</v>
      </c>
      <c r="E125" s="71" t="s">
        <v>55</v>
      </c>
      <c r="F125" s="71"/>
      <c r="G125" s="72" t="n">
        <v>208</v>
      </c>
      <c r="H125" s="73"/>
    </row>
    <row r="126">
      <c r="A126" s="9" t="s">
        <v>278</v>
      </c>
      <c r="B126" s="10" t="s">
        <v>59</v>
      </c>
      <c r="C126" s="10" t="s">
        <v>279</v>
      </c>
      <c r="D126" s="10" t="s">
        <v>280</v>
      </c>
      <c r="E126" s="10"/>
      <c r="F126" s="10" t="s">
        <v>281</v>
      </c>
      <c r="G126" s="50" t="n">
        <v>4.1</v>
      </c>
      <c r="H126" s="69" t="n">
        <v>0</v>
      </c>
    </row>
    <row r="127">
      <c r="A127" s="70"/>
      <c r="D127" s="71" t="s">
        <v>381</v>
      </c>
      <c r="E127" s="71" t="s">
        <v>55</v>
      </c>
      <c r="F127" s="71"/>
      <c r="G127" s="72" t="n">
        <v>4.1</v>
      </c>
      <c r="H127" s="73"/>
    </row>
    <row r="128">
      <c r="A128" s="9" t="s">
        <v>286</v>
      </c>
      <c r="B128" s="10" t="s">
        <v>59</v>
      </c>
      <c r="C128" s="10" t="s">
        <v>287</v>
      </c>
      <c r="D128" s="10" t="s">
        <v>288</v>
      </c>
      <c r="E128" s="10"/>
      <c r="F128" s="10" t="s">
        <v>289</v>
      </c>
      <c r="G128" s="50" t="n">
        <v>1</v>
      </c>
      <c r="H128" s="69" t="n">
        <v>0</v>
      </c>
    </row>
    <row r="129">
      <c r="A129" s="70"/>
      <c r="D129" s="71" t="s">
        <v>60</v>
      </c>
      <c r="E129" s="71" t="s">
        <v>55</v>
      </c>
      <c r="F129" s="71"/>
      <c r="G129" s="72" t="n">
        <v>1</v>
      </c>
      <c r="H129" s="73"/>
    </row>
    <row r="130">
      <c r="A130" s="9" t="s">
        <v>295</v>
      </c>
      <c r="B130" s="10" t="s">
        <v>59</v>
      </c>
      <c r="C130" s="10" t="s">
        <v>296</v>
      </c>
      <c r="D130" s="10" t="s">
        <v>294</v>
      </c>
      <c r="E130" s="10"/>
      <c r="F130" s="10" t="s">
        <v>289</v>
      </c>
      <c r="G130" s="50" t="n">
        <v>1</v>
      </c>
      <c r="H130" s="69" t="n">
        <v>0</v>
      </c>
    </row>
    <row r="131">
      <c r="A131" s="70"/>
      <c r="D131" s="71" t="s">
        <v>60</v>
      </c>
      <c r="E131" s="71" t="s">
        <v>55</v>
      </c>
      <c r="F131" s="71"/>
      <c r="G131" s="72" t="n">
        <v>1</v>
      </c>
      <c r="H131" s="73"/>
    </row>
    <row r="132">
      <c r="A132" s="9" t="s">
        <v>300</v>
      </c>
      <c r="B132" s="10" t="s">
        <v>59</v>
      </c>
      <c r="C132" s="10" t="s">
        <v>301</v>
      </c>
      <c r="D132" s="10" t="s">
        <v>302</v>
      </c>
      <c r="E132" s="10"/>
      <c r="F132" s="10" t="s">
        <v>289</v>
      </c>
      <c r="G132" s="50" t="n">
        <v>1</v>
      </c>
      <c r="H132" s="69" t="n">
        <v>0</v>
      </c>
    </row>
    <row r="133">
      <c r="A133" s="70"/>
      <c r="D133" s="71" t="s">
        <v>60</v>
      </c>
      <c r="E133" s="71" t="s">
        <v>55</v>
      </c>
      <c r="F133" s="71"/>
      <c r="G133" s="72" t="n">
        <v>1</v>
      </c>
      <c r="H133" s="73"/>
    </row>
    <row r="134">
      <c r="A134" s="74" t="s">
        <v>55</v>
      </c>
      <c r="B134" s="46" t="s">
        <v>305</v>
      </c>
      <c r="C134" s="46" t="s">
        <v>55</v>
      </c>
      <c r="D134" s="46" t="s">
        <v>304</v>
      </c>
      <c r="E134" s="46"/>
      <c r="F134" s="46" t="s">
        <v>55</v>
      </c>
      <c r="G134" s="28" t="s">
        <v>55</v>
      </c>
      <c r="H134" s="49" t="s">
        <v>55</v>
      </c>
    </row>
    <row r="135">
      <c r="A135" s="9" t="s">
        <v>306</v>
      </c>
      <c r="B135" s="10" t="s">
        <v>305</v>
      </c>
      <c r="C135" s="10" t="s">
        <v>61</v>
      </c>
      <c r="D135" s="10" t="s">
        <v>62</v>
      </c>
      <c r="E135" s="10"/>
      <c r="F135" s="10" t="s">
        <v>63</v>
      </c>
      <c r="G135" s="50" t="n">
        <v>2</v>
      </c>
      <c r="H135" s="69" t="n">
        <v>0</v>
      </c>
    </row>
    <row r="136">
      <c r="A136" s="70"/>
      <c r="D136" s="71" t="s">
        <v>68</v>
      </c>
      <c r="E136" s="71" t="s">
        <v>55</v>
      </c>
      <c r="F136" s="71"/>
      <c r="G136" s="72" t="n">
        <v>2</v>
      </c>
      <c r="H136" s="73"/>
    </row>
    <row r="137">
      <c r="A137" s="9" t="s">
        <v>309</v>
      </c>
      <c r="B137" s="10" t="s">
        <v>305</v>
      </c>
      <c r="C137" s="10" t="s">
        <v>80</v>
      </c>
      <c r="D137" s="10" t="s">
        <v>81</v>
      </c>
      <c r="E137" s="10"/>
      <c r="F137" s="10" t="s">
        <v>82</v>
      </c>
      <c r="G137" s="50" t="n">
        <v>0.9</v>
      </c>
      <c r="H137" s="69" t="n">
        <v>0</v>
      </c>
    </row>
    <row r="138">
      <c r="A138" s="70"/>
      <c r="D138" s="71" t="s">
        <v>382</v>
      </c>
      <c r="E138" s="71" t="s">
        <v>55</v>
      </c>
      <c r="F138" s="71"/>
      <c r="G138" s="72" t="n">
        <v>0.9</v>
      </c>
      <c r="H138" s="73"/>
    </row>
    <row r="139">
      <c r="A139" s="9" t="s">
        <v>310</v>
      </c>
      <c r="B139" s="10" t="s">
        <v>305</v>
      </c>
      <c r="C139" s="10" t="s">
        <v>94</v>
      </c>
      <c r="D139" s="10" t="s">
        <v>95</v>
      </c>
      <c r="E139" s="10"/>
      <c r="F139" s="10" t="s">
        <v>82</v>
      </c>
      <c r="G139" s="50" t="n">
        <v>1.08</v>
      </c>
      <c r="H139" s="69" t="n">
        <v>0</v>
      </c>
    </row>
    <row r="140">
      <c r="A140" s="70"/>
      <c r="D140" s="71" t="s">
        <v>383</v>
      </c>
      <c r="E140" s="71" t="s">
        <v>55</v>
      </c>
      <c r="F140" s="71"/>
      <c r="G140" s="72" t="n">
        <v>1.08</v>
      </c>
      <c r="H140" s="73"/>
    </row>
    <row r="141">
      <c r="A141" s="9" t="s">
        <v>311</v>
      </c>
      <c r="B141" s="10" t="s">
        <v>305</v>
      </c>
      <c r="C141" s="10" t="s">
        <v>97</v>
      </c>
      <c r="D141" s="10" t="s">
        <v>98</v>
      </c>
      <c r="E141" s="10"/>
      <c r="F141" s="10" t="s">
        <v>82</v>
      </c>
      <c r="G141" s="50" t="n">
        <v>1.62</v>
      </c>
      <c r="H141" s="69" t="n">
        <v>0</v>
      </c>
    </row>
    <row r="142">
      <c r="A142" s="70"/>
      <c r="D142" s="71" t="s">
        <v>384</v>
      </c>
      <c r="E142" s="71" t="s">
        <v>55</v>
      </c>
      <c r="F142" s="71"/>
      <c r="G142" s="72" t="n">
        <v>1.62</v>
      </c>
      <c r="H142" s="73"/>
    </row>
    <row r="143">
      <c r="A143" s="9" t="s">
        <v>312</v>
      </c>
      <c r="B143" s="10" t="s">
        <v>305</v>
      </c>
      <c r="C143" s="10" t="s">
        <v>105</v>
      </c>
      <c r="D143" s="10" t="s">
        <v>106</v>
      </c>
      <c r="E143" s="10"/>
      <c r="F143" s="10" t="s">
        <v>71</v>
      </c>
      <c r="G143" s="50" t="n">
        <v>38</v>
      </c>
      <c r="H143" s="69" t="n">
        <v>0</v>
      </c>
    </row>
    <row r="144">
      <c r="A144" s="70"/>
      <c r="D144" s="71" t="s">
        <v>221</v>
      </c>
      <c r="E144" s="71" t="s">
        <v>55</v>
      </c>
      <c r="F144" s="71"/>
      <c r="G144" s="72" t="n">
        <v>38</v>
      </c>
      <c r="H144" s="73"/>
    </row>
    <row r="145">
      <c r="A145" s="9" t="s">
        <v>313</v>
      </c>
      <c r="B145" s="10" t="s">
        <v>305</v>
      </c>
      <c r="C145" s="10" t="s">
        <v>112</v>
      </c>
      <c r="D145" s="10" t="s">
        <v>113</v>
      </c>
      <c r="E145" s="10"/>
      <c r="F145" s="10" t="s">
        <v>82</v>
      </c>
      <c r="G145" s="50" t="n">
        <v>0.3</v>
      </c>
      <c r="H145" s="69" t="n">
        <v>0</v>
      </c>
    </row>
    <row r="146">
      <c r="A146" s="70"/>
      <c r="D146" s="71" t="s">
        <v>385</v>
      </c>
      <c r="E146" s="71" t="s">
        <v>55</v>
      </c>
      <c r="F146" s="71"/>
      <c r="G146" s="72" t="n">
        <v>0.3</v>
      </c>
      <c r="H146" s="73"/>
    </row>
    <row r="147">
      <c r="A147" s="9" t="s">
        <v>314</v>
      </c>
      <c r="B147" s="10" t="s">
        <v>305</v>
      </c>
      <c r="C147" s="10" t="s">
        <v>124</v>
      </c>
      <c r="D147" s="10" t="s">
        <v>125</v>
      </c>
      <c r="E147" s="10"/>
      <c r="F147" s="10" t="s">
        <v>82</v>
      </c>
      <c r="G147" s="50" t="n">
        <v>2.4</v>
      </c>
      <c r="H147" s="69" t="n">
        <v>0</v>
      </c>
    </row>
    <row r="148">
      <c r="A148" s="70"/>
      <c r="D148" s="71" t="s">
        <v>386</v>
      </c>
      <c r="E148" s="71" t="s">
        <v>55</v>
      </c>
      <c r="F148" s="71"/>
      <c r="G148" s="72" t="n">
        <v>2.4</v>
      </c>
      <c r="H148" s="73"/>
    </row>
    <row r="149">
      <c r="A149" s="9" t="s">
        <v>315</v>
      </c>
      <c r="B149" s="10" t="s">
        <v>305</v>
      </c>
      <c r="C149" s="10" t="s">
        <v>127</v>
      </c>
      <c r="D149" s="10" t="s">
        <v>128</v>
      </c>
      <c r="E149" s="10"/>
      <c r="F149" s="10" t="s">
        <v>82</v>
      </c>
      <c r="G149" s="50" t="n">
        <v>0.2</v>
      </c>
      <c r="H149" s="69" t="n">
        <v>0</v>
      </c>
    </row>
    <row r="150">
      <c r="A150" s="70"/>
      <c r="D150" s="71" t="s">
        <v>387</v>
      </c>
      <c r="E150" s="71" t="s">
        <v>55</v>
      </c>
      <c r="F150" s="71"/>
      <c r="G150" s="72" t="n">
        <v>0.2</v>
      </c>
      <c r="H150" s="73"/>
    </row>
    <row r="151">
      <c r="A151" s="9" t="s">
        <v>316</v>
      </c>
      <c r="B151" s="10" t="s">
        <v>305</v>
      </c>
      <c r="C151" s="10" t="s">
        <v>129</v>
      </c>
      <c r="D151" s="10" t="s">
        <v>130</v>
      </c>
      <c r="E151" s="10"/>
      <c r="F151" s="10" t="s">
        <v>82</v>
      </c>
      <c r="G151" s="50" t="n">
        <v>0.3</v>
      </c>
      <c r="H151" s="69" t="n">
        <v>0</v>
      </c>
    </row>
    <row r="152">
      <c r="A152" s="70"/>
      <c r="D152" s="71" t="s">
        <v>388</v>
      </c>
      <c r="E152" s="71" t="s">
        <v>55</v>
      </c>
      <c r="F152" s="71"/>
      <c r="G152" s="72" t="n">
        <v>0.3</v>
      </c>
      <c r="H152" s="73"/>
    </row>
    <row r="153">
      <c r="A153" s="9" t="s">
        <v>317</v>
      </c>
      <c r="B153" s="10" t="s">
        <v>305</v>
      </c>
      <c r="C153" s="10" t="s">
        <v>133</v>
      </c>
      <c r="D153" s="10" t="s">
        <v>134</v>
      </c>
      <c r="E153" s="10"/>
      <c r="F153" s="10" t="s">
        <v>75</v>
      </c>
      <c r="G153" s="50" t="n">
        <v>6</v>
      </c>
      <c r="H153" s="69" t="n">
        <v>0</v>
      </c>
    </row>
    <row r="154">
      <c r="A154" s="70"/>
      <c r="D154" s="71" t="s">
        <v>389</v>
      </c>
      <c r="E154" s="71" t="s">
        <v>55</v>
      </c>
      <c r="F154" s="71"/>
      <c r="G154" s="72" t="n">
        <v>6</v>
      </c>
      <c r="H154" s="73"/>
    </row>
    <row r="155">
      <c r="A155" s="9" t="s">
        <v>318</v>
      </c>
      <c r="B155" s="10" t="s">
        <v>305</v>
      </c>
      <c r="C155" s="10" t="s">
        <v>137</v>
      </c>
      <c r="D155" s="10" t="s">
        <v>138</v>
      </c>
      <c r="E155" s="10"/>
      <c r="F155" s="10" t="s">
        <v>75</v>
      </c>
      <c r="G155" s="50" t="n">
        <v>6</v>
      </c>
      <c r="H155" s="69" t="n">
        <v>0</v>
      </c>
    </row>
    <row r="156">
      <c r="A156" s="70"/>
      <c r="D156" s="71" t="s">
        <v>90</v>
      </c>
      <c r="E156" s="71" t="s">
        <v>55</v>
      </c>
      <c r="F156" s="71"/>
      <c r="G156" s="72" t="n">
        <v>6</v>
      </c>
      <c r="H156" s="73"/>
    </row>
    <row r="157">
      <c r="A157" s="9" t="s">
        <v>319</v>
      </c>
      <c r="B157" s="10" t="s">
        <v>305</v>
      </c>
      <c r="C157" s="10" t="s">
        <v>142</v>
      </c>
      <c r="D157" s="10" t="s">
        <v>143</v>
      </c>
      <c r="E157" s="10"/>
      <c r="F157" s="10" t="s">
        <v>82</v>
      </c>
      <c r="G157" s="50" t="n">
        <v>0.1</v>
      </c>
      <c r="H157" s="69" t="n">
        <v>0</v>
      </c>
    </row>
    <row r="158">
      <c r="A158" s="70"/>
      <c r="D158" s="71" t="s">
        <v>390</v>
      </c>
      <c r="E158" s="71" t="s">
        <v>55</v>
      </c>
      <c r="F158" s="71"/>
      <c r="G158" s="72" t="n">
        <v>0.1</v>
      </c>
      <c r="H158" s="73"/>
    </row>
    <row r="159">
      <c r="A159" s="9" t="s">
        <v>321</v>
      </c>
      <c r="B159" s="10" t="s">
        <v>305</v>
      </c>
      <c r="C159" s="10" t="s">
        <v>149</v>
      </c>
      <c r="D159" s="10" t="s">
        <v>322</v>
      </c>
      <c r="E159" s="10"/>
      <c r="F159" s="10" t="s">
        <v>75</v>
      </c>
      <c r="G159" s="50" t="n">
        <v>2</v>
      </c>
      <c r="H159" s="69" t="n">
        <v>0</v>
      </c>
    </row>
    <row r="160">
      <c r="A160" s="70"/>
      <c r="D160" s="71" t="s">
        <v>391</v>
      </c>
      <c r="E160" s="71" t="s">
        <v>55</v>
      </c>
      <c r="F160" s="71"/>
      <c r="G160" s="72" t="n">
        <v>2</v>
      </c>
      <c r="H160" s="73"/>
    </row>
    <row r="161">
      <c r="A161" s="9" t="s">
        <v>324</v>
      </c>
      <c r="B161" s="10" t="s">
        <v>305</v>
      </c>
      <c r="C161" s="10" t="s">
        <v>325</v>
      </c>
      <c r="D161" s="10" t="s">
        <v>326</v>
      </c>
      <c r="E161" s="10"/>
      <c r="F161" s="10" t="s">
        <v>75</v>
      </c>
      <c r="G161" s="50" t="n">
        <v>2</v>
      </c>
      <c r="H161" s="69" t="n">
        <v>0</v>
      </c>
    </row>
    <row r="162">
      <c r="A162" s="70"/>
      <c r="D162" s="71" t="s">
        <v>391</v>
      </c>
      <c r="E162" s="71" t="s">
        <v>55</v>
      </c>
      <c r="F162" s="71"/>
      <c r="G162" s="72" t="n">
        <v>2</v>
      </c>
      <c r="H162" s="73"/>
    </row>
    <row r="163">
      <c r="A163" s="9" t="s">
        <v>327</v>
      </c>
      <c r="B163" s="10" t="s">
        <v>305</v>
      </c>
      <c r="C163" s="10" t="s">
        <v>168</v>
      </c>
      <c r="D163" s="10" t="s">
        <v>169</v>
      </c>
      <c r="E163" s="10"/>
      <c r="F163" s="10" t="s">
        <v>170</v>
      </c>
      <c r="G163" s="50" t="n">
        <v>1</v>
      </c>
      <c r="H163" s="69" t="n">
        <v>0</v>
      </c>
    </row>
    <row r="164">
      <c r="A164" s="70"/>
      <c r="D164" s="71" t="s">
        <v>60</v>
      </c>
      <c r="E164" s="71" t="s">
        <v>55</v>
      </c>
      <c r="F164" s="71"/>
      <c r="G164" s="72" t="n">
        <v>1</v>
      </c>
      <c r="H164" s="73"/>
    </row>
    <row r="165">
      <c r="A165" s="9" t="s">
        <v>329</v>
      </c>
      <c r="B165" s="10" t="s">
        <v>305</v>
      </c>
      <c r="C165" s="10" t="s">
        <v>179</v>
      </c>
      <c r="D165" s="10" t="s">
        <v>180</v>
      </c>
      <c r="E165" s="10"/>
      <c r="F165" s="10" t="s">
        <v>170</v>
      </c>
      <c r="G165" s="50" t="n">
        <v>2</v>
      </c>
      <c r="H165" s="69" t="n">
        <v>0</v>
      </c>
    </row>
    <row r="166">
      <c r="A166" s="70"/>
      <c r="D166" s="71" t="s">
        <v>68</v>
      </c>
      <c r="E166" s="71" t="s">
        <v>55</v>
      </c>
      <c r="F166" s="71"/>
      <c r="G166" s="72" t="n">
        <v>2</v>
      </c>
      <c r="H166" s="73"/>
    </row>
    <row r="167">
      <c r="A167" s="9" t="s">
        <v>330</v>
      </c>
      <c r="B167" s="10" t="s">
        <v>305</v>
      </c>
      <c r="C167" s="10" t="s">
        <v>183</v>
      </c>
      <c r="D167" s="10" t="s">
        <v>184</v>
      </c>
      <c r="E167" s="10"/>
      <c r="F167" s="10" t="s">
        <v>170</v>
      </c>
      <c r="G167" s="50" t="n">
        <v>1</v>
      </c>
      <c r="H167" s="69" t="n">
        <v>0</v>
      </c>
    </row>
    <row r="168">
      <c r="A168" s="70"/>
      <c r="D168" s="71" t="s">
        <v>60</v>
      </c>
      <c r="E168" s="71" t="s">
        <v>55</v>
      </c>
      <c r="F168" s="71"/>
      <c r="G168" s="72" t="n">
        <v>1</v>
      </c>
      <c r="H168" s="73"/>
    </row>
    <row r="169">
      <c r="A169" s="9" t="s">
        <v>331</v>
      </c>
      <c r="B169" s="10" t="s">
        <v>305</v>
      </c>
      <c r="C169" s="10" t="s">
        <v>186</v>
      </c>
      <c r="D169" s="10" t="s">
        <v>187</v>
      </c>
      <c r="E169" s="10"/>
      <c r="F169" s="10" t="s">
        <v>170</v>
      </c>
      <c r="G169" s="50" t="n">
        <v>2</v>
      </c>
      <c r="H169" s="69" t="n">
        <v>0</v>
      </c>
    </row>
    <row r="170">
      <c r="A170" s="70"/>
      <c r="D170" s="71" t="s">
        <v>68</v>
      </c>
      <c r="E170" s="71" t="s">
        <v>55</v>
      </c>
      <c r="F170" s="71"/>
      <c r="G170" s="72" t="n">
        <v>2</v>
      </c>
      <c r="H170" s="73"/>
    </row>
    <row r="171">
      <c r="A171" s="9" t="s">
        <v>332</v>
      </c>
      <c r="B171" s="10" t="s">
        <v>305</v>
      </c>
      <c r="C171" s="10" t="s">
        <v>189</v>
      </c>
      <c r="D171" s="10" t="s">
        <v>190</v>
      </c>
      <c r="E171" s="10"/>
      <c r="F171" s="10" t="s">
        <v>170</v>
      </c>
      <c r="G171" s="50" t="n">
        <v>1</v>
      </c>
      <c r="H171" s="69" t="n">
        <v>0</v>
      </c>
    </row>
    <row r="172">
      <c r="A172" s="70"/>
      <c r="D172" s="71" t="s">
        <v>60</v>
      </c>
      <c r="E172" s="71" t="s">
        <v>55</v>
      </c>
      <c r="F172" s="71"/>
      <c r="G172" s="72" t="n">
        <v>1</v>
      </c>
      <c r="H172" s="73"/>
    </row>
    <row r="173">
      <c r="A173" s="9" t="s">
        <v>333</v>
      </c>
      <c r="B173" s="10" t="s">
        <v>305</v>
      </c>
      <c r="C173" s="10" t="s">
        <v>192</v>
      </c>
      <c r="D173" s="10" t="s">
        <v>193</v>
      </c>
      <c r="E173" s="10"/>
      <c r="F173" s="10" t="s">
        <v>71</v>
      </c>
      <c r="G173" s="50" t="n">
        <v>38</v>
      </c>
      <c r="H173" s="69" t="n">
        <v>0</v>
      </c>
    </row>
    <row r="174">
      <c r="A174" s="70"/>
      <c r="D174" s="71" t="s">
        <v>221</v>
      </c>
      <c r="E174" s="71" t="s">
        <v>55</v>
      </c>
      <c r="F174" s="71"/>
      <c r="G174" s="72" t="n">
        <v>38</v>
      </c>
      <c r="H174" s="73"/>
    </row>
    <row r="175">
      <c r="A175" s="9" t="s">
        <v>334</v>
      </c>
      <c r="B175" s="10" t="s">
        <v>305</v>
      </c>
      <c r="C175" s="10" t="s">
        <v>195</v>
      </c>
      <c r="D175" s="10" t="s">
        <v>196</v>
      </c>
      <c r="E175" s="10"/>
      <c r="F175" s="10" t="s">
        <v>71</v>
      </c>
      <c r="G175" s="50" t="n">
        <v>38</v>
      </c>
      <c r="H175" s="69" t="n">
        <v>0</v>
      </c>
    </row>
    <row r="176">
      <c r="A176" s="70"/>
      <c r="D176" s="71" t="s">
        <v>221</v>
      </c>
      <c r="E176" s="71" t="s">
        <v>55</v>
      </c>
      <c r="F176" s="71"/>
      <c r="G176" s="72" t="n">
        <v>38</v>
      </c>
      <c r="H176" s="73"/>
    </row>
    <row r="177">
      <c r="A177" s="9" t="s">
        <v>335</v>
      </c>
      <c r="B177" s="10" t="s">
        <v>305</v>
      </c>
      <c r="C177" s="10" t="s">
        <v>198</v>
      </c>
      <c r="D177" s="10" t="s">
        <v>199</v>
      </c>
      <c r="E177" s="10"/>
      <c r="F177" s="10" t="s">
        <v>170</v>
      </c>
      <c r="G177" s="50" t="n">
        <v>1</v>
      </c>
      <c r="H177" s="69" t="n">
        <v>0</v>
      </c>
    </row>
    <row r="178">
      <c r="A178" s="70"/>
      <c r="D178" s="71" t="s">
        <v>60</v>
      </c>
      <c r="E178" s="71" t="s">
        <v>55</v>
      </c>
      <c r="F178" s="71"/>
      <c r="G178" s="72" t="n">
        <v>1</v>
      </c>
      <c r="H178" s="73"/>
    </row>
    <row r="179">
      <c r="A179" s="9" t="s">
        <v>336</v>
      </c>
      <c r="B179" s="10" t="s">
        <v>305</v>
      </c>
      <c r="C179" s="10" t="s">
        <v>201</v>
      </c>
      <c r="D179" s="10" t="s">
        <v>202</v>
      </c>
      <c r="E179" s="10"/>
      <c r="F179" s="10" t="s">
        <v>71</v>
      </c>
      <c r="G179" s="50" t="n">
        <v>42</v>
      </c>
      <c r="H179" s="69" t="n">
        <v>0</v>
      </c>
    </row>
    <row r="180">
      <c r="A180" s="70"/>
      <c r="D180" s="71" t="s">
        <v>233</v>
      </c>
      <c r="E180" s="71" t="s">
        <v>55</v>
      </c>
      <c r="F180" s="71"/>
      <c r="G180" s="72" t="n">
        <v>42</v>
      </c>
      <c r="H180" s="73"/>
    </row>
    <row r="181">
      <c r="A181" s="9" t="s">
        <v>165</v>
      </c>
      <c r="B181" s="10" t="s">
        <v>305</v>
      </c>
      <c r="C181" s="10" t="s">
        <v>216</v>
      </c>
      <c r="D181" s="10" t="s">
        <v>217</v>
      </c>
      <c r="E181" s="10"/>
      <c r="F181" s="10" t="s">
        <v>71</v>
      </c>
      <c r="G181" s="50" t="n">
        <v>38</v>
      </c>
      <c r="H181" s="69" t="n">
        <v>0</v>
      </c>
    </row>
    <row r="182">
      <c r="A182" s="70"/>
      <c r="D182" s="71" t="s">
        <v>221</v>
      </c>
      <c r="E182" s="71" t="s">
        <v>55</v>
      </c>
      <c r="F182" s="71"/>
      <c r="G182" s="72" t="n">
        <v>38</v>
      </c>
      <c r="H182" s="73"/>
    </row>
    <row r="183">
      <c r="A183" s="9" t="s">
        <v>338</v>
      </c>
      <c r="B183" s="10" t="s">
        <v>305</v>
      </c>
      <c r="C183" s="10" t="s">
        <v>225</v>
      </c>
      <c r="D183" s="10" t="s">
        <v>226</v>
      </c>
      <c r="E183" s="10"/>
      <c r="F183" s="10" t="s">
        <v>170</v>
      </c>
      <c r="G183" s="50" t="n">
        <v>2</v>
      </c>
      <c r="H183" s="69" t="n">
        <v>0</v>
      </c>
    </row>
    <row r="184">
      <c r="A184" s="70"/>
      <c r="D184" s="71" t="s">
        <v>68</v>
      </c>
      <c r="E184" s="71" t="s">
        <v>55</v>
      </c>
      <c r="F184" s="71"/>
      <c r="G184" s="72" t="n">
        <v>2</v>
      </c>
      <c r="H184" s="73"/>
    </row>
    <row r="185">
      <c r="A185" s="9" t="s">
        <v>339</v>
      </c>
      <c r="B185" s="10" t="s">
        <v>305</v>
      </c>
      <c r="C185" s="10" t="s">
        <v>234</v>
      </c>
      <c r="D185" s="10" t="s">
        <v>235</v>
      </c>
      <c r="E185" s="10"/>
      <c r="F185" s="10" t="s">
        <v>170</v>
      </c>
      <c r="G185" s="50" t="n">
        <v>2</v>
      </c>
      <c r="H185" s="69" t="n">
        <v>0</v>
      </c>
    </row>
    <row r="186">
      <c r="A186" s="70"/>
      <c r="D186" s="71" t="s">
        <v>68</v>
      </c>
      <c r="E186" s="71" t="s">
        <v>55</v>
      </c>
      <c r="F186" s="71"/>
      <c r="G186" s="72" t="n">
        <v>2</v>
      </c>
      <c r="H186" s="73"/>
    </row>
    <row r="187">
      <c r="A187" s="9" t="s">
        <v>340</v>
      </c>
      <c r="B187" s="10" t="s">
        <v>305</v>
      </c>
      <c r="C187" s="10" t="s">
        <v>237</v>
      </c>
      <c r="D187" s="10" t="s">
        <v>238</v>
      </c>
      <c r="E187" s="10"/>
      <c r="F187" s="10" t="s">
        <v>170</v>
      </c>
      <c r="G187" s="50" t="n">
        <v>2</v>
      </c>
      <c r="H187" s="69" t="n">
        <v>0</v>
      </c>
    </row>
    <row r="188">
      <c r="A188" s="70"/>
      <c r="D188" s="71" t="s">
        <v>68</v>
      </c>
      <c r="E188" s="71" t="s">
        <v>55</v>
      </c>
      <c r="F188" s="71"/>
      <c r="G188" s="72" t="n">
        <v>2</v>
      </c>
      <c r="H188" s="73"/>
    </row>
    <row r="189">
      <c r="A189" s="9" t="s">
        <v>176</v>
      </c>
      <c r="B189" s="10" t="s">
        <v>305</v>
      </c>
      <c r="C189" s="10" t="s">
        <v>240</v>
      </c>
      <c r="D189" s="10" t="s">
        <v>341</v>
      </c>
      <c r="E189" s="10"/>
      <c r="F189" s="10" t="s">
        <v>170</v>
      </c>
      <c r="G189" s="50" t="n">
        <v>1</v>
      </c>
      <c r="H189" s="69" t="n">
        <v>0</v>
      </c>
    </row>
    <row r="190">
      <c r="A190" s="70"/>
      <c r="D190" s="71" t="s">
        <v>60</v>
      </c>
      <c r="E190" s="71" t="s">
        <v>55</v>
      </c>
      <c r="F190" s="71"/>
      <c r="G190" s="72" t="n">
        <v>1</v>
      </c>
      <c r="H190" s="73"/>
    </row>
    <row r="191">
      <c r="A191" s="9" t="s">
        <v>342</v>
      </c>
      <c r="B191" s="10" t="s">
        <v>305</v>
      </c>
      <c r="C191" s="10" t="s">
        <v>242</v>
      </c>
      <c r="D191" s="10" t="s">
        <v>343</v>
      </c>
      <c r="E191" s="10"/>
      <c r="F191" s="10" t="s">
        <v>170</v>
      </c>
      <c r="G191" s="50" t="n">
        <v>2</v>
      </c>
      <c r="H191" s="69" t="n">
        <v>0</v>
      </c>
    </row>
    <row r="192">
      <c r="A192" s="70"/>
      <c r="D192" s="71" t="s">
        <v>68</v>
      </c>
      <c r="E192" s="71" t="s">
        <v>55</v>
      </c>
      <c r="F192" s="71"/>
      <c r="G192" s="72" t="n">
        <v>2</v>
      </c>
      <c r="H192" s="73"/>
    </row>
    <row r="193">
      <c r="A193" s="9" t="s">
        <v>203</v>
      </c>
      <c r="B193" s="10" t="s">
        <v>305</v>
      </c>
      <c r="C193" s="10" t="s">
        <v>245</v>
      </c>
      <c r="D193" s="10" t="s">
        <v>246</v>
      </c>
      <c r="E193" s="10"/>
      <c r="F193" s="10" t="s">
        <v>170</v>
      </c>
      <c r="G193" s="50" t="n">
        <v>2</v>
      </c>
      <c r="H193" s="69" t="n">
        <v>0</v>
      </c>
    </row>
    <row r="194">
      <c r="A194" s="70"/>
      <c r="D194" s="71" t="s">
        <v>68</v>
      </c>
      <c r="E194" s="71" t="s">
        <v>55</v>
      </c>
      <c r="F194" s="71"/>
      <c r="G194" s="72" t="n">
        <v>2</v>
      </c>
      <c r="H194" s="73"/>
    </row>
    <row r="195">
      <c r="A195" s="9" t="s">
        <v>344</v>
      </c>
      <c r="B195" s="10" t="s">
        <v>305</v>
      </c>
      <c r="C195" s="10" t="s">
        <v>248</v>
      </c>
      <c r="D195" s="10" t="s">
        <v>249</v>
      </c>
      <c r="E195" s="10"/>
      <c r="F195" s="10" t="s">
        <v>170</v>
      </c>
      <c r="G195" s="50" t="n">
        <v>1</v>
      </c>
      <c r="H195" s="69" t="n">
        <v>0</v>
      </c>
    </row>
    <row r="196">
      <c r="A196" s="70"/>
      <c r="D196" s="71" t="s">
        <v>60</v>
      </c>
      <c r="E196" s="71" t="s">
        <v>55</v>
      </c>
      <c r="F196" s="71"/>
      <c r="G196" s="72" t="n">
        <v>1</v>
      </c>
      <c r="H196" s="73"/>
    </row>
    <row r="197">
      <c r="A197" s="9" t="s">
        <v>345</v>
      </c>
      <c r="B197" s="10" t="s">
        <v>305</v>
      </c>
      <c r="C197" s="10" t="s">
        <v>251</v>
      </c>
      <c r="D197" s="10" t="s">
        <v>252</v>
      </c>
      <c r="E197" s="10"/>
      <c r="F197" s="10" t="s">
        <v>170</v>
      </c>
      <c r="G197" s="50" t="n">
        <v>2</v>
      </c>
      <c r="H197" s="69" t="n">
        <v>0</v>
      </c>
    </row>
    <row r="198">
      <c r="A198" s="70"/>
      <c r="D198" s="71" t="s">
        <v>68</v>
      </c>
      <c r="E198" s="71" t="s">
        <v>55</v>
      </c>
      <c r="F198" s="71"/>
      <c r="G198" s="72" t="n">
        <v>2</v>
      </c>
      <c r="H198" s="73"/>
    </row>
    <row r="199">
      <c r="A199" s="9" t="s">
        <v>346</v>
      </c>
      <c r="B199" s="10" t="s">
        <v>305</v>
      </c>
      <c r="C199" s="10" t="s">
        <v>254</v>
      </c>
      <c r="D199" s="10" t="s">
        <v>255</v>
      </c>
      <c r="E199" s="10"/>
      <c r="F199" s="10" t="s">
        <v>170</v>
      </c>
      <c r="G199" s="50" t="n">
        <v>1</v>
      </c>
      <c r="H199" s="69" t="n">
        <v>0</v>
      </c>
    </row>
    <row r="200">
      <c r="A200" s="70"/>
      <c r="D200" s="71" t="s">
        <v>60</v>
      </c>
      <c r="E200" s="71" t="s">
        <v>55</v>
      </c>
      <c r="F200" s="71"/>
      <c r="G200" s="72" t="n">
        <v>1</v>
      </c>
      <c r="H200" s="73"/>
    </row>
    <row r="201">
      <c r="A201" s="9" t="s">
        <v>347</v>
      </c>
      <c r="B201" s="10" t="s">
        <v>305</v>
      </c>
      <c r="C201" s="10" t="s">
        <v>260</v>
      </c>
      <c r="D201" s="10" t="s">
        <v>261</v>
      </c>
      <c r="E201" s="10"/>
      <c r="F201" s="10" t="s">
        <v>170</v>
      </c>
      <c r="G201" s="50" t="n">
        <v>1</v>
      </c>
      <c r="H201" s="69" t="n">
        <v>0</v>
      </c>
    </row>
    <row r="202">
      <c r="A202" s="70"/>
      <c r="D202" s="71" t="s">
        <v>60</v>
      </c>
      <c r="E202" s="71" t="s">
        <v>55</v>
      </c>
      <c r="F202" s="71"/>
      <c r="G202" s="72" t="n">
        <v>1</v>
      </c>
      <c r="H202" s="73"/>
    </row>
    <row r="203">
      <c r="A203" s="9" t="s">
        <v>348</v>
      </c>
      <c r="B203" s="10" t="s">
        <v>305</v>
      </c>
      <c r="C203" s="10" t="s">
        <v>263</v>
      </c>
      <c r="D203" s="10" t="s">
        <v>264</v>
      </c>
      <c r="E203" s="10"/>
      <c r="F203" s="10" t="s">
        <v>170</v>
      </c>
      <c r="G203" s="50" t="n">
        <v>1</v>
      </c>
      <c r="H203" s="69" t="n">
        <v>0</v>
      </c>
    </row>
    <row r="204">
      <c r="A204" s="70"/>
      <c r="D204" s="71" t="s">
        <v>60</v>
      </c>
      <c r="E204" s="71" t="s">
        <v>55</v>
      </c>
      <c r="F204" s="71"/>
      <c r="G204" s="72" t="n">
        <v>1</v>
      </c>
      <c r="H204" s="73"/>
    </row>
    <row r="205">
      <c r="A205" s="9" t="s">
        <v>349</v>
      </c>
      <c r="B205" s="10" t="s">
        <v>305</v>
      </c>
      <c r="C205" s="10" t="s">
        <v>269</v>
      </c>
      <c r="D205" s="10" t="s">
        <v>270</v>
      </c>
      <c r="E205" s="10"/>
      <c r="F205" s="10" t="s">
        <v>170</v>
      </c>
      <c r="G205" s="50" t="n">
        <v>4</v>
      </c>
      <c r="H205" s="69" t="n">
        <v>0</v>
      </c>
    </row>
    <row r="206">
      <c r="A206" s="70"/>
      <c r="D206" s="71" t="s">
        <v>79</v>
      </c>
      <c r="E206" s="71" t="s">
        <v>55</v>
      </c>
      <c r="F206" s="71"/>
      <c r="G206" s="72" t="n">
        <v>4</v>
      </c>
      <c r="H206" s="73"/>
    </row>
    <row r="207">
      <c r="A207" s="9" t="s">
        <v>350</v>
      </c>
      <c r="B207" s="10" t="s">
        <v>305</v>
      </c>
      <c r="C207" s="10" t="s">
        <v>272</v>
      </c>
      <c r="D207" s="10" t="s">
        <v>273</v>
      </c>
      <c r="E207" s="10"/>
      <c r="F207" s="10" t="s">
        <v>170</v>
      </c>
      <c r="G207" s="50" t="n">
        <v>2</v>
      </c>
      <c r="H207" s="69" t="n">
        <v>0</v>
      </c>
    </row>
    <row r="208">
      <c r="A208" s="70"/>
      <c r="D208" s="71" t="s">
        <v>68</v>
      </c>
      <c r="E208" s="71" t="s">
        <v>55</v>
      </c>
      <c r="F208" s="71"/>
      <c r="G208" s="72" t="n">
        <v>2</v>
      </c>
      <c r="H208" s="73"/>
    </row>
    <row r="209">
      <c r="A209" s="9" t="s">
        <v>290</v>
      </c>
      <c r="B209" s="10" t="s">
        <v>305</v>
      </c>
      <c r="C209" s="10" t="s">
        <v>274</v>
      </c>
      <c r="D209" s="10" t="s">
        <v>275</v>
      </c>
      <c r="E209" s="10"/>
      <c r="F209" s="10" t="s">
        <v>170</v>
      </c>
      <c r="G209" s="50" t="n">
        <v>24</v>
      </c>
      <c r="H209" s="69" t="n">
        <v>0</v>
      </c>
    </row>
    <row r="210">
      <c r="A210" s="70"/>
      <c r="D210" s="71" t="s">
        <v>392</v>
      </c>
      <c r="E210" s="71" t="s">
        <v>55</v>
      </c>
      <c r="F210" s="71"/>
      <c r="G210" s="72" t="n">
        <v>24</v>
      </c>
      <c r="H210" s="73"/>
    </row>
    <row r="211">
      <c r="A211" s="9" t="s">
        <v>351</v>
      </c>
      <c r="B211" s="10" t="s">
        <v>305</v>
      </c>
      <c r="C211" s="10" t="s">
        <v>276</v>
      </c>
      <c r="D211" s="10" t="s">
        <v>277</v>
      </c>
      <c r="E211" s="10"/>
      <c r="F211" s="10" t="s">
        <v>170</v>
      </c>
      <c r="G211" s="50" t="n">
        <v>48</v>
      </c>
      <c r="H211" s="69" t="n">
        <v>0</v>
      </c>
    </row>
    <row r="212">
      <c r="A212" s="70"/>
      <c r="D212" s="71" t="s">
        <v>393</v>
      </c>
      <c r="E212" s="71" t="s">
        <v>55</v>
      </c>
      <c r="F212" s="71"/>
      <c r="G212" s="72" t="n">
        <v>48</v>
      </c>
      <c r="H212" s="73"/>
    </row>
    <row r="213">
      <c r="A213" s="9" t="s">
        <v>352</v>
      </c>
      <c r="B213" s="10" t="s">
        <v>305</v>
      </c>
      <c r="C213" s="10" t="s">
        <v>279</v>
      </c>
      <c r="D213" s="10" t="s">
        <v>280</v>
      </c>
      <c r="E213" s="10"/>
      <c r="F213" s="10" t="s">
        <v>281</v>
      </c>
      <c r="G213" s="50" t="n">
        <v>0.36</v>
      </c>
      <c r="H213" s="69" t="n">
        <v>0</v>
      </c>
    </row>
    <row r="214">
      <c r="A214" s="75"/>
      <c r="B214" s="76"/>
      <c r="C214" s="76"/>
      <c r="D214" s="77" t="s">
        <v>394</v>
      </c>
      <c r="E214" s="77" t="s">
        <v>55</v>
      </c>
      <c r="F214" s="77"/>
      <c r="G214" s="78" t="n">
        <v>0.36</v>
      </c>
      <c r="H214" s="79"/>
    </row>
    <row r="216">
      <c r="A216" s="60" t="s">
        <v>357</v>
      </c>
    </row>
    <row r="217" customHeight="true" ht="12.75">
      <c r="A217" s="14" t="s">
        <v>55</v>
      </c>
      <c r="B217" s="10"/>
      <c r="C217" s="10"/>
      <c r="D217" s="10"/>
      <c r="E217" s="10"/>
      <c r="F217" s="10"/>
      <c r="G217" s="10"/>
    </row>
  </sheetData>
  <mergeCells>
    <mergeCell ref="A1:H1"/>
    <mergeCell ref="A2:B3"/>
    <mergeCell ref="A4:B5"/>
    <mergeCell ref="A6:B7"/>
    <mergeCell ref="A8:B9"/>
    <mergeCell ref="E2:E3"/>
    <mergeCell ref="E4:E5"/>
    <mergeCell ref="E6:E7"/>
    <mergeCell ref="E8:E9"/>
    <mergeCell ref="C2:D3"/>
    <mergeCell ref="C4:D5"/>
    <mergeCell ref="C6:D7"/>
    <mergeCell ref="C8:D9"/>
    <mergeCell ref="F2:H3"/>
    <mergeCell ref="F4:H5"/>
    <mergeCell ref="F6:H7"/>
    <mergeCell ref="F8:H9"/>
    <mergeCell ref="D10:E10"/>
    <mergeCell ref="D11:E11"/>
    <mergeCell ref="D12:E12"/>
    <mergeCell ref="E13:F13"/>
    <mergeCell ref="D14:E14"/>
    <mergeCell ref="E15:F15"/>
    <mergeCell ref="D16:E16"/>
    <mergeCell ref="E17:F17"/>
    <mergeCell ref="D18:E18"/>
    <mergeCell ref="E19:F19"/>
    <mergeCell ref="D20:E20"/>
    <mergeCell ref="E21:F21"/>
    <mergeCell ref="D22:E22"/>
    <mergeCell ref="E23:F23"/>
    <mergeCell ref="D24:E24"/>
    <mergeCell ref="E25:F25"/>
    <mergeCell ref="D26:E26"/>
    <mergeCell ref="E27:F27"/>
    <mergeCell ref="D28:E28"/>
    <mergeCell ref="E29:F29"/>
    <mergeCell ref="D30:E30"/>
    <mergeCell ref="E31:F31"/>
    <mergeCell ref="D32:E32"/>
    <mergeCell ref="E33:F33"/>
    <mergeCell ref="D34:E34"/>
    <mergeCell ref="E35:F35"/>
    <mergeCell ref="D36:E36"/>
    <mergeCell ref="E37:F37"/>
    <mergeCell ref="D38:E38"/>
    <mergeCell ref="E39:F39"/>
    <mergeCell ref="D40:E40"/>
    <mergeCell ref="E41:F41"/>
    <mergeCell ref="D42:E42"/>
    <mergeCell ref="E43:F43"/>
    <mergeCell ref="D44:E44"/>
    <mergeCell ref="E45:F45"/>
    <mergeCell ref="D46:E46"/>
    <mergeCell ref="E47:F47"/>
    <mergeCell ref="D48:E48"/>
    <mergeCell ref="E49:F49"/>
    <mergeCell ref="D50:E50"/>
    <mergeCell ref="E51:F51"/>
    <mergeCell ref="D52:E52"/>
    <mergeCell ref="E53:F53"/>
    <mergeCell ref="D54:E54"/>
    <mergeCell ref="E55:F55"/>
    <mergeCell ref="D56:E56"/>
    <mergeCell ref="E57:F57"/>
    <mergeCell ref="D58:E58"/>
    <mergeCell ref="E59:F59"/>
    <mergeCell ref="D60:E60"/>
    <mergeCell ref="E61:F61"/>
    <mergeCell ref="D62:E62"/>
    <mergeCell ref="E63:F63"/>
    <mergeCell ref="D64:E64"/>
    <mergeCell ref="E65:F65"/>
    <mergeCell ref="D66:E66"/>
    <mergeCell ref="E67:F67"/>
    <mergeCell ref="D68:E68"/>
    <mergeCell ref="E69:F69"/>
    <mergeCell ref="D70:E70"/>
    <mergeCell ref="E71:F71"/>
    <mergeCell ref="D72:E72"/>
    <mergeCell ref="E73:F73"/>
    <mergeCell ref="D74:E74"/>
    <mergeCell ref="E75:F75"/>
    <mergeCell ref="D76:E76"/>
    <mergeCell ref="E77:F77"/>
    <mergeCell ref="D78:E78"/>
    <mergeCell ref="E79:F79"/>
    <mergeCell ref="D80:E80"/>
    <mergeCell ref="E81:F81"/>
    <mergeCell ref="D82:E82"/>
    <mergeCell ref="E83:F83"/>
    <mergeCell ref="D84:E84"/>
    <mergeCell ref="E85:F85"/>
    <mergeCell ref="D86:E86"/>
    <mergeCell ref="E87:F87"/>
    <mergeCell ref="D88:E88"/>
    <mergeCell ref="E89:F89"/>
    <mergeCell ref="D90:E90"/>
    <mergeCell ref="E91:F91"/>
    <mergeCell ref="D92:E92"/>
    <mergeCell ref="E93:F93"/>
    <mergeCell ref="D94:E94"/>
    <mergeCell ref="E95:F95"/>
    <mergeCell ref="D96:E96"/>
    <mergeCell ref="E97:F97"/>
    <mergeCell ref="D98:E98"/>
    <mergeCell ref="E99:F99"/>
    <mergeCell ref="D100:E100"/>
    <mergeCell ref="E101:F101"/>
    <mergeCell ref="D102:E102"/>
    <mergeCell ref="E103:F103"/>
    <mergeCell ref="D104:E104"/>
    <mergeCell ref="E105:F105"/>
    <mergeCell ref="D106:E106"/>
    <mergeCell ref="E107:F107"/>
    <mergeCell ref="D108:E108"/>
    <mergeCell ref="E109:F109"/>
    <mergeCell ref="D110:E110"/>
    <mergeCell ref="E111:F111"/>
    <mergeCell ref="D112:E112"/>
    <mergeCell ref="E113:F113"/>
    <mergeCell ref="D114:E114"/>
    <mergeCell ref="E115:F115"/>
    <mergeCell ref="D116:E116"/>
    <mergeCell ref="E117:F117"/>
    <mergeCell ref="D118:E118"/>
    <mergeCell ref="E119:F119"/>
    <mergeCell ref="D120:E120"/>
    <mergeCell ref="E121:F121"/>
    <mergeCell ref="D122:E122"/>
    <mergeCell ref="E123:F123"/>
    <mergeCell ref="D124:E124"/>
    <mergeCell ref="E125:F125"/>
    <mergeCell ref="D126:E126"/>
    <mergeCell ref="E127:F127"/>
    <mergeCell ref="D128:E128"/>
    <mergeCell ref="E129:F129"/>
    <mergeCell ref="D130:E130"/>
    <mergeCell ref="E131:F131"/>
    <mergeCell ref="D132:E132"/>
    <mergeCell ref="E133:F133"/>
    <mergeCell ref="D134:E134"/>
    <mergeCell ref="D135:E135"/>
    <mergeCell ref="E136:F136"/>
    <mergeCell ref="D137:E137"/>
    <mergeCell ref="E138:F138"/>
    <mergeCell ref="D139:E139"/>
    <mergeCell ref="E140:F140"/>
    <mergeCell ref="D141:E141"/>
    <mergeCell ref="E142:F142"/>
    <mergeCell ref="D143:E143"/>
    <mergeCell ref="E144:F144"/>
    <mergeCell ref="D145:E145"/>
    <mergeCell ref="E146:F146"/>
    <mergeCell ref="D147:E147"/>
    <mergeCell ref="E148:F148"/>
    <mergeCell ref="D149:E149"/>
    <mergeCell ref="E150:F150"/>
    <mergeCell ref="D151:E151"/>
    <mergeCell ref="E152:F152"/>
    <mergeCell ref="D153:E153"/>
    <mergeCell ref="E154:F154"/>
    <mergeCell ref="D155:E155"/>
    <mergeCell ref="E156:F156"/>
    <mergeCell ref="D157:E157"/>
    <mergeCell ref="E158:F158"/>
    <mergeCell ref="D159:E159"/>
    <mergeCell ref="E160:F160"/>
    <mergeCell ref="D161:E161"/>
    <mergeCell ref="E162:F162"/>
    <mergeCell ref="D163:E163"/>
    <mergeCell ref="E164:F164"/>
    <mergeCell ref="D165:E165"/>
    <mergeCell ref="E166:F166"/>
    <mergeCell ref="D167:E167"/>
    <mergeCell ref="E168:F168"/>
    <mergeCell ref="D169:E169"/>
    <mergeCell ref="E170:F170"/>
    <mergeCell ref="D171:E171"/>
    <mergeCell ref="E172:F172"/>
    <mergeCell ref="D173:E173"/>
    <mergeCell ref="E174:F174"/>
    <mergeCell ref="D175:E175"/>
    <mergeCell ref="E176:F176"/>
    <mergeCell ref="D177:E177"/>
    <mergeCell ref="E178:F178"/>
    <mergeCell ref="D179:E179"/>
    <mergeCell ref="E180:F180"/>
    <mergeCell ref="D181:E181"/>
    <mergeCell ref="E182:F182"/>
    <mergeCell ref="D183:E183"/>
    <mergeCell ref="E184:F184"/>
    <mergeCell ref="D185:E185"/>
    <mergeCell ref="E186:F186"/>
    <mergeCell ref="D187:E187"/>
    <mergeCell ref="E188:F188"/>
    <mergeCell ref="D189:E189"/>
    <mergeCell ref="E190:F190"/>
    <mergeCell ref="D191:E191"/>
    <mergeCell ref="E192:F192"/>
    <mergeCell ref="D193:E193"/>
    <mergeCell ref="E194:F194"/>
    <mergeCell ref="D195:E195"/>
    <mergeCell ref="E196:F196"/>
    <mergeCell ref="D197:E197"/>
    <mergeCell ref="E198:F198"/>
    <mergeCell ref="D199:E199"/>
    <mergeCell ref="E200:F200"/>
    <mergeCell ref="D201:E201"/>
    <mergeCell ref="E202:F202"/>
    <mergeCell ref="D203:E203"/>
    <mergeCell ref="E204:F204"/>
    <mergeCell ref="D205:E205"/>
    <mergeCell ref="E206:F206"/>
    <mergeCell ref="D207:E207"/>
    <mergeCell ref="E208:F208"/>
    <mergeCell ref="D209:E209"/>
    <mergeCell ref="E210:F210"/>
    <mergeCell ref="D211:E211"/>
    <mergeCell ref="E212:F212"/>
    <mergeCell ref="D213:E213"/>
    <mergeCell ref="E214:F214"/>
    <mergeCell ref="A217:G217"/>
  </mergeCells>
  <pageMargins left="0.393999993801117" top="0.591000020503998" right="0.393999993801117" bottom="0.591000020503998" header="0" footer="0"/>
  <pageSetup orientation="landscape" fitToHeight="0" fitToWidth="1" cellComments="none"/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outlinePr summaryBelow="true" summaryRight="true"/>
    <pageSetUpPr fitToPage="true"/>
  </sheetPr>
  <dimension ref="A1:I37"/>
  <sheetViews>
    <sheetView workbookViewId="0" showZeros="true" showFormulas="false" showGridLines="true" showRowColHeaders="true">
      <selection sqref="A37:I37" activeCell="A37"/>
    </sheetView>
  </sheetViews>
  <sheetFormatPr defaultColWidth="12.140625" customHeight="true" defaultRowHeight="15"/>
  <cols>
    <col max="1" min="1" style="0" width="9.140625" customWidth="true"/>
    <col max="2" min="2" style="0" width="12.85546875" customWidth="true"/>
    <col max="3" min="3" style="0" width="27.140625" customWidth="true"/>
    <col max="4" min="4" style="0" width="10" customWidth="true"/>
    <col max="5" min="5" style="0" width="14" customWidth="true"/>
    <col max="6" min="6" style="0" width="27.140625" customWidth="true"/>
    <col max="7" min="7" style="0" width="9.140625" customWidth="true"/>
    <col max="8" min="8" style="0" width="12.85546875" customWidth="true"/>
    <col max="9" min="9" style="0" width="27.140625" customWidth="true"/>
  </cols>
  <sheetData>
    <row r="1" customHeight="true" ht="54.75">
      <c r="A1" s="80" t="s">
        <v>395</v>
      </c>
      <c r="B1" s="1"/>
      <c r="C1" s="1"/>
      <c r="D1" s="1"/>
      <c r="E1" s="1"/>
      <c r="F1" s="1"/>
      <c r="G1" s="1"/>
      <c r="H1" s="1"/>
      <c r="I1" s="1"/>
    </row>
    <row r="2">
      <c r="A2" s="3" t="s">
        <v>1</v>
      </c>
      <c r="B2" s="4"/>
      <c r="C2" s="5">
        <f>'Stavební rozpočet'!C2</f>
      </c>
      <c r="D2" s="6"/>
      <c r="E2" s="7" t="s">
        <v>5</v>
      </c>
      <c r="F2" s="7">
        <f>'Stavební rozpočet'!I2</f>
      </c>
      <c r="G2" s="4"/>
      <c r="H2" s="7" t="s">
        <v>396</v>
      </c>
      <c r="I2" s="8" t="s">
        <v>397</v>
      </c>
    </row>
    <row r="3" customHeight="true" ht="15">
      <c r="A3" s="9"/>
      <c r="B3" s="10"/>
      <c r="C3" s="11"/>
      <c r="D3" s="11"/>
      <c r="E3" s="10"/>
      <c r="F3" s="10"/>
      <c r="G3" s="10"/>
      <c r="H3" s="10"/>
      <c r="I3" s="12"/>
    </row>
    <row r="4">
      <c r="A4" s="13" t="s">
        <v>7</v>
      </c>
      <c r="B4" s="10"/>
      <c r="C4" s="14">
        <f>'Stavební rozpočet'!C4</f>
      </c>
      <c r="D4" s="10"/>
      <c r="E4" s="14" t="s">
        <v>11</v>
      </c>
      <c r="F4" s="14">
        <f>'Stavební rozpočet'!I4</f>
      </c>
      <c r="G4" s="10"/>
      <c r="H4" s="14" t="s">
        <v>396</v>
      </c>
      <c r="I4" s="12" t="s">
        <v>398</v>
      </c>
    </row>
    <row r="5" customHeight="true" ht="15">
      <c r="A5" s="9"/>
      <c r="B5" s="10"/>
      <c r="C5" s="10"/>
      <c r="D5" s="10"/>
      <c r="E5" s="10"/>
      <c r="F5" s="10"/>
      <c r="G5" s="10"/>
      <c r="H5" s="10"/>
      <c r="I5" s="12"/>
    </row>
    <row r="6">
      <c r="A6" s="13" t="s">
        <v>13</v>
      </c>
      <c r="B6" s="10"/>
      <c r="C6" s="14">
        <f>'Stavební rozpočet'!C6</f>
      </c>
      <c r="D6" s="10"/>
      <c r="E6" s="14" t="s">
        <v>17</v>
      </c>
      <c r="F6" s="14">
        <f>'Stavební rozpočet'!I6</f>
      </c>
      <c r="G6" s="10"/>
      <c r="H6" s="14" t="s">
        <v>396</v>
      </c>
      <c r="I6" s="12" t="s">
        <v>55</v>
      </c>
    </row>
    <row r="7" customHeight="true" ht="15">
      <c r="A7" s="9"/>
      <c r="B7" s="10"/>
      <c r="C7" s="10"/>
      <c r="D7" s="10"/>
      <c r="E7" s="10"/>
      <c r="F7" s="10"/>
      <c r="G7" s="10"/>
      <c r="H7" s="10"/>
      <c r="I7" s="12"/>
    </row>
    <row r="8">
      <c r="A8" s="13" t="s">
        <v>9</v>
      </c>
      <c r="B8" s="10"/>
      <c r="C8" s="14">
        <f>'Stavební rozpočet'!G4</f>
      </c>
      <c r="D8" s="10"/>
      <c r="E8" s="14" t="s">
        <v>15</v>
      </c>
      <c r="F8" s="14">
        <f>'Stavební rozpočet'!G6</f>
      </c>
      <c r="G8" s="10"/>
      <c r="H8" s="10" t="s">
        <v>399</v>
      </c>
      <c r="I8" s="81" t="n">
        <v>103</v>
      </c>
    </row>
    <row r="9">
      <c r="A9" s="9"/>
      <c r="B9" s="10"/>
      <c r="C9" s="10"/>
      <c r="D9" s="10"/>
      <c r="E9" s="10"/>
      <c r="F9" s="10"/>
      <c r="G9" s="10"/>
      <c r="H9" s="10"/>
      <c r="I9" s="12"/>
    </row>
    <row r="10">
      <c r="A10" s="13" t="s">
        <v>19</v>
      </c>
      <c r="B10" s="10"/>
      <c r="C10" s="14">
        <f>'Stavební rozpočet'!C8</f>
      </c>
      <c r="D10" s="10"/>
      <c r="E10" s="14" t="s">
        <v>23</v>
      </c>
      <c r="F10" s="14">
        <f>'Stavební rozpočet'!I8</f>
      </c>
      <c r="G10" s="10"/>
      <c r="H10" s="10" t="s">
        <v>400</v>
      </c>
      <c r="I10" s="82">
        <f>'Stavební rozpočet'!G8</f>
      </c>
    </row>
    <row r="11">
      <c r="A11" s="53"/>
      <c r="B11" s="54"/>
      <c r="C11" s="54"/>
      <c r="D11" s="54"/>
      <c r="E11" s="54"/>
      <c r="F11" s="54"/>
      <c r="G11" s="54"/>
      <c r="H11" s="54"/>
      <c r="I11" s="83"/>
    </row>
    <row r="12">
      <c r="A12" s="84" t="s">
        <v>401</v>
      </c>
      <c r="B12" s="84"/>
      <c r="C12" s="84"/>
      <c r="D12" s="84"/>
      <c r="E12" s="84"/>
      <c r="F12" s="84"/>
      <c r="G12" s="84"/>
      <c r="H12" s="84"/>
      <c r="I12" s="84"/>
    </row>
    <row r="13" customHeight="true" ht="26.25">
      <c r="A13" s="85" t="s">
        <v>402</v>
      </c>
      <c r="B13" s="86" t="s">
        <v>403</v>
      </c>
      <c r="C13" s="87"/>
      <c r="D13" s="88" t="s">
        <v>404</v>
      </c>
      <c r="E13" s="86" t="s">
        <v>405</v>
      </c>
      <c r="F13" s="87"/>
      <c r="G13" s="88" t="s">
        <v>406</v>
      </c>
      <c r="H13" s="86" t="s">
        <v>407</v>
      </c>
      <c r="I13" s="87"/>
    </row>
    <row r="14">
      <c r="A14" s="89" t="s">
        <v>408</v>
      </c>
      <c r="B14" s="90" t="s">
        <v>409</v>
      </c>
      <c r="C14" s="91">
        <f>SUM('Stavební rozpočet'!AB12:AB149)</f>
      </c>
      <c r="D14" s="92" t="s">
        <v>410</v>
      </c>
      <c r="E14" s="93"/>
      <c r="F14" s="91">
        <f>VORN!I15</f>
      </c>
      <c r="G14" s="92" t="s">
        <v>294</v>
      </c>
      <c r="H14" s="93"/>
      <c r="I14" s="94">
        <f>VORN!I21</f>
      </c>
    </row>
    <row r="15">
      <c r="A15" s="95" t="s">
        <v>55</v>
      </c>
      <c r="B15" s="90" t="s">
        <v>40</v>
      </c>
      <c r="C15" s="91">
        <f>SUM('Stavební rozpočet'!AC12:AC149)</f>
      </c>
      <c r="D15" s="92" t="s">
        <v>411</v>
      </c>
      <c r="E15" s="93"/>
      <c r="F15" s="91">
        <f>VORN!I16</f>
      </c>
      <c r="G15" s="92" t="s">
        <v>412</v>
      </c>
      <c r="H15" s="93"/>
      <c r="I15" s="94">
        <f>VORN!I22</f>
      </c>
    </row>
    <row r="16">
      <c r="A16" s="89" t="s">
        <v>413</v>
      </c>
      <c r="B16" s="90" t="s">
        <v>409</v>
      </c>
      <c r="C16" s="91">
        <f>SUM('Stavební rozpočet'!AD12:AD149)</f>
      </c>
      <c r="D16" s="92" t="s">
        <v>414</v>
      </c>
      <c r="E16" s="93"/>
      <c r="F16" s="91">
        <f>VORN!I17</f>
      </c>
      <c r="G16" s="92" t="s">
        <v>299</v>
      </c>
      <c r="H16" s="93"/>
      <c r="I16" s="94">
        <f>VORN!I23</f>
      </c>
    </row>
    <row r="17">
      <c r="A17" s="95" t="s">
        <v>55</v>
      </c>
      <c r="B17" s="90" t="s">
        <v>40</v>
      </c>
      <c r="C17" s="91">
        <f>SUM('Stavební rozpočet'!AE12:AE149)</f>
      </c>
      <c r="D17" s="92" t="s">
        <v>55</v>
      </c>
      <c r="E17" s="93"/>
      <c r="F17" s="94" t="s">
        <v>55</v>
      </c>
      <c r="G17" s="92" t="s">
        <v>415</v>
      </c>
      <c r="H17" s="93"/>
      <c r="I17" s="94">
        <f>VORN!I24</f>
      </c>
    </row>
    <row r="18">
      <c r="A18" s="89" t="s">
        <v>416</v>
      </c>
      <c r="B18" s="90" t="s">
        <v>409</v>
      </c>
      <c r="C18" s="91">
        <f>SUM('Stavební rozpočet'!AF12:AF149)</f>
      </c>
      <c r="D18" s="92" t="s">
        <v>55</v>
      </c>
      <c r="E18" s="93"/>
      <c r="F18" s="94" t="s">
        <v>55</v>
      </c>
      <c r="G18" s="92" t="s">
        <v>417</v>
      </c>
      <c r="H18" s="93"/>
      <c r="I18" s="94">
        <f>VORN!I25</f>
      </c>
    </row>
    <row r="19">
      <c r="A19" s="95" t="s">
        <v>55</v>
      </c>
      <c r="B19" s="90" t="s">
        <v>40</v>
      </c>
      <c r="C19" s="91">
        <f>SUM('Stavební rozpočet'!AG12:AG149)</f>
      </c>
      <c r="D19" s="92" t="s">
        <v>55</v>
      </c>
      <c r="E19" s="93"/>
      <c r="F19" s="94" t="s">
        <v>55</v>
      </c>
      <c r="G19" s="92" t="s">
        <v>418</v>
      </c>
      <c r="H19" s="93"/>
      <c r="I19" s="94">
        <f>VORN!I26</f>
      </c>
    </row>
    <row r="20">
      <c r="A20" s="96" t="s">
        <v>214</v>
      </c>
      <c r="B20" s="97"/>
      <c r="C20" s="91">
        <f>SUM('Stavební rozpočet'!AH12:AH149)</f>
      </c>
      <c r="D20" s="92" t="s">
        <v>55</v>
      </c>
      <c r="E20" s="93"/>
      <c r="F20" s="94" t="s">
        <v>55</v>
      </c>
      <c r="G20" s="92" t="s">
        <v>55</v>
      </c>
      <c r="H20" s="93"/>
      <c r="I20" s="94" t="s">
        <v>55</v>
      </c>
    </row>
    <row r="21">
      <c r="A21" s="98" t="s">
        <v>419</v>
      </c>
      <c r="B21" s="99"/>
      <c r="C21" s="100">
        <f>SUM('Stavební rozpočet'!Z12:Z149)</f>
      </c>
      <c r="D21" s="101" t="s">
        <v>55</v>
      </c>
      <c r="E21" s="102"/>
      <c r="F21" s="103" t="s">
        <v>55</v>
      </c>
      <c r="G21" s="101" t="s">
        <v>55</v>
      </c>
      <c r="H21" s="102"/>
      <c r="I21" s="103" t="s">
        <v>55</v>
      </c>
    </row>
    <row r="22" customHeight="true" ht="16.5">
      <c r="A22" s="104" t="s">
        <v>420</v>
      </c>
      <c r="B22" s="105"/>
      <c r="C22" s="106">
        <f>ROUND(SUM(C14:C21),0)</f>
      </c>
      <c r="D22" s="107" t="s">
        <v>421</v>
      </c>
      <c r="E22" s="105"/>
      <c r="F22" s="106">
        <f>SUM(F14:F21)</f>
      </c>
      <c r="G22" s="107" t="s">
        <v>422</v>
      </c>
      <c r="H22" s="105"/>
      <c r="I22" s="106">
        <f>SUM(I14:I21)</f>
      </c>
    </row>
    <row r="23">
      <c r="D23" s="96" t="s">
        <v>423</v>
      </c>
      <c r="E23" s="97"/>
      <c r="F23" s="108" t="n">
        <v>0</v>
      </c>
      <c r="G23" s="109" t="s">
        <v>424</v>
      </c>
      <c r="H23" s="97"/>
      <c r="I23" s="91" t="n">
        <v>0</v>
      </c>
    </row>
    <row r="24">
      <c r="G24" s="96" t="s">
        <v>425</v>
      </c>
      <c r="H24" s="97"/>
      <c r="I24" s="100">
        <f>vorn_sum</f>
      </c>
    </row>
    <row r="25">
      <c r="G25" s="96" t="s">
        <v>426</v>
      </c>
      <c r="H25" s="97"/>
      <c r="I25" s="106" t="n">
        <v>0</v>
      </c>
    </row>
    <row r="27">
      <c r="A27" s="110" t="s">
        <v>427</v>
      </c>
      <c r="B27" s="111"/>
      <c r="C27" s="112">
        <f>ROUND(SUM('Stavební rozpočet'!AJ12:AJ149),0)</f>
      </c>
    </row>
    <row r="28">
      <c r="A28" s="113" t="s">
        <v>428</v>
      </c>
      <c r="B28" s="114"/>
      <c r="C28" s="115">
        <f>ROUND(SUM('Stavební rozpočet'!AK12:AK149),0)</f>
      </c>
      <c r="D28" s="116" t="s">
        <v>429</v>
      </c>
      <c r="E28" s="111"/>
      <c r="F28" s="112">
        <f>ROUND(C28*(12/100),2)</f>
      </c>
      <c r="G28" s="116" t="s">
        <v>430</v>
      </c>
      <c r="H28" s="111"/>
      <c r="I28" s="112">
        <f>ROUND(SUM(C27:C29),0)</f>
      </c>
    </row>
    <row r="29">
      <c r="A29" s="113" t="s">
        <v>431</v>
      </c>
      <c r="B29" s="114"/>
      <c r="C29" s="115">
        <f>ROUND(SUM('Stavební rozpočet'!AL12:AL149),0)</f>
      </c>
      <c r="D29" s="117" t="s">
        <v>432</v>
      </c>
      <c r="E29" s="114"/>
      <c r="F29" s="115">
        <f>ROUND(C29*(21/100),2)</f>
      </c>
      <c r="G29" s="117" t="s">
        <v>433</v>
      </c>
      <c r="H29" s="114"/>
      <c r="I29" s="115">
        <f>ROUND(SUM(F28:F29)+I28,0)</f>
      </c>
    </row>
    <row r="31">
      <c r="A31" s="118" t="s">
        <v>434</v>
      </c>
      <c r="B31" s="119"/>
      <c r="C31" s="120"/>
      <c r="D31" s="121" t="s">
        <v>435</v>
      </c>
      <c r="E31" s="119"/>
      <c r="F31" s="120"/>
      <c r="G31" s="121" t="s">
        <v>436</v>
      </c>
      <c r="H31" s="119"/>
      <c r="I31" s="120"/>
    </row>
    <row r="32">
      <c r="A32" s="122" t="s">
        <v>55</v>
      </c>
      <c r="B32" s="123"/>
      <c r="C32" s="124"/>
      <c r="D32" s="125" t="s">
        <v>55</v>
      </c>
      <c r="E32" s="123"/>
      <c r="F32" s="124"/>
      <c r="G32" s="125" t="s">
        <v>55</v>
      </c>
      <c r="H32" s="123"/>
      <c r="I32" s="124"/>
    </row>
    <row r="33">
      <c r="A33" s="122" t="s">
        <v>55</v>
      </c>
      <c r="B33" s="123"/>
      <c r="C33" s="124"/>
      <c r="D33" s="125" t="s">
        <v>55</v>
      </c>
      <c r="E33" s="123"/>
      <c r="F33" s="124"/>
      <c r="G33" s="125" t="s">
        <v>55</v>
      </c>
      <c r="H33" s="123"/>
      <c r="I33" s="124"/>
    </row>
    <row r="34">
      <c r="A34" s="122" t="s">
        <v>55</v>
      </c>
      <c r="B34" s="123"/>
      <c r="C34" s="124"/>
      <c r="D34" s="125" t="s">
        <v>55</v>
      </c>
      <c r="E34" s="123"/>
      <c r="F34" s="124"/>
      <c r="G34" s="125" t="s">
        <v>55</v>
      </c>
      <c r="H34" s="123"/>
      <c r="I34" s="124"/>
    </row>
    <row r="35">
      <c r="A35" s="126" t="s">
        <v>437</v>
      </c>
      <c r="B35" s="127"/>
      <c r="C35" s="128"/>
      <c r="D35" s="129" t="s">
        <v>437</v>
      </c>
      <c r="E35" s="127"/>
      <c r="F35" s="128"/>
      <c r="G35" s="129" t="s">
        <v>437</v>
      </c>
      <c r="H35" s="127"/>
      <c r="I35" s="128"/>
    </row>
    <row r="36">
      <c r="A36" s="130" t="s">
        <v>357</v>
      </c>
    </row>
    <row r="37" customHeight="true" ht="12.75">
      <c r="A37" s="14" t="s">
        <v>55</v>
      </c>
      <c r="B37" s="10"/>
      <c r="C37" s="10"/>
      <c r="D37" s="10"/>
      <c r="E37" s="10"/>
      <c r="F37" s="10"/>
      <c r="G37" s="10"/>
      <c r="H37" s="10"/>
      <c r="I37" s="10"/>
    </row>
  </sheetData>
  <mergeCells>
    <mergeCell ref="A1:I1"/>
    <mergeCell ref="A2:B3"/>
    <mergeCell ref="A4:B5"/>
    <mergeCell ref="A6:B7"/>
    <mergeCell ref="A8:B9"/>
    <mergeCell ref="A10:B11"/>
    <mergeCell ref="E2:E3"/>
    <mergeCell ref="E4:E5"/>
    <mergeCell ref="E6:E7"/>
    <mergeCell ref="E8:E9"/>
    <mergeCell ref="E10:E11"/>
    <mergeCell ref="C2:D3"/>
    <mergeCell ref="C4:D5"/>
    <mergeCell ref="C6:D7"/>
    <mergeCell ref="C8:D9"/>
    <mergeCell ref="C10:D11"/>
    <mergeCell ref="F2:G3"/>
    <mergeCell ref="F4:G5"/>
    <mergeCell ref="F6:G7"/>
    <mergeCell ref="F8:G9"/>
    <mergeCell ref="F10:G11"/>
    <mergeCell ref="H2:H3"/>
    <mergeCell ref="H4:H5"/>
    <mergeCell ref="H6:H7"/>
    <mergeCell ref="H8:H9"/>
    <mergeCell ref="H10:H11"/>
    <mergeCell ref="I2:I3"/>
    <mergeCell ref="I4:I5"/>
    <mergeCell ref="I6:I7"/>
    <mergeCell ref="I8:I9"/>
    <mergeCell ref="I10:I11"/>
    <mergeCell ref="A12:I12"/>
    <mergeCell ref="B13:C13"/>
    <mergeCell ref="E13:F13"/>
    <mergeCell ref="H13:I13"/>
    <mergeCell ref="A20:B20"/>
    <mergeCell ref="A21:B21"/>
    <mergeCell ref="A22:B22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A27:B27"/>
    <mergeCell ref="A28:B28"/>
    <mergeCell ref="A29:B29"/>
    <mergeCell ref="D28:E28"/>
    <mergeCell ref="D29:E29"/>
    <mergeCell ref="G28:H28"/>
    <mergeCell ref="G29:H29"/>
    <mergeCell ref="A31:C31"/>
    <mergeCell ref="A32:C32"/>
    <mergeCell ref="A33:C33"/>
    <mergeCell ref="A34:C34"/>
    <mergeCell ref="A35:C35"/>
    <mergeCell ref="D31:F31"/>
    <mergeCell ref="D32:F32"/>
    <mergeCell ref="D33:F33"/>
    <mergeCell ref="D34:F34"/>
    <mergeCell ref="D35:F35"/>
    <mergeCell ref="G31:I31"/>
    <mergeCell ref="G32:I32"/>
    <mergeCell ref="G33:I33"/>
    <mergeCell ref="G34:I34"/>
    <mergeCell ref="G35:I35"/>
    <mergeCell ref="A37:I37"/>
  </mergeCells>
  <pageMargins left="0.393999993801117" top="0.591000020503998" right="0.393999993801117" bottom="0.591000020503998" header="0" footer="0"/>
  <pageSetup orientation="landscape" fitToHeight="1" fitToWidth="1" cellComments="none"/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true" summaryRight="true"/>
    <pageSetUpPr fitToPage="true"/>
  </sheetPr>
  <dimension ref="A1:I45"/>
  <sheetViews>
    <sheetView workbookViewId="0" showZeros="true" showFormulas="false" showGridLines="true" showRowColHeaders="true">
      <selection sqref="A45:E45" activeCell="A45"/>
    </sheetView>
  </sheetViews>
  <sheetFormatPr defaultColWidth="12.140625" customHeight="true" defaultRowHeight="15"/>
  <cols>
    <col max="1" min="1" style="0" width="9.140625" customWidth="true"/>
    <col max="2" min="2" style="0" width="12.85546875" customWidth="true"/>
    <col max="3" min="3" style="0" width="22.85546875" customWidth="true"/>
    <col max="4" min="4" style="0" width="10" customWidth="true"/>
    <col max="5" min="5" style="0" width="14" customWidth="true"/>
    <col max="6" min="6" style="0" width="22.85546875" customWidth="true"/>
    <col max="7" min="7" style="0" width="9.140625" customWidth="true"/>
    <col max="8" min="8" style="0" width="17.140625" customWidth="true"/>
    <col max="9" min="9" style="0" width="22.85546875" customWidth="true"/>
  </cols>
  <sheetData>
    <row r="1" customHeight="true" ht="54.75">
      <c r="A1" s="80" t="s">
        <v>283</v>
      </c>
      <c r="B1" s="1"/>
      <c r="C1" s="1"/>
      <c r="D1" s="1"/>
      <c r="E1" s="1"/>
      <c r="F1" s="1"/>
      <c r="G1" s="1"/>
      <c r="H1" s="1"/>
      <c r="I1" s="1"/>
    </row>
    <row r="2">
      <c r="A2" s="3" t="s">
        <v>1</v>
      </c>
      <c r="B2" s="4"/>
      <c r="C2" s="5">
        <f>'Stavební rozpočet'!C2</f>
      </c>
      <c r="D2" s="6"/>
      <c r="E2" s="7" t="s">
        <v>5</v>
      </c>
      <c r="F2" s="7">
        <f>'Stavební rozpočet'!I2</f>
      </c>
      <c r="G2" s="4"/>
      <c r="H2" s="7" t="s">
        <v>396</v>
      </c>
      <c r="I2" s="8" t="s">
        <v>397</v>
      </c>
    </row>
    <row r="3" customHeight="true" ht="15">
      <c r="A3" s="9"/>
      <c r="B3" s="10"/>
      <c r="C3" s="11"/>
      <c r="D3" s="11"/>
      <c r="E3" s="10"/>
      <c r="F3" s="10"/>
      <c r="G3" s="10"/>
      <c r="H3" s="10"/>
      <c r="I3" s="12"/>
    </row>
    <row r="4">
      <c r="A4" s="13" t="s">
        <v>7</v>
      </c>
      <c r="B4" s="10"/>
      <c r="C4" s="14">
        <f>'Stavební rozpočet'!C4</f>
      </c>
      <c r="D4" s="10"/>
      <c r="E4" s="14" t="s">
        <v>11</v>
      </c>
      <c r="F4" s="14">
        <f>'Stavební rozpočet'!I4</f>
      </c>
      <c r="G4" s="10"/>
      <c r="H4" s="14" t="s">
        <v>396</v>
      </c>
      <c r="I4" s="12" t="s">
        <v>398</v>
      </c>
    </row>
    <row r="5" customHeight="true" ht="15">
      <c r="A5" s="9"/>
      <c r="B5" s="10"/>
      <c r="C5" s="10"/>
      <c r="D5" s="10"/>
      <c r="E5" s="10"/>
      <c r="F5" s="10"/>
      <c r="G5" s="10"/>
      <c r="H5" s="10"/>
      <c r="I5" s="12"/>
    </row>
    <row r="6">
      <c r="A6" s="13" t="s">
        <v>13</v>
      </c>
      <c r="B6" s="10"/>
      <c r="C6" s="14">
        <f>'Stavební rozpočet'!C6</f>
      </c>
      <c r="D6" s="10"/>
      <c r="E6" s="14" t="s">
        <v>17</v>
      </c>
      <c r="F6" s="14">
        <f>'Stavební rozpočet'!I6</f>
      </c>
      <c r="G6" s="10"/>
      <c r="H6" s="14" t="s">
        <v>396</v>
      </c>
      <c r="I6" s="12" t="s">
        <v>55</v>
      </c>
    </row>
    <row r="7" customHeight="true" ht="15">
      <c r="A7" s="9"/>
      <c r="B7" s="10"/>
      <c r="C7" s="10"/>
      <c r="D7" s="10"/>
      <c r="E7" s="10"/>
      <c r="F7" s="10"/>
      <c r="G7" s="10"/>
      <c r="H7" s="10"/>
      <c r="I7" s="12"/>
    </row>
    <row r="8">
      <c r="A8" s="13" t="s">
        <v>9</v>
      </c>
      <c r="B8" s="10"/>
      <c r="C8" s="14">
        <f>'Stavební rozpočet'!G4</f>
      </c>
      <c r="D8" s="10"/>
      <c r="E8" s="14" t="s">
        <v>15</v>
      </c>
      <c r="F8" s="14">
        <f>'Stavební rozpočet'!G6</f>
      </c>
      <c r="G8" s="10"/>
      <c r="H8" s="10" t="s">
        <v>399</v>
      </c>
      <c r="I8" s="81" t="n">
        <v>103</v>
      </c>
    </row>
    <row r="9">
      <c r="A9" s="9"/>
      <c r="B9" s="10"/>
      <c r="C9" s="10"/>
      <c r="D9" s="10"/>
      <c r="E9" s="10"/>
      <c r="F9" s="10"/>
      <c r="G9" s="10"/>
      <c r="H9" s="10"/>
      <c r="I9" s="12"/>
    </row>
    <row r="10">
      <c r="A10" s="13" t="s">
        <v>19</v>
      </c>
      <c r="B10" s="10"/>
      <c r="C10" s="14">
        <f>'Stavební rozpočet'!C8</f>
      </c>
      <c r="D10" s="10"/>
      <c r="E10" s="14" t="s">
        <v>23</v>
      </c>
      <c r="F10" s="14">
        <f>'Stavební rozpočet'!I8</f>
      </c>
      <c r="G10" s="10"/>
      <c r="H10" s="10" t="s">
        <v>400</v>
      </c>
      <c r="I10" s="82">
        <f>'Stavební rozpočet'!G8</f>
      </c>
    </row>
    <row r="11">
      <c r="A11" s="53"/>
      <c r="B11" s="54"/>
      <c r="C11" s="54"/>
      <c r="D11" s="54"/>
      <c r="E11" s="54"/>
      <c r="F11" s="54"/>
      <c r="G11" s="54"/>
      <c r="H11" s="54"/>
      <c r="I11" s="83"/>
    </row>
    <row r="13">
      <c r="A13" s="131" t="s">
        <v>438</v>
      </c>
      <c r="B13" s="131"/>
      <c r="C13" s="131"/>
      <c r="D13" s="131"/>
      <c r="E13" s="131"/>
    </row>
    <row r="14">
      <c r="A14" s="132" t="s">
        <v>439</v>
      </c>
      <c r="B14" s="133"/>
      <c r="C14" s="133"/>
      <c r="D14" s="133"/>
      <c r="E14" s="134"/>
      <c r="F14" s="135" t="s">
        <v>440</v>
      </c>
      <c r="G14" s="135" t="s">
        <v>441</v>
      </c>
      <c r="H14" s="135" t="s">
        <v>442</v>
      </c>
      <c r="I14" s="135" t="s">
        <v>440</v>
      </c>
    </row>
    <row r="15">
      <c r="A15" s="136" t="s">
        <v>410</v>
      </c>
      <c r="B15" s="137"/>
      <c r="C15" s="137"/>
      <c r="D15" s="137"/>
      <c r="E15" s="138"/>
      <c r="F15" s="139" t="n">
        <v>0</v>
      </c>
      <c r="G15" s="140" t="s">
        <v>55</v>
      </c>
      <c r="H15" s="140" t="s">
        <v>55</v>
      </c>
      <c r="I15" s="139">
        <f>F15</f>
      </c>
    </row>
    <row r="16">
      <c r="A16" s="136" t="s">
        <v>411</v>
      </c>
      <c r="B16" s="137"/>
      <c r="C16" s="137"/>
      <c r="D16" s="137"/>
      <c r="E16" s="138"/>
      <c r="F16" s="139" t="n">
        <v>0</v>
      </c>
      <c r="G16" s="140" t="s">
        <v>55</v>
      </c>
      <c r="H16" s="140" t="s">
        <v>55</v>
      </c>
      <c r="I16" s="139">
        <f>F16</f>
      </c>
    </row>
    <row r="17">
      <c r="A17" s="141" t="s">
        <v>414</v>
      </c>
      <c r="B17" s="142"/>
      <c r="C17" s="142"/>
      <c r="D17" s="142"/>
      <c r="E17" s="143"/>
      <c r="F17" s="144" t="n">
        <v>0</v>
      </c>
      <c r="G17" s="145" t="s">
        <v>55</v>
      </c>
      <c r="H17" s="145" t="s">
        <v>55</v>
      </c>
      <c r="I17" s="144">
        <f>F17</f>
      </c>
    </row>
    <row r="18">
      <c r="A18" s="146" t="s">
        <v>443</v>
      </c>
      <c r="B18" s="147"/>
      <c r="C18" s="147"/>
      <c r="D18" s="147"/>
      <c r="E18" s="148"/>
      <c r="F18" s="149" t="s">
        <v>55</v>
      </c>
      <c r="G18" s="150" t="s">
        <v>55</v>
      </c>
      <c r="H18" s="150" t="s">
        <v>55</v>
      </c>
      <c r="I18" s="151">
        <f>SUM(I15:I17)</f>
      </c>
    </row>
    <row r="20">
      <c r="A20" s="132" t="s">
        <v>407</v>
      </c>
      <c r="B20" s="133"/>
      <c r="C20" s="133"/>
      <c r="D20" s="133"/>
      <c r="E20" s="134"/>
      <c r="F20" s="135" t="s">
        <v>440</v>
      </c>
      <c r="G20" s="135" t="s">
        <v>441</v>
      </c>
      <c r="H20" s="135" t="s">
        <v>442</v>
      </c>
      <c r="I20" s="135" t="s">
        <v>440</v>
      </c>
    </row>
    <row r="21">
      <c r="A21" s="136" t="s">
        <v>294</v>
      </c>
      <c r="B21" s="137"/>
      <c r="C21" s="137"/>
      <c r="D21" s="137"/>
      <c r="E21" s="138"/>
      <c r="F21" s="139" t="n">
        <v>0</v>
      </c>
      <c r="G21" s="140" t="s">
        <v>55</v>
      </c>
      <c r="H21" s="140" t="s">
        <v>55</v>
      </c>
      <c r="I21" s="139">
        <f>F21</f>
      </c>
    </row>
    <row r="22">
      <c r="A22" s="136" t="s">
        <v>412</v>
      </c>
      <c r="B22" s="137"/>
      <c r="C22" s="137"/>
      <c r="D22" s="137"/>
      <c r="E22" s="138"/>
      <c r="F22" s="139" t="n">
        <v>0</v>
      </c>
      <c r="G22" s="140" t="s">
        <v>55</v>
      </c>
      <c r="H22" s="140" t="s">
        <v>55</v>
      </c>
      <c r="I22" s="139">
        <f>F22</f>
      </c>
    </row>
    <row r="23">
      <c r="A23" s="136" t="s">
        <v>299</v>
      </c>
      <c r="B23" s="137"/>
      <c r="C23" s="137"/>
      <c r="D23" s="137"/>
      <c r="E23" s="138"/>
      <c r="F23" s="139" t="n">
        <v>0</v>
      </c>
      <c r="G23" s="140" t="s">
        <v>55</v>
      </c>
      <c r="H23" s="140" t="s">
        <v>55</v>
      </c>
      <c r="I23" s="139">
        <f>F23</f>
      </c>
    </row>
    <row r="24">
      <c r="A24" s="136" t="s">
        <v>415</v>
      </c>
      <c r="B24" s="137"/>
      <c r="C24" s="137"/>
      <c r="D24" s="137"/>
      <c r="E24" s="138"/>
      <c r="F24" s="139" t="n">
        <v>0</v>
      </c>
      <c r="G24" s="140" t="s">
        <v>55</v>
      </c>
      <c r="H24" s="140" t="s">
        <v>55</v>
      </c>
      <c r="I24" s="139">
        <f>F24</f>
      </c>
    </row>
    <row r="25">
      <c r="A25" s="136" t="s">
        <v>417</v>
      </c>
      <c r="B25" s="137"/>
      <c r="C25" s="137"/>
      <c r="D25" s="137"/>
      <c r="E25" s="138"/>
      <c r="F25" s="139" t="n">
        <v>0</v>
      </c>
      <c r="G25" s="140" t="s">
        <v>55</v>
      </c>
      <c r="H25" s="140" t="s">
        <v>55</v>
      </c>
      <c r="I25" s="139">
        <f>F25</f>
      </c>
    </row>
    <row r="26">
      <c r="A26" s="141" t="s">
        <v>418</v>
      </c>
      <c r="B26" s="142"/>
      <c r="C26" s="142"/>
      <c r="D26" s="142"/>
      <c r="E26" s="143"/>
      <c r="F26" s="144" t="n">
        <v>0</v>
      </c>
      <c r="G26" s="145" t="s">
        <v>55</v>
      </c>
      <c r="H26" s="145" t="s">
        <v>55</v>
      </c>
      <c r="I26" s="144">
        <f>F26</f>
      </c>
    </row>
    <row r="27">
      <c r="A27" s="146" t="s">
        <v>444</v>
      </c>
      <c r="B27" s="147"/>
      <c r="C27" s="147"/>
      <c r="D27" s="147"/>
      <c r="E27" s="148"/>
      <c r="F27" s="149" t="s">
        <v>55</v>
      </c>
      <c r="G27" s="150" t="s">
        <v>55</v>
      </c>
      <c r="H27" s="150" t="s">
        <v>55</v>
      </c>
      <c r="I27" s="151">
        <f>SUM(I21:I26)</f>
      </c>
    </row>
    <row r="29">
      <c r="A29" s="152" t="s">
        <v>445</v>
      </c>
      <c r="B29" s="153"/>
      <c r="C29" s="153"/>
      <c r="D29" s="153"/>
      <c r="E29" s="154"/>
      <c r="F29" s="155">
        <f>I18+I27</f>
      </c>
      <c r="G29" s="156"/>
      <c r="H29" s="156"/>
      <c r="I29" s="157"/>
    </row>
    <row r="33">
      <c r="A33" s="131" t="s">
        <v>446</v>
      </c>
      <c r="B33" s="131"/>
      <c r="C33" s="131"/>
      <c r="D33" s="131"/>
      <c r="E33" s="131"/>
    </row>
    <row r="34">
      <c r="A34" s="132" t="s">
        <v>447</v>
      </c>
      <c r="B34" s="133"/>
      <c r="C34" s="133"/>
      <c r="D34" s="133"/>
      <c r="E34" s="134"/>
      <c r="F34" s="135" t="s">
        <v>440</v>
      </c>
      <c r="G34" s="135" t="s">
        <v>441</v>
      </c>
      <c r="H34" s="135" t="s">
        <v>442</v>
      </c>
      <c r="I34" s="135" t="s">
        <v>440</v>
      </c>
    </row>
    <row r="35">
      <c r="A35" s="136" t="s">
        <v>285</v>
      </c>
      <c r="B35" s="137"/>
      <c r="C35" s="137"/>
      <c r="D35" s="137"/>
      <c r="E35" s="138"/>
      <c r="F35" s="139">
        <f>SUM('Stavební rozpočet'!BM12:BM149)</f>
      </c>
      <c r="G35" s="140" t="s">
        <v>55</v>
      </c>
      <c r="H35" s="140" t="s">
        <v>55</v>
      </c>
      <c r="I35" s="139">
        <f>F35</f>
      </c>
    </row>
    <row r="36">
      <c r="A36" s="136" t="s">
        <v>448</v>
      </c>
      <c r="B36" s="137"/>
      <c r="C36" s="137"/>
      <c r="D36" s="137"/>
      <c r="E36" s="138"/>
      <c r="F36" s="139">
        <f>SUM('Stavební rozpočet'!BN12:BN149)</f>
      </c>
      <c r="G36" s="140" t="s">
        <v>55</v>
      </c>
      <c r="H36" s="140" t="s">
        <v>55</v>
      </c>
      <c r="I36" s="139">
        <f>F36</f>
      </c>
    </row>
    <row r="37">
      <c r="A37" s="136" t="s">
        <v>294</v>
      </c>
      <c r="B37" s="137"/>
      <c r="C37" s="137"/>
      <c r="D37" s="137"/>
      <c r="E37" s="138"/>
      <c r="F37" s="139">
        <f>SUM('Stavební rozpočet'!BO12:BO149)</f>
      </c>
      <c r="G37" s="140" t="s">
        <v>55</v>
      </c>
      <c r="H37" s="140" t="s">
        <v>55</v>
      </c>
      <c r="I37" s="139">
        <f>F37</f>
      </c>
    </row>
    <row r="38">
      <c r="A38" s="136" t="s">
        <v>449</v>
      </c>
      <c r="B38" s="137"/>
      <c r="C38" s="137"/>
      <c r="D38" s="137"/>
      <c r="E38" s="138"/>
      <c r="F38" s="139">
        <f>SUM('Stavební rozpočet'!BP12:BP149)</f>
      </c>
      <c r="G38" s="140" t="s">
        <v>55</v>
      </c>
      <c r="H38" s="140" t="s">
        <v>55</v>
      </c>
      <c r="I38" s="139">
        <f>F38</f>
      </c>
    </row>
    <row r="39">
      <c r="A39" s="136" t="s">
        <v>450</v>
      </c>
      <c r="B39" s="137"/>
      <c r="C39" s="137"/>
      <c r="D39" s="137"/>
      <c r="E39" s="138"/>
      <c r="F39" s="139">
        <f>SUM('Stavební rozpočet'!BQ12:BQ149)</f>
      </c>
      <c r="G39" s="140" t="s">
        <v>55</v>
      </c>
      <c r="H39" s="140" t="s">
        <v>55</v>
      </c>
      <c r="I39" s="139">
        <f>F39</f>
      </c>
    </row>
    <row r="40">
      <c r="A40" s="136" t="s">
        <v>299</v>
      </c>
      <c r="B40" s="137"/>
      <c r="C40" s="137"/>
      <c r="D40" s="137"/>
      <c r="E40" s="138"/>
      <c r="F40" s="139">
        <f>SUM('Stavební rozpočet'!BR12:BR149)</f>
      </c>
      <c r="G40" s="140" t="s">
        <v>55</v>
      </c>
      <c r="H40" s="140" t="s">
        <v>55</v>
      </c>
      <c r="I40" s="139">
        <f>F40</f>
      </c>
    </row>
    <row r="41">
      <c r="A41" s="136" t="s">
        <v>415</v>
      </c>
      <c r="B41" s="137"/>
      <c r="C41" s="137"/>
      <c r="D41" s="137"/>
      <c r="E41" s="138"/>
      <c r="F41" s="139">
        <f>SUM('Stavební rozpočet'!BS12:BS149)</f>
      </c>
      <c r="G41" s="140" t="s">
        <v>55</v>
      </c>
      <c r="H41" s="140" t="s">
        <v>55</v>
      </c>
      <c r="I41" s="139">
        <f>F41</f>
      </c>
    </row>
    <row r="42">
      <c r="A42" s="136" t="s">
        <v>451</v>
      </c>
      <c r="B42" s="137"/>
      <c r="C42" s="137"/>
      <c r="D42" s="137"/>
      <c r="E42" s="138"/>
      <c r="F42" s="139">
        <f>SUM('Stavební rozpočet'!BT12:BT149)</f>
      </c>
      <c r="G42" s="140" t="s">
        <v>55</v>
      </c>
      <c r="H42" s="140" t="s">
        <v>55</v>
      </c>
      <c r="I42" s="139">
        <f>F42</f>
      </c>
    </row>
    <row r="43">
      <c r="A43" s="136" t="s">
        <v>452</v>
      </c>
      <c r="B43" s="137"/>
      <c r="C43" s="137"/>
      <c r="D43" s="137"/>
      <c r="E43" s="138"/>
      <c r="F43" s="139">
        <f>SUM('Stavební rozpočet'!BU12:BU149)</f>
      </c>
      <c r="G43" s="140" t="s">
        <v>55</v>
      </c>
      <c r="H43" s="140" t="s">
        <v>55</v>
      </c>
      <c r="I43" s="139">
        <f>F43</f>
      </c>
    </row>
    <row r="44">
      <c r="A44" s="141" t="s">
        <v>453</v>
      </c>
      <c r="B44" s="142"/>
      <c r="C44" s="142"/>
      <c r="D44" s="142"/>
      <c r="E44" s="143"/>
      <c r="F44" s="144">
        <f>SUM('Stavební rozpočet'!BV12:BV149)</f>
      </c>
      <c r="G44" s="145" t="s">
        <v>55</v>
      </c>
      <c r="H44" s="145" t="s">
        <v>55</v>
      </c>
      <c r="I44" s="144">
        <f>F44</f>
      </c>
    </row>
    <row r="45">
      <c r="A45" s="146" t="s">
        <v>454</v>
      </c>
      <c r="B45" s="147"/>
      <c r="C45" s="147"/>
      <c r="D45" s="147"/>
      <c r="E45" s="148"/>
      <c r="F45" s="149" t="s">
        <v>55</v>
      </c>
      <c r="G45" s="150" t="s">
        <v>55</v>
      </c>
      <c r="H45" s="150" t="s">
        <v>55</v>
      </c>
      <c r="I45" s="151">
        <f>SUM(I35:I44)</f>
      </c>
    </row>
  </sheetData>
  <mergeCells>
    <mergeCell ref="A1:I1"/>
    <mergeCell ref="A2:B3"/>
    <mergeCell ref="A4:B5"/>
    <mergeCell ref="A6:B7"/>
    <mergeCell ref="A8:B9"/>
    <mergeCell ref="A10:B11"/>
    <mergeCell ref="E2:E3"/>
    <mergeCell ref="E4:E5"/>
    <mergeCell ref="E6:E7"/>
    <mergeCell ref="E8:E9"/>
    <mergeCell ref="E10:E11"/>
    <mergeCell ref="H2:H3"/>
    <mergeCell ref="H4:H5"/>
    <mergeCell ref="H6:H7"/>
    <mergeCell ref="H8:H9"/>
    <mergeCell ref="H10:H11"/>
    <mergeCell ref="C2:D3"/>
    <mergeCell ref="C4:D5"/>
    <mergeCell ref="C6:D7"/>
    <mergeCell ref="C8:D9"/>
    <mergeCell ref="C10:D11"/>
    <mergeCell ref="F2:G3"/>
    <mergeCell ref="F4:G5"/>
    <mergeCell ref="F6:G7"/>
    <mergeCell ref="F8:G9"/>
    <mergeCell ref="F10:G11"/>
    <mergeCell ref="I2:I3"/>
    <mergeCell ref="I4:I5"/>
    <mergeCell ref="I6:I7"/>
    <mergeCell ref="I8:I9"/>
    <mergeCell ref="I10:I11"/>
    <mergeCell ref="A13:E13"/>
    <mergeCell ref="A14:E14"/>
    <mergeCell ref="A15:E15"/>
    <mergeCell ref="A16:E16"/>
    <mergeCell ref="A17:E17"/>
    <mergeCell ref="A18:E18"/>
    <mergeCell ref="A20:E20"/>
    <mergeCell ref="A21:E21"/>
    <mergeCell ref="A22:E22"/>
    <mergeCell ref="A23:E23"/>
    <mergeCell ref="A24:E24"/>
    <mergeCell ref="A25:E25"/>
    <mergeCell ref="A26:E26"/>
    <mergeCell ref="A27:E27"/>
    <mergeCell ref="A29:E29"/>
    <mergeCell ref="F29:I29"/>
    <mergeCell ref="A33:E33"/>
    <mergeCell ref="A34:E34"/>
    <mergeCell ref="A35:E35"/>
    <mergeCell ref="A36:E36"/>
    <mergeCell ref="A37:E37"/>
    <mergeCell ref="A38:E38"/>
    <mergeCell ref="A39:E39"/>
    <mergeCell ref="A40:E40"/>
    <mergeCell ref="A41:E41"/>
    <mergeCell ref="A42:E42"/>
    <mergeCell ref="A43:E43"/>
    <mergeCell ref="A44:E44"/>
    <mergeCell ref="A45:E45"/>
  </mergeCells>
  <pageMargins left="0.393999993801117" top="0.591000020503998" right="0.393999993801117" bottom="0.591000020503998" header="0" footer="0"/>
  <pageSetup orientation="landscape" fitToHeight="0" fitToWidth="1" cellComments="none"/>
  <drawing r:id="rId1"/>
</worksheet>
</file>

<file path=docProps/core.xml><?xml version="1.0" encoding="utf-8"?>
<cp:coreProperties xmlns:xsi="http://www.w3.org/2001/XMLSchema-instance" xmlns:dcmitype="http://purl.org/dc/dcmitype/" xmlns:dcterms="http://purl.org/dc/terms/" xmlns:dc="http://purl.org/dc/elements/1.1/" xmlns:cp="http://schemas.openxmlformats.org/package/2006/metadata/core-properties">
  <dc:creator>HP</dc:creator>
  <cp:lastModifiedBy>HP</cp:lastModifiedBy>
  <dcterms:created xsi:type="dcterms:W3CDTF">2021-06-10T20:06:38.031Z</dcterms:created>
  <dcterms:modified xsi:type="dcterms:W3CDTF">2021-06-10T20:06:38.351Z</dcterms:modified>
</cp:coreProperties>
</file>